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er\Desktop\Чайка\Раскрытие информации\Тех.прис_раскрытие\19 в\МУ ФАС РФ 490_22\"/>
    </mc:Choice>
  </mc:AlternateContent>
  <xr:revisionPtr revIDLastSave="0" documentId="13_ncr:1_{3D815083-96F3-48D3-A1D7-C27E8E0FAD8A}" xr6:coauthVersionLast="47" xr6:coauthVersionMax="47" xr10:uidLastSave="{00000000-0000-0000-0000-000000000000}"/>
  <bookViews>
    <workbookView xWindow="-120" yWindow="-120" windowWidth="29040" windowHeight="15840" xr2:uid="{A3B9A5D9-8417-421D-A96B-8A0C6E1DC4F7}"/>
  </bookViews>
  <sheets>
    <sheet name="Приложение 1" sheetId="9" r:id="rId1"/>
    <sheet name="Приложение 2" sheetId="7" r:id="rId2"/>
    <sheet name="Приложение 3"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a">#REF!</definedName>
    <definedName name="\m">#REF!</definedName>
    <definedName name="\n">#REF!</definedName>
    <definedName name="\o">#REF!</definedName>
    <definedName name="__FY1">[0]!__FY1</definedName>
    <definedName name="__SP1">[1]FES!#REF!</definedName>
    <definedName name="__SP10">[1]FES!#REF!</definedName>
    <definedName name="__SP11">[1]FES!#REF!</definedName>
    <definedName name="__SP12">[1]FES!#REF!</definedName>
    <definedName name="__SP13">[1]FES!#REF!</definedName>
    <definedName name="__SP14">[1]FES!#REF!</definedName>
    <definedName name="__SP15">[1]FES!#REF!</definedName>
    <definedName name="__SP16">[1]FES!#REF!</definedName>
    <definedName name="__SP17">[1]FES!#REF!</definedName>
    <definedName name="__SP18">[1]FES!#REF!</definedName>
    <definedName name="__SP19">[1]FES!#REF!</definedName>
    <definedName name="__SP2">[1]FES!#REF!</definedName>
    <definedName name="__SP20">[1]FES!#REF!</definedName>
    <definedName name="__SP3">[1]FES!#REF!</definedName>
    <definedName name="__SP4">[1]FES!#REF!</definedName>
    <definedName name="__SP5">[1]FES!#REF!</definedName>
    <definedName name="__SP7">[1]FES!#REF!</definedName>
    <definedName name="__SP8">[1]FES!#REF!</definedName>
    <definedName name="__SP9">[1]FES!#REF!</definedName>
    <definedName name="_FY1">[0]!_FY1</definedName>
    <definedName name="_IDОтчета">178174</definedName>
    <definedName name="_IDШаблона">178176</definedName>
    <definedName name="_prd2">[2]Титульный!$F$12</definedName>
    <definedName name="_SP1">[1]FES!#REF!</definedName>
    <definedName name="_SP10">[1]FES!#REF!</definedName>
    <definedName name="_SP11">[1]FES!#REF!</definedName>
    <definedName name="_SP12">[1]FES!#REF!</definedName>
    <definedName name="_SP13">[1]FES!#REF!</definedName>
    <definedName name="_SP14">[1]FES!#REF!</definedName>
    <definedName name="_SP15">[1]FES!#REF!</definedName>
    <definedName name="_SP16">[1]FES!#REF!</definedName>
    <definedName name="_SP17">[1]FES!#REF!</definedName>
    <definedName name="_SP18">[1]FES!#REF!</definedName>
    <definedName name="_SP19">[1]FES!#REF!</definedName>
    <definedName name="_SP2">[1]FES!#REF!</definedName>
    <definedName name="_SP20">[1]FES!#REF!</definedName>
    <definedName name="_SP3">[1]FES!#REF!</definedName>
    <definedName name="_SP4">[1]FES!#REF!</definedName>
    <definedName name="_SP5">[1]FES!#REF!</definedName>
    <definedName name="_SP7">[1]FES!#REF!</definedName>
    <definedName name="_SP8">[1]FES!#REF!</definedName>
    <definedName name="_SP9">[1]FES!#REF!</definedName>
    <definedName name="_Параметр_1">"'02.2009'"</definedName>
    <definedName name="_Параметр_2">"'105'"</definedName>
    <definedName name="_Параметр_3">"'1.27'"</definedName>
    <definedName name="_Параметр_4">"'01.09.2008'"</definedName>
    <definedName name="_Параметр_5">"'22.09.2008'"</definedName>
    <definedName name="_Параметр_6">"'80169210'"</definedName>
    <definedName name="_xlnm._FilterDatabase" localSheetId="0" hidden="1">'Приложение 1'!$A$8:$I$210</definedName>
    <definedName name="AN">[0]!AN</definedName>
    <definedName name="anscount" hidden="1">1</definedName>
    <definedName name="CompOt">[0]!CompOt</definedName>
    <definedName name="CompRas">[0]!CompRas</definedName>
    <definedName name="CUR_VER">[3]Заголовок!$B$21</definedName>
    <definedName name="dip">P2_dip,P3_dip,P4_dip</definedName>
    <definedName name="dohod_itog">[2]Доходы!$I$20</definedName>
    <definedName name="ew">[0]!ew</definedName>
    <definedName name="fbgffnjfgg">[0]!fbgffnjfgg</definedName>
    <definedName name="fg">[0]!fg</definedName>
    <definedName name="gh">[0]!gh</definedName>
    <definedName name="ghhktyi">[0]!ghhktyi</definedName>
    <definedName name="god">[2]Титульный!$F$11</definedName>
    <definedName name="grety5e">[0]!grety5e</definedName>
    <definedName name="H?Address">[4]Заголовок!$B$7:$G$7</definedName>
    <definedName name="H?Description">[4]Заголовок!$A$4</definedName>
    <definedName name="H?EntityName">[4]Заголовок!$B$6:$G$6</definedName>
    <definedName name="H?Name">[4]Заголовок!$G$1</definedName>
    <definedName name="H?OKATO">[4]Заголовок!$D$12</definedName>
    <definedName name="H?OKFS">[4]Заголовок!$G$12</definedName>
    <definedName name="H?OKOGU">[4]Заголовок!$E$12</definedName>
    <definedName name="H?OKONX">[4]Заголовок!$C$12</definedName>
    <definedName name="H?OKOPF">[4]Заголовок!$F$12</definedName>
    <definedName name="H?OKPO">[4]Заголовок!$A$12</definedName>
    <definedName name="H?OKVD">[4]Заголовок!$B$12</definedName>
    <definedName name="H?Table">[4]Заголовок!$A$6:$G$16</definedName>
    <definedName name="H?Title">[4]Заголовок!$A$2</definedName>
    <definedName name="hfte">[0]!hfte</definedName>
    <definedName name="isp_dol">[5]Титульный!$D$54</definedName>
    <definedName name="isp_FIO">[5]Титульный!$D$53</definedName>
    <definedName name="isp_tel">[5]Титульный!$D$55</definedName>
    <definedName name="k">[0]!k</definedName>
    <definedName name="knkn.n.">[0]!knkn.n.</definedName>
    <definedName name="kvartal">[5]TEHSHEET!$D$2:$D$5</definedName>
    <definedName name="MO_LIST_35">[5]REESTR_MO!$B$339</definedName>
    <definedName name="MR_LIST">[5]REESTR_MO!$D$2:$D$38</definedName>
    <definedName name="MRSK">[6]Tch!$F$3:$F$16</definedName>
    <definedName name="MRSK_DIC">[7]Tch!$F$3:$F$16</definedName>
    <definedName name="org">[5]Титульный!$D$24</definedName>
    <definedName name="P1_dip" hidden="1">[8]FST5!$G$70:$G$75,[8]FST5!$G$77:$G$78,[8]FST5!$G$80:$G$83,[8]FST5!$G$85,[8]FST5!$G$87:$G$91,[8]FST5!$G$93:$G$97,[8]FST5!$G$100:$G$116,[8]FST5!$G$118:$G$123</definedName>
    <definedName name="P1_ESO_PROT" hidden="1">#REF!,#REF!,#REF!,#REF!,#REF!,#REF!,#REF!,#REF!</definedName>
    <definedName name="P1_SBT_PROT" hidden="1">#REF!,#REF!,#REF!,#REF!,#REF!,#REF!,#REF!</definedName>
    <definedName name="P1_SC22" hidden="1">'[8]2008 -2010'!$G$51,'[8]2008 -2010'!$J$48,'[8]2008 -2010'!$T$48,'[8]2008 -2010'!$AD$48,'[8]2008 -2010'!$AF$36:$AF$37,'[8]2008 -2010'!$AD$36:$AD$37</definedName>
    <definedName name="P1_SCOPE_16_PRT" hidden="1">'[9]16'!$E$13:$I$14,'[9]16'!$E$16:$I$18,'[9]16'!$E$21:$I$21,'[9]16'!$E$24:$I$24,'[9]16'!$E$27:$I$27,'[9]16'!$E$30:$I$30,'[9]16'!$E$33:$I$33,'[9]16'!$B$32,'[9]16'!$B$35</definedName>
    <definedName name="P1_SCOPE_17_PRT" hidden="1">[10]рабочий!$E$13:$H$21,[10]рабочий!$L$9:$L$11,[10]рабочий!$L$13:$L$21,[10]рабочий!$E$24:$H$26,[10]рабочий!$E$28:$H$36,[10]рабочий!$L$24:$O$26,[10]рабочий!$L$28:$O$36,[10]рабочий!$E$39:$H$41</definedName>
    <definedName name="P1_SCOPE_4_PRT" hidden="1">'[9]4'!$F$23:$I$23,'[9]4'!$F$25:$I$25,'[9]4'!$F$27:$I$31,'[9]4'!$K$14:$N$20,'[9]4'!$K$23:$N$23,'[9]4'!$K$25:$N$25,'[9]4'!$K$27:$N$31,'[9]4'!$P$14:$S$20,'[9]4'!$P$23:$S$23</definedName>
    <definedName name="P1_SCOPE_5_PRT" hidden="1">'[9]5'!$F$23:$I$23,'[9]5'!$F$25:$I$25,'[9]5'!$F$27:$I$31,'[9]5'!$K$14:$N$21,'[9]5'!$K$23:$N$23,'[9]5'!$K$25:$N$25,'[9]5'!$K$27:$N$31,'[9]5'!$P$14:$S$21,'[9]5'!$P$23:$S$23</definedName>
    <definedName name="P1_SCOPE_DOP" hidden="1">[8]Регионы!#REF!,[8]Регионы!#REF!,[8]Регионы!#REF!,[8]Регионы!#REF!,[8]Регионы!#REF!,[8]Регионы!#REF!</definedName>
    <definedName name="P1_SCOPE_F1_PRT" hidden="1">#REF!,#REF!,#REF!,#REF!</definedName>
    <definedName name="P1_SCOPE_F2_PRT" hidden="1">#REF!,#REF!,#REF!,#REF!</definedName>
    <definedName name="P1_SCOPE_FLOAD" hidden="1">#REF!,#REF!,#REF!,#REF!,#REF!,#REF!</definedName>
    <definedName name="P1_SCOPE_FRML" hidden="1">#REF!,#REF!,#REF!,#REF!,#REF!,#REF!</definedName>
    <definedName name="P1_SCOPE_FULL_LOAD" hidden="1">'[8]2008 -2010'!$G$27:$G$44,'[8]2008 -2010'!$G$46,'[8]2008 -2010'!$G$48,'[8]2008 -2010'!$G$50:$G$56,'[8]2008 -2010'!$G$58:$G$61,'[8]2008 -2010'!$J$13:$J$24</definedName>
    <definedName name="P1_SCOPE_IND" hidden="1">'[8]2008 -2010'!$H$17:$I$17,'[8]2008 -2010'!$H$19:$I$19,'[8]2008 -2010'!$R$15:$S$15,'[8]2008 -2010'!$AB$15:$AC$15,'[8]2008 -2010'!$AB$17:$AC$17</definedName>
    <definedName name="P1_SCOPE_IND2" hidden="1">'[8]2008 -2010'!$H$17:$I$17,'[8]2008 -2010'!$H$19:$I$19,'[8]2008 -2010'!$R$15:$S$15,'[8]2008 -2010'!$AB$15:$AC$15,'[8]2008 -2010'!$AB$17:$AC$17</definedName>
    <definedName name="P1_SCOPE_NotInd" hidden="1">'[8]2008 -2010'!$AF$36:$AF$37,'[8]2008 -2010'!$G$59:$G$60,'[8]2008 -2010'!$G$51,'[8]2008 -2010'!$J$48,'[8]2008 -2010'!$L$48,'[8]2008 -2010'!$J$36:$J$37</definedName>
    <definedName name="P1_SCOPE_NotInd2" hidden="1">'[8]2008 -2010'!$J$36:$J$37,'[8]2008 -2010'!$L$36:$L$37,'[8]2008 -2010'!$J$29,'[8]2008 -2010'!$J$21,'[8]2008 -2010'!$J$14,'[8]2008 -2010'!$T$14,'[8]2008 -2010'!$T$21</definedName>
    <definedName name="P1_SCOPE_NotInd3" hidden="1">'[8]2008 -2010'!$G$51,'[8]2008 -2010'!$J$48,'[8]2008 -2010'!$L$48,'[8]2008 -2010'!$J$36:$J$37,'[8]2008 -2010'!$L$36:$L$37,'[8]2008 -2010'!$J$29,'[8]2008 -2010'!$J$21</definedName>
    <definedName name="P1_SCOPE_NotInt" hidden="1">'[8]2008 -2010'!$G$51,'[8]2008 -2010'!$J$48,'[8]2008 -2010'!$T$48,'[8]2008 -2010'!$AD$48,'[8]2008 -2010'!$AF$36:$AF$37,'[8]2008 -2010'!$AD$36:$AD$37</definedName>
    <definedName name="P1_SCOPE_PER_PRT" hidden="1">[9]перекрестка!$H$15:$H$19,[9]перекрестка!$H$21:$H$25,[9]перекрестка!$J$14:$J$25,[9]перекрестка!$K$15:$K$19,[9]перекрестка!$K$21:$K$25</definedName>
    <definedName name="P1_SCOPE_SAVE2" hidden="1">'[8]2008 -2010'!$AD$36:$AD$37,'[8]2008 -2010'!$AF$36:$AF$37,'[8]2008 -2010'!$AD$29,'[8]2008 -2010'!$AD$21,'[8]2008 -2010'!$AD$14,'[8]2008 -2010'!$T$14,'[8]2008 -2010'!$T$21</definedName>
    <definedName name="P1_SCOPE_SV_LD" hidden="1">#REF!,#REF!,#REF!,#REF!,#REF!,#REF!,#REF!</definedName>
    <definedName name="P1_SCOPE_SV_LD1" hidden="1">[9]свод!$E$75:$M$84,[9]свод!$E$86:$M$86,[9]свод!$E$88:$M$93,[9]свод!$E$95:$M$95,[9]свод!$E$97:$M$101,[9]свод!$E$103:$M$103,[9]свод!$E$109:$M$112</definedName>
    <definedName name="P1_SCOPE_SV_PRT" hidden="1">[9]свод!$E$27:$H$30,[9]свод!$E$32:$I$33,[9]свод!$E$38:$I$42,[9]свод!$E$44:$I$46,[9]свод!$E$48:$I$59,[9]свод!$E$61:$I$62,[9]свод!$E$64:$I$69</definedName>
    <definedName name="P1_SET_PROT" hidden="1">#REF!,#REF!,#REF!,#REF!,#REF!,#REF!,#REF!</definedName>
    <definedName name="P1_SET_PRT" hidden="1">#REF!,#REF!,#REF!,#REF!,#REF!,#REF!,#REF!</definedName>
    <definedName name="P1_T16?axis?R?ДОГОВОР" hidden="1">'[11]16'!$E$76:$M$76,'[11]16'!$E$8:$M$8,'[11]16'!$E$12:$M$12,'[11]16'!$E$52:$M$52,'[11]16'!$E$16:$M$16,'[11]16'!$E$64:$M$64,'[11]16'!$E$84:$M$85,'[11]16'!$E$48:$M$48,'[11]16'!$E$80:$M$80,'[11]16'!$E$72:$M$72,'[11]16'!$E$44:$M$44</definedName>
    <definedName name="P1_T16?axis?R?ДОГОВОР?" hidden="1">'[11]16'!$A$76,'[11]16'!$A$84:$A$85,'[11]16'!$A$72,'[11]16'!$A$80,'[11]16'!$A$68,'[11]16'!$A$64,'[11]16'!$A$60,'[11]16'!$A$56,'[11]16'!$A$52,'[11]16'!$A$48,'[11]16'!$A$44,'[11]16'!$A$40,'[11]16'!$A$36,'[11]16'!$A$32,'[11]16'!$A$28,'[11]16'!$A$24,'[11]16'!$A$20</definedName>
    <definedName name="P1_T16?L1" hidden="1">'[11]16'!$A$74:$M$74,'[11]16'!$A$14:$M$14,'[11]16'!$A$10:$M$10,'[11]16'!$A$50:$M$50,'[11]16'!$A$6:$M$6,'[11]16'!$A$62:$M$62,'[11]16'!$A$78:$M$78,'[11]16'!$A$46:$M$46,'[11]16'!$A$82:$M$82,'[11]16'!$A$70:$M$70,'[11]16'!$A$42:$M$42</definedName>
    <definedName name="P1_T16?L1.x" hidden="1">'[11]16'!$A$76:$M$76,'[11]16'!$A$16:$M$16,'[11]16'!$A$12:$M$12,'[11]16'!$A$52:$M$52,'[11]16'!$A$8:$M$8,'[11]16'!$A$64:$M$64,'[11]16'!$A$80:$M$80,'[11]16'!$A$48:$M$48,'[11]16'!$A$84:$M$85,'[11]16'!$A$72:$M$72,'[11]16'!$A$44:$M$44</definedName>
    <definedName name="P10_SCOPE_FULL_LOAD" hidden="1">'[8]2008 -2010'!$AF$58:$AF$61,'[8]2008 -2010'!$AD$50:$AD$56,'[8]2008 -2010'!$AF$50:$AF$56,'[8]2008 -2010'!$AD$48,'[8]2008 -2010'!$AF$48,'[8]2008 -2010'!$AD$46</definedName>
    <definedName name="P11_SCOPE_FULL_LOAD" hidden="1">'[8]2008 -2010'!$AF$46,'[8]2008 -2010'!$AD$27:$AD$44,'[8]2008 -2010'!$AF$27:$AF$44,'[8]2008 -2010'!$AD$13:$AD$24,'[8]2008 -2010'!$AF$13:$AF$24</definedName>
    <definedName name="P12_SCOPE_FULL_LOAD" hidden="1">'[8]2008 -2010'!$AH$13:$AH$24,'[8]2008 -2010'!$AJ$13:$AJ$24,'[8]2008 -2010'!$AH$27:$AH$44,'[8]2008 -2010'!$AJ$27:$AJ$44,'[8]2008 -2010'!$AH$46,'[8]2008 -2010'!$AJ$46</definedName>
    <definedName name="P13_SCOPE_FULL_LOAD" hidden="1">'[8]2008 -2010'!$AH$48,'[8]2008 -2010'!$AJ$48,'[8]2008 -2010'!$AH$50:$AH$56,'[8]2008 -2010'!$AJ$50:$AJ$56,'[8]2008 -2010'!$AH$58:$AH$61,'[8]2008 -2010'!$AJ$58:$AJ$61</definedName>
    <definedName name="P14_SCOPE_FULL_LOAD" hidden="1">'[8]2008 -2010'!$G$13:$G$24,P1_SCOPE_FULL_LOAD,P2_SCOPE_FULL_LOAD,P3_SCOPE_FULL_LOAD,P4_SCOPE_FULL_LOAD,P5_SCOPE_FULL_LOAD,P6_SCOPE_FULL_LOAD</definedName>
    <definedName name="P15_SCOPE_FULL_LOAD" hidden="1">P7_SCOPE_FULL_LOAD,P8_SCOPE_FULL_LOAD,P9_SCOPE_FULL_LOAD,P10_SCOPE_FULL_LOAD,P11_SCOPE_FULL_LOAD,P12_SCOPE_FULL_LOAD,P13_SCOPE_FULL_LOAD</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2_dip" hidden="1">[8]FST5!$G$125:$G$126,[8]FST5!$G$128:$G$131,[8]FST5!$G$133,[8]FST5!$G$135:$G$139,[8]FST5!$G$141,[8]FST5!$G$143:$G$145,[8]FST5!$G$149:$G$165</definedName>
    <definedName name="P2_SC22" hidden="1">'[8]2008 -2010'!$AD$29,'[8]2008 -2010'!$AD$21,'[8]2008 -2010'!$AD$14,'[8]2008 -2010'!$T$14,'[8]2008 -2010'!$T$21,'[8]2008 -2010'!$T$29,'[8]2008 -2010'!$T$36:$T$37</definedName>
    <definedName name="P2_SCOPE_16_PRT" hidden="1">'[9]16'!$E$36:$I$36,'[9]16'!$E$39:$I$39,'[9]16'!$E$43:$I$45,'[9]16'!$E$47:$I$47,'[9]16'!$E$51:$I$52,'[9]16'!$E$54:$I$55,'[9]16'!$E$57:$I$57,'[9]16'!$E$7:$I$11</definedName>
    <definedName name="P2_SCOPE_4_PRT" hidden="1">'[9]4'!$P$25:$S$25,'[9]4'!$P$27:$S$31,'[9]4'!$U$14:$X$20,'[9]4'!$U$23:$X$23,'[9]4'!$U$25:$X$25,'[9]4'!$U$27:$X$31,'[9]4'!$Z$14:$AC$20,'[9]4'!$Z$23:$AC$23,'[9]4'!$Z$25:$AC$25</definedName>
    <definedName name="P2_SCOPE_5_PRT" hidden="1">'[9]5'!$P$25:$S$25,'[9]5'!$P$27:$S$31,'[9]5'!$U$14:$X$21,'[9]5'!$U$23:$X$23,'[9]5'!$U$25:$X$25,'[9]5'!$U$27:$X$31,'[9]5'!$Z$14:$AC$21,'[9]5'!$Z$23:$AC$23,'[9]5'!$Z$25:$AC$25</definedName>
    <definedName name="P2_SCOPE_F1_PRT" hidden="1">#REF!,#REF!,#REF!,#REF!</definedName>
    <definedName name="P2_SCOPE_F2_PRT" hidden="1">#REF!,#REF!,#REF!,#REF!</definedName>
    <definedName name="P2_SCOPE_FULL_LOAD" hidden="1">'[8]2008 -2010'!$J$27:$J$44,'[8]2008 -2010'!$J$46,'[8]2008 -2010'!$J$48,'[8]2008 -2010'!$J$50:$J$56,'[8]2008 -2010'!$J$58:$J$61,'[8]2008 -2010'!$L$58:$L$61</definedName>
    <definedName name="P2_SCOPE_IND" hidden="1">'[8]2008 -2010'!$AB$19:$AC$19,'[8]2008 -2010'!$AB$21:$AC$23,'[8]2008 -2010'!$R$17:$S$17,'[8]2008 -2010'!$R$19:$S$19,'[8]2008 -2010'!$R$21:$S$23</definedName>
    <definedName name="P2_SCOPE_IND2" hidden="1">'[8]2008 -2010'!$AB$19:$AC$19,'[8]2008 -2010'!$AB$21:$AC$23,'[8]2008 -2010'!$R$17:$S$17,'[8]2008 -2010'!$R$19:$S$19,'[8]2008 -2010'!$R$21:$S$23</definedName>
    <definedName name="P2_SCOPE_NotInd" hidden="1">'[8]2008 -2010'!$L$36:$L$37,'[8]2008 -2010'!$J$29,'[8]2008 -2010'!$J$21,'[8]2008 -2010'!$L$21,'[8]2008 -2010'!$L$14,'[8]2008 -2010'!$J$14,'[8]2008 -2010'!$T$29</definedName>
    <definedName name="P2_SCOPE_NotInd2" hidden="1">'[8]2008 -2010'!$T$29,'[8]2008 -2010'!$T$36:$T$37,'[8]2008 -2010'!$T$48,'[8]2008 -2010'!$V$36:$V$37,'[8]2008 -2010'!$AD$48,'[8]2008 -2010'!$AD$36:$AD$37</definedName>
    <definedName name="P2_SCOPE_NotInd3" hidden="1">'[8]2008 -2010'!$L$21,'[8]2008 -2010'!$L$14,'[8]2008 -2010'!$J$14,'[8]2008 -2010'!$T$29,'[8]2008 -2010'!$T$36:$T$37,'[8]2008 -2010'!$V$36:$V$37,'[8]2008 -2010'!$AD$29</definedName>
    <definedName name="P2_SCOPE_NotInt" hidden="1">'[8]2008 -2010'!$AD$29,'[8]2008 -2010'!$AD$21,'[8]2008 -2010'!$AD$14,'[8]2008 -2010'!$T$14,'[8]2008 -2010'!$T$21,'[8]2008 -2010'!$T$29,'[8]2008 -2010'!$T$36:$T$37</definedName>
    <definedName name="P2_SCOPE_PER_PRT" hidden="1">[9]перекрестка!$N$14:$N$25,[9]перекрестка!$N$27:$N$31,[9]перекрестка!$J$27:$K$31,[9]перекрестка!$F$27:$H$31,[9]перекрестка!$F$33:$H$37</definedName>
    <definedName name="P2_SCOPE_SAVE2" hidden="1">'[8]2008 -2010'!$T$29,'[8]2008 -2010'!$T$36:$T$37,'[8]2008 -2010'!$V$36:$V$37,'[8]2008 -2010'!$T$48,'[8]2008 -2010'!$J$48,'[8]2008 -2010'!$J$36:$J$37</definedName>
    <definedName name="P2_SCOPE_SV_PRT" hidden="1">[9]свод!$E$77:$I$84,[9]свод!$E$86:$I$86,[9]свод!$E$90:$H$93,[9]свод!$E$95:$I$95,[9]свод!$E$117:$I$122,[9]свод!$E$124:$I$127,[9]свод!$E$134:$H$137</definedName>
    <definedName name="P3_dip" hidden="1">[8]FST5!$G$167:$G$172,[8]FST5!$G$174:$G$175,[8]FST5!$G$177:$G$180,[8]FST5!$G$182,[8]FST5!$G$184:$G$188,[8]FST5!$G$190,[8]FST5!$G$192:$G$194</definedName>
    <definedName name="P3_SC22" hidden="1">'[8]2008 -2010'!$V$36:$V$37,'[8]2008 -2010'!$L$36:$L$37,'[8]2008 -2010'!$J$29,'[8]2008 -2010'!$J$21,'[8]2008 -2010'!$J$14,'[8]2008 -2010'!$J$36:$J$37</definedName>
    <definedName name="P3_SCOPE_F1_PRT" hidden="1">#REF!,#REF!,#REF!,#REF!</definedName>
    <definedName name="P3_SCOPE_FULL_LOAD" hidden="1">'[8]2008 -2010'!$L$50:$L$56,'[8]2008 -2010'!$L$48,'[8]2008 -2010'!$L$46,'[8]2008 -2010'!$L$27:$L$44,'[8]2008 -2010'!$L$13:$L$24,'[8]2008 -2010'!$N$13:$N$24</definedName>
    <definedName name="P3_SCOPE_IND" hidden="1">'[8]2008 -2010'!$H$22:$I$23,'[8]2008 -2010'!$H$30:$I$35,'[8]2008 -2010'!$R$30:$S$35,'[8]2008 -2010'!$AB$30:$AC$35,'[8]2008 -2010'!$AB$39:$AC$39</definedName>
    <definedName name="P3_SCOPE_IND2" hidden="1">'[8]2008 -2010'!$H$22:$I$23,'[8]2008 -2010'!$H$30:$I$35,'[8]2008 -2010'!$R$30:$S$35,'[8]2008 -2010'!$AB$30:$AC$35,'[8]2008 -2010'!$AB$39:$AC$39</definedName>
    <definedName name="P3_SCOPE_NotInd" hidden="1">'[8]2008 -2010'!$T$36:$T$37,'[8]2008 -2010'!$V$36:$V$37,'[8]2008 -2010'!$AD$29,'[8]2008 -2010'!$AD$48,'[8]2008 -2010'!$AF$48,'[8]2008 -2010'!$AD$21,'[8]2008 -2010'!$AF$21</definedName>
    <definedName name="P3_SCOPE_NotInd2" hidden="1">'[8]2008 -2010'!$AF$36:$AF$37,'[8]2008 -2010'!$AD$29,'[8]2008 -2010'!$AD$21,'[8]2008 -2010'!$AD$14,'[8]2008 -2010'!$G$59:$G$60,'[8]2008 -2010'!$L$14,'[8]2008 -2010'!$L$21</definedName>
    <definedName name="P3_SCOPE_NotInt" hidden="1">'[8]2008 -2010'!$V$36:$V$37,'[8]2008 -2010'!$L$36:$L$37,'[8]2008 -2010'!$J$29,'[8]2008 -2010'!$J$21,'[8]2008 -2010'!$J$14,'[8]2008 -2010'!$J$36:$J$37</definedName>
    <definedName name="P3_SCOPE_PER_PRT" hidden="1">[9]перекрестка!$J$33:$K$37,[9]перекрестка!$N$33:$N$37,[9]перекрестка!$F$39:$H$43,[9]перекрестка!$J$39:$K$43,[9]перекрестка!$N$39:$N$43</definedName>
    <definedName name="P3_SCOPE_SV_PRT" hidden="1">[9]свод!$D$161:$G$161,[9]свод!#REF!,[9]свод!$H$166:$H$171,[9]свод!$D$169:$G$171,[9]свод!$E$19:$I$20,[9]свод!$E$130:$I$131,[9]свод!$E$22:$I$23</definedName>
    <definedName name="P4_dip" hidden="1">[8]FST5!$G$197:$G$212,[8]FST5!$G$214:$G$217,[8]FST5!$G$219:$G$224,[8]FST5!$G$226,[8]FST5!$G$228,[8]FST5!$G$230,[8]FST5!$G$232,[8]FST5!$G$52:$G$68,P1_dip</definedName>
    <definedName name="P4_SCOPE_F1_PRT" hidden="1">#REF!,#REF!,#REF!,#REF!</definedName>
    <definedName name="P4_SCOPE_FULL_LOAD" hidden="1">'[8]2008 -2010'!$P$13:$P$24,'[8]2008 -2010'!$N$27:$N$44,'[8]2008 -2010'!$P$27:$P$44,'[8]2008 -2010'!$N$46,'[8]2008 -2010'!$P$46,'[8]2008 -2010'!$N$48</definedName>
    <definedName name="P4_SCOPE_IND" hidden="1">'[8]2008 -2010'!$R$39:$S$39,'[8]2008 -2010'!$H$39:$I$39,'[8]2008 -2010'!$H$41:$I$43,'[8]2008 -2010'!$R$41:$S$43,'[8]2008 -2010'!$AB$41:$AC$43</definedName>
    <definedName name="P4_SCOPE_IND2" hidden="1">'[8]2008 -2010'!$R$39:$S$39,'[8]2008 -2010'!$H$39:$I$39,'[8]2008 -2010'!$H$41:$I$43,'[8]2008 -2010'!$R$41:$S$43,'[8]2008 -2010'!$AB$41:$AC$43</definedName>
    <definedName name="P4_SCOPE_NotInd" hidden="1">'[8]2008 -2010'!$AD$14,'[8]2008 -2010'!$AF$14,'[8]2008 -2010'!$AD$17,'[8]2008 -2010'!$AF$17,'[8]2008 -2010'!$AD$19,'[8]2008 -2010'!$AF$19,'[8]2008 -2010'!$AD$23</definedName>
    <definedName name="P4_SCOPE_NotInd2" hidden="1">'[8]2008 -2010'!$J$17,'[8]2008 -2010'!$L$17,'[8]2008 -2010'!$J$19,'[8]2008 -2010'!$L$19,'[8]2008 -2010'!$J$23,'[8]2008 -2010'!$L$23,'[8]2008 -2010'!$T$17</definedName>
    <definedName name="P4_SCOPE_PER_PRT" hidden="1">[9]перекрестка!$F$45:$H$49,[9]перекрестка!$J$45:$K$49,[9]перекрестка!$N$45:$N$49,[9]перекрестка!$F$53:$G$64,[9]перекрестка!$H$54:$H$58</definedName>
    <definedName name="P5_SCOPE_FULL_LOAD" hidden="1">'[8]2008 -2010'!$P$48,'[8]2008 -2010'!$N$50:$N$56,'[8]2008 -2010'!$P$50:$P$56,'[8]2008 -2010'!$N$58:$N$61,'[8]2008 -2010'!$P$58:$P$61,'[8]2008 -2010'!$T$58:$T$61</definedName>
    <definedName name="P5_SCOPE_IND" hidden="1">'[8]2008 -2010'!$H$51:$I$52,'[8]2008 -2010'!$R$51:$S$52,'[8]2008 -2010'!$AB$51:$AC$52,'[8]2008 -2010'!$I$58,'[8]2008 -2010'!$S$58,'[8]2008 -2010'!$AC$58</definedName>
    <definedName name="P5_SCOPE_IND2" hidden="1">'[8]2008 -2010'!$H$51:$I$52,'[8]2008 -2010'!$R$51:$S$52,'[8]2008 -2010'!$AB$51:$AC$52,'[8]2008 -2010'!$H$58:$I$58,'[8]2008 -2010'!$R$58:$S$58</definedName>
    <definedName name="P5_SCOPE_NotInd" hidden="1">'[8]2008 -2010'!$AF$23,'[8]2008 -2010'!$T$14,'[8]2008 -2010'!$V$14,'[8]2008 -2010'!$T$17,'[8]2008 -2010'!$V$17,'[8]2008 -2010'!$T$19,'[8]2008 -2010'!$V$19</definedName>
    <definedName name="P5_SCOPE_NotInd2" hidden="1">'[8]2008 -2010'!$V$17,'[8]2008 -2010'!$T$19,'[8]2008 -2010'!$V$19,'[8]2008 -2010'!$V$23,'[8]2008 -2010'!$T$23,'[8]2008 -2010'!$AD$17,'[8]2008 -2010'!$AF$17</definedName>
    <definedName name="P5_SCOPE_PER_PRT" hidden="1">[9]перекрестка!$H$60:$H$64,[9]перекрестка!$J$53:$J$64,[9]перекрестка!$K$54:$K$58,[9]перекрестка!$K$60:$K$64,[9]перекрестка!$N$53:$N$64</definedName>
    <definedName name="P6_SCOPE_FULL_LOAD" hidden="1">'[8]2008 -2010'!$V$58:$V$61,'[8]2008 -2010'!$T$50:$T$56,'[8]2008 -2010'!$V$50:$V$56,'[8]2008 -2010'!$T$48,'[8]2008 -2010'!$V$48,'[8]2008 -2010'!$T$46</definedName>
    <definedName name="P6_SCOPE_NotInd" hidden="1">'[8]2008 -2010'!$T$21,'[8]2008 -2010'!$V$21,'[8]2008 -2010'!$T$23,'[8]2008 -2010'!$V$23,'[8]2008 -2010'!$J$17,'[8]2008 -2010'!$L$17,'[8]2008 -2010'!$J$19</definedName>
    <definedName name="P6_SCOPE_NotInd2" hidden="1">'[8]2008 -2010'!$AD$19,'[8]2008 -2010'!$AF$19,'[8]2008 -2010'!$AD$23,'[8]2008 -2010'!$AF$23,'[8]2008 -2010'!$L$48,'[8]2008 -2010'!$V$48,'[8]2008 -2010'!$V$14</definedName>
    <definedName name="P6_SCOPE_PER_PRT" hidden="1">[9]перекрестка!$F$66:$H$70,[9]перекрестка!$J$66:$K$70,[9]перекрестка!$N$66:$N$70,[9]перекрестка!$F$72:$H$76,[9]перекрестка!$J$72:$K$76</definedName>
    <definedName name="P7_SCOPE_FULL_LOAD" hidden="1">'[8]2008 -2010'!$V$46,'[8]2008 -2010'!$T$27:$T$44,'[8]2008 -2010'!$V$27:$V$44,'[8]2008 -2010'!$T$13:$T$24,'[8]2008 -2010'!$V$13:$V$24,'[8]2008 -2010'!$X$13:$X$24</definedName>
    <definedName name="P7_SCOPE_NotInd" hidden="1">'[8]2008 -2010'!$L$19,'[8]2008 -2010'!$J$23,'[8]2008 -2010'!$L$23,'[8]2008 -2010'!$T$48,'[8]2008 -2010'!$V$48,'[8]2008 -2010'!$AD$36:$AD$37,P1_SCOPE_NotInd</definedName>
    <definedName name="P7_SCOPE_NotInd2" hidden="1">'[8]2008 -2010'!$V$21,'[8]2008 -2010'!$AF$14,'[8]2008 -2010'!$AF$21,'[8]2008 -2010'!$AF$48,'[8]2008 -2010'!$J$48,P1_SCOPE_NotInd2,P2_SCOPE_NotInd2,P3_SCOPE_NotInd2</definedName>
    <definedName name="P7_SCOPE_PER_PRT" hidden="1">[9]перекрестка!$N$72:$N$76,[9]перекрестка!$F$78:$H$82,[9]перекрестка!$J$78:$K$82,[9]перекрестка!$N$78:$N$82,[9]перекрестка!$F$84:$H$88</definedName>
    <definedName name="P8_SCOPE_FULL_LOAD" hidden="1">'[8]2008 -2010'!$Z$13:$Z$24,'[8]2008 -2010'!$X$27:$X$44,'[8]2008 -2010'!$Z$27:$Z$44,'[8]2008 -2010'!$X$46,'[8]2008 -2010'!$Z$46,'[8]2008 -2010'!$X$48</definedName>
    <definedName name="P8_SCOPE_PER_PRT" hidden="1">[9]перекрестка!$J$84:$K$88,[9]перекрестка!$N$84:$N$88,[9]перекрестка!$F$14:$G$25,P1_SCOPE_PER_PRT,P2_SCOPE_PER_PRT,P3_SCOPE_PER_PRT,P4_SCOPE_PER_PRT</definedName>
    <definedName name="P9_SCOPE_FULL_LOAD" hidden="1">'[8]2008 -2010'!$Z$48,'[8]2008 -2010'!$X$50:$X$56,'[8]2008 -2010'!$Z$50:$Z$56,'[8]2008 -2010'!$X$58:$X$61,'[8]2008 -2010'!$Z$58:$Z$61,'[8]2008 -2010'!$AD$58:$AD$61</definedName>
    <definedName name="Period">[5]TEHSHEET!$E$2:$E$9</definedName>
    <definedName name="prd">[5]Титульный!$D$15</definedName>
    <definedName name="prdDop">[5]Титульный!$D$16</definedName>
    <definedName name="PROT_22">P3_PROT_22,P4_PROT_22,P5_PROT_22</definedName>
    <definedName name="REGIONS">[4]TEHSHEET!$C$6:$C$93</definedName>
    <definedName name="rrtget6">[0]!rrtget6</definedName>
    <definedName name="RSK_DIC">[7]Tch!$C$65</definedName>
    <definedName name="ruk_FIO">[5]Титульный!$D$44</definedName>
    <definedName name="S1_">#REF!</definedName>
    <definedName name="S10_">#REF!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PBEXrevision" hidden="1">1</definedName>
    <definedName name="SAPBEXsysID" hidden="1">"BW2"</definedName>
    <definedName name="SAPBEXwbID" hidden="1">"479GSPMTNK9HM4ZSIVE5K2SH6"</definedName>
    <definedName name="SCENARIOS">[4]TEHSHEET!$K$6:$K$8</definedName>
    <definedName name="SCOPE_16_LD">'[4]16'!$E$7:$M$57</definedName>
    <definedName name="SCOPE_16_PRT">P1_SCOPE_16_PRT,P2_SCOPE_16_PRT</definedName>
    <definedName name="SCOPE_17.1_LD">'[4]17.1'!$D$7:$I$27</definedName>
    <definedName name="SCOPE_17.1_PRT">'[9]17.1'!$D$14:$F$17,'[9]17.1'!$D$19:$F$22,'[9]17.1'!$I$9:$I$12,'[9]17.1'!$I$14:$I$17,'[9]17.1'!$I$19:$I$22,'[9]17.1'!$D$9:$F$12</definedName>
    <definedName name="SCOPE_17_LD">'[4]17'!$E$8:$Q$96</definedName>
    <definedName name="SCOPE_17_PRT">[10]рабочий!$L$39:$O$41,[10]рабочий!$E$43:$H$51,[10]рабочий!$L$43:$O$51,[10]рабочий!$E$54:$H$56,[10]рабочий!$E$58:$H$66,[10]рабочий!$E$69:$O$81,[10]рабочий!$E$9:$H$11,P1_SCOPE_17_PRT</definedName>
    <definedName name="SCOPE_2.1_LD">'[4]P2.1'!$H$8:$J$45</definedName>
    <definedName name="SCOPE_2.1_PRT">'[4]P2.1'!$H$8:$I$45</definedName>
    <definedName name="SCOPE_2.2_LD">'[4]P2.2'!$G$8:$I$53</definedName>
    <definedName name="SCOPE_2.2_PRT">'[4]P2.2'!$G$8:$H$53</definedName>
    <definedName name="SCOPE_24_LD">'[9]24'!$E$8:$J$47,'[9]24'!$E$49:$J$66</definedName>
    <definedName name="SCOPE_24_PRT">'[9]24'!$E$41:$I$41,'[9]24'!$E$34:$I$34,'[9]24'!$E$36:$I$36,'[9]24'!$E$43:$I$43</definedName>
    <definedName name="SCOPE_25_LD">'[4]25'!$E$8:$J$64</definedName>
    <definedName name="SCOPE_25_PRT">'[9]25'!$E$20:$I$20,'[9]25'!$E$34:$I$34,'[9]25'!$E$41:$I$41,'[9]25'!$E$8:$I$10</definedName>
    <definedName name="SCOPE_3_LD">'[4]3'!$E$11:$AB$25</definedName>
    <definedName name="SCOPE_3_PRT">'[4]3'!$E$12:$X$24</definedName>
    <definedName name="SCOPE_4_LD">'[4]4'!$E$11:$AH$32</definedName>
    <definedName name="SCOPE_4_PRT">'[9]4'!$Z$27:$AC$31,'[9]4'!$F$14:$I$20,P1_SCOPE_4_PRT,P2_SCOPE_4_PRT</definedName>
    <definedName name="SCOPE_5_LD">'[4]5'!$E$11:$AH$32</definedName>
    <definedName name="SCOPE_5_PRT">'[9]5'!$Z$27:$AC$31,'[9]5'!$F$14:$I$21,P1_SCOPE_5_PRT,P2_SCOPE_5_PRT</definedName>
    <definedName name="SCOPE_CPR">[8]Регионы!#REF!</definedName>
    <definedName name="SCOPE_DOP">[8]Регионы!#REF!,P1_SCOPE_DOP</definedName>
    <definedName name="SCOPE_F1_PRT">#REF!,P1_SCOPE_F1_PRT,P2_SCOPE_F1_PRT,P3_SCOPE_F1_PRT,P4_SCOPE_F1_PRT</definedName>
    <definedName name="SCOPE_F2_LD1">#REF!</definedName>
    <definedName name="SCOPE_F2_LD2">#REF!</definedName>
    <definedName name="SCOPE_F2_PRT">#REF!,#REF!,#REF!,P1_SCOPE_F2_PRT,P2_SCOPE_F2_PRT</definedName>
    <definedName name="SCOPE_FULL_LOAD">P14_SCOPE_FULL_LOAD,P15_SCOPE_FULL_LOAD</definedName>
    <definedName name="SCOPE_IND">'[8]2008 -2010'!$H$15:$I$15,P1_SCOPE_IND,P2_SCOPE_IND,P3_SCOPE_IND,P4_SCOPE_IND,P5_SCOPE_IND</definedName>
    <definedName name="SCOPE_IND2">'[8]2008 -2010'!$AB$58:$AC$58,'[8]2008 -2010'!$H$15:$I$15,P1_SCOPE_IND2,P2_SCOPE_IND2,P3_SCOPE_IND2,P4_SCOPE_IND2,P5_SCOPE_IND2</definedName>
    <definedName name="SCOPE_NotInd">P2_SCOPE_NotInd,P3_SCOPE_NotInd,P4_SCOPE_NotInd,P5_SCOPE_NotInd,P6_SCOPE_NotInd,P7_SCOPE_NotInd</definedName>
    <definedName name="SCOPE_NotInd2">P4_SCOPE_NotInd2,P5_SCOPE_NotInd2,P6_SCOPE_NotInd2,P7_SCOPE_NotInd2</definedName>
    <definedName name="SCOPE_NotInd3">'[8]2008 -2010'!$AD$36:$AD$37,'[8]2008 -2010'!$AF$36:$AF$37,'[8]2008 -2010'!$G$59:$G$60,P1_SCOPE_NotInd3,P2_SCOPE_NotInd3</definedName>
    <definedName name="SCOPE_OUTD">[8]FST5!$G$23:$G$30,[8]FST5!$G$32:$G$35,[8]FST5!$G$37,[8]FST5!$G$39:$G$45,[8]FST5!$G$47,[8]FST5!$G$49,[8]FST5!$G$5:$G$21</definedName>
    <definedName name="SCOPE_PER_LD">[4]перекрестка!$F$12:$O$88</definedName>
    <definedName name="SCOPE_PER_PRT">P5_SCOPE_PER_PRT,P6_SCOPE_PER_PRT,P7_SCOPE_PER_PRT,P8_SCOPE_PER_PRT</definedName>
    <definedName name="SCOPE_SAVE2">'[8]2008 -2010'!$L$36:$L$37,'[8]2008 -2010'!$J$29,'[8]2008 -2010'!$J$21,'[8]2008 -2010'!$J$14,'[8]2008 -2010'!$AD$48,P1_SCOPE_SAVE2,P2_SCOPE_SAVE2</definedName>
    <definedName name="SCOPE_SPR_PRT">[9]Справочники!$D$21:$J$22,[9]Справочники!$E$13:$I$14,[9]Справочники!$F$27:$H$28</definedName>
    <definedName name="SCOPE_SS">[12]Регионы!$J$25:$J$31,[12]Регионы!$J$33,[12]Регионы!$I$14,[12]Регионы!$J$35:$J$37</definedName>
    <definedName name="SCOPE_SS2">[12]Регионы!$K$50:$L$50</definedName>
    <definedName name="SCOPE_SV_LD1">[9]свод!$E$114:$M$114,[9]свод!$E$116:$M$127,[9]свод!$E$130:$M$131,[9]свод!$E$133:$M$137,[9]свод!$E$10:$M$74,P1_SCOPE_SV_LD1</definedName>
    <definedName name="SCOPE_SV_LD2">[4]свод!$D$156:$I$164</definedName>
    <definedName name="SCOPE_SV_PRT">P1_SCOPE_SV_PRT,P2_SCOPE_SV_PRT,P3_SCOPE_SV_PRT</definedName>
    <definedName name="SCOPE_TP">[8]FST5!$L$12:$L$23,[8]FST5!$L$5:$L$8</definedName>
    <definedName name="SCOPE_TP_1">#REF!</definedName>
    <definedName name="Sheet2?prefix?">"H"</definedName>
    <definedName name="simple_nds">[2]Титульный!$F$22</definedName>
    <definedName name="Sum_8">#REF!</definedName>
    <definedName name="T0?axis?ПРД?БАЗ">'[11]0'!$I$7:$J$112,'[11]0'!$F$7:$G$112</definedName>
    <definedName name="T0?axis?ПРД?ПРЕД">'[11]0'!$K$7:$L$112,'[11]0'!$D$7:$E$112</definedName>
    <definedName name="T0?axis?ПФ?ПЛАН">'[11]0'!$I$7:$I$112,'[11]0'!$D$7:$D$112,'[11]0'!$K$7:$K$112,'[11]0'!$F$7:$F$112</definedName>
    <definedName name="T0?axis?ПФ?ФАКТ">'[11]0'!$J$7:$J$112,'[11]0'!$E$7:$E$112,'[11]0'!$L$7:$L$112,'[11]0'!$G$7:$G$112</definedName>
    <definedName name="T0?Data">'[11]0'!$D$8:$L$52,   '[11]0'!$D$54:$L$59,   '[11]0'!$D$63:$L$64,   '[11]0'!$D$68:$L$70,   '[11]0'!$D$72:$L$74,   '[11]0'!$D$77:$L$92,   '[11]0'!$D$95:$L$97,   '[11]0'!$D$99:$L$104,   '[11]0'!$D$107:$L$108,   '[11]0'!$D$111:$L$112</definedName>
    <definedName name="T0?unit?МВТ">'[11]0'!$D$8:$H$8,   '[11]0'!$D$86:$H$86</definedName>
    <definedName name="T0?unit?ПРЦ">'[11]0'!$D$87:$H$88,   '[11]0'!$D$96:$H$97,   '[11]0'!$D$107:$H$108,   '[11]0'!$D$111:$H$112,   '[11]0'!$I$7:$L$112</definedName>
    <definedName name="T0?unit?РУБ.ГКАЛ">'[11]0'!$D$89:$H$89,   '[11]0'!$D$92:$H$92</definedName>
    <definedName name="T0?unit?ТРУБ">'[11]0'!$D$14:$H$52,   '[11]0'!$D$54:$H$59,   '[11]0'!$D$63:$H$64,   '[11]0'!$D$68:$H$70,   '[11]0'!$D$72:$H$74,   '[11]0'!$D$77:$H$77,   '[11]0'!$D$79:$H$81,   '[11]0'!$D$90:$H$91,   '[11]0'!$D$99:$H$104,   '[11]0'!$D$78:$H$78</definedName>
    <definedName name="T1?axis?ПРД?БАЗ">#REF!,#REF!</definedName>
    <definedName name="T1?axis?ПРД?ПРЕД">#REF!,#REF!</definedName>
    <definedName name="T1?axis?ПРД?РЕГ">#REF!</definedName>
    <definedName name="T1?axis?ПФ?ПЛАН">#REF!,#REF!,#REF!,#REF!</definedName>
    <definedName name="T1?axis?ПФ?ФАКТ">#REF!,#REF!,#REF!,#REF!</definedName>
    <definedName name="T1?Data">#REF!   ,#REF!   ,#REF!</definedName>
    <definedName name="T1?item_ext?РОСТ">#REF!</definedName>
    <definedName name="T1?L1">#REF!</definedName>
    <definedName name="T1?L2">#REF!</definedName>
    <definedName name="T1?L3">#REF!</definedName>
    <definedName name="T1?L4">#REF!</definedName>
    <definedName name="T1?L5">#REF!</definedName>
    <definedName name="T1?L6">#REF!</definedName>
    <definedName name="T1?L7">#REF!</definedName>
    <definedName name="T1?L7.1">#REF!</definedName>
    <definedName name="T1?L7.2">#REF!</definedName>
    <definedName name="T1?L7.3">#REF!</definedName>
    <definedName name="T1?L7.4">#REF!</definedName>
    <definedName name="T1?L8">#REF!</definedName>
    <definedName name="T1?L8.1">#REF!</definedName>
    <definedName name="T1?L8.2">#REF!</definedName>
    <definedName name="T1?L8.3">#REF!</definedName>
    <definedName name="T1?L9">#REF!</definedName>
    <definedName name="T1?Name">#REF!</definedName>
    <definedName name="T1?Table">#REF!</definedName>
    <definedName name="T1?Title">#REF!</definedName>
    <definedName name="T1?unit?МВТ">#REF!</definedName>
    <definedName name="T1?unit?ПРЦ">#REF!</definedName>
    <definedName name="T10?axis?R?ДОГОВОР">'[11]10'!$D$9:$L$11, '[11]10'!$D$15:$L$17, '[11]10'!$D$21:$L$23, '[11]10'!$D$27:$L$29</definedName>
    <definedName name="T10?axis?R?ДОГОВОР?">'[11]10'!$B$9:$B$11, '[11]10'!$B$15:$B$17, '[11]10'!$B$21:$B$23, '[11]10'!$B$27:$B$29</definedName>
    <definedName name="T10?axis?ПРД?БАЗ">'[11]10'!$I$6:$J$31,'[11]10'!$F$6:$G$31</definedName>
    <definedName name="T10?axis?ПРД?ПРЕД">'[11]10'!$K$6:$L$31,'[11]10'!$D$6:$E$31</definedName>
    <definedName name="T10?axis?ПФ?ПЛАН">'[11]10'!$I$6:$I$31,'[11]10'!$D$6:$D$31,'[11]10'!$K$6:$K$31,'[11]10'!$F$6:$F$31</definedName>
    <definedName name="T10?axis?ПФ?ФАКТ">'[11]10'!$J$6:$J$31,'[11]10'!$E$6:$E$31,'[11]10'!$L$6:$L$31,'[11]10'!$G$6:$G$31</definedName>
    <definedName name="T10?Data">'[11]10'!$D$6:$L$7, '[11]10'!$D$9:$L$11, '[11]10'!$D$13:$L$13, '[11]10'!$D$15:$L$17, '[11]10'!$D$19:$L$19, '[11]10'!$D$21:$L$23, '[11]10'!$D$25:$L$25, '[11]10'!$D$27:$L$29, '[11]10'!$D$31:$L$31</definedName>
    <definedName name="T10?item_ext?РОСТ">'[13]28'!#REF!</definedName>
    <definedName name="T10?unit?ПРЦ">'[13]28'!#REF!</definedName>
    <definedName name="T10_Copy1">'[13]28'!#REF!</definedName>
    <definedName name="T10_Copy2">'[13]28'!#REF!</definedName>
    <definedName name="T10_Copy3">'[13]28'!#REF!</definedName>
    <definedName name="T10_Copy4">'[13]28'!#REF!</definedName>
    <definedName name="T11?axis?R?ДОГОВОР">'[11]11'!$D$8:$L$11, '[11]11'!$D$15:$L$18, '[11]11'!$D$22:$L$23, '[11]11'!$D$29:$L$32, '[11]11'!$D$36:$L$39, '[11]11'!$D$43:$L$46, '[11]11'!$D$51:$L$54, '[11]11'!$D$58:$L$61, '[11]11'!$D$65:$L$68, '[11]11'!$D$72:$L$82</definedName>
    <definedName name="T11?axis?R?ДОГОВОР?">'[11]11'!$B$72:$B$82, '[11]11'!$B$65:$B$68, '[11]11'!$B$58:$B$61, '[11]11'!$B$51:$B$54, '[11]11'!$B$43:$B$46, '[11]11'!$B$36:$B$39, '[11]11'!$B$29:$B$33, '[11]11'!$B$22:$B$25, '[11]11'!$B$15:$B$18, '[11]11'!$B$8:$B$11</definedName>
    <definedName name="T11?axis?ПРД?БАЗ">'[11]11'!$I$6:$J$84,'[11]11'!$F$6:$G$84</definedName>
    <definedName name="T11?axis?ПРД?ПРЕД">'[11]11'!$K$6:$L$84,'[11]11'!$D$6:$E$84</definedName>
    <definedName name="T11?axis?ПФ?ПЛАН">'[11]11'!$I$6:$I$84,'[11]11'!$D$6:$D$84,'[11]11'!$K$6:$K$84,'[11]11'!$F$6:$F$84</definedName>
    <definedName name="T11?axis?ПФ?ФАКТ">'[11]11'!$J$6:$J$84,'[11]11'!$E$6:$E$84,'[11]11'!$L$6:$L$84,'[11]11'!$G$6:$G$84</definedName>
    <definedName name="T11?item_ext?РОСТ">'[13]29'!#REF!</definedName>
    <definedName name="T11?unit?ПРЦ">'[13]29'!#REF!</definedName>
    <definedName name="T11_Copy1">'[13]29'!#REF!</definedName>
    <definedName name="T11_Copy2">'[13]29'!#REF!</definedName>
    <definedName name="T11_Copy3">'[13]29'!#REF!</definedName>
    <definedName name="T11_Copy4">'[13]29'!#REF!</definedName>
    <definedName name="T11_Copy5">'[13]29'!#REF!</definedName>
    <definedName name="T11_Copy6">'[13]29'!#REF!</definedName>
    <definedName name="T11_Copy7.1">'[13]29'!#REF!</definedName>
    <definedName name="T11_Copy7.2">'[13]29'!#REF!</definedName>
    <definedName name="T11_Copy8">'[13]29'!#REF!</definedName>
    <definedName name="T11_Copy9">'[13]29'!#REF!</definedName>
    <definedName name="T12?axis?ПРД?БАЗ">'[11]12'!$J$6:$K$20,'[11]12'!$G$6:$H$20</definedName>
    <definedName name="T12?axis?ПРД?ПРЕД">'[11]12'!$L$6:$M$20,'[11]12'!$E$6:$F$20</definedName>
    <definedName name="T12?axis?ПФ?ПЛАН">'[11]12'!$J$6:$J$20,'[11]12'!$E$6:$E$20,'[11]12'!$L$6:$L$20,'[11]12'!$G$6:$G$20</definedName>
    <definedName name="T12?axis?ПФ?ФАКТ">'[11]12'!$K$6:$K$20,'[11]12'!$F$6:$F$20,'[11]12'!$M$6:$M$20,'[11]12'!$H$6:$H$20</definedName>
    <definedName name="T12?Data">'[11]12'!$E$6:$M$9,  '[11]12'!$E$11:$M$18,  '[11]12'!$E$20:$M$20</definedName>
    <definedName name="T12?item_ext?РОСТ">'[13]14'!#REF!</definedName>
    <definedName name="T12?L2.1.x">'[11]12'!$A$16:$M$16, '[11]12'!$A$14:$M$14, '[11]12'!$A$12:$M$12, '[11]12'!$A$18:$M$18</definedName>
    <definedName name="T12?L2.x">'[11]12'!$A$15:$M$15, '[11]12'!$A$13:$M$13, '[11]12'!$A$11:$M$11, '[11]12'!$A$17:$M$17</definedName>
    <definedName name="T12?unit?ГА">'[11]12'!$E$16:$I$16, '[11]12'!$E$14:$I$14, '[11]12'!$E$9:$I$9, '[11]12'!$E$12:$I$12, '[11]12'!$E$18:$I$18, '[11]12'!$E$7:$I$7</definedName>
    <definedName name="T12?unit?ПРЦ">'[13]14'!#REF!</definedName>
    <definedName name="T12?unit?ТРУБ">'[11]12'!$E$15:$I$15, '[11]12'!$E$13:$I$13, '[11]12'!$E$6:$I$6, '[11]12'!$E$8:$I$8, '[11]12'!$E$11:$I$11, '[11]12'!$E$17:$I$17, '[11]12'!$E$20:$I$20</definedName>
    <definedName name="T12_Copy">'[13]14'!#REF!</definedName>
    <definedName name="T13?axis?ПРД?БАЗ">'[11]13'!$I$6:$J$16,'[11]13'!$F$6:$G$16</definedName>
    <definedName name="T13?axis?ПРД?ПРЕД">'[11]13'!$K$6:$L$16,'[11]13'!$D$6:$E$16</definedName>
    <definedName name="T13?axis?ПФ?ПЛАН">'[11]13'!$I$6:$I$16,'[11]13'!$D$6:$D$16,'[11]13'!$K$6:$K$16,'[11]13'!$F$6:$F$16</definedName>
    <definedName name="T13?axis?ПФ?ФАКТ">'[11]13'!$J$6:$J$16,'[11]13'!$E$6:$E$16,'[11]13'!$L$6:$L$16,'[11]13'!$G$6:$G$16</definedName>
    <definedName name="T13?Data">'[11]13'!$D$6:$L$7, '[11]13'!$D$8:$L$8, '[11]13'!$D$9:$L$16</definedName>
    <definedName name="T13?item_ext?РОСТ">'[13]15'!#REF!</definedName>
    <definedName name="T13?unit?ПРЦ">'[13]15'!#REF!</definedName>
    <definedName name="T13?unit?РУБ.ТМКБ">'[11]13'!$D$14:$H$14,'[11]13'!$D$11:$H$11</definedName>
    <definedName name="T13?unit?ТМКБ">'[11]13'!$D$13:$H$13,'[11]13'!$D$10:$H$10</definedName>
    <definedName name="T13?unit?ТРУБ">'[11]13'!$D$12:$H$12,'[11]13'!$D$15:$H$16,'[11]13'!$D$8:$H$9</definedName>
    <definedName name="T14?axis?ПРД?БАЗ">'[11]14'!$J$6:$K$20,'[11]14'!$G$6:$H$20</definedName>
    <definedName name="T14?axis?ПРД?ПРЕД">'[11]14'!$L$6:$M$20,'[11]14'!$E$6:$F$20</definedName>
    <definedName name="T14?axis?ПФ?ПЛАН">'[11]14'!$G$6:$G$20,'[11]14'!$J$6:$J$20,'[11]14'!$L$6:$L$20,'[11]14'!$E$6:$E$20</definedName>
    <definedName name="T14?axis?ПФ?ФАКТ">'[11]14'!$H$6:$H$20,'[11]14'!$K$6:$K$20,'[11]14'!$M$6:$M$20,'[11]14'!$F$6:$F$20</definedName>
    <definedName name="T14?Data">'[11]14'!$E$7:$M$18,  '[11]14'!$E$20:$M$20</definedName>
    <definedName name="T14?item_ext?РОСТ">'[13]16'!#REF!</definedName>
    <definedName name="T14?L1">'[11]14'!$A$13:$M$13, '[11]14'!$A$10:$M$10, '[11]14'!$A$7:$M$7, '[11]14'!$A$16:$M$16</definedName>
    <definedName name="T14?L1.1">'[11]14'!$A$14:$M$14, '[11]14'!$A$11:$M$11, '[11]14'!$A$8:$M$8, '[11]14'!$A$17:$M$17</definedName>
    <definedName name="T14?L1.2">'[11]14'!$A$15:$M$15, '[11]14'!$A$12:$M$12, '[11]14'!$A$9:$M$9, '[11]14'!$A$18:$M$18</definedName>
    <definedName name="T14?unit?ПРЦ">'[11]14'!$E$15:$I$15, '[11]14'!$E$12:$I$12, '[11]14'!$E$9:$I$9, '[11]14'!$E$18:$I$18, '[11]14'!$J$6:$M$20</definedName>
    <definedName name="T14?unit?ТРУБ">'[11]14'!$E$13:$I$14, '[11]14'!$E$10:$I$11, '[11]14'!$E$7:$I$8, '[11]14'!$E$16:$I$17, '[11]14'!$E$20:$I$20</definedName>
    <definedName name="T14_Copy">'[13]16'!#REF!</definedName>
    <definedName name="T15?axis?ПРД?БАЗ">'[11]15'!$I$6:$J$11,'[11]15'!$F$6:$G$11</definedName>
    <definedName name="T15?axis?ПРД?ПРЕД">'[11]15'!$K$6:$L$11,'[11]15'!$D$6:$E$11</definedName>
    <definedName name="T15?axis?ПФ?ПЛАН">'[11]15'!$I$6:$I$11,'[11]15'!$D$6:$D$11,'[11]15'!$K$6:$K$11,'[11]15'!$F$6:$F$11</definedName>
    <definedName name="T15?axis?ПФ?ФАКТ">'[11]15'!$J$6:$J$11,'[11]15'!$E$6:$E$11,'[11]15'!$L$6:$L$11,'[11]15'!$G$6:$G$11</definedName>
    <definedName name="T15?item_ext?РОСТ">'[13]20'!#REF!</definedName>
    <definedName name="T15?unit?ПРЦ">'[13]20'!#REF!</definedName>
    <definedName name="T16?axis?R?ДОГОВОР">'[11]16'!$E$40:$M$40,'[11]16'!$E$60:$M$60,'[11]16'!$E$36:$M$36,'[11]16'!$E$32:$M$32,'[11]16'!$E$28:$M$28,'[11]16'!$E$24:$M$24,'[11]16'!$E$68:$M$68,'[11]16'!$E$56:$M$56,'[11]16'!$E$20:$M$20,P1_T16?axis?R?ДОГОВОР</definedName>
    <definedName name="T16?axis?R?ДОГОВОР?">'[11]16'!$A$8,'[11]16'!$A$12,'[11]16'!$A$16,P1_T16?axis?R?ДОГОВОР?</definedName>
    <definedName name="T16?axis?ПРД?БАЗ">'[11]16'!$J$6:$K$88,               '[11]16'!$G$6:$H$88</definedName>
    <definedName name="T16?axis?ПРД?ПРЕД">'[11]16'!$L$6:$M$88,               '[11]16'!$E$6:$F$88</definedName>
    <definedName name="T16?axis?ПФ?ПЛАН">'[11]16'!$J$6:$J$88,               '[11]16'!$E$6:$E$88,               '[11]16'!$L$6:$L$88,               '[11]16'!$G$6:$G$88</definedName>
    <definedName name="T16?axis?ПФ?ФАКТ">'[11]16'!$K$6:$K$88,               '[11]16'!$F$6:$F$88,               '[11]16'!$M$6:$M$88,               '[11]16'!$H$6:$H$88</definedName>
    <definedName name="T16?item_ext?РОСТ">'[13]30'!#REF!</definedName>
    <definedName name="T16?L1">'[11]16'!$A$38:$M$38,'[11]16'!$A$58:$M$58,'[11]16'!$A$34:$M$34,'[11]16'!$A$30:$M$30,'[11]16'!$A$26:$M$26,'[11]16'!$A$22:$M$22,'[11]16'!$A$66:$M$66,'[11]16'!$A$54:$M$54,'[11]16'!$A$18:$M$18,P1_T16?L1</definedName>
    <definedName name="T16?L1.x">'[11]16'!$A$40:$M$40,'[11]16'!$A$60:$M$60,'[11]16'!$A$36:$M$36,'[11]16'!$A$32:$M$32,'[11]16'!$A$28:$M$28,'[11]16'!$A$24:$M$24,'[11]16'!$A$68:$M$68,'[11]16'!$A$56:$M$56,'[11]16'!$A$20:$M$20,P1_T16?L1.x</definedName>
    <definedName name="T16?unit?ПРЦ">'[13]30'!#REF!</definedName>
    <definedName name="T16_Copy">'[13]30'!#REF!</definedName>
    <definedName name="T16_Copy2">'[13]30'!#REF!</definedName>
    <definedName name="T17.1?axis?C?НП">'[11]17.1'!$E$6:$L$16, '[11]17.1'!$E$18:$L$28</definedName>
    <definedName name="T17.1?Data">'[11]17.1'!$E$6:$L$16, '[11]17.1'!$N$6:$N$16, '[11]17.1'!$E$18:$L$28, '[11]17.1'!$N$18:$N$28</definedName>
    <definedName name="T17.1?item_ext?ВСЕГО">'[11]17.1'!$N$6:$N$16, '[11]17.1'!$N$18:$N$28</definedName>
    <definedName name="T17.1?L1">'[11]17.1'!$A$6:$N$6, '[11]17.1'!$A$18:$N$18</definedName>
    <definedName name="T17.1?L2">'[11]17.1'!$A$7:$N$7, '[11]17.1'!$A$19:$N$19</definedName>
    <definedName name="T17.1?L3">'[11]17.1'!$A$8:$N$8, '[11]17.1'!$A$20:$N$20</definedName>
    <definedName name="T17.1?L3.1">'[11]17.1'!$A$9:$N$9, '[11]17.1'!$A$21:$N$21</definedName>
    <definedName name="T17.1?L4">'[11]17.1'!$A$10:$N$10, '[11]17.1'!$A$22:$N$22</definedName>
    <definedName name="T17.1?L4.1">'[11]17.1'!$A$11:$N$11, '[11]17.1'!$A$23:$N$23</definedName>
    <definedName name="T17.1?L5">'[11]17.1'!$A$12:$N$12, '[11]17.1'!$A$24:$N$24</definedName>
    <definedName name="T17.1?L5.1">'[11]17.1'!$A$13:$N$13, '[11]17.1'!$A$25:$N$25</definedName>
    <definedName name="T17.1?L6">'[11]17.1'!$A$14:$N$14, '[11]17.1'!$A$26:$N$26</definedName>
    <definedName name="T17.1?L7">'[11]17.1'!$A$15:$N$15, '[11]17.1'!$A$27:$N$27</definedName>
    <definedName name="T17.1?L8">'[11]17.1'!$A$16:$N$16, '[11]17.1'!$A$28:$N$28</definedName>
    <definedName name="T17.1?unit?РУБ">'[11]17.1'!$D$9:$N$9, '[11]17.1'!$D$11:$N$11, '[11]17.1'!$D$13:$N$13, '[11]17.1'!$D$21:$N$21, '[11]17.1'!$D$23:$N$23, '[11]17.1'!$D$25:$N$25</definedName>
    <definedName name="T17.1?unit?ТРУБ">'[11]17.1'!$D$8:$N$8, '[11]17.1'!$D$10:$N$10, '[11]17.1'!$D$12:$N$12, '[11]17.1'!$D$14:$N$16, '[11]17.1'!$D$20:$N$20, '[11]17.1'!$D$22:$N$22, '[11]17.1'!$D$24:$N$24, '[11]17.1'!$D$26:$N$28</definedName>
    <definedName name="T17.1?unit?ЧДН">'[11]17.1'!$D$7:$N$7, '[11]17.1'!$D$19:$N$19</definedName>
    <definedName name="T17.1?unit?ЧЕЛ">'[11]17.1'!$D$18:$N$18, '[11]17.1'!$D$6:$N$6</definedName>
    <definedName name="T17?axis?ПРД?БАЗ">'[11]17'!$I$6:$J$13,'[11]17'!$F$6:$G$13</definedName>
    <definedName name="T17?axis?ПРД?ПРЕД">'[11]17'!$K$6:$L$13,'[11]17'!$D$6:$E$13</definedName>
    <definedName name="T17?axis?ПФ?ПЛАН">'[11]17'!$I$6:$I$13,'[11]17'!$D$6:$D$13,'[11]17'!$K$6:$K$13,'[11]17'!$F$6:$F$13</definedName>
    <definedName name="T17?axis?ПФ?ФАКТ">'[11]17'!$J$6:$J$13,'[11]17'!$E$6:$E$13,'[11]17'!$L$6:$L$13,'[11]17'!$G$6:$G$13</definedName>
    <definedName name="T17?item_ext?РОСТ">'[13]31'!#REF!</definedName>
    <definedName name="T18?axis?R?ДОГОВОР">'[11]18'!$D$14:$L$16,'[11]18'!$D$20:$L$22,'[11]18'!$D$26:$L$28,'[11]18'!$D$32:$L$34,'[11]18'!$D$38:$L$40,'[11]18'!$D$8:$L$10</definedName>
    <definedName name="T18?axis?R?ДОГОВОР?">'[11]18'!$B$14:$B$16,'[11]18'!$B$20:$B$22,'[11]18'!$B$26:$B$28,'[11]18'!$B$32:$B$34,'[11]18'!$B$38:$B$40,'[11]18'!$B$8:$B$10</definedName>
    <definedName name="T18?axis?ПРД?БАЗ">'[11]18'!$I$6:$J$42,'[11]18'!$F$6:$G$42</definedName>
    <definedName name="T18?axis?ПРД?ПРЕД">'[11]18'!$K$6:$L$42,'[11]18'!$D$6:$E$42</definedName>
    <definedName name="T18?axis?ПФ?ПЛАН">'[11]18'!$I$6:$I$42,'[11]18'!$D$6:$D$42,'[11]18'!$K$6:$K$42,'[11]18'!$F$6:$F$42</definedName>
    <definedName name="T18?axis?ПФ?ФАКТ">'[11]18'!$J$6:$J$42,'[11]18'!$E$6:$E$42,'[11]18'!$L$6:$L$42,'[11]18'!$G$6:$G$42</definedName>
    <definedName name="T18?item_ext?РОСТ">'[13]13'!#REF!</definedName>
    <definedName name="T18?unit?ПРЦ">'[13]13'!#REF!</definedName>
    <definedName name="T18_Copy1">'[13]13'!#REF!</definedName>
    <definedName name="T18_Copy2">'[13]13'!#REF!</definedName>
    <definedName name="T18_Copy3">'[13]13'!#REF!</definedName>
    <definedName name="T18_Copy4">'[13]13'!#REF!</definedName>
    <definedName name="T18_Copy5">'[13]13'!#REF!</definedName>
    <definedName name="T18_Copy6">'[13]13'!#REF!</definedName>
    <definedName name="T19?axis?R?ДОГОВОР">'[11]19'!$E$8:$M$9,'[11]19'!$E$13:$M$14,'[11]19'!$E$18:$M$18,'[11]19'!$E$26:$M$27,'[11]19'!$E$22:$M$22</definedName>
    <definedName name="T19?axis?R?ДОГОВОР?">'[11]19'!$A$8:$A$9,'[11]19'!$A$13:$A$14,'[11]19'!$A$18,'[11]19'!$A$26:$A$27,'[11]19'!$A$22</definedName>
    <definedName name="T19?axis?ПРД?БАЗ">'[11]19'!$J$6:$K$30,'[11]19'!$G$6:$H$30</definedName>
    <definedName name="T19?axis?ПРД?ПРЕД">'[11]19'!$L$6:$M$30,'[11]19'!$E$6:$F$30</definedName>
    <definedName name="T19?axis?ПФ?ПЛАН">'[11]19'!$J$6:$J$30,'[11]19'!$E$6:$E$30,'[11]19'!$L$6:$L$30,'[11]19'!$G$6:$G$30</definedName>
    <definedName name="T19?axis?ПФ?ФАКТ">'[11]19'!$K$6:$K$30,'[11]19'!$F$6:$F$30,'[11]19'!$M$6:$M$30,'[11]19'!$H$6:$H$30</definedName>
    <definedName name="T19?item_ext?РОСТ">'[13]19'!#REF!</definedName>
    <definedName name="T19?L1">'[11]19'!$A$16:$M$16, '[11]19'!$A$11:$M$11, '[11]19'!$A$6:$M$6, '[11]19'!$A$20:$M$20, '[11]19'!$A$24:$M$24</definedName>
    <definedName name="T19?L1.x">'[11]19'!$A$18:$M$18, '[11]19'!$A$13:$M$14, '[11]19'!$A$8:$M$9, '[11]19'!$A$22:$M$22, '[11]19'!$A$26:$M$27</definedName>
    <definedName name="T19?unit?ПРЦ">'[13]19'!#REF!</definedName>
    <definedName name="T19_Copy">'[13]19'!#REF!</definedName>
    <definedName name="T19_Copy2">'[13]19'!#REF!</definedName>
    <definedName name="T2.1_Protect">P4_T2.1_Protect,P5_T2.1_Protect,P6_T2.1_Protect,P7_T2.1_Protect</definedName>
    <definedName name="T2?axis?ПРД?БАЗ">'[11]2'!$I$6:$J$19,'[11]2'!$F$6:$G$19</definedName>
    <definedName name="T2?axis?ПРД?ПРЕД">'[11]2'!$K$6:$L$19,'[11]2'!$D$6:$E$19</definedName>
    <definedName name="T2?axis?ПФ?ПЛАН">'[11]2'!$I$6:$I$19,'[11]2'!$D$6:$D$19,'[11]2'!$K$6:$K$19,'[11]2'!$F$6:$F$19</definedName>
    <definedName name="T2?axis?ПФ?ФАКТ">'[11]2'!$J$6:$J$19,'[11]2'!$E$6:$E$19,'[11]2'!$L$6:$L$19,'[11]2'!$G$6:$G$19</definedName>
    <definedName name="T2?unit?МКВТЧ">'[11]2'!$D$6:$H$8,   '[11]2'!$D$10:$H$10,   '[11]2'!$D$12:$H$13,   '[11]2'!$D$15:$H$15</definedName>
    <definedName name="T2?unit?ПРЦ">'[11]2'!$D$9:$H$9,   '[11]2'!$D$14:$H$14,   '[11]2'!$I$6:$L$19,   '[11]2'!$D$18:$H$18</definedName>
    <definedName name="T2?unit?ТГКАЛ">'[11]2'!$D$16:$H$17,   '[11]2'!$D$19:$H$19</definedName>
    <definedName name="T2_1_Protect">P4_T2_1_Protect,P5_T2_1_Protect,P6_T2_1_Protect,P7_T2_1_Protect</definedName>
    <definedName name="T2_2_Protect">P4_T2_2_Protect,P5_T2_2_Protect,P6_T2_2_Protect,P7_T2_2_Protect</definedName>
    <definedName name="T2_DiapProt">P1_T2_DiapProt,P2_T2_DiapProt</definedName>
    <definedName name="T2_Protect">P4_T2_Protect,P5_T2_Protect,P6_T2_Protect</definedName>
    <definedName name="T20?axis?R?ДОГОВОР">'[11]20'!$G$7:$O$26,       '[11]20'!$G$28:$O$41</definedName>
    <definedName name="T20?axis?R?ДОГОВОР?">'[11]20'!$D$7:$D$26,       '[11]20'!$D$28:$D$41</definedName>
    <definedName name="T20?axis?ПРД?БАЗ">'[11]20'!$L$6:$M$42,  '[11]20'!$I$6:$J$42</definedName>
    <definedName name="T20?axis?ПРД?ПРЕД">'[11]20'!$N$6:$O$41,  '[11]20'!$G$6:$H$42</definedName>
    <definedName name="T20?axis?ПФ?ПЛАН">'[11]20'!$L$6:$L$42,  '[11]20'!$G$6:$G$42,  '[11]20'!$N$6:$N$42,  '[11]20'!$I$6:$I$42</definedName>
    <definedName name="T20?axis?ПФ?ФАКТ">'[11]20'!$M$6:$M$42,  '[11]20'!$H$6:$H$42,  '[11]20'!$O$6:$O$42,  '[11]20'!$J$6:$J$42</definedName>
    <definedName name="T20?Data">'[11]20'!$G$6:$O$6,       '[11]20'!$G$8:$O$25,       '[11]20'!$G$27:$O$27,       '[11]20'!$G$29:$O$40,       '[11]20'!$G$42:$O$42</definedName>
    <definedName name="T20?item_ext?РОСТ">'[13]32'!#REF!</definedName>
    <definedName name="T20?L1.1">'[11]20'!$A$20:$O$20,'[11]20'!$A$17:$O$17,'[11]20'!$A$8:$O$8,'[11]20'!$A$11:$O$11,'[11]20'!$A$14:$O$14,'[11]20'!$A$23:$O$23</definedName>
    <definedName name="T20?L1.2">'[11]20'!$A$21:$O$21,'[11]20'!$A$18:$O$18,'[11]20'!$A$9:$O$9,'[11]20'!$A$12:$O$12,'[11]20'!$A$15:$O$15,'[11]20'!$A$24:$O$24</definedName>
    <definedName name="T20?L1.3">'[11]20'!$A$22:$O$22,'[11]20'!$A$19:$O$19,'[11]20'!$A$10:$O$10,'[11]20'!$A$13:$O$13,'[11]20'!$A$16:$O$16,'[11]20'!$A$25:$O$25</definedName>
    <definedName name="T20?L2.1">'[11]20'!$A$29:$O$29,   '[11]20'!$A$32:$O$32,   '[11]20'!$A$35:$O$35,   '[11]20'!$A$38:$O$38</definedName>
    <definedName name="T20?L2.2">'[11]20'!$A$30:$O$30,   '[11]20'!$A$33:$O$33,   '[11]20'!$A$36:$O$36,   '[11]20'!$A$39:$O$39</definedName>
    <definedName name="T20?L2.3">'[11]20'!$A$31:$O$31,   '[11]20'!$A$34:$O$34,   '[11]20'!$A$37:$O$37,   '[11]20'!$A$40:$O$40</definedName>
    <definedName name="T20?unit?ПРЦ">'[13]32'!#REF!</definedName>
    <definedName name="T20_Copy1">'[13]32'!#REF!</definedName>
    <definedName name="T20_Copy2">'[13]32'!#REF!</definedName>
    <definedName name="T21?axis?R?ДОГОВОР">'[13]33'!#REF!</definedName>
    <definedName name="T21?axis?R?ДОГОВОР?">'[13]33'!#REF!</definedName>
    <definedName name="T21?axis?ПРД?БАЗ">'[11]21'!$I$6:$J$18,'[11]21'!$F$6:$G$18</definedName>
    <definedName name="T21?axis?ПРД?ПРЕД">'[11]21'!$K$6:$L$18,'[11]21'!$D$6:$E$18</definedName>
    <definedName name="T21?axis?ПФ?ПЛАН">'[11]21'!$I$6:$I$18,'[11]21'!$D$6:$D$18,'[11]21'!$K$6:$K$18,'[11]21'!$F$6:$F$18</definedName>
    <definedName name="T21?axis?ПФ?ФАКТ">'[11]21'!$J$6:$J$18,'[11]21'!$E$6:$E$18,'[11]21'!$L$6:$L$18,'[11]21'!$G$6:$G$18</definedName>
    <definedName name="T21?Data">'[11]21'!$D$6:$L$9, '[11]21'!$D$11:$L$14, '[11]21'!$D$16:$L$18</definedName>
    <definedName name="T21?item_ext?РОСТ">'[13]33'!#REF!</definedName>
    <definedName name="T21?L4.x">'[13]33'!#REF!</definedName>
    <definedName name="T21?unit?ПРЦ">'[13]33'!#REF!</definedName>
    <definedName name="T21_Copy">'[13]33'!#REF!</definedName>
    <definedName name="T22?axis?R?ДОГОВОР">'[11]22'!$E$8:$M$9,'[11]22'!$E$13:$M$14,'[11]22'!$E$22:$M$23,'[11]22'!$E$18:$M$18</definedName>
    <definedName name="T22?axis?R?ДОГОВОР?">'[11]22'!$A$8:$A$9,'[11]22'!$A$13:$A$14,'[11]22'!$A$22:$A$23,'[11]22'!$A$18</definedName>
    <definedName name="T22?axis?ПРД?БАЗ">'[11]22'!$J$6:$K$26, '[11]22'!$G$6:$H$26</definedName>
    <definedName name="T22?axis?ПРД?ПРЕД">'[11]22'!$L$6:$M$26, '[11]22'!$E$6:$F$26</definedName>
    <definedName name="T22?axis?ПФ?ПЛАН">'[11]22'!$J$6:$J$26,'[11]22'!$E$6:$E$26,'[11]22'!$L$6:$L$26,'[11]22'!$G$6:$G$26</definedName>
    <definedName name="T22?axis?ПФ?ФАКТ">'[11]22'!$K$6:$K$26,'[11]22'!$F$6:$F$26,'[11]22'!$M$6:$M$26,'[11]22'!$H$6:$H$26</definedName>
    <definedName name="T22?item_ext?РОСТ">'[13]34'!#REF!</definedName>
    <definedName name="T22?L1" xml:space="preserve"> '[11]22'!$A$11:$M$11,    '[11]22'!$A$6:$M$6,    '[11]22'!$A$16:$M$16,    '[11]22'!$A$20:$M$20</definedName>
    <definedName name="T22?L1.x">'[11]22'!$A$13:$M$14, '[11]22'!$A$8:$M$9, '[11]22'!$A$18:$M$18, '[11]22'!$A$22:$M$23</definedName>
    <definedName name="T22?L2">'[13]34'!#REF!</definedName>
    <definedName name="T22?unit?ПРЦ">'[13]34'!#REF!</definedName>
    <definedName name="T22_Copy">'[13]34'!#REF!</definedName>
    <definedName name="T22_Copy2">'[13]34'!#REF!</definedName>
    <definedName name="T23?axis?ПРД?БАЗ">'[11]23'!$I$6:$J$13,'[11]23'!$F$6:$G$13</definedName>
    <definedName name="T23?axis?ПРД?ПРЕД">'[11]23'!$K$6:$L$13,'[11]23'!$D$6:$E$13</definedName>
    <definedName name="T23?axis?ПФ?ПЛАН">'[11]23'!$I$6:$I$13,'[11]23'!$D$6:$D$13,'[11]23'!$K$6:$K$13,'[11]23'!$F$6:$F$13</definedName>
    <definedName name="T23?axis?ПФ?ФАКТ">'[11]23'!$J$6:$J$13,'[11]23'!$E$6:$E$13,'[11]23'!$L$6:$L$13,'[11]23'!$G$6:$G$13</definedName>
    <definedName name="T23?Data">'[11]23'!$D$9:$L$9,'[11]23'!$D$11:$L$13,'[11]23'!$D$6:$L$7</definedName>
    <definedName name="T23?item_ext?РОСТ">'[13]17'!#REF!</definedName>
    <definedName name="T23?unit?ПРЦ">'[11]23'!$D$12:$H$12,'[11]23'!$I$6:$L$13</definedName>
    <definedName name="T23?unit?ТРУБ">'[11]23'!$D$9:$H$9,'[11]23'!$D$11:$H$11,'[11]23'!$D$13:$H$13,'[11]23'!$D$6:$H$7</definedName>
    <definedName name="T24.1?Data">'[11]24.1'!$E$6:$J$21, '[11]24.1'!$E$23, '[11]24.1'!$H$23:$J$23, '[11]24.1'!$E$28:$J$42, '[11]24.1'!$E$44, '[11]24.1'!$H$44:$J$44</definedName>
    <definedName name="T24.1?unit?ТРУБ">'[11]24.1'!$E$5:$E$44, '[11]24.1'!$J$5:$J$44</definedName>
    <definedName name="T24?axis?R?ДОГОВОР">'[11]24'!$D$27:$L$37,'[11]24'!$D$8:$L$18</definedName>
    <definedName name="T24?axis?R?ДОГОВОР?">'[11]24'!$B$27:$B$37,'[11]24'!$B$8:$B$18</definedName>
    <definedName name="T24?axis?ПРД?БАЗ">'[11]24'!$I$6:$J$39,'[11]24'!$F$6:$G$39</definedName>
    <definedName name="T24?axis?ПРД?ПРЕД">'[11]24'!$K$6:$L$39,'[11]24'!$D$6:$E$39</definedName>
    <definedName name="T24?axis?ПФ?ПЛАН">'[11]24'!$I$6:$I$39,'[11]24'!$D$6:$D$39,'[11]24'!$K$6:$K$39,'[11]24'!$F$6:$F$38</definedName>
    <definedName name="T24?axis?ПФ?ФАКТ">'[11]24'!$J$6:$J$39,'[11]24'!$E$6:$E$39,'[11]24'!$L$6:$L$39,'[11]24'!$G$6:$G$39</definedName>
    <definedName name="T24?Data">'[11]24'!$D$6:$L$6, '[11]24'!$D$8:$L$18, '[11]24'!$D$20:$L$25, '[11]24'!$D$27:$L$37, '[11]24'!$D$39:$L$39</definedName>
    <definedName name="T24?item_ext?РОСТ">'[13]9'!#REF!</definedName>
    <definedName name="T24?unit?ПРЦ">'[11]24'!$D$22:$H$22, '[11]24'!$I$6:$L$6, '[11]24'!$I$8:$L$18, '[11]24'!$I$20:$L$25, '[11]24'!$I$27:$L$37, '[11]24'!$I$39:$L$39</definedName>
    <definedName name="T24?unit?ТРУБ">'[11]24'!$D$6:$H$6, '[11]24'!$D$8:$H$18, '[11]24'!$D$20:$H$21, '[11]24'!$D$23:$H$25, '[11]24'!$D$27:$H$37, '[11]24'!$D$39:$H$39</definedName>
    <definedName name="T24_Copy1">'[13]9'!#REF!</definedName>
    <definedName name="T24_Copy2">'[13]9'!#REF!</definedName>
    <definedName name="T25?axis?R?ДОГОВОР">'[11]25'!$G$19:$O$20, '[11]25'!$G$9:$O$10, '[11]25'!$G$14:$O$15, '[11]25'!$G$24:$O$24, '[11]25'!$G$29:$O$34, '[11]25'!$G$38:$O$40</definedName>
    <definedName name="T25?axis?R?ДОГОВОР?">'[11]25'!$E$19:$E$20, '[11]25'!$E$9:$E$10, '[11]25'!$E$14:$E$15, '[11]25'!$E$24, '[11]25'!$E$29:$E$34, '[11]25'!$E$38:$E$40</definedName>
    <definedName name="T25?axis?ПФ?ПЛАН">'[11]25'!$I$7:$I$51,         '[11]25'!$L$7:$L$51</definedName>
    <definedName name="T25?axis?ПФ?ФАКТ">'[11]25'!$J$7:$J$51,         '[11]25'!$M$7:$M$51</definedName>
    <definedName name="T25?item_ext?РОСТ">'[13]6'!#REF!</definedName>
    <definedName name="T25?item_ext?РОСТ2">'[13]6'!#REF!</definedName>
    <definedName name="T25?L1" xml:space="preserve"> '[11]25'!$A$17:$O$17,  '[11]25'!$A$7:$O$7,  '[11]25'!$A$12:$O$12,  '[11]25'!$A$22:$O$22,  '[11]25'!$A$26:$O$26,  '[11]25'!$A$36:$O$36</definedName>
    <definedName name="T25?L1.1">'[11]25'!$A$19:$O$20, '[11]25'!$A$31:$O$31, '[11]25'!$A$9:$O$10, '[11]25'!$A$14:$O$15, '[11]25'!$A$24:$O$24, '[11]25'!$A$29:$O$29, '[11]25'!$A$33:$O$33, '[11]25'!$A$38:$O$40</definedName>
    <definedName name="T25?L1.2.1" xml:space="preserve"> '[11]25'!$A$32:$O$32,     '[11]25'!$A$30:$O$30,     '[11]25'!$A$34:$O$34</definedName>
    <definedName name="T25?unit?ГА" xml:space="preserve"> '[11]25'!$G$32:$K$32,     '[11]25'!$G$27:$K$27,     '[11]25'!$G$30:$K$30,     '[11]25'!$G$34:$K$34</definedName>
    <definedName name="T25?unit?ПРЦ">'[13]6'!#REF!</definedName>
    <definedName name="T25?unit?ТРУБ" xml:space="preserve"> '[11]25'!$G$31:$K$31,     '[11]25'!$G$6:$K$26,     '[11]25'!$G$29:$K$29,     '[11]25'!$G$33:$K$33,     '[11]25'!$G$36:$K$51</definedName>
    <definedName name="T25_Copy1">'[13]6'!#REF!</definedName>
    <definedName name="T25_Copy2">'[13]6'!#REF!</definedName>
    <definedName name="T25_Copy3">'[13]6'!#REF!</definedName>
    <definedName name="T25_Copy4">'[13]6'!#REF!</definedName>
    <definedName name="T26?axis?ПРД?БАЗ">'[11]26'!$I$6:$J$20,'[11]26'!$F$6:$G$20</definedName>
    <definedName name="T26?axis?ПРД?ПРЕД">'[11]26'!$K$6:$L$20,'[11]26'!$D$6:$E$20</definedName>
    <definedName name="T26?axis?ПФ?ПЛАН">'[11]26'!$I$6:$I$20,'[11]26'!$D$6:$D$20,'[11]26'!$K$6:$K$20,'[11]26'!$F$6:$F$20</definedName>
    <definedName name="T26?axis?ПФ?ФАКТ">'[11]26'!$J$6:$J$20,'[11]26'!$E$6:$E$20,'[11]26'!$L$6:$L$20,'[11]26'!$G$6:$G$20</definedName>
    <definedName name="T26?Data">'[11]26'!$D$6:$L$8, '[11]26'!$D$10:$L$20</definedName>
    <definedName name="T26?item_ext?РОСТ">'[13]11'!#REF!</definedName>
    <definedName name="T26?L1">'[13]11'!#REF!</definedName>
    <definedName name="T26?L1.1">'[13]11'!#REF!</definedName>
    <definedName name="T26?L1.2">'[13]11'!#REF!</definedName>
    <definedName name="T26?L2">'[13]11'!#REF!</definedName>
    <definedName name="T26?unit?ПРЦ">'[13]11'!#REF!</definedName>
    <definedName name="T27?axis?ПРД?БАЗ">'[11]27'!$I$6:$J$11,'[11]27'!$F$6:$G$11</definedName>
    <definedName name="T27?axis?ПРД?ПРЕД">'[11]27'!$K$6:$L$11,'[11]27'!$D$6:$E$11</definedName>
    <definedName name="T27?axis?ПФ?ПЛАН">'[11]27'!$I$6:$I$11,'[11]27'!$D$6:$D$11,'[11]27'!$K$6:$K$11,'[11]27'!$F$6:$F$11</definedName>
    <definedName name="T27?axis?ПФ?ФАКТ">'[11]27'!$J$6:$J$11,'[11]27'!$E$6:$E$11,'[11]27'!$L$6:$L$11,'[11]27'!$G$6:$G$11</definedName>
    <definedName name="T27?unit?ПРЦ">'[11]27'!$D$7:$H$7, '[11]27'!$I$6:$L$11</definedName>
    <definedName name="T27?unit?ТРУБ">'[11]27'!$D$6:$H$6, '[11]27'!$D$8:$H$11</definedName>
    <definedName name="T28?axis?ПРД?БАЗ">'[11]28'!$I$6:$J$17,'[11]28'!$F$6:$G$17</definedName>
    <definedName name="T28?axis?ПРД?ПРЕД">'[11]28'!$K$6:$L$17,'[11]28'!$D$6:$E$17</definedName>
    <definedName name="T28?axis?ПФ?ПЛАН">'[11]28'!$I$6:$I$17,'[11]28'!$D$6:$D$17,'[11]28'!$K$6:$K$17,'[11]28'!$F$6:$F$17</definedName>
    <definedName name="T28?axis?ПФ?ФАКТ">'[11]28'!$J$6:$J$17,'[11]28'!$E$6:$E$17,'[11]28'!$L$6:$L$17,'[11]28'!$G$6:$G$17</definedName>
    <definedName name="T28?Data">'[11]28'!$D$7:$L$15, '[11]28'!$D$17:$L$17</definedName>
    <definedName name="T28?item_ext?РОСТ">'[13]12'!#REF!</definedName>
    <definedName name="T28?unit?ПРЦ">'[13]12'!#REF!</definedName>
    <definedName name="T28_Copy">'[13]12'!#REF!</definedName>
    <definedName name="T29?axis?ПФ?ПЛАН">'[11]29'!$F$5:$F$11,'[11]29'!$D$5:$D$11</definedName>
    <definedName name="T29?axis?ПФ?ФАКТ">'[11]29'!$G$5:$G$11,'[11]29'!$E$5:$E$11</definedName>
    <definedName name="T29?Data">'[11]29'!$D$6:$H$9, '[11]29'!$D$11:$H$11</definedName>
    <definedName name="T3?axis?ПРД?БАЗ">'[11]3'!$I$6:$J$20,'[11]3'!$F$6:$G$20</definedName>
    <definedName name="T3?axis?ПРД?ПРЕД">'[11]3'!$K$6:$L$20,'[11]3'!$D$6:$E$20</definedName>
    <definedName name="T3?axis?ПФ?ПЛАН">'[11]3'!$I$6:$I$20,'[11]3'!$D$6:$D$20,'[11]3'!$K$6:$K$20,'[11]3'!$F$6:$F$20</definedName>
    <definedName name="T3?axis?ПФ?ФАКТ">'[11]3'!$J$6:$J$20,'[11]3'!$E$6:$E$20,'[11]3'!$L$6:$L$20,'[11]3'!$G$6:$G$20</definedName>
    <definedName name="T3?item_ext?РОСТ">'[13]37'!#REF!</definedName>
    <definedName name="T3?unit?КГ.ГКАЛ">'[11]3'!$D$13:$H$13,   '[11]3'!$D$16:$H$16</definedName>
    <definedName name="T3?unit?ПРЦ">'[11]3'!$D$20:$H$20,   '[11]3'!$I$6:$L$20</definedName>
    <definedName name="T3?unit?ТГКАЛ">'[11]3'!$D$12:$H$12,   '[11]3'!$D$15:$H$15</definedName>
    <definedName name="T3?unit?ТТУТ">'[11]3'!$D$10:$H$11,   '[11]3'!$D$14:$H$14,   '[11]3'!$D$17:$H$19</definedName>
    <definedName name="T4.1?axis?R?ВТОП">'[11]4.1'!$E$5:$I$8, '[11]4.1'!$E$12:$I$15, '[11]4.1'!$E$18:$I$21</definedName>
    <definedName name="T4.1?axis?R?ВТОП?">'[11]4.1'!$C$5:$C$8, '[11]4.1'!$C$12:$C$15, '[11]4.1'!$C$18:$C$21</definedName>
    <definedName name="T4.1?Data">'[11]4.1'!$E$4:$I$9, '[11]4.1'!$E$11:$I$15, '[11]4.1'!$E$18:$I$21</definedName>
    <definedName name="T4?axis?R?ВТОП">'[11]4'!$E$7:$M$10,   '[11]4'!$E$14:$M$17,   '[11]4'!$E$20:$M$23,   '[11]4'!$E$26:$M$29,   '[11]4'!$E$32:$M$35,   '[11]4'!$E$38:$M$41,   '[11]4'!$E$45:$M$48,   '[11]4'!$E$51:$M$54,   '[11]4'!$E$58:$M$61,   '[11]4'!$E$65:$M$68,   '[11]4'!$E$72:$M$75</definedName>
    <definedName name="T4?axis?R?ВТОП?">'[11]4'!$C$7:$C$10,   '[11]4'!$C$14:$C$17,   '[11]4'!$C$20:$C$23,   '[11]4'!$C$26:$C$29,   '[11]4'!$C$32:$C$35,   '[11]4'!$C$38:$C$41,   '[11]4'!$C$45:$C$48,   '[11]4'!$C$51:$C$54,   '[11]4'!$C$58:$C$61,   '[11]4'!$C$65:$C$68,   '[11]4'!$C$72:$C$75</definedName>
    <definedName name="T4?axis?ПРД?БАЗ">'[11]4'!$J$6:$K$81,'[11]4'!$G$6:$H$81</definedName>
    <definedName name="T4?axis?ПРД?ПРЕД">'[11]4'!$L$6:$M$81,'[11]4'!$E$6:$F$81</definedName>
    <definedName name="T4?axis?ПФ?ПЛАН">'[11]4'!$J$6:$J$81,'[11]4'!$E$6:$E$81,'[11]4'!$L$6:$L$81,'[11]4'!$G$6:$G$81</definedName>
    <definedName name="T4?axis?ПФ?ФАКТ">'[11]4'!$K$6:$K$81,'[11]4'!$F$6:$F$81,'[11]4'!$M$6:$M$81,'[11]4'!$H$6:$H$81</definedName>
    <definedName name="T4?Data">'[11]4'!$E$6:$M$11, '[11]4'!$E$13:$M$17, '[11]4'!$E$20:$M$23, '[11]4'!$E$26:$M$29, '[11]4'!$E$32:$M$35, '[11]4'!$E$37:$M$42, '[11]4'!$E$45:$M$48, '[11]4'!$E$50:$M$55, '[11]4'!$E$57:$M$62, '[11]4'!$E$64:$M$69, '[11]4'!$E$72:$M$75, '[11]4'!$E$77:$M$78, '[11]4'!$E$80:$M$80</definedName>
    <definedName name="T4?item_ext?РОСТ">'[13]38'!#REF!</definedName>
    <definedName name="T4?unit?ПРЦ">'[11]4'!$J$6:$M$81, '[11]4'!$E$13:$I$17, '[11]4'!$E$78:$I$78</definedName>
    <definedName name="T4?unit?РУБ.МКБ">'[11]4'!$E$34:$I$34, '[11]4'!$E$47:$I$47, '[11]4'!$E$74:$I$74</definedName>
    <definedName name="T4?unit?РУБ.ТНТ">'[11]4'!$E$32:$I$33, '[11]4'!$E$35:$I$35, '[11]4'!$E$45:$I$46, '[11]4'!$E$48:$I$48, '[11]4'!$E$72:$I$73, '[11]4'!$E$75:$I$75</definedName>
    <definedName name="T4?unit?ТРУБ">'[11]4'!$E$37:$I$42, '[11]4'!$E$50:$I$55, '[11]4'!$E$57:$I$62</definedName>
    <definedName name="T4?unit?ТТНТ">'[11]4'!$E$26:$I$27, '[11]4'!$E$29:$I$29</definedName>
    <definedName name="T5?axis?R?ОС">'[11]5'!$E$7:$Q$18, '[11]5'!$E$21:$Q$32, '[11]5'!$E$35:$Q$46, '[11]5'!$E$49:$Q$60, '[11]5'!$E$63:$Q$74, '[11]5'!$E$77:$Q$88</definedName>
    <definedName name="T5?axis?R?ОС?">'[11]5'!$C$77:$C$88, '[11]5'!$C$63:$C$74, '[11]5'!$C$49:$C$60, '[11]5'!$C$35:$C$46, '[11]5'!$C$21:$C$32, '[11]5'!$C$7:$C$18</definedName>
    <definedName name="T5?axis?ПРД?БАЗ">'[11]5'!$N$6:$O$89,'[11]5'!$G$6:$H$89</definedName>
    <definedName name="T5?axis?ПРД?ПРЕД">'[11]5'!$P$6:$Q$89,'[11]5'!$E$6:$F$89</definedName>
    <definedName name="T5?Data">'[11]5'!$E$6:$Q$18, '[11]5'!$E$20:$Q$32, '[11]5'!$E$34:$Q$46, '[11]5'!$E$48:$Q$60, '[11]5'!$E$63:$Q$74, '[11]5'!$E$76:$Q$88</definedName>
    <definedName name="T5?item_ext?РОСТ">'[13]27'!#REF!</definedName>
    <definedName name="T5?unit?ПРЦ">'[11]5'!$N$6:$Q$18, '[11]5'!$N$20:$Q$32, '[11]5'!$N$34:$Q$46, '[11]5'!$N$48:$Q$60, '[11]5'!$E$63:$Q$74, '[11]5'!$N$76:$Q$88</definedName>
    <definedName name="T5?unit?ТРУБ">'[11]5'!$E$76:$M$88, '[11]5'!$E$48:$M$60, '[11]5'!$E$34:$M$46, '[11]5'!$E$20:$M$32, '[11]5'!$E$6:$M$18</definedName>
    <definedName name="T6?axis?ПРД?БАЗ">'[11]6'!$I$6:$J$47,'[11]6'!$F$6:$G$47</definedName>
    <definedName name="T6?axis?ПРД?ПРЕД">'[11]6'!$K$6:$L$47,'[11]6'!$D$6:$E$47</definedName>
    <definedName name="T6?axis?ПФ?ПЛАН">'[11]6'!$I$6:$I$47,'[11]6'!$D$6:$D$47,'[11]6'!$K$6:$K$47,'[11]6'!$F$6:$F$47</definedName>
    <definedName name="T6?axis?ПФ?ФАКТ">'[11]6'!$J$6:$J$47,'[11]6'!$L$6:$L$47,'[11]6'!$E$6:$E$47,'[11]6'!$G$6:$G$47</definedName>
    <definedName name="T6?Data">'[11]6'!$D$7:$L$14, '[11]6'!$D$16:$L$19, '[11]6'!$D$21:$L$22, '[11]6'!$D$24:$L$25, '[11]6'!$D$27:$L$28, '[11]6'!$D$30:$L$31, '[11]6'!$D$33:$L$35, '[11]6'!$D$37:$L$39, '[11]6'!$D$41:$L$47</definedName>
    <definedName name="T6?item_ext?РОСТ">'[13]23'!#REF!</definedName>
    <definedName name="T6?unit?ПРЦ">'[11]6'!$D$12:$H$12, '[11]6'!$D$21:$H$21, '[11]6'!$D$24:$H$24, '[11]6'!$D$27:$H$27, '[11]6'!$D$30:$H$30, '[11]6'!$D$33:$H$33, '[11]6'!$D$47:$H$47, '[11]6'!$I$7:$L$47</definedName>
    <definedName name="T6?unit?РУБ">'[11]6'!$D$16:$H$16, '[11]6'!$D$19:$H$19, '[11]6'!$D$22:$H$22, '[11]6'!$D$25:$H$25, '[11]6'!$D$28:$H$28, '[11]6'!$D$31:$H$31, '[11]6'!$D$34:$H$35, '[11]6'!$D$43:$H$43</definedName>
    <definedName name="T6?unit?ТРУБ">'[11]6'!$D$37:$H$39, '[11]6'!$D$44:$H$46</definedName>
    <definedName name="T6?unit?ЧЕЛ">'[11]6'!$D$41:$H$42, '[11]6'!$D$13:$H$14, '[11]6'!$D$7:$H$11</definedName>
    <definedName name="T6_Protect">P1_T6_Protect,P2_T6_Protect</definedName>
    <definedName name="T7?axis?ПРД?БАЗ">'[11]7'!$I$6:$J$12,'[11]7'!$F$6:$G$12</definedName>
    <definedName name="T7?axis?ПРД?ПРЕД">'[11]7'!$K$6:$L$12,'[11]7'!$D$6:$E$12</definedName>
    <definedName name="T7?axis?ПФ?ПЛАН">'[11]7'!$I$6:$I$12,'[11]7'!$D$6:$D$12,'[11]7'!$K$6:$K$12,'[11]7'!$F$6:$F$12</definedName>
    <definedName name="T7?axis?ПФ?ФАКТ">'[11]7'!$J$6:$J$12,'[11]7'!$E$6:$E$12,'[11]7'!$L$6:$L$12,'[11]7'!$G$6:$G$12</definedName>
    <definedName name="T8?axis?ПРД?БАЗ">'[11]8'!$I$6:$J$42, '[11]8'!$F$6:$G$42</definedName>
    <definedName name="T8?axis?ПРД?ПРЕД">'[11]8'!$K$6:$L$42, '[11]8'!$D$6:$E$42</definedName>
    <definedName name="T8?axis?ПФ?ПЛАН">'[11]8'!$I$6:$I$42, '[11]8'!$D$6:$D$42, '[11]8'!$K$6:$K$42, '[11]8'!$F$6:$F$42</definedName>
    <definedName name="T8?axis?ПФ?ФАКТ">'[11]8'!$G$6:$G$42, '[11]8'!$J$6:$J$42, '[11]8'!$L$6:$L$42, '[11]8'!$E$6:$E$42</definedName>
    <definedName name="T8?Data">'[11]8'!$D$10:$L$12,'[11]8'!$D$14:$L$16,'[11]8'!$D$18:$L$20,'[11]8'!$D$22:$L$24,'[11]8'!$D$26:$L$28,'[11]8'!$D$30:$L$32,'[11]8'!$D$36:$L$38,'[11]8'!$D$40:$L$42,'[11]8'!$D$6:$L$8</definedName>
    <definedName name="T8?item_ext?РОСТ">'[13]21'!#REF!</definedName>
    <definedName name="T8?L1">'[13]21'!#REF!</definedName>
    <definedName name="T8?L1.1">'[13]21'!#REF!</definedName>
    <definedName name="T8?L1.2">'[13]21'!#REF!</definedName>
    <definedName name="T8?L2">'[13]21'!#REF!</definedName>
    <definedName name="T8?L2.1">'[13]21'!#REF!</definedName>
    <definedName name="T8?L2.2">'[13]21'!#REF!</definedName>
    <definedName name="T8?L3">'[13]21'!#REF!</definedName>
    <definedName name="T8?L3.1">'[13]21'!#REF!</definedName>
    <definedName name="T8?L3.2">'[13]21'!#REF!</definedName>
    <definedName name="T8?L4">'[13]21'!#REF!</definedName>
    <definedName name="T8?L4.1">'[13]21'!#REF!</definedName>
    <definedName name="T8?L4.2">'[13]21'!#REF!</definedName>
    <definedName name="T8?L5">'[13]21'!#REF!</definedName>
    <definedName name="T8?L5.1">'[13]21'!#REF!</definedName>
    <definedName name="T8?L5.2">'[13]21'!#REF!</definedName>
    <definedName name="T8?L6">'[13]21'!#REF!</definedName>
    <definedName name="T8?L6.1">'[13]21'!#REF!</definedName>
    <definedName name="T8?L6.2">'[13]21'!#REF!</definedName>
    <definedName name="T8?L7">'[13]21'!#REF!</definedName>
    <definedName name="T8?L7.1">'[13]21'!#REF!</definedName>
    <definedName name="T8?L7.2">'[13]21'!#REF!</definedName>
    <definedName name="T8?L9">'[13]21'!#REF!</definedName>
    <definedName name="T8?L9.1">'[13]21'!#REF!</definedName>
    <definedName name="T8?L9.2">'[13]21'!#REF!</definedName>
    <definedName name="T8?Title">'[13]21'!#REF!</definedName>
    <definedName name="T8?unit?ПРЦ">'[13]21'!#REF!</definedName>
    <definedName name="T8?unit?ТРУБ">'[11]8'!$D$40:$H$42,'[11]8'!$D$6:$H$32</definedName>
    <definedName name="T9?axis?ПРД?БАЗ">'[11]9'!$I$6:$J$16,'[11]9'!$F$6:$G$16</definedName>
    <definedName name="T9?axis?ПРД?ПРЕД">'[11]9'!$K$6:$L$16,'[11]9'!$D$6:$E$16</definedName>
    <definedName name="T9?axis?ПФ?ПЛАН">'[11]9'!$I$6:$I$16,'[11]9'!$D$6:$D$16,'[11]9'!$K$6:$K$16,'[11]9'!$F$6:$F$16</definedName>
    <definedName name="T9?axis?ПФ?ФАКТ">'[11]9'!$J$6:$J$16,'[11]9'!$E$6:$E$16,'[11]9'!$L$6:$L$16,'[11]9'!$G$6:$G$16</definedName>
    <definedName name="T9?Data">'[11]9'!$D$6:$L$6, '[11]9'!$D$8:$L$9, '[11]9'!$D$11:$L$16</definedName>
    <definedName name="T9?unit?РУБ.МВТЧ">'[11]9'!$D$8:$H$8, '[11]9'!$D$11:$H$11</definedName>
    <definedName name="T9?unit?ТРУБ">'[11]9'!$D$9:$H$9, '[11]9'!$D$12:$H$16</definedName>
    <definedName name="TARGET">[14]TEHSHEET!$I$42:$I$45</definedName>
    <definedName name="TOTAL">P1_TOTAL,P2_TOTAL,P3_TOTAL,P4_TOTAL,P5_TOTAL</definedName>
    <definedName name="type_flag">[2]Титульный!$F$8</definedName>
    <definedName name="uka">[0]!uka</definedName>
    <definedName name="Z_20D3A7EF_26E6_4DB0_B480_01A542330A65_.wvu.FilterData" localSheetId="0" hidden="1">'Приложение 1'!$A$8:$AI$569</definedName>
    <definedName name="Z_43DF7386_CB2C_4C1C_BD4D_696D63E82CA6_.wvu.FilterData" localSheetId="0" hidden="1">'Приложение 1'!$A$8:$AI$569</definedName>
    <definedName name="Z_443437C5_1090_4F25_B860_023FB7C1EF45_.wvu.FilterData" localSheetId="0" hidden="1">'Приложение 1'!$A$8:$AI$569</definedName>
    <definedName name="Z_448CDF5C_53C4_4C6D_BD5F_57069C1F6EF7_.wvu.FilterData" localSheetId="0" hidden="1">'Приложение 1'!$A$8:$AI$569</definedName>
    <definedName name="Z_7527256C_F8DE_4103_847C_6DA356811275_.wvu.FilterData" localSheetId="0" hidden="1">'Приложение 1'!$A$8:$AI$569</definedName>
    <definedName name="Z_7B487993_E7BD_4180_9F92_EA8CADC0A478_.wvu.FilterData" localSheetId="0" hidden="1">'Приложение 1'!$A$8:$AI$569</definedName>
    <definedName name="Z_7DA8894D_A32D_4271_B6DE_9FF402FF8A81_.wvu.FilterData" localSheetId="0" hidden="1">'Приложение 1'!$A$1:$A$8918</definedName>
    <definedName name="Z_9122B991_305B_44FA_A449_AB6E28E3333D_.wvu.FilterData" localSheetId="0" hidden="1">'Приложение 1'!$A$8:$AI$569</definedName>
    <definedName name="Z_94F36B91_F03D_49EC_934B_A4965695BB3E_.wvu.FilterData" localSheetId="0" hidden="1">'Приложение 1'!$A$8:$AI$569</definedName>
    <definedName name="Z_9FCC808B_2BFA_4D58_BEA4_BE99E59223F9_.wvu.FilterData" localSheetId="0" hidden="1">'Приложение 1'!$A$8:$AI$569</definedName>
    <definedName name="Z_A12EF0AE_0022_423D_A326_9CCD72281EC5_.wvu.Cols" localSheetId="0" hidden="1">'Приложение 1'!#REF!</definedName>
    <definedName name="Z_A12EF0AE_0022_423D_A326_9CCD72281EC5_.wvu.FilterData" localSheetId="0" hidden="1">'Приложение 1'!$A$8:$AI$569</definedName>
    <definedName name="Z_A12EF0AE_0022_423D_A326_9CCD72281EC5_.wvu.PrintArea" localSheetId="0" hidden="1">'Приложение 1'!$A$7:$I$8914</definedName>
    <definedName name="Z_A12EF0AE_0022_423D_A326_9CCD72281EC5_.wvu.PrintTitles" localSheetId="0" hidden="1">'Приложение 1'!$7:$8</definedName>
    <definedName name="Z_A12EF0AE_0022_423D_A326_9CCD72281EC5_.wvu.Rows" localSheetId="0" hidden="1">'Приложение 1'!$1:$3,'Приложение 1'!#REF!,'Приложение 1'!$573:$573,'Приложение 1'!$580:$580,'Приложение 1'!$587:$587,'Приложение 1'!$642:$642,'Приложение 1'!$651:$652,'Приложение 1'!$726:$726,'Приложение 1'!$733:$733</definedName>
    <definedName name="Z_AEFAB221_4F0B_4C91_9FB0_EF8DB09022AE_.wvu.FilterData" localSheetId="0" hidden="1">'Приложение 1'!$A$8:$AI$569</definedName>
    <definedName name="Z_B7FC12CE_4D81_4AFD_B466_7BD909A7D698_.wvu.Cols" localSheetId="0" hidden="1">'Приложение 1'!#REF!</definedName>
    <definedName name="Z_B7FC12CE_4D81_4AFD_B466_7BD909A7D698_.wvu.FilterData" localSheetId="0" hidden="1">'Приложение 1'!$A$1:$A$8918</definedName>
    <definedName name="Z_B7FC12CE_4D81_4AFD_B466_7BD909A7D698_.wvu.PrintArea" localSheetId="0" hidden="1">'Приложение 1'!$A$7:$I$8914</definedName>
    <definedName name="Z_B7FC12CE_4D81_4AFD_B466_7BD909A7D698_.wvu.PrintTitles" localSheetId="0" hidden="1">'Приложение 1'!$7:$8</definedName>
    <definedName name="Z_B7FC12CE_4D81_4AFD_B466_7BD909A7D698_.wvu.Rows" localSheetId="0" hidden="1">'Приложение 1'!$1:$3,'Приложение 1'!#REF!,'Приложение 1'!$14:$14,'Приложение 1'!$573:$573,'Приложение 1'!$580:$580,'Приложение 1'!$587:$587,'Приложение 1'!$642:$642,'Приложение 1'!$651:$652,'Приложение 1'!$726:$726,'Приложение 1'!$733:$733</definedName>
    <definedName name="Z_C563ED7E_33C9_4C22_8FE6_19FD9D780A93_.wvu.Cols" localSheetId="0" hidden="1">'Приложение 1'!#REF!</definedName>
    <definedName name="Z_C563ED7E_33C9_4C22_8FE6_19FD9D780A93_.wvu.FilterData" localSheetId="0" hidden="1">'Приложение 1'!$A$8:$AI$569</definedName>
    <definedName name="Z_C563ED7E_33C9_4C22_8FE6_19FD9D780A93_.wvu.PrintArea" localSheetId="0" hidden="1">'Приложение 1'!$A$7:$I$8914</definedName>
    <definedName name="Z_C563ED7E_33C9_4C22_8FE6_19FD9D780A93_.wvu.PrintTitles" localSheetId="0" hidden="1">'Приложение 1'!$7:$8</definedName>
    <definedName name="Z_C563ED7E_33C9_4C22_8FE6_19FD9D780A93_.wvu.Rows" localSheetId="0" hidden="1">'Приложение 1'!$1:$3,'Приложение 1'!#REF!,'Приложение 1'!$14:$14,'Приложение 1'!$573:$573,'Приложение 1'!$580:$580,'Приложение 1'!$587:$587,'Приложение 1'!$642:$642,'Приложение 1'!$651:$652,'Приложение 1'!$726:$726,'Приложение 1'!$733:$733</definedName>
    <definedName name="Z_C6E9A9FF_84E0_42CF_ABAD_E48161801AA8_.wvu.FilterData" localSheetId="0" hidden="1">'Приложение 1'!$A$8:$AI$569</definedName>
    <definedName name="Z_D8233CC6_A6D8_43BF_AA89_3BD7450FAC38_.wvu.Cols" localSheetId="0" hidden="1">'Приложение 1'!#REF!</definedName>
    <definedName name="Z_D8233CC6_A6D8_43BF_AA89_3BD7450FAC38_.wvu.FilterData" localSheetId="0" hidden="1">'Приложение 1'!$A$8:$AI$569</definedName>
    <definedName name="Z_D8233CC6_A6D8_43BF_AA89_3BD7450FAC38_.wvu.PrintArea" localSheetId="0" hidden="1">'Приложение 1'!$A$7:$I$8914</definedName>
    <definedName name="Z_D8233CC6_A6D8_43BF_AA89_3BD7450FAC38_.wvu.PrintTitles" localSheetId="0" hidden="1">'Приложение 1'!$7:$8</definedName>
    <definedName name="Z_D8233CC6_A6D8_43BF_AA89_3BD7450FAC38_.wvu.Rows" localSheetId="0" hidden="1">'Приложение 1'!$1:$3,'Приложение 1'!#REF!,'Приложение 1'!$14:$14,'Приложение 1'!$573:$573,'Приложение 1'!$580:$580,'Приложение 1'!$587:$587,'Приложение 1'!$642:$642,'Приложение 1'!$651:$652,'Приложение 1'!$726:$726,'Приложение 1'!$733:$733</definedName>
    <definedName name="Z_D8E75CD6_4669_4439_B9A2_CCDCA2C87298_.wvu.FilterData" localSheetId="0" hidden="1">'Приложение 1'!$A$8:$AI$569</definedName>
    <definedName name="Z_DF74B1AF_8CEC_4C17_ADAB_308035899C05_.wvu.FilterData" localSheetId="0" hidden="1">'Приложение 1'!$A$8:$AI$569</definedName>
    <definedName name="Z_DF74B1AF_8CEC_4C17_ADAB_308035899C05_.wvu.PrintArea" localSheetId="0" hidden="1">'Приложение 1'!$A$7:$I$8914</definedName>
    <definedName name="Z_DF74B1AF_8CEC_4C17_ADAB_308035899C05_.wvu.PrintTitles" localSheetId="0" hidden="1">'Приложение 1'!$7:$8</definedName>
    <definedName name="Z_DF74B1AF_8CEC_4C17_ADAB_308035899C05_.wvu.Rows" localSheetId="0" hidden="1">'Приложение 1'!$1:$3,'Приложение 1'!#REF!,'Приложение 1'!$14:$14,'Приложение 1'!$18:$210,'Приложение 1'!#REF!,'Приложение 1'!#REF!,'Приложение 1'!#REF!,'Приложение 1'!#REF!,'Приложение 1'!$573:$573,'Приложение 1'!#REF!,'Приложение 1'!$580:$580,'Приложение 1'!#REF!,'Приложение 1'!$587:$587,'Приложение 1'!#REF!,'Приложение 1'!#REF!,'Приложение 1'!#REF!,'Приложение 1'!$610:$641,'Приложение 1'!$642:$642,'Приложение 1'!$645:$650,'Приложение 1'!$651:$652,'Приложение 1'!$655:$659,'Приложение 1'!#REF!,'Приложение 1'!#REF!,'Приложение 1'!#REF!,'Приложение 1'!$682:$687,'Приложение 1'!#REF!,'Приложение 1'!#REF!,'Приложение 1'!#REF!,'Приложение 1'!$705:$709,'Приложение 1'!#REF!,'Приложение 1'!#REF!,'Приложение 1'!#REF!,'Приложение 1'!#REF!,'Приложение 1'!$726:$726,'Приложение 1'!#REF!,'Приложение 1'!$733:$733,'Приложение 1'!#REF!,'Приложение 1'!#REF!,'Приложение 1'!$744:$746,'Приложение 1'!#REF!,'Приложение 1'!#REF!,'Приложение 1'!#REF!,'Приложение 1'!$761:$775,'Приложение 1'!#REF!,'Приложение 1'!$782:$785,'Приложение 1'!$788:$883,'Приложение 1'!$886:$900,'Приложение 1'!#REF!,'Приложение 1'!$907:$920,'Приложение 1'!#REF!,'Приложение 1'!$927:$944,'Приложение 1'!#REF!,'Приложение 1'!#REF!,'Приложение 1'!#REF!,'Приложение 1'!#REF!,'Приложение 1'!#REF!,'Приложение 1'!$967:$985</definedName>
    <definedName name="Z_F262C7DB_A251_4146_A7F5_8DA2FEEDB5F3_.wvu.Cols" localSheetId="0" hidden="1">'Приложение 1'!#REF!</definedName>
    <definedName name="Z_F262C7DB_A251_4146_A7F5_8DA2FEEDB5F3_.wvu.FilterData" localSheetId="0" hidden="1">'Приложение 1'!$A$1:$A$8914</definedName>
    <definedName name="Z_F262C7DB_A251_4146_A7F5_8DA2FEEDB5F3_.wvu.PrintArea" localSheetId="0" hidden="1">'Приложение 1'!$A$7:$I$8914</definedName>
    <definedName name="Z_F262C7DB_A251_4146_A7F5_8DA2FEEDB5F3_.wvu.PrintTitles" localSheetId="0" hidden="1">'Приложение 1'!$7:$8</definedName>
    <definedName name="Z_F262C7DB_A251_4146_A7F5_8DA2FEEDB5F3_.wvu.Rows" localSheetId="0" hidden="1">'Приложение 1'!$1:$3,'Приложение 1'!#REF!,'Приложение 1'!$14:$14,'Приложение 1'!$573:$573,'Приложение 1'!$580:$580,'Приложение 1'!$587:$587,'Приложение 1'!$642:$642,'Приложение 1'!$651:$652,'Приложение 1'!$726:$726,'Приложение 1'!$733:$733</definedName>
    <definedName name="Z_F4CD4C4E_93C1_47A9_9C1D_72D4D5705C17_.wvu.FilterData" localSheetId="0" hidden="1">'Приложение 1'!$A$8:$AI$569</definedName>
    <definedName name="А77">[15]Рейтинг!$A$14</definedName>
    <definedName name="БазовыйПериод">[4]Заголовок!$B$15</definedName>
    <definedName name="БС">[16]Справочники!$A$4:$A$6</definedName>
    <definedName name="в23ё">[0]!в23ё</definedName>
    <definedName name="вв">[0]!вв</definedName>
    <definedName name="вл91">'[17]11.08'!#REF!</definedName>
    <definedName name="второй">#REF!</definedName>
    <definedName name="гггр">[0]!гггр</definedName>
    <definedName name="ддд">[0]!ддд</definedName>
    <definedName name="доли1">'[18]эл ст'!$368:$368</definedName>
    <definedName name="ДРУГОЕ">[19]Справочники!$A$26:$A$28</definedName>
    <definedName name="_xlnm.Print_Titles" localSheetId="0">'Приложение 1'!$7:$8</definedName>
    <definedName name="й">[0]!й</definedName>
    <definedName name="йй">[0]!йй</definedName>
    <definedName name="йййййййййййййййййййййййй">[0]!йййййййййййййййййййййййй</definedName>
    <definedName name="кв3">[0]!кв3</definedName>
    <definedName name="квартал">[0]!квартал</definedName>
    <definedName name="ке">[0]!ке</definedName>
    <definedName name="коэф1">#REF!</definedName>
    <definedName name="коэф2">#REF!</definedName>
    <definedName name="коэф3">#REF!</definedName>
    <definedName name="коэф4">#REF!</definedName>
    <definedName name="лена">[0]!лена</definedName>
    <definedName name="лод">[0]!лод</definedName>
    <definedName name="Макрос1">#REF!</definedName>
    <definedName name="Макрос3">#REF!</definedName>
    <definedName name="Матрица__сводной___сметы_расходов_из_себестоимости_на_2009_год">'[20]Матрица 2009г.'!$C$9:$AR$156</definedName>
    <definedName name="мрпоп">[0]!P1_SCOPE_16_PRT,[0]!P2_SCOPE_16_PRT</definedName>
    <definedName name="Мс12">#REF!</definedName>
    <definedName name="мым">[0]!мым</definedName>
    <definedName name="н">P1_T2.1?Protection</definedName>
    <definedName name="_xlnm.Print_Area" localSheetId="1">'Приложение 2'!$A$1:$F$20</definedName>
    <definedName name="оро">[0]!оро</definedName>
    <definedName name="первый">#REF!</definedName>
    <definedName name="ПериодРегулирования">[4]Заголовок!$B$14</definedName>
    <definedName name="показатель">#REF!</definedName>
    <definedName name="ПоследнийГод">[4]Заголовок!$B$16</definedName>
    <definedName name="ПЭ">[19]Справочники!$A$10:$A$12</definedName>
    <definedName name="р">[0]!P5_SCOPE_PER_PRT,[0]!P6_SCOPE_PER_PRT,[0]!P7_SCOPE_PER_PRT,[0]!P8_SCOPE_PER_PRT</definedName>
    <definedName name="РГК">[19]Справочники!$A$4:$A$4</definedName>
    <definedName name="_xlnm.Recorder">#REF!</definedName>
    <definedName name="реч">[0]!реч</definedName>
    <definedName name="ропор">[0]!ропор</definedName>
    <definedName name="с">[0]!с</definedName>
    <definedName name="Собст">'[18]эл ст'!$360:$360</definedName>
    <definedName name="Собств">'[18]эл ст'!$369:$369</definedName>
    <definedName name="сс">[0]!сс</definedName>
    <definedName name="сссс">[0]!сссс</definedName>
    <definedName name="ссы">[0]!ссы</definedName>
    <definedName name="третий">#REF!</definedName>
    <definedName name="у">[0]!у</definedName>
    <definedName name="УГОЛЬ">[19]Справочники!$A$19:$A$21</definedName>
    <definedName name="ц">[0]!ц</definedName>
    <definedName name="цу">[0]!цу</definedName>
    <definedName name="четвертый">#REF!</definedName>
    <definedName name="шшшшшо">[0]!шшшшшо</definedName>
    <definedName name="ыв">[0]!ыв</definedName>
    <definedName name="ыыыы">[0]!ыыыы</definedName>
    <definedName name="яяя">[0]!яяя</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914" i="9" l="1"/>
  <c r="H8914" i="9"/>
  <c r="G8914" i="9"/>
  <c r="I8913" i="9"/>
  <c r="H8913" i="9"/>
  <c r="G8913" i="9"/>
  <c r="J8912" i="9"/>
  <c r="I8912" i="9"/>
  <c r="I8910" i="9"/>
  <c r="H8910" i="9"/>
  <c r="G8910" i="9"/>
  <c r="I8909" i="9"/>
  <c r="H8909" i="9"/>
  <c r="G8909" i="9"/>
  <c r="I8729" i="9"/>
  <c r="H8729" i="9"/>
  <c r="G8729" i="9"/>
  <c r="I8728" i="9"/>
  <c r="H8728" i="9"/>
  <c r="G8728" i="9"/>
  <c r="I8727" i="9"/>
  <c r="G8727" i="9"/>
  <c r="J8726" i="9"/>
  <c r="I8725" i="9"/>
  <c r="H8725" i="9"/>
  <c r="G8725" i="9"/>
  <c r="I8724" i="9"/>
  <c r="H8724" i="9"/>
  <c r="G8724" i="9"/>
  <c r="I1957" i="9"/>
  <c r="I1956" i="9"/>
  <c r="I1955" i="9"/>
  <c r="I1954" i="9"/>
  <c r="I1953" i="9"/>
  <c r="I1952" i="9"/>
  <c r="I1951" i="9"/>
  <c r="I1950" i="9"/>
  <c r="I1949" i="9"/>
  <c r="I1948" i="9"/>
  <c r="I1947" i="9"/>
  <c r="I1946" i="9"/>
  <c r="I1945" i="9"/>
  <c r="I1944" i="9"/>
  <c r="I1943" i="9"/>
  <c r="I1942" i="9"/>
  <c r="I1941" i="9"/>
  <c r="I1940" i="9"/>
  <c r="I1939" i="9"/>
  <c r="I1938" i="9"/>
  <c r="I1937" i="9"/>
  <c r="I1936" i="9"/>
  <c r="I1935" i="9"/>
  <c r="I1934" i="9"/>
  <c r="I1933" i="9"/>
  <c r="I1932" i="9"/>
  <c r="I1931" i="9"/>
  <c r="I1930" i="9"/>
  <c r="I1929" i="9"/>
  <c r="I1928" i="9"/>
  <c r="I1927" i="9"/>
  <c r="I1926" i="9"/>
  <c r="I1925" i="9"/>
  <c r="I1924" i="9"/>
  <c r="I1923" i="9"/>
  <c r="I1922" i="9"/>
  <c r="I1921" i="9"/>
  <c r="I1920" i="9"/>
  <c r="I1919" i="9"/>
  <c r="I1918" i="9"/>
  <c r="I1917" i="9"/>
  <c r="I1916" i="9"/>
  <c r="I1915" i="9"/>
  <c r="I1914" i="9"/>
  <c r="I1913" i="9"/>
  <c r="I1912" i="9"/>
  <c r="I1911" i="9"/>
  <c r="I1910" i="9"/>
  <c r="I1909" i="9"/>
  <c r="I1908" i="9"/>
  <c r="I1907" i="9"/>
  <c r="I1906" i="9"/>
  <c r="I1905" i="9"/>
  <c r="I1904" i="9"/>
  <c r="I1903" i="9"/>
  <c r="I1902" i="9"/>
  <c r="I1901" i="9"/>
  <c r="I1900" i="9"/>
  <c r="I1899" i="9"/>
  <c r="I1898" i="9"/>
  <c r="I1897" i="9"/>
  <c r="I1896" i="9"/>
  <c r="I1895" i="9"/>
  <c r="I1894" i="9"/>
  <c r="I1893" i="9"/>
  <c r="I1892" i="9"/>
  <c r="I1891" i="9"/>
  <c r="I1890" i="9"/>
  <c r="I1889" i="9"/>
  <c r="I1888" i="9"/>
  <c r="I1887" i="9"/>
  <c r="I1886" i="9"/>
  <c r="I1885" i="9"/>
  <c r="I1884" i="9"/>
  <c r="I1883" i="9"/>
  <c r="I1882" i="9"/>
  <c r="I1881" i="9"/>
  <c r="I1880" i="9"/>
  <c r="I1879" i="9"/>
  <c r="I1878" i="9"/>
  <c r="I1877" i="9"/>
  <c r="I1876" i="9"/>
  <c r="I1875" i="9"/>
  <c r="I1874" i="9"/>
  <c r="I1873" i="9"/>
  <c r="I1872" i="9"/>
  <c r="I1871" i="9"/>
  <c r="I1870" i="9"/>
  <c r="I1869" i="9"/>
  <c r="I1868" i="9"/>
  <c r="I1867" i="9"/>
  <c r="I1866" i="9"/>
  <c r="I1865" i="9"/>
  <c r="I1864" i="9"/>
  <c r="I1863" i="9"/>
  <c r="I1862" i="9"/>
  <c r="I1861" i="9"/>
  <c r="I1860" i="9"/>
  <c r="I1859" i="9"/>
  <c r="I1858" i="9"/>
  <c r="I1857" i="9"/>
  <c r="I1856" i="9"/>
  <c r="I1855" i="9"/>
  <c r="I1854" i="9"/>
  <c r="I1853" i="9"/>
  <c r="I1852" i="9"/>
  <c r="I1851" i="9"/>
  <c r="I1850" i="9"/>
  <c r="I1849" i="9"/>
  <c r="I1848" i="9"/>
  <c r="I1847" i="9"/>
  <c r="I1846" i="9"/>
  <c r="I1845" i="9"/>
  <c r="I1844" i="9"/>
  <c r="I1843" i="9"/>
  <c r="I1842" i="9"/>
  <c r="I1841" i="9"/>
  <c r="I1840" i="9"/>
  <c r="I1839" i="9"/>
  <c r="I1838" i="9"/>
  <c r="I1837" i="9"/>
  <c r="I1836" i="9"/>
  <c r="I1835" i="9"/>
  <c r="I1834" i="9"/>
  <c r="I1833" i="9"/>
  <c r="I1832" i="9"/>
  <c r="I1831" i="9"/>
  <c r="I1830" i="9"/>
  <c r="I1829" i="9"/>
  <c r="I1828" i="9"/>
  <c r="I1827" i="9"/>
  <c r="I1826" i="9"/>
  <c r="I1825" i="9"/>
  <c r="I1824" i="9"/>
  <c r="I1823" i="9"/>
  <c r="I1822" i="9"/>
  <c r="I1821" i="9"/>
  <c r="I1820" i="9"/>
  <c r="I1819" i="9"/>
  <c r="I1818" i="9"/>
  <c r="I1817" i="9"/>
  <c r="I1816" i="9"/>
  <c r="I1815" i="9"/>
  <c r="I1814" i="9"/>
  <c r="I1813" i="9"/>
  <c r="I1812" i="9"/>
  <c r="I1811" i="9"/>
  <c r="I1810" i="9"/>
  <c r="I1809" i="9"/>
  <c r="I1808" i="9"/>
  <c r="I1807" i="9"/>
  <c r="I1806" i="9"/>
  <c r="I1805" i="9"/>
  <c r="I1804" i="9"/>
  <c r="I1803" i="9"/>
  <c r="I1802" i="9"/>
  <c r="I1801" i="9"/>
  <c r="I1800" i="9"/>
  <c r="I1799" i="9"/>
  <c r="I1798" i="9"/>
  <c r="I1797" i="9"/>
  <c r="I1796" i="9"/>
  <c r="I1795" i="9"/>
  <c r="I1794" i="9"/>
  <c r="I1793" i="9"/>
  <c r="I1792" i="9"/>
  <c r="I1791" i="9"/>
  <c r="I1790" i="9"/>
  <c r="I1789" i="9"/>
  <c r="I1788" i="9"/>
  <c r="I1787" i="9"/>
  <c r="I1786" i="9"/>
  <c r="I1785" i="9"/>
  <c r="I1784" i="9"/>
  <c r="I1783" i="9"/>
  <c r="I1782" i="9"/>
  <c r="I1781" i="9"/>
  <c r="I1780" i="9"/>
  <c r="I1779" i="9"/>
  <c r="I1778" i="9"/>
  <c r="I1777" i="9"/>
  <c r="I1776" i="9"/>
  <c r="I1775" i="9"/>
  <c r="I1774" i="9"/>
  <c r="I1773" i="9"/>
  <c r="I1772" i="9"/>
  <c r="I1771" i="9"/>
  <c r="I1770" i="9"/>
  <c r="I1769" i="9"/>
  <c r="I1768" i="9"/>
  <c r="I1767" i="9"/>
  <c r="I1766" i="9"/>
  <c r="I1765" i="9"/>
  <c r="I1764" i="9"/>
  <c r="I1763" i="9"/>
  <c r="I1762" i="9"/>
  <c r="I1761" i="9"/>
  <c r="I1760" i="9"/>
  <c r="I1759" i="9"/>
  <c r="I1758" i="9"/>
  <c r="I1757" i="9"/>
  <c r="I1756" i="9"/>
  <c r="I1755" i="9"/>
  <c r="I1754" i="9"/>
  <c r="I1753" i="9"/>
  <c r="I1752" i="9"/>
  <c r="I1751" i="9"/>
  <c r="I1750" i="9"/>
  <c r="I1749" i="9"/>
  <c r="I1748" i="9"/>
  <c r="I1747" i="9"/>
  <c r="I1746" i="9"/>
  <c r="I1745" i="9"/>
  <c r="I1744" i="9"/>
  <c r="I1743" i="9"/>
  <c r="I1742" i="9"/>
  <c r="I1741" i="9"/>
  <c r="I1740" i="9"/>
  <c r="I1739" i="9"/>
  <c r="I1738" i="9"/>
  <c r="I1737" i="9"/>
  <c r="I1736" i="9"/>
  <c r="I1735" i="9"/>
  <c r="I1734" i="9"/>
  <c r="I1733" i="9"/>
  <c r="I1732" i="9"/>
  <c r="I1731" i="9"/>
  <c r="I1730" i="9"/>
  <c r="I1729" i="9"/>
  <c r="I1728" i="9"/>
  <c r="I1727" i="9"/>
  <c r="I1726" i="9"/>
  <c r="I1725" i="9"/>
  <c r="I1724" i="9"/>
  <c r="I1723" i="9"/>
  <c r="I1722" i="9"/>
  <c r="I1721" i="9"/>
  <c r="I1720" i="9"/>
  <c r="I1719" i="9"/>
  <c r="I1718" i="9"/>
  <c r="I1717" i="9"/>
  <c r="I1716" i="9"/>
  <c r="I1715" i="9"/>
  <c r="I1714" i="9"/>
  <c r="I1713" i="9"/>
  <c r="I1712" i="9"/>
  <c r="I1711" i="9"/>
  <c r="I1710" i="9"/>
  <c r="I1709" i="9"/>
  <c r="I1708" i="9"/>
  <c r="I1707" i="9"/>
  <c r="I1706" i="9"/>
  <c r="I1705" i="9"/>
  <c r="I1704" i="9"/>
  <c r="I1703" i="9"/>
  <c r="I1702" i="9"/>
  <c r="I1701" i="9"/>
  <c r="I1700" i="9"/>
  <c r="I1699" i="9"/>
  <c r="I1698" i="9"/>
  <c r="I1697" i="9"/>
  <c r="I1696" i="9"/>
  <c r="I1695" i="9"/>
  <c r="I1694" i="9"/>
  <c r="I1693" i="9"/>
  <c r="I1692" i="9"/>
  <c r="I1691" i="9"/>
  <c r="I1690" i="9"/>
  <c r="I1689" i="9"/>
  <c r="I1688" i="9"/>
  <c r="I1687" i="9"/>
  <c r="I1686" i="9"/>
  <c r="I1685" i="9"/>
  <c r="I1684" i="9"/>
  <c r="I1683" i="9"/>
  <c r="I1682" i="9"/>
  <c r="I1681" i="9"/>
  <c r="I1680" i="9"/>
  <c r="I1679" i="9"/>
  <c r="I1678" i="9"/>
  <c r="I1677" i="9"/>
  <c r="I1676" i="9"/>
  <c r="I1675" i="9"/>
  <c r="I1674" i="9"/>
  <c r="I1673" i="9"/>
  <c r="I1672" i="9"/>
  <c r="I1671" i="9"/>
  <c r="I1670" i="9"/>
  <c r="I1669" i="9"/>
  <c r="I1668" i="9"/>
  <c r="I1667" i="9"/>
  <c r="I1666" i="9"/>
  <c r="I1665" i="9"/>
  <c r="I1664" i="9"/>
  <c r="I1663" i="9"/>
  <c r="I1662" i="9"/>
  <c r="I1661" i="9"/>
  <c r="I1660" i="9"/>
  <c r="I1659" i="9"/>
  <c r="I1658" i="9"/>
  <c r="I1657" i="9"/>
  <c r="I1656" i="9"/>
  <c r="I1655" i="9"/>
  <c r="I1654" i="9"/>
  <c r="I1653" i="9"/>
  <c r="I1652" i="9"/>
  <c r="I1651" i="9"/>
  <c r="I1650" i="9"/>
  <c r="I1649" i="9"/>
  <c r="I1648" i="9"/>
  <c r="I1647" i="9"/>
  <c r="I1646" i="9"/>
  <c r="I1645" i="9"/>
  <c r="I1644" i="9"/>
  <c r="I1643" i="9"/>
  <c r="I1642" i="9"/>
  <c r="I1641" i="9"/>
  <c r="I1640" i="9"/>
  <c r="I1639" i="9"/>
  <c r="I1638" i="9"/>
  <c r="I1637" i="9"/>
  <c r="I1636" i="9"/>
  <c r="I1635" i="9"/>
  <c r="I1634" i="9"/>
  <c r="I1633" i="9"/>
  <c r="I1632" i="9"/>
  <c r="I1631" i="9"/>
  <c r="I1630" i="9"/>
  <c r="I1629" i="9"/>
  <c r="I1628" i="9"/>
  <c r="I1627" i="9"/>
  <c r="I1626" i="9"/>
  <c r="I1625" i="9"/>
  <c r="I1624" i="9"/>
  <c r="I1623" i="9"/>
  <c r="I1622" i="9"/>
  <c r="I1621" i="9"/>
  <c r="I1620" i="9"/>
  <c r="I1619" i="9"/>
  <c r="I1618" i="9"/>
  <c r="I1617" i="9"/>
  <c r="I1616" i="9"/>
  <c r="I1615" i="9"/>
  <c r="I1614" i="9"/>
  <c r="I1613" i="9"/>
  <c r="I1612" i="9"/>
  <c r="I1611" i="9"/>
  <c r="I1610" i="9"/>
  <c r="I1609" i="9"/>
  <c r="I1608" i="9"/>
  <c r="I1607" i="9"/>
  <c r="I1606" i="9"/>
  <c r="I1605" i="9"/>
  <c r="I1604" i="9"/>
  <c r="I1603" i="9"/>
  <c r="I1602" i="9"/>
  <c r="I1601" i="9"/>
  <c r="I1600" i="9"/>
  <c r="I1599" i="9"/>
  <c r="I1598" i="9"/>
  <c r="I1597" i="9"/>
  <c r="I1596" i="9"/>
  <c r="I1595" i="9"/>
  <c r="I1594" i="9"/>
  <c r="I1593" i="9"/>
  <c r="I1592" i="9"/>
  <c r="I1591" i="9"/>
  <c r="I1590" i="9"/>
  <c r="I1589" i="9"/>
  <c r="I1588" i="9"/>
  <c r="I1587" i="9"/>
  <c r="I1586" i="9"/>
  <c r="I1585" i="9"/>
  <c r="I1584" i="9"/>
  <c r="I1583" i="9"/>
  <c r="I1582" i="9"/>
  <c r="I1581" i="9"/>
  <c r="I1580" i="9"/>
  <c r="I1579" i="9"/>
  <c r="I1578" i="9"/>
  <c r="I1577" i="9"/>
  <c r="I1576" i="9"/>
  <c r="I1575" i="9"/>
  <c r="I1574" i="9"/>
  <c r="I1573" i="9"/>
  <c r="I1572" i="9"/>
  <c r="I1571" i="9"/>
  <c r="I1570" i="9"/>
  <c r="I1569" i="9"/>
  <c r="I1568" i="9"/>
  <c r="I1567" i="9"/>
  <c r="I1566" i="9"/>
  <c r="I1565" i="9"/>
  <c r="I1564" i="9"/>
  <c r="I1563" i="9"/>
  <c r="I1562" i="9"/>
  <c r="I1561" i="9"/>
  <c r="I1560" i="9"/>
  <c r="I1559" i="9"/>
  <c r="I1558" i="9"/>
  <c r="I1557" i="9"/>
  <c r="I1556" i="9"/>
  <c r="I1555" i="9"/>
  <c r="I1554" i="9"/>
  <c r="I1553" i="9"/>
  <c r="I1552" i="9"/>
  <c r="I1551" i="9"/>
  <c r="I1550" i="9"/>
  <c r="I1549" i="9"/>
  <c r="I1548" i="9"/>
  <c r="I1547" i="9"/>
  <c r="I1546" i="9"/>
  <c r="I1545" i="9"/>
  <c r="I1544" i="9"/>
  <c r="I1543" i="9"/>
  <c r="I1542" i="9"/>
  <c r="I1541" i="9"/>
  <c r="I1540" i="9"/>
  <c r="I1539" i="9"/>
  <c r="I1538" i="9"/>
  <c r="I1537" i="9"/>
  <c r="I1536" i="9"/>
  <c r="I1535" i="9"/>
  <c r="I1534" i="9"/>
  <c r="I1533" i="9"/>
  <c r="I1532" i="9"/>
  <c r="I1531" i="9"/>
  <c r="I1530" i="9"/>
  <c r="I1529" i="9"/>
  <c r="I1528" i="9"/>
  <c r="I1527" i="9"/>
  <c r="I1526" i="9"/>
  <c r="I1525" i="9"/>
  <c r="I1524" i="9"/>
  <c r="I1523" i="9"/>
  <c r="I1522" i="9"/>
  <c r="I1521" i="9"/>
  <c r="I1520" i="9"/>
  <c r="I1519" i="9"/>
  <c r="I1518" i="9"/>
  <c r="I1517" i="9"/>
  <c r="I1516" i="9"/>
  <c r="I1515" i="9"/>
  <c r="I1514" i="9"/>
  <c r="I1513" i="9"/>
  <c r="I1512" i="9"/>
  <c r="I1511" i="9"/>
  <c r="I1510" i="9"/>
  <c r="I1509" i="9"/>
  <c r="I1508" i="9"/>
  <c r="I1507" i="9"/>
  <c r="I1506" i="9"/>
  <c r="I1505" i="9"/>
  <c r="I1504" i="9"/>
  <c r="I1503" i="9"/>
  <c r="I1502" i="9"/>
  <c r="I1501" i="9"/>
  <c r="I1500" i="9"/>
  <c r="I1499" i="9"/>
  <c r="I1498" i="9"/>
  <c r="I1497" i="9"/>
  <c r="I1496" i="9"/>
  <c r="I1495" i="9"/>
  <c r="I1494" i="9"/>
  <c r="I1493" i="9"/>
  <c r="I1492" i="9"/>
  <c r="I1491" i="9"/>
  <c r="I1490" i="9"/>
  <c r="I1489" i="9"/>
  <c r="I1488" i="9"/>
  <c r="I1487" i="9"/>
  <c r="I1486" i="9"/>
  <c r="I1485" i="9"/>
  <c r="I1484" i="9"/>
  <c r="I1483" i="9"/>
  <c r="I1482" i="9"/>
  <c r="I1481" i="9"/>
  <c r="I1480" i="9"/>
  <c r="I1479" i="9"/>
  <c r="I1478" i="9"/>
  <c r="I1477" i="9"/>
  <c r="I1476" i="9"/>
  <c r="I1475" i="9"/>
  <c r="I1474" i="9"/>
  <c r="I1473" i="9"/>
  <c r="I1472" i="9"/>
  <c r="I1471" i="9"/>
  <c r="I1470" i="9"/>
  <c r="I1469" i="9"/>
  <c r="I1468" i="9"/>
  <c r="I1467" i="9"/>
  <c r="I1466" i="9"/>
  <c r="I1465" i="9"/>
  <c r="I1464" i="9"/>
  <c r="I1463" i="9"/>
  <c r="I1462" i="9"/>
  <c r="I1461" i="9"/>
  <c r="I1460" i="9"/>
  <c r="I1459" i="9"/>
  <c r="I1458" i="9"/>
  <c r="I1457" i="9"/>
  <c r="I1456" i="9"/>
  <c r="I1455" i="9"/>
  <c r="I1454" i="9"/>
  <c r="I1453" i="9"/>
  <c r="I1452" i="9"/>
  <c r="I1451" i="9"/>
  <c r="I1450" i="9"/>
  <c r="I1449" i="9"/>
  <c r="I1448" i="9"/>
  <c r="I1447" i="9"/>
  <c r="I1446" i="9"/>
  <c r="I1445" i="9"/>
  <c r="I1444" i="9"/>
  <c r="I1443" i="9"/>
  <c r="I1442" i="9"/>
  <c r="I1441" i="9"/>
  <c r="I1440" i="9"/>
  <c r="I1439" i="9"/>
  <c r="I1438" i="9"/>
  <c r="I1437" i="9"/>
  <c r="I1436" i="9"/>
  <c r="I1435" i="9"/>
  <c r="I1434" i="9"/>
  <c r="I1433" i="9"/>
  <c r="I1432" i="9"/>
  <c r="I1431" i="9"/>
  <c r="I1430" i="9"/>
  <c r="I1429" i="9"/>
  <c r="I1428" i="9"/>
  <c r="I1427" i="9"/>
  <c r="I1426" i="9"/>
  <c r="I1425" i="9"/>
  <c r="I1424" i="9"/>
  <c r="I1423" i="9"/>
  <c r="I1422" i="9"/>
  <c r="I1421" i="9"/>
  <c r="I1420" i="9"/>
  <c r="I1419" i="9"/>
  <c r="I1418" i="9"/>
  <c r="I1417" i="9"/>
  <c r="I1416" i="9"/>
  <c r="I1415" i="9"/>
  <c r="I1414" i="9"/>
  <c r="I1413" i="9"/>
  <c r="I1412" i="9"/>
  <c r="I1411" i="9"/>
  <c r="I1410" i="9"/>
  <c r="I1409" i="9"/>
  <c r="I1408" i="9"/>
  <c r="I1407" i="9"/>
  <c r="I1406" i="9"/>
  <c r="I1405" i="9"/>
  <c r="I1404" i="9"/>
  <c r="I1403" i="9"/>
  <c r="I1402" i="9"/>
  <c r="I1401" i="9"/>
  <c r="I1400" i="9"/>
  <c r="I1399" i="9"/>
  <c r="I1398" i="9"/>
  <c r="I1397" i="9"/>
  <c r="I1396" i="9"/>
  <c r="I1395" i="9"/>
  <c r="I1394" i="9"/>
  <c r="I1393" i="9"/>
  <c r="I1392" i="9"/>
  <c r="I1391" i="9"/>
  <c r="I1390" i="9"/>
  <c r="I1389" i="9"/>
  <c r="I1388" i="9"/>
  <c r="I1387" i="9"/>
  <c r="I1386" i="9"/>
  <c r="I1385" i="9"/>
  <c r="I1384" i="9"/>
  <c r="I1383" i="9"/>
  <c r="I1382" i="9"/>
  <c r="I1381" i="9"/>
  <c r="I1380" i="9"/>
  <c r="I1379" i="9"/>
  <c r="I1378" i="9"/>
  <c r="I1377" i="9"/>
  <c r="I1376" i="9"/>
  <c r="I1375" i="9"/>
  <c r="I1374" i="9"/>
  <c r="I1373" i="9"/>
  <c r="I1372" i="9"/>
  <c r="I1371" i="9"/>
  <c r="I1370" i="9"/>
  <c r="I1369" i="9"/>
  <c r="I1368" i="9"/>
  <c r="I1367" i="9"/>
  <c r="I1366" i="9"/>
  <c r="I1365" i="9"/>
  <c r="I1364" i="9"/>
  <c r="I1363" i="9"/>
  <c r="I1362" i="9"/>
  <c r="I1361" i="9"/>
  <c r="I1360" i="9"/>
  <c r="I1359" i="9"/>
  <c r="I1358" i="9"/>
  <c r="I1357" i="9"/>
  <c r="I1356" i="9"/>
  <c r="I1355" i="9"/>
  <c r="I1354" i="9"/>
  <c r="I1353" i="9"/>
  <c r="I1352" i="9"/>
  <c r="I1351" i="9"/>
  <c r="I1350" i="9"/>
  <c r="I1349" i="9"/>
  <c r="I1348" i="9"/>
  <c r="I1347" i="9"/>
  <c r="I1346" i="9"/>
  <c r="I1345" i="9"/>
  <c r="I1344" i="9"/>
  <c r="I1343" i="9"/>
  <c r="I1342" i="9"/>
  <c r="I1341" i="9"/>
  <c r="I1340" i="9"/>
  <c r="I1339" i="9"/>
  <c r="I1338" i="9"/>
  <c r="I1337" i="9"/>
  <c r="I1336" i="9"/>
  <c r="I1335" i="9"/>
  <c r="I1334" i="9"/>
  <c r="I1333" i="9"/>
  <c r="I1332" i="9"/>
  <c r="I1331" i="9"/>
  <c r="I1330" i="9"/>
  <c r="I1329" i="9"/>
  <c r="I1328" i="9"/>
  <c r="I1327" i="9"/>
  <c r="I1326" i="9"/>
  <c r="I1325" i="9"/>
  <c r="I1324" i="9"/>
  <c r="I1323" i="9"/>
  <c r="I1322" i="9"/>
  <c r="I1321" i="9"/>
  <c r="I1320" i="9"/>
  <c r="I1319" i="9"/>
  <c r="I1318" i="9"/>
  <c r="I1317" i="9"/>
  <c r="I1316" i="9"/>
  <c r="I1315" i="9"/>
  <c r="I1314" i="9"/>
  <c r="I1313" i="9"/>
  <c r="I1312" i="9"/>
  <c r="I1311" i="9"/>
  <c r="I1310" i="9"/>
  <c r="I1309" i="9"/>
  <c r="I1308" i="9"/>
  <c r="I1307" i="9"/>
  <c r="I1306" i="9"/>
  <c r="I1305" i="9"/>
  <c r="I1304" i="9"/>
  <c r="I1303" i="9"/>
  <c r="I1302" i="9"/>
  <c r="I1301" i="9"/>
  <c r="I1300" i="9"/>
  <c r="I1299" i="9"/>
  <c r="I1298" i="9"/>
  <c r="I1297" i="9"/>
  <c r="I1296" i="9"/>
  <c r="I1295" i="9"/>
  <c r="I1294" i="9"/>
  <c r="I1293" i="9"/>
  <c r="I1292" i="9"/>
  <c r="I1291" i="9"/>
  <c r="I1290" i="9"/>
  <c r="I1289" i="9"/>
  <c r="I1288" i="9"/>
  <c r="I1287" i="9"/>
  <c r="I1286" i="9"/>
  <c r="I1285" i="9"/>
  <c r="I1284" i="9"/>
  <c r="I1283" i="9"/>
  <c r="I1282" i="9"/>
  <c r="I1281" i="9"/>
  <c r="I1280" i="9"/>
  <c r="I1279" i="9"/>
  <c r="I1278" i="9"/>
  <c r="I1277" i="9"/>
  <c r="I1276" i="9"/>
  <c r="I1275" i="9"/>
  <c r="I1274" i="9"/>
  <c r="I1273" i="9"/>
  <c r="I1272" i="9"/>
  <c r="I1271" i="9"/>
  <c r="I1270" i="9"/>
  <c r="I1269" i="9"/>
  <c r="I1268" i="9"/>
  <c r="I1267" i="9"/>
  <c r="I1266" i="9"/>
  <c r="I1265" i="9"/>
  <c r="I1264" i="9"/>
  <c r="I1263" i="9"/>
  <c r="I1262" i="9"/>
  <c r="I1261" i="9"/>
  <c r="I1260" i="9"/>
  <c r="I1259" i="9"/>
  <c r="I1258" i="9"/>
  <c r="I1257" i="9"/>
  <c r="I1256" i="9"/>
  <c r="I1255" i="9"/>
  <c r="I1254" i="9"/>
  <c r="I1253" i="9"/>
  <c r="I1252" i="9"/>
  <c r="I1251" i="9"/>
  <c r="I1250" i="9"/>
  <c r="I1249" i="9"/>
  <c r="I1248" i="9"/>
  <c r="I1247" i="9"/>
  <c r="I1246" i="9"/>
  <c r="I1245" i="9"/>
  <c r="I1244" i="9"/>
  <c r="I1243" i="9"/>
  <c r="I1242" i="9"/>
  <c r="I1241" i="9"/>
  <c r="I1240" i="9"/>
  <c r="I1239" i="9"/>
  <c r="I1238" i="9"/>
  <c r="I1237" i="9"/>
  <c r="I1236" i="9"/>
  <c r="I1235" i="9"/>
  <c r="I1234" i="9"/>
  <c r="I1233" i="9"/>
  <c r="I1232" i="9"/>
  <c r="I1231" i="9"/>
  <c r="I1230" i="9"/>
  <c r="I1229" i="9"/>
  <c r="I1228" i="9"/>
  <c r="I1227" i="9"/>
  <c r="I1226" i="9"/>
  <c r="I1225" i="9"/>
  <c r="I1224" i="9"/>
  <c r="I1223" i="9"/>
  <c r="I1222" i="9"/>
  <c r="I1221" i="9"/>
  <c r="I1220" i="9"/>
  <c r="I1219" i="9"/>
  <c r="I1218" i="9"/>
  <c r="I1217" i="9"/>
  <c r="I1216" i="9"/>
  <c r="I1215" i="9"/>
  <c r="I1214" i="9"/>
  <c r="I1213" i="9"/>
  <c r="I1212" i="9"/>
  <c r="I1211" i="9"/>
  <c r="I1210" i="9"/>
  <c r="I1209" i="9"/>
  <c r="I1208" i="9"/>
  <c r="I1207" i="9"/>
  <c r="I1206" i="9"/>
  <c r="I1205" i="9"/>
  <c r="I1204" i="9"/>
  <c r="I1203" i="9"/>
  <c r="I1202" i="9"/>
  <c r="I1201" i="9"/>
  <c r="I1200" i="9"/>
  <c r="I1199" i="9"/>
  <c r="I1198" i="9"/>
  <c r="I1197" i="9"/>
  <c r="I1196" i="9"/>
  <c r="I1195" i="9"/>
  <c r="I1194" i="9"/>
  <c r="I1193" i="9"/>
  <c r="I1192" i="9"/>
  <c r="I1191" i="9"/>
  <c r="I1190" i="9"/>
  <c r="I1189" i="9"/>
  <c r="I1188" i="9"/>
  <c r="I1187" i="9"/>
  <c r="I1186" i="9"/>
  <c r="I1185" i="9"/>
  <c r="I1184" i="9"/>
  <c r="I1183" i="9"/>
  <c r="I1182" i="9"/>
  <c r="I1181" i="9"/>
  <c r="I1180" i="9"/>
  <c r="I1179" i="9"/>
  <c r="I1178" i="9"/>
  <c r="I1177" i="9"/>
  <c r="I1176" i="9"/>
  <c r="I1175" i="9"/>
  <c r="I1174" i="9"/>
  <c r="I1173" i="9"/>
  <c r="I1172" i="9"/>
  <c r="I1171" i="9"/>
  <c r="I1170" i="9"/>
  <c r="I1169" i="9"/>
  <c r="I1168" i="9"/>
  <c r="I1167" i="9"/>
  <c r="I1166" i="9"/>
  <c r="I1165" i="9"/>
  <c r="I1164" i="9"/>
  <c r="I1163" i="9"/>
  <c r="I1162" i="9"/>
  <c r="I1161" i="9"/>
  <c r="I1160" i="9"/>
  <c r="I1159" i="9"/>
  <c r="I1158" i="9"/>
  <c r="I1157" i="9"/>
  <c r="I1156" i="9"/>
  <c r="I1155" i="9"/>
  <c r="I1154" i="9"/>
  <c r="I1153" i="9"/>
  <c r="I1152" i="9"/>
  <c r="I1151" i="9"/>
  <c r="I1150" i="9"/>
  <c r="I1149" i="9"/>
  <c r="I1148" i="9"/>
  <c r="I1147" i="9"/>
  <c r="I1146" i="9"/>
  <c r="I1145" i="9"/>
  <c r="I1144" i="9"/>
  <c r="I1143" i="9"/>
  <c r="I1142" i="9"/>
  <c r="I1141" i="9"/>
  <c r="I1140" i="9"/>
  <c r="I1139" i="9"/>
  <c r="I1138" i="9"/>
  <c r="I1137" i="9"/>
  <c r="I1136" i="9"/>
  <c r="I1135" i="9"/>
  <c r="I1134" i="9"/>
  <c r="I1133" i="9"/>
  <c r="I1132" i="9"/>
  <c r="I1131" i="9"/>
  <c r="I1130" i="9"/>
  <c r="I1129" i="9"/>
  <c r="I1128" i="9"/>
  <c r="I1127" i="9"/>
  <c r="I1126" i="9"/>
  <c r="I1125" i="9"/>
  <c r="I1124" i="9"/>
  <c r="I1123" i="9"/>
  <c r="I1122" i="9"/>
  <c r="I1121" i="9"/>
  <c r="I1120" i="9"/>
  <c r="I1119" i="9"/>
  <c r="I1118" i="9"/>
  <c r="I1117" i="9"/>
  <c r="I1116" i="9"/>
  <c r="I1115" i="9"/>
  <c r="I1114" i="9"/>
  <c r="I1113" i="9"/>
  <c r="I1112" i="9"/>
  <c r="I1111" i="9"/>
  <c r="I1110" i="9"/>
  <c r="I1109" i="9"/>
  <c r="I1108" i="9"/>
  <c r="I1107" i="9"/>
  <c r="I1106" i="9"/>
  <c r="I1105" i="9"/>
  <c r="I1104" i="9"/>
  <c r="I1103" i="9"/>
  <c r="I1102" i="9"/>
  <c r="I1101" i="9"/>
  <c r="I1100" i="9"/>
  <c r="I1099" i="9"/>
  <c r="I1098" i="9"/>
  <c r="I1097" i="9"/>
  <c r="I1096" i="9"/>
  <c r="I1095" i="9"/>
  <c r="I1094" i="9"/>
  <c r="I1093" i="9"/>
  <c r="I1092" i="9"/>
  <c r="I1091" i="9"/>
  <c r="I1090" i="9"/>
  <c r="I1089" i="9"/>
  <c r="I1088" i="9"/>
  <c r="I1087" i="9"/>
  <c r="I1086" i="9"/>
  <c r="I1085" i="9"/>
  <c r="I1084" i="9"/>
  <c r="I1083" i="9"/>
  <c r="I1082" i="9"/>
  <c r="I1081" i="9"/>
  <c r="I1080" i="9"/>
  <c r="I1079" i="9"/>
  <c r="I1078" i="9"/>
  <c r="I1077" i="9"/>
  <c r="I1076" i="9"/>
  <c r="I1075" i="9"/>
  <c r="I1074" i="9"/>
  <c r="I1073" i="9"/>
  <c r="I1072" i="9"/>
  <c r="I1071" i="9"/>
  <c r="I1070" i="9"/>
  <c r="I1069" i="9"/>
  <c r="I1068" i="9"/>
  <c r="I1067" i="9"/>
  <c r="I1066" i="9"/>
  <c r="I1065" i="9"/>
  <c r="I1064" i="9"/>
  <c r="I1063" i="9"/>
  <c r="I1062" i="9"/>
  <c r="I1061" i="9"/>
  <c r="I1060" i="9"/>
  <c r="I1059" i="9"/>
  <c r="I1058" i="9"/>
  <c r="I1057" i="9"/>
  <c r="I1056" i="9"/>
  <c r="I1055" i="9"/>
  <c r="I1054" i="9"/>
  <c r="I1053" i="9"/>
  <c r="I1052" i="9"/>
  <c r="I1051" i="9"/>
  <c r="I1050" i="9"/>
  <c r="I1049" i="9"/>
  <c r="I1048" i="9"/>
  <c r="I1047" i="9"/>
  <c r="I1046" i="9"/>
  <c r="I1045" i="9"/>
  <c r="I1044" i="9"/>
  <c r="I1043" i="9"/>
  <c r="I1042" i="9"/>
  <c r="I1041" i="9"/>
  <c r="I1040" i="9"/>
  <c r="I1039" i="9"/>
  <c r="I1038" i="9"/>
  <c r="I1037" i="9"/>
  <c r="I1036" i="9"/>
  <c r="I1035" i="9"/>
  <c r="I1034" i="9"/>
  <c r="I1033" i="9"/>
  <c r="I1032" i="9"/>
  <c r="I1031" i="9"/>
  <c r="I1030" i="9"/>
  <c r="I1029" i="9"/>
  <c r="I1028" i="9"/>
  <c r="I1027" i="9"/>
  <c r="I1026" i="9"/>
  <c r="I1025" i="9"/>
  <c r="I1024" i="9"/>
  <c r="I1023" i="9"/>
  <c r="I1022" i="9"/>
  <c r="I1021" i="9"/>
  <c r="I1020" i="9"/>
  <c r="I1019" i="9"/>
  <c r="I1018" i="9"/>
  <c r="I1017" i="9"/>
  <c r="I1016" i="9"/>
  <c r="I1015" i="9"/>
  <c r="I1014" i="9"/>
  <c r="I1013" i="9"/>
  <c r="I1012" i="9"/>
  <c r="I1011" i="9"/>
  <c r="I1010" i="9"/>
  <c r="I1009" i="9"/>
  <c r="I1008" i="9"/>
  <c r="I1007" i="9"/>
  <c r="I1006" i="9"/>
  <c r="I1005" i="9"/>
  <c r="I1004" i="9"/>
  <c r="I1003" i="9"/>
  <c r="I1002" i="9"/>
  <c r="I1001" i="9"/>
  <c r="I1000" i="9"/>
  <c r="I999" i="9"/>
  <c r="I997" i="9"/>
  <c r="H997" i="9"/>
  <c r="G997" i="9"/>
  <c r="I996" i="9"/>
  <c r="H996" i="9"/>
  <c r="G996" i="9"/>
  <c r="J995" i="9"/>
  <c r="I995" i="9"/>
  <c r="I992" i="9"/>
  <c r="H992" i="9"/>
  <c r="G992" i="9"/>
  <c r="I991" i="9"/>
  <c r="H991" i="9"/>
  <c r="G991" i="9"/>
  <c r="J990" i="9"/>
  <c r="I990" i="9"/>
  <c r="I966" i="9"/>
  <c r="H966" i="9"/>
  <c r="G966" i="9"/>
  <c r="I965" i="9"/>
  <c r="H965" i="9"/>
  <c r="G965" i="9"/>
  <c r="G964" i="9"/>
  <c r="I964" i="9" s="1"/>
  <c r="J963" i="9"/>
  <c r="I962" i="9"/>
  <c r="H962" i="9"/>
  <c r="G962" i="9"/>
  <c r="I961" i="9"/>
  <c r="H961" i="9"/>
  <c r="G961" i="9"/>
  <c r="J959" i="9"/>
  <c r="I960" i="9" s="1"/>
  <c r="I958" i="9"/>
  <c r="H958" i="9"/>
  <c r="G958" i="9"/>
  <c r="I957" i="9"/>
  <c r="H957" i="9"/>
  <c r="G957" i="9"/>
  <c r="J955" i="9"/>
  <c r="I956" i="9" s="1"/>
  <c r="I954" i="9"/>
  <c r="H954" i="9"/>
  <c r="G954" i="9"/>
  <c r="I953" i="9"/>
  <c r="H953" i="9"/>
  <c r="G953" i="9"/>
  <c r="J951" i="9"/>
  <c r="I952" i="9" s="1"/>
  <c r="I950" i="9"/>
  <c r="H950" i="9"/>
  <c r="G950" i="9"/>
  <c r="I949" i="9"/>
  <c r="H949" i="9"/>
  <c r="G949" i="9"/>
  <c r="J947" i="9"/>
  <c r="I948" i="9" s="1"/>
  <c r="I946" i="9"/>
  <c r="H946" i="9"/>
  <c r="G946" i="9"/>
  <c r="I945" i="9"/>
  <c r="H945" i="9"/>
  <c r="G945" i="9"/>
  <c r="I926" i="9"/>
  <c r="H926" i="9"/>
  <c r="G926" i="9"/>
  <c r="I925" i="9"/>
  <c r="H925" i="9"/>
  <c r="G925" i="9"/>
  <c r="I924" i="9"/>
  <c r="J923" i="9"/>
  <c r="I922" i="9"/>
  <c r="H922" i="9"/>
  <c r="G922" i="9"/>
  <c r="I921" i="9"/>
  <c r="H921" i="9"/>
  <c r="G921" i="9"/>
  <c r="I906" i="9"/>
  <c r="H906" i="9"/>
  <c r="G906" i="9"/>
  <c r="I905" i="9"/>
  <c r="H905" i="9"/>
  <c r="G905" i="9"/>
  <c r="J903" i="9"/>
  <c r="I904" i="9" s="1"/>
  <c r="I902" i="9"/>
  <c r="H902" i="9"/>
  <c r="G902" i="9"/>
  <c r="I901" i="9"/>
  <c r="H901" i="9"/>
  <c r="G901" i="9"/>
  <c r="I885" i="9"/>
  <c r="H885" i="9"/>
  <c r="G885" i="9"/>
  <c r="I884" i="9"/>
  <c r="H884" i="9"/>
  <c r="G884" i="9"/>
  <c r="I798" i="9"/>
  <c r="I797" i="9"/>
  <c r="I796" i="9"/>
  <c r="I795" i="9"/>
  <c r="I794" i="9"/>
  <c r="I793" i="9"/>
  <c r="I792" i="9"/>
  <c r="I791" i="9"/>
  <c r="I790" i="9"/>
  <c r="I789" i="9"/>
  <c r="I786" i="9" s="1"/>
  <c r="I787" i="9"/>
  <c r="H787" i="9"/>
  <c r="G787" i="9"/>
  <c r="H786" i="9"/>
  <c r="G786" i="9"/>
  <c r="I781" i="9"/>
  <c r="H781" i="9"/>
  <c r="G781" i="9"/>
  <c r="I780" i="9"/>
  <c r="H780" i="9"/>
  <c r="G780" i="9"/>
  <c r="J778" i="9"/>
  <c r="I779" i="9" s="1"/>
  <c r="I777" i="9"/>
  <c r="H777" i="9"/>
  <c r="G777" i="9"/>
  <c r="I776" i="9"/>
  <c r="H776" i="9"/>
  <c r="G776" i="9"/>
  <c r="I760" i="9"/>
  <c r="H760" i="9"/>
  <c r="G760" i="9"/>
  <c r="I759" i="9"/>
  <c r="H759" i="9"/>
  <c r="G759" i="9"/>
  <c r="I758" i="9"/>
  <c r="J757" i="9"/>
  <c r="I756" i="9"/>
  <c r="H756" i="9"/>
  <c r="G756" i="9"/>
  <c r="I755" i="9"/>
  <c r="H755" i="9"/>
  <c r="G755" i="9"/>
  <c r="I753" i="9"/>
  <c r="H753" i="9"/>
  <c r="G753" i="9"/>
  <c r="I752" i="9"/>
  <c r="H752" i="9"/>
  <c r="G752" i="9"/>
  <c r="J750" i="9"/>
  <c r="I751" i="9" s="1"/>
  <c r="I748" i="9"/>
  <c r="H748" i="9"/>
  <c r="G748" i="9"/>
  <c r="I747" i="9"/>
  <c r="H747" i="9"/>
  <c r="G747" i="9"/>
  <c r="I743" i="9"/>
  <c r="H743" i="9"/>
  <c r="G743" i="9"/>
  <c r="I742" i="9"/>
  <c r="H742" i="9"/>
  <c r="G742" i="9"/>
  <c r="J740" i="9"/>
  <c r="I741" i="9" s="1"/>
  <c r="I739" i="9"/>
  <c r="H739" i="9"/>
  <c r="G739" i="9"/>
  <c r="I738" i="9"/>
  <c r="H738" i="9"/>
  <c r="G738" i="9"/>
  <c r="I736" i="9"/>
  <c r="H736" i="9"/>
  <c r="G736" i="9"/>
  <c r="I735" i="9"/>
  <c r="H735" i="9"/>
  <c r="G735" i="9"/>
  <c r="J731" i="9"/>
  <c r="I734" i="9" s="1"/>
  <c r="I729" i="9"/>
  <c r="H729" i="9"/>
  <c r="G729" i="9"/>
  <c r="I728" i="9"/>
  <c r="H728" i="9"/>
  <c r="G728" i="9"/>
  <c r="J725" i="9"/>
  <c r="I727" i="9" s="1"/>
  <c r="I722" i="9"/>
  <c r="H722" i="9"/>
  <c r="G722" i="9"/>
  <c r="I721" i="9"/>
  <c r="H721" i="9"/>
  <c r="G721" i="9"/>
  <c r="J718" i="9"/>
  <c r="I720" i="9" s="1"/>
  <c r="I716" i="9"/>
  <c r="H716" i="9"/>
  <c r="G716" i="9"/>
  <c r="I715" i="9"/>
  <c r="H715" i="9"/>
  <c r="G715" i="9"/>
  <c r="J713" i="9"/>
  <c r="I714" i="9" s="1"/>
  <c r="I712" i="9"/>
  <c r="H712" i="9"/>
  <c r="G712" i="9"/>
  <c r="I711" i="9"/>
  <c r="H711" i="9"/>
  <c r="G711" i="9"/>
  <c r="I704" i="9"/>
  <c r="H704" i="9"/>
  <c r="G704" i="9"/>
  <c r="I703" i="9"/>
  <c r="H703" i="9"/>
  <c r="G703" i="9"/>
  <c r="I702" i="9"/>
  <c r="J701" i="9"/>
  <c r="I697" i="9"/>
  <c r="H697" i="9"/>
  <c r="G697" i="9"/>
  <c r="I696" i="9"/>
  <c r="H696" i="9"/>
  <c r="G696" i="9"/>
  <c r="J695" i="9"/>
  <c r="I695" i="9" s="1"/>
  <c r="I689" i="9"/>
  <c r="H689" i="9"/>
  <c r="G689" i="9"/>
  <c r="I688" i="9"/>
  <c r="H688" i="9"/>
  <c r="G688" i="9"/>
  <c r="I681" i="9"/>
  <c r="H681" i="9"/>
  <c r="G681" i="9"/>
  <c r="I680" i="9"/>
  <c r="H680" i="9"/>
  <c r="G680" i="9"/>
  <c r="J677" i="9"/>
  <c r="I679" i="9" s="1"/>
  <c r="I674" i="9"/>
  <c r="H674" i="9"/>
  <c r="G674" i="9"/>
  <c r="I673" i="9"/>
  <c r="H673" i="9"/>
  <c r="G673" i="9"/>
  <c r="J670" i="9"/>
  <c r="I672" i="9" s="1"/>
  <c r="I667" i="9"/>
  <c r="H667" i="9"/>
  <c r="G667" i="9"/>
  <c r="I666" i="9"/>
  <c r="H666" i="9"/>
  <c r="G666" i="9"/>
  <c r="J664" i="9"/>
  <c r="I665" i="9" s="1"/>
  <c r="I661" i="9"/>
  <c r="H661" i="9"/>
  <c r="G661" i="9"/>
  <c r="I660" i="9"/>
  <c r="H660" i="9"/>
  <c r="G660" i="9"/>
  <c r="I654" i="9"/>
  <c r="H654" i="9"/>
  <c r="G654" i="9"/>
  <c r="I653" i="9"/>
  <c r="H653" i="9"/>
  <c r="G653" i="9"/>
  <c r="I649" i="9"/>
  <c r="I648" i="9"/>
  <c r="I644" i="9"/>
  <c r="H644" i="9"/>
  <c r="G644" i="9"/>
  <c r="I643" i="9"/>
  <c r="H643" i="9"/>
  <c r="G643" i="9"/>
  <c r="I609" i="9"/>
  <c r="H609" i="9"/>
  <c r="G609" i="9"/>
  <c r="I608" i="9"/>
  <c r="H608" i="9"/>
  <c r="G608" i="9"/>
  <c r="J607" i="9"/>
  <c r="I607" i="9"/>
  <c r="I603" i="9"/>
  <c r="H603" i="9"/>
  <c r="G603" i="9"/>
  <c r="I602" i="9"/>
  <c r="H602" i="9"/>
  <c r="G602" i="9"/>
  <c r="J599" i="9"/>
  <c r="I601" i="9" s="1"/>
  <c r="I595" i="9"/>
  <c r="H595" i="9"/>
  <c r="G595" i="9"/>
  <c r="I594" i="9"/>
  <c r="H594" i="9"/>
  <c r="G594" i="9"/>
  <c r="J592" i="9"/>
  <c r="I593" i="9" s="1"/>
  <c r="I590" i="9"/>
  <c r="H590" i="9"/>
  <c r="G590" i="9"/>
  <c r="I589" i="9"/>
  <c r="H589" i="9"/>
  <c r="G589" i="9"/>
  <c r="J584" i="9"/>
  <c r="I588" i="9" s="1"/>
  <c r="I583" i="9"/>
  <c r="H583" i="9"/>
  <c r="G583" i="9"/>
  <c r="I582" i="9"/>
  <c r="H582" i="9"/>
  <c r="G582" i="9"/>
  <c r="J578" i="9"/>
  <c r="I581" i="9" s="1"/>
  <c r="I576" i="9"/>
  <c r="H576" i="9"/>
  <c r="G576" i="9"/>
  <c r="I575" i="9"/>
  <c r="H575" i="9"/>
  <c r="G575" i="9"/>
  <c r="J571" i="9"/>
  <c r="I574" i="9" s="1"/>
  <c r="I569" i="9"/>
  <c r="H569" i="9"/>
  <c r="G569" i="9"/>
  <c r="I568" i="9"/>
  <c r="H568" i="9"/>
  <c r="G568" i="9"/>
  <c r="J565" i="9"/>
  <c r="I567" i="9" s="1"/>
  <c r="I563" i="9"/>
  <c r="H563" i="9"/>
  <c r="G563" i="9"/>
  <c r="I562" i="9"/>
  <c r="H562" i="9"/>
  <c r="G562" i="9"/>
  <c r="J558" i="9"/>
  <c r="I561" i="9" s="1"/>
  <c r="I557" i="9"/>
  <c r="H557" i="9"/>
  <c r="G557" i="9"/>
  <c r="I556" i="9"/>
  <c r="H556" i="9"/>
  <c r="G556" i="9"/>
  <c r="I255" i="9"/>
  <c r="I254" i="9"/>
  <c r="I253" i="9"/>
  <c r="I252" i="9"/>
  <c r="I251" i="9"/>
  <c r="I250" i="9"/>
  <c r="I249" i="9"/>
  <c r="I248" i="9"/>
  <c r="I247" i="9"/>
  <c r="I246" i="9"/>
  <c r="I245" i="9"/>
  <c r="I244" i="9"/>
  <c r="I243" i="9"/>
  <c r="I242" i="9"/>
  <c r="I241" i="9"/>
  <c r="I240" i="9"/>
  <c r="I239" i="9"/>
  <c r="I238" i="9"/>
  <c r="I237" i="9"/>
  <c r="I236" i="9"/>
  <c r="I235" i="9"/>
  <c r="I234" i="9"/>
  <c r="I233" i="9"/>
  <c r="I232" i="9"/>
  <c r="I231" i="9"/>
  <c r="I230" i="9"/>
  <c r="I229" i="9"/>
  <c r="I228" i="9"/>
  <c r="I227" i="9"/>
  <c r="I226" i="9"/>
  <c r="I225" i="9"/>
  <c r="I224" i="9"/>
  <c r="I223" i="9"/>
  <c r="I222" i="9"/>
  <c r="I221" i="9"/>
  <c r="I219" i="9"/>
  <c r="H219" i="9"/>
  <c r="G219" i="9"/>
  <c r="I218" i="9"/>
  <c r="H218" i="9"/>
  <c r="G218" i="9"/>
  <c r="J215" i="9"/>
  <c r="I217" i="9" s="1"/>
  <c r="I213" i="9"/>
  <c r="H213" i="9"/>
  <c r="G213" i="9"/>
  <c r="I212" i="9"/>
  <c r="H212" i="9"/>
  <c r="G212" i="9"/>
  <c r="I111" i="9"/>
  <c r="I110" i="9"/>
  <c r="I109" i="9"/>
  <c r="I108" i="9"/>
  <c r="I107" i="9"/>
  <c r="I106" i="9"/>
  <c r="I105" i="9"/>
  <c r="I104" i="9"/>
  <c r="I103" i="9"/>
  <c r="I102" i="9"/>
  <c r="I101" i="9"/>
  <c r="I100" i="9"/>
  <c r="I99" i="9"/>
  <c r="I98" i="9"/>
  <c r="I97" i="9"/>
  <c r="I96" i="9"/>
  <c r="I95" i="9"/>
  <c r="I94" i="9"/>
  <c r="I93" i="9"/>
  <c r="I92" i="9"/>
  <c r="I91" i="9"/>
  <c r="I90" i="9"/>
  <c r="I89" i="9"/>
  <c r="I88" i="9"/>
  <c r="I87" i="9"/>
  <c r="I86" i="9"/>
  <c r="I85" i="9"/>
  <c r="I84" i="9"/>
  <c r="I83" i="9"/>
  <c r="I82" i="9"/>
  <c r="I81" i="9"/>
  <c r="I80" i="9"/>
  <c r="I79" i="9"/>
  <c r="I78" i="9"/>
  <c r="I77" i="9"/>
  <c r="I76" i="9"/>
  <c r="I75" i="9"/>
  <c r="I74" i="9"/>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6" i="9" s="1"/>
  <c r="I17" i="9"/>
  <c r="H17" i="9"/>
  <c r="G17" i="9"/>
  <c r="H16" i="9"/>
  <c r="G16" i="9"/>
  <c r="J12" i="9"/>
  <c r="I15" i="9" s="1"/>
  <c r="C18" i="7" l="1"/>
  <c r="C17" i="7"/>
  <c r="C15" i="7"/>
</calcChain>
</file>

<file path=xl/sharedStrings.xml><?xml version="1.0" encoding="utf-8"?>
<sst xmlns="http://schemas.openxmlformats.org/spreadsheetml/2006/main" count="25706" uniqueCount="8263">
  <si>
    <t>N п/п</t>
  </si>
  <si>
    <t>Наименование мероприятий</t>
  </si>
  <si>
    <t>Расходы по каждому мероприятию (руб.)</t>
  </si>
  <si>
    <t>Количество технологических присоединений (шт.)</t>
  </si>
  <si>
    <t>Объем максимальной мощности (кВт)</t>
  </si>
  <si>
    <t>Расходы на одно присоединение (руб. на одно ТП)</t>
  </si>
  <si>
    <t>1.</t>
  </si>
  <si>
    <t>2.</t>
  </si>
  <si>
    <t>-</t>
  </si>
  <si>
    <t>2.1</t>
  </si>
  <si>
    <t>Выдача сетевой организацией уведомления об обеспечении сетевой организацией возможности присоединения к электрическим сетям Заявителям, указанным в абзаце шестом пункта 24 Методических указаний по определению размера платы за технологическое присоединение к электрическим сетям</t>
  </si>
  <si>
    <t>2.2</t>
  </si>
  <si>
    <t>(выполняется отдельно по мероприятиям, предусмотренным подпунктами "а" и "в" пункта 16 Методических указаний по определению размера платы за технологическое присоединение к электрическим сетям)</t>
  </si>
  <si>
    <t>тыс.руб.</t>
  </si>
  <si>
    <t>Показатели</t>
  </si>
  <si>
    <t>Расчет фактических расходов на выполнение мероприятий по технологическому присоединению, предусмотренных подпунктом "а" пункта 16 Методических указаний</t>
  </si>
  <si>
    <t>Расчет фактических расходов на выполнение мероприятий по технологическому присоединению, предусмотренных подпунктом "в" пункта 16 Методических указаний</t>
  </si>
  <si>
    <t>Данные за предыдущий период регулирования (n-2)</t>
  </si>
  <si>
    <t>Данные за год (n-3), предшествующий предыдущему периоду регулирования</t>
  </si>
  <si>
    <t>Данные за год (n-4), предшествующий году (n-3)</t>
  </si>
  <si>
    <t>Расходы по выполнению мероприятий по технологическому присоединению, всего</t>
  </si>
  <si>
    <t>1.1.</t>
  </si>
  <si>
    <t>Вспомогательные материалы</t>
  </si>
  <si>
    <t>1.2.</t>
  </si>
  <si>
    <t>Энергия на хозяйственные нужды</t>
  </si>
  <si>
    <t>1.3.</t>
  </si>
  <si>
    <t>Оплата труда ППП</t>
  </si>
  <si>
    <t>1.4.</t>
  </si>
  <si>
    <t>Отчисления на страховые взносы</t>
  </si>
  <si>
    <t>1.5.</t>
  </si>
  <si>
    <t>Прочие расходы, всего, в том числе:</t>
  </si>
  <si>
    <t>1.5.1.</t>
  </si>
  <si>
    <t>- работы и услуги производственного характера</t>
  </si>
  <si>
    <t>1.5.2.</t>
  </si>
  <si>
    <t>- налоги и сборы, уменьшающие налогооблагаемую базу на прибыль организаций, всего</t>
  </si>
  <si>
    <t>1.5.3.</t>
  </si>
  <si>
    <t>- работы и услуги непроизводственного характера, в т.ч.:</t>
  </si>
  <si>
    <t>1.5.3.1.</t>
  </si>
  <si>
    <t>услуги связи</t>
  </si>
  <si>
    <t>1.5.3.2.</t>
  </si>
  <si>
    <t>расходы на охрану и пожарную безопасность</t>
  </si>
  <si>
    <t>1.5.3.3.</t>
  </si>
  <si>
    <t>расходы на информационное обслуживание, иные услуги, связанные с деятельностью по технологическому присоединению</t>
  </si>
  <si>
    <t>1.5.3.4.</t>
  </si>
  <si>
    <t>плата за аренду имущества</t>
  </si>
  <si>
    <t>1.5.3.5.</t>
  </si>
  <si>
    <t>другие прочие расходы, связанные с производством и реализацией</t>
  </si>
  <si>
    <t>1.6.</t>
  </si>
  <si>
    <t>Внереализационные расходы, всего</t>
  </si>
  <si>
    <t>1.6.1.</t>
  </si>
  <si>
    <t>- расходы на услуги банков</t>
  </si>
  <si>
    <t>1.6.2.</t>
  </si>
  <si>
    <t>- проценты за пользование кредитом</t>
  </si>
  <si>
    <t>1.6.3.</t>
  </si>
  <si>
    <t>- прочие обоснованные расходы</t>
  </si>
  <si>
    <t>1.6.4.</t>
  </si>
  <si>
    <t>- денежные выплаты социального характера (по Коллективному договору)</t>
  </si>
  <si>
    <t>Данные отсутствуют</t>
  </si>
  <si>
    <t>Информация для расчета стандартизированной тарифной ставки </t>
  </si>
  <si>
    <t>Подготовка и выдача сетевой организацией технических условий Заявителю</t>
  </si>
  <si>
    <t>Проверка сетевой организацией выполнения технических условий Заявителем</t>
  </si>
  <si>
    <t>Проверка сетевой организацией выполнения технических условий Заявителями, указанными в абзаце седьмом пункта 24 Методических указаний по определению размера платы за технологическое присоединение к электрическим сетям</t>
  </si>
  <si>
    <t>Приложение № 1</t>
  </si>
  <si>
    <t>к Методическим указаниям по определению размера платы</t>
  </si>
  <si>
    <t xml:space="preserve"> за технологическое присоединение к электрическим сетям,</t>
  </si>
  <si>
    <t>утв. приказом Федеральной антимонопольной службы</t>
  </si>
  <si>
    <t>от 30 июня 2022 г. № 490/22</t>
  </si>
  <si>
    <t>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 а также на обеспечение средствами коммерческого учета электрической энергии (мощности)</t>
  </si>
  <si>
    <t>Номер обосновывающих документов представленых в электронном виде 
на флеш-носителе</t>
  </si>
  <si>
    <t>№ п/п СТС</t>
  </si>
  <si>
    <t>Объект электросетевого хозяйства/
Средство коммерческого учета электрической энергии (мощности)</t>
  </si>
  <si>
    <t>Год ввода объекта</t>
  </si>
  <si>
    <t>Уровень напряжения, кВ</t>
  </si>
  <si>
    <t>Протяженность (для линий электропередачи), метров/Количество пунктов секционирования, штук/ Количество точек учета, штук</t>
  </si>
  <si>
    <t>Присоединенная максимальная мощность, кВт</t>
  </si>
  <si>
    <t>Расходы на строительство объекта/на обеспечение средствами коммерческого учета электрической энергии (мощности), тыс. руб.</t>
  </si>
  <si>
    <r>
      <t>Строительство  воздушных  линий  (C</t>
    </r>
    <r>
      <rPr>
        <b/>
        <vertAlign val="subscript"/>
        <sz val="14"/>
        <color indexed="8"/>
        <rFont val="Times New Roman"/>
        <family val="1"/>
        <charset val="204"/>
      </rPr>
      <t>2,i</t>
    </r>
    <r>
      <rPr>
        <b/>
        <sz val="14"/>
        <color indexed="8"/>
        <rFont val="Times New Roman"/>
        <family val="1"/>
        <charset val="204"/>
      </rPr>
      <t>)</t>
    </r>
  </si>
  <si>
    <t>2.3.1.3.1.1.</t>
  </si>
  <si>
    <t>Строительство ВЛ на железобетонных опорах изолированным сталеалюминиевым проводом сечением до 50 квадратных мм включительно одноцепные</t>
  </si>
  <si>
    <t xml:space="preserve">0,4 кВ </t>
  </si>
  <si>
    <t>плановые расходы - сметный расчет в ценах 2025 года (пообъектная расшифровка *)</t>
  </si>
  <si>
    <t>пообъектная расшифровка *</t>
  </si>
  <si>
    <t xml:space="preserve">пообъектная расшифровка * </t>
  </si>
  <si>
    <t xml:space="preserve">Строительство ВЛ 0,4 кВ </t>
  </si>
  <si>
    <t>Строительство ВЛ 0,4 кВ</t>
  </si>
  <si>
    <t xml:space="preserve">Строительство ВЛ 0,23 кВ </t>
  </si>
  <si>
    <t xml:space="preserve">Строительство ВЛИ 0,4 кВ </t>
  </si>
  <si>
    <t xml:space="preserve">Строительство BЛ 0,4 кВ </t>
  </si>
  <si>
    <t xml:space="preserve">Строительство  ВЛ-0,4 кВ </t>
  </si>
  <si>
    <t xml:space="preserve">«Строительство ВЛ 0,4 кВ </t>
  </si>
  <si>
    <t xml:space="preserve"> 1-20 кВ</t>
  </si>
  <si>
    <t>2.3.1.3.2.1.</t>
  </si>
  <si>
    <t>Строительство ВЛ на железобетонных опорах  изолированным сталеалюминиевым проводом сечением от 50 до 100 квадратных мм включительно одноцепные</t>
  </si>
  <si>
    <t>Строительство ВЛ-0,4 кВ от КТП-6/0,4 кВ  № 303 по КЛ-6 кВ № 927 ПС-110/6 кВ " Т-9 " до границы земельного участка Заявителя ( Скорикова В. В. )</t>
  </si>
  <si>
    <t>Строительство ВЛ 0,4 кВ от новой ТП 10/0,4 кВ, строительство ТП 10/0,4 кВ, строительство ВЛ 10 кВ от ВЛ 10 кВ №1 ПС 110/35/10 кВ Чалтырь, для технологического присоединения нежилого здания Заявителя (ИП Мелконян С.М.) по адресу: Ростовская область, Мясниковский район, Краснокрымское сельское поселение, на землях колхоза «Дружба» к.н. №61:25:0600401:3579 (ориентировочная протяженность ЛЭП 0,015 км; мощность силового трансформатора 160 кВА)</t>
  </si>
  <si>
    <t>Строительство ВЛ 0,4 кВ от ВЛ 0,4 кВ №1 КТП 10/0,4 кВ №511А ВЛ 10 кВ №3 ПС 110/10 кВ «Лиманная» для технологического присоединения жилого дома Заявителя (Арустамян Н.А.) по адресу: Ростовская область, Неклиновский район, х. Лотошники, пер. Веселый, 1-а, к.н. 61:26:0600013:1076 (ориентировочная протяженность ЛЭП 0,28 км)</t>
  </si>
  <si>
    <t>Строительство ВЛ 0,4 кВ от новой ТП 10/0,4 кВ, строительство ТП 10/0,4 кВ, строительство ВЛ 10 кВ от ВЛ 10 кВ №1/3 ПС 110/35/10 кВ «Троицкая-1», для технологического присоединения ЛЭП 0,4 кВ Заявителя (Жилин Е.Е.) по адресу: Ростовская область, Неклиновский район, с. Николаевка, ул. Чехова, 199-б, к.н. 61:26:0110101:8992 (ориентировочная протяженность ЛЭП 1,235 км; мощность силового трансформатора 63 кВА)</t>
  </si>
  <si>
    <t>Строительство ВЛ 0,4 кВ от ВЛ 0,4 кВ №1 КТП №357 ВЛ 10 кВ №7 ПС 110/10 кВ «Самбек» для технологического присоединения жилого дома Заявителя (Соловьев А.А.) по адресу: Ростовская область, Неклиновский район, ст. Морская, ул. Ленина, 1/2-а-г, к.н. 61:26:0120301:193 (ориентировочная протяженность ЛЭП 0,24 км)</t>
  </si>
  <si>
    <t>Строительство ВЛ 0,4 кВ от ВЛ 0,4 кВ №1 КТП 10/0,4 кВ №660 ВЛ 10 кВ №3 ПС 110/10 кВ «Самбек» для технологического присоединения энергопринимающих устройств Заявителей: Муртазин М.Р., Клычникова Е.В., Хачатрян Л.В., Недашковская Л.В., Рудаков В.А., Манджари А.Р., Викулина Е.В., Гаспарян В.Л., Ювакаева А.В., Шакер М., Хидешели М.В. в с. Самбек Неклиновского района Ростовской области (ориентировочная протяженность ЛЭП 0,45 км)</t>
  </si>
  <si>
    <t>Строительство ВЛ 0,4 кВ от ВЛ 0,4 кВ №2 ТП 10/0,4 кВ №413Ам по ВЛ 10 кВ №4 ПС 35/10 кВ «Русский Колодец» для технологического присоединения жилого дома Заявителя (Назарян М.Г.) по адресу: Ростовская область, Неклиновский район, с. Боцманово, проезд. Сквозной, 1, к.н. 61:26:0070801:1854 (ориентировочная протяженность ЛЭП 0,2 км)</t>
  </si>
  <si>
    <t>Строительство ВЛ 0,4 кВ от РУ 0,4 кВ ТП 10/0,4 кВ, строительство ТП 10/0,4 кВ, строительство ВЛ 10 кВ от ВЛ 10 кВ №4/3 ПС 110/35/10 кВ «Троицкая-1» для технологического присоединения инженерной инфраструктуры Заявителя: (МКУ НР «УКС»), по адресу: Ростовская область, Неклиновский район, с. Троицкое, к.н. 61:26:0600014:1975 (ориентировочная протяженность ЛЭП 0,02 км; мощность силового трансформатора – 250 кВА)</t>
  </si>
  <si>
    <t>Строительство ВЛ 0,4 кВ от РУ 0,4 кВ новой ТП 10/0,4 кВ, строительство ТП 10/0,4 кВ, строительство ВЛ 10 кВ от ВЛ 10 кВ №6 ПС 110/35/10 кВ  Синявская до новой ТП 10/0,4 кВ, для технологического присоединения жилых домов заявителей Бурдейный В.П., Коваленко П.В., Горбенко Н.Н. по адресам: Мясниковский район, х. Веселый, ул. Русская 12,24,26 (ориентировочная протяженность ЛЭП - 0,46 км, ориентировочная мощность ТП – 63 кВА)</t>
  </si>
  <si>
    <t>Строительство ВЛ 0,4 кВ от ЗТП 10/0,4 кВ №198 ВЛ 10 кВ №5/3 ПС 110/35/10 кВ «Троицкая-1» для технологического присоединения участка сельхозпереработки Заявителя (ИП Аракелян К.К.) по адресу: Ростовская область, Неклиновский р-н, с. Троицкое, ул. Ленина, 198, к.н. 61:26:0600014:1979 (ориентировочная протяженность ЛЭП 0,24 км)</t>
  </si>
  <si>
    <t>Строительство двух ВЛ 0,4 кВ от РУ 0,4 кВ ТП 10/0,4 кВ, строительство ТП 10/0,4 кВ, строительство ВЛ 10 кВ от ВЛ 10 кВ №5/3 ПС 110/35/10 кВ «Троицкая-1» для технологического присоединения производственных объектов Заявителей: (ИП Бадаков А.С., ИП Гребенников А.Н.), по адресу: Ростовская область, Неклиновский район, с. Николаевка, ул. Пушкина, 132, к.н. 61:58:0600014:1309, к.н. 61:58:0600014:1308 (ориентировочная протяженность ЛЭП 0,52 км; мощность силового трансформатора – 400 кВА)</t>
  </si>
  <si>
    <t>Строительство ВЛ 0,4 кВ от РУ 0,4 кВ ТП 10/0,4 кВ, строительство ТП 10/0,4 кВ, строительство ВЛ 10 кВ от ВЛ 10 кВ №4 ПС 110/35/10 кВ Чалтырь, отпайки на ТП 10/0,4 кВ №4-25А, для технологического присоединения производственного здания Заявителя: (ООО «САН-АГРО»), по адресу: Мясниковский район, с. Крым, ул. 19-я линия, д. 26, корп. А, к.н. 61:25:0201019:496 (ориентировочная протяженность ЛЭП 0,120 км; мощность силового трансформатора – 160 кВА)</t>
  </si>
  <si>
    <t>Строительство ВЛ 0,4 кВ от РУ 0,4 кВ ТП 10/0,4 кВ, строительство ТП 10/0,4 кВ, строительство ВЛ 10 кВ от ВЛ 10 кВ №2 ПС 110/35/10 кВ Чалтырь, для технологического присоединения производственного здания Заявителя: (ООО «Железобетон»), по адресу: Мясниковский район, установлено относительно ориентира, расположенного в границах участка №3/6 к.н 61:25:0600401:8620. (ориентировочная протяженность ЛЭП 0,02 км; мощность силового трансформатора – 0,16 МВА)</t>
  </si>
  <si>
    <t>Строительство ВЛ 0,4 кВ от новой ТП 10/0,4 кВ, строительство ТП 10/0,4 кВ, строительство ВЛ 10 кВ от ВЛ 10 кВ №8 ПС 35/10 кВ «Русский Колодец», для технологического присоединения объектов Заявителей в х. Русская Слободка, ул. Маршала СССР А.И. Покрышкина (ориентировочная протяженность ЛЭП 0,5 км; мощность силового трансформатора 0,16 МВА)</t>
  </si>
  <si>
    <t>Строительство ВЛ 0,4 кВ от РУ 0,4 кВ ТП 10/0,4 кВ №6-10 по ВЛ 10 кВ №6 ПС 35/10 кВ Б. Салы, для технологического присоединения жилого дома Заявителя (Мирзоян П.Г.) по адресу: Ростовская область, Мясниковский район, с. Большие Салы, ул. Центральная, д. 23, к.н. №61:25:0600501:1726 (ориентировочная протяженность ЛЭП 0,21 км)</t>
  </si>
  <si>
    <t>Строительство ВЛИ 0,4 кВ от опоры по ВЛИ 0,4 кВ №1 ТП 10/0,4 кВ №7-21 по ВЛ 10 кВ №7 ПС 35/10 кВ Б. Салы, для технологического присоединения жилых домов Заявителей (Папян С.К., Цветков И.М.) по адресу: Ростовская область, Мясниковский район, с. Большие Салы, ул. Центральная, д. 27, к.н. №61:25:0600501:1657, ул. Мира, 31, к.н. 61:25:0600501:1599 (ориентировочная протяженность ЛЭП 0,43 км)</t>
  </si>
  <si>
    <t>Строительство ВЛ 0,4 кВ от новой ТП 10/0,4 кВ, строительство ТП 10/0,4 кВ, строительство ВЛ 10 кВ от ВЛ 10 кВ №6 ПС 35/10 кВ «Покровская», для технологического присоединения нежилого помещения Заявителя (ИП Атоян А.Л.) по адресу: Ростовская область, Неклиновский район, с. Покровское, ул. Привокзальная, 1, к.н. 61:26:0050101:260 (ориентировочная протяженность ЛЭП 0,015 км; мощность силового трансформатора 160 кВА)</t>
  </si>
  <si>
    <t>Строительство ВЛ 0,4 кВ от РУ 0,4 кВ ТП 10/0,4 кВ №7-7 по ВЛ 10 кВ №7 ПС 110/35/10 кВ Синявская, для технологического присоединения жилого дома Заявителя (Гужавина С.В, Хохлова Л.М, Вылупко Т.Н, Мельников В.А, Кабарухина Т.И, Сонин А.В.) по адресу: Ростовская область, Мясниковский район, х. Недвиговка, ул. Железнодорожная, ул. 2-я Линия (ориентировочная протяженность ЛЭП 0,75 км)</t>
  </si>
  <si>
    <t>Строительство ВЛ 0,4 кВ от опоры ВЛ 0,4 кВ №1 ТП 10/0,4 кВ №6-10 по ВЛ 10 кВ №6 ПС 35/10 кВ Б.Салы для технологического присоединения жилого дома Заявителя (Саркисов В.А, Шеховцов А.Д, Егиазарян К.И, Бабаян А.В.) по адресу: Мясниковский район, с. Большие Салы, ул. Согласия, ул. Мира (ориентировочная протяженность ЛЭП 0,47 км)</t>
  </si>
  <si>
    <t>Строительство ВЛ 0,4 кВ от ТП 10/0,4 кВ №3-101 по ВЛ 10 кВ №3 ПС 110/35/10 кВ Чалтырь для технологического присоединения Заявителей (Хартавакян А.А., Хошафян А.М., Лимарев А.И.) по адресу: Ростовская область, Мясниковский район, с. Чалтырь, линия 16-я, д.24, д.26, ул. Олимпийская, д №28-а (ориентировочная протяженность ЛЭП 0,26 км)</t>
  </si>
  <si>
    <t>Строительство ВЛ 0,4 кВ от РУ 0,4 кВ ТП 10/0,4 кВ, строительство ТП 10/0,4 кВ, строительство ВЛ 10 кВ от ВЛ 10 кВ №7 ПС 110/35/10 кВ Синявская для технологического присоединения жилых домов Заявителей: (Трофименко А.И., Долгова Т.Ю.), по адресу: Мясниковский район, х. Недвиговка, ул. Молодежная, д. 29/в, 28/ж, к.н. 61:25:0070101:4521, 61:25:0070101:4702 (ориентировочная протяженность ЛЭП 0,22 км; мощность силового трансформатора – 160 кВА)</t>
  </si>
  <si>
    <t>Строительство ВЛ 0,4 кВ от новой ТП 10/0,4 кВ, строительство ТП 10/0,4 кВ, строительство ВЛ 10 кВ от ВЛ 10 кВ №4 ПС 110/35/10 кВ Чалтырь, для технологического присоединения Заявителей (Халамбашян Л.Г., ИП Халамбашян В.Х.) по адресу: Ростовская область, Мясниковский район, с. Крым (ориентировочная протяженность ЛЭП 0,520 км; мощность силового трансформатора 40 кВА)</t>
  </si>
  <si>
    <t xml:space="preserve">Строительство 2-х ВЛ 0,4 кВ от новой ТП 10/0,4 кВ, строительство ТП 10/0,4 кВ, строительство ВЛ 10 кВ от ВЛ 10 кВ № 2 ПС 35/10 кВ «Троицкая», для технологического присоединения нежилых помещений Заявителей (ИП Цыганенко Е.В. и ИП Кириченко Е.Н.) по адресу: Ростовская область, Неклиновский район, с. Троицкое, к.н. 61:26:060014:320 и к.н. 61:26:060014:321 (ориентировочная протяженность ЛЭП 1,23 км; мощность силового трансформатора 250 кВА) </t>
  </si>
  <si>
    <t>Строительство двух ВЛ 0,4 кВ, строительство 2-х трансформаторной ТП 10/0,4 кВ, строительство ВЛ 10 кВ от ВЛ 10 кВ №7 ПС 35/10 кВ Петровская, строительство ВЛ 10 кВ от ВЛ 10 кВ №2 ПС 35/10 кВ Петровская, для технологического присоединения муниципального бюджетного детского образовательного учреждения Заявителя: (МУ «Отдел образования Администрации Мясниковского района») по адресу: Ростовская обл. Мясниковский р-н, сл. Петровка, ул. Южная, д 9 к.н. 61:25:0080101:1680 (ориентировочная протяженность ЛЭП -1,04 км; мощность силового трансформатора – 2х0,16 МВА)</t>
  </si>
  <si>
    <t>Строительство ВЛ 0,4 кВ от новой ТП 10/0,4 кВ, строительство ТП 10/0,4 кВ, строительство ВЛ 10 кВ от ВЛ 10 кВ №5 ПС 110/10 кВ «Самбек», для технологического присоединения объектов Заявителей в с. Бессергеновка (ориентировочная протяженность ЛЭП 1,4 км; мощность силового трансформатора 400 кВА)</t>
  </si>
  <si>
    <t>Строительство ВЛ 10 кВ от ВЛ 10 кВ №12 ПС110/35/10 кВ Чалтырь, до границы земельного участка заявителя (Даглдиян С.С.), строительство ТП10/0,4 кВ» (ориентировочная протяженность ЛЭП - 0,005 км., ориентировочная мощность ТП-100 кВА</t>
  </si>
  <si>
    <t>Строительство ВЛ 0,4 кВ от РУ 0,4 кВ ТП 6/0,4 кВ №155 (на балансе ООО «Югстроймонтаж») по КЛ 6 кВ №8 ПС 110/6 кВ Т-5 для технологического присоединения нежилого здания Заявителя (Арутюнов Ю.Б.) по адресу: Ростовская область, г. Таганрог, ул. Фрунзе, 92 б, к.н. 61:58:0003007:8 (ориентировочная протяженность ЛЭП 0,25 км)</t>
  </si>
  <si>
    <t>Строительство ВЛ 0,4 кВ от ВЛ 0,4 кВ №1 КТП 10/0,4 кВ №473 ВЛ 10 кВ №6 ПС 110/10 кВ «Самбек», для технологического присоединения производственного цеха заявителя Войнова В.С. по адресу: Ростовская область, Неклиновский р-н, с. Самбек, х-во СПК к-з «Колос», поле №63, к.н. № 61:26:060015:1088 (ориентировочная протяженность ЛЭП - 0,15 км)</t>
  </si>
  <si>
    <t>Строительство ВЛ 0,4 кВ от КТП 10/0,4 кВ №248м ВЛ 10 кВ №3 ПС 110/10 кВ «Ефремовская» для технологического присоединения здания детского сада заявителя (МБДОУ Детский сад «Теремок» с. Ефремовка) по адресу: Ростовская область, Неклиновский район, с. Ефремовка, ул. Советская, 10, к.н. 61:26:0170101:54 (ориентировочная протяженность ЛЭП 0,1 км)</t>
  </si>
  <si>
    <t>Строительство ВЛ 0,4 кВ от опоры по ВЛ 0,4 кВ проектируемой по договору №61-1-20-00523063 ТП 10/0,4 кВ №3-101 по ВЛ 10 кВ №3 ПС 110/35/10 кВ Чалтырь, для технологического присоединения жилого дома Заявителя (Караханян В.Т.) по адресу: Ростовская область, Мясниковский район, с. Чалтырь, ул. 16-я линия, д. 30, к.н. №61:25:0101243:166 (ориентировочная протяженность ЛЭП 0,04 км)</t>
  </si>
  <si>
    <t xml:space="preserve"> «Строительство ВЛ 0,4 кВ от РУ 0,4 кВ новой ТП 10/0,4 кВ, строительство ТП 10/0,4 кВ, строительство ВЛ 10 кВ от ВЛ 10 кВ №2 ПС 35/10 кВ  Колесниковская, для технологического присоединения жилых домов, нежилого помещения (магазина) заявителей (Фильшин В.Н., Розинская М.П., Азаров А.В., Толстиков С.В., Шитова Л.Н., ИП Решетка В.Н., Терчиев Д.Х., Ким А.М., Луговой Г.А. Новикова А.А., Кравченко Г.М.) по адресу: Ростовская область, М-Курганский р-н, п. М-Курган, ул. Сосновая 1, 3, 8, 10, 12, 14, 14а, 15, 20, ул. Московская 136, ул. Придорожная 33 (ориентировочная протяженность ЛЭП - 0,870 км, ориентировочная мощность ТП – 160 кВА)»</t>
  </si>
  <si>
    <t>«Строительство ВЛ 0,4 кВ от РУ 0,4 кВ ТП 10/0,4 кВ, строительство ТП 10/0,4 кВ, строительство ВЛ 10 кВ от ВЛ 10 кВ №12 ПС 110/35/10 кВ Чалтырь, для технологического присоединения Заявителя: (Донченко А.П.), по адресу: Мясниковский район, с. Чалтырь, ул. Пионерская (ориентировочная протяженность ЛЭП – 0,54 км, мощность силового трансформатора – 250 кВА)»</t>
  </si>
  <si>
    <t>Строительство ВЛ 0,4 кВ от ВЛ 0,4 кВ № 3 ТП 6/0,4 кВ № 85 для технологического присоединения жилого дома Заявителя (ООО "Голден Бэй") по адресу: Ростовская область, г. Таганрог, пер. Дуровский спуск, 1, к.н. 61:58:0001087:28   (ориентировочная протяжённость: 0,35 км)</t>
  </si>
  <si>
    <t xml:space="preserve">Строительство ВЛ 0,4 кВ от новой ТП 6/0,4 кВ, строительство ТП 6/0,4 кВ, строительство КЛ 6 кВ от места врезки в КЛ 6 кВ №79 до новой ТП 6/0,4 кВ для технологического присоединения нежилого помещения Заявителя (Чегодарь С.И.) по адресу: Ростовская область, Таганрог, пер. 7-й Новый, к.н. 61:58:0004482:355. (ориентировочная протяженность ЛЭП 0,14 км; мощность силового трансформатора 160 кВА)
</t>
  </si>
  <si>
    <t>Строительство ВЛ 0,4 кВ от РУ 0,4 кВ проектируемого ТП 10/0,4 кВ, строительство ТП 10/0,4 кВ, строительство ВЛ 10 кВ от ВЛ 10 кВ №7 ПС 35/10 кВ Б. Салы, для технологического присоединения нежилой застройки (крематорий) Заявителя: (ООО «Омская Мемориальная Организация») по адресу: Ростовская обл. Мясниковский р-н, земли колхоза «Колос» к.н. 61:25:0600501:1515 (ориентировочная протяженность ЛЭП - 0,02 км; мощность силового трансформатора – 0,4 МВА)</t>
  </si>
  <si>
    <t>Строительство ВЛ 0,4 кВ от новой ТП 10/0,4 кВ, строительство ТП 10/0,4 кВ, строительство ВЛ 10 кВ от опоры по ВЛ 10 кВ №7 ПС 35/10 кВ М-Курганская, для технологического присоединения ЛЭП 0,4 кВ Заявителя (ООО «Крынка») по адресу: Ростовская область, Матвеево-Курганский район, 250 м на север от п. Крынка, ул. Гагарина, д. 15, к.н. 61:21:0600021:709 (ориентировочная протяженность ЛЭП 0,04 км; мощность силового трансформатора 160 кВА)</t>
  </si>
  <si>
    <t xml:space="preserve">Строительство участка ВЛЗ-6 кВ от опоры №154 ВЛ-6 кВ №1 ПС 35/6 кВ Романовская, с установкой ТП-6/0,4 кВ и строительство ВЛИ-0,4 кВ от РУ-0,4 кВ вновь установленной ТП-6/0,4 кВ  для присоединения жилых домов Ястребова В.Г. и Усова А.А., расположенных по адресу: Ростовская область, Волгодонской район, г. Волгодонск, ул. Отдыха (ориентировочная протяженность ЛЭП 0,426 км, ориентировочная мощность трансформатора 250 кВА) </t>
  </si>
  <si>
    <t>Строительство участка ВЛЗ-6 кВ от опоры №10/7 ВЛ-6 кВ №6 ПС 35/6 кВ Потаповская, с установкой ТП-6/0,4 кВ, строительство ВЛИ-0,4 кВ от РУ-0,4 кВ вновь установленной ТП-6/0,4 кВ, и установка прибора коммерческого учета электрической энергии (мощности) в точке поставки для присоединения зернохранилища ООО «Русский продукт», расположенного по адресу: Ростовская область, Волгодонской район, станица Каргальская, 2400 м севернее ж.д. №67 ул. Центральная, к.н.з.у. 61:08:0600601:3987 (ориентировочная протяженность ЛЭП 2,26 км, ориентировочная мощность трансформатора 160 кВА)</t>
  </si>
  <si>
    <t xml:space="preserve">Строительство участка ВЛ-10 кВ от опоры №58 ВЛ-10 кВ №3 ПС 110/35/10 кВ Дубенцовская, с установкой ТП-10/0,4 кВ и строительство ВЛИ-0,4 кВ от РУ-0,4 кВ вновь установленной ТП-10/0,4 кВ  для присоединения производственного помещения ИП Никулова А.В., расположенного по адресу: Ростовская обл., Волгодонской район, станица Дубенцовская, 2350 м юго-западнее дома №2 ул. Пролетарская ст. Дубенцовская, кадастровый номер земельного участка: 61:08:0600201;1393 (ориентировочная протяженность ЛЭП 2,83 км, ориентировочная мощность трансформатора 63 кВА) </t>
  </si>
  <si>
    <t>Строительство участка ВЛЗ-6 кВ от опоры №2/2 по ВЛ-6 кВ №42 ПС 110/10/6 кВ ЮЗР, с установкой ТП-6/0,4 кВ, строительство ВЛИ-0,4 кВ от РУ-0,4 кВ вновь установленной ТП-6/0,4 кВ и установка прибора коммерческого учета электрической энергии (мощности) в точке поставки для присоединения производственной базы ИП Шаповалова С.С., расположенной по адресу: Ростовская область, г. Волгодонск, Ростовское шоссе, 1, к.н.з.у. 61:48:0080104:307 (ориентировочная протяженность ЛЭП 0,15 км, ориентировочная мощность трансформатора 0,25 МВА, количество приборов коммерческого учета – 1 шт)</t>
  </si>
  <si>
    <t xml:space="preserve">Строительство участка ВЛ-10 кВ от опоры №29 ВЛ-10 кВ №13 ПС 35/10 кВ Андреевская, с установкой ТП-10/0,4 кВ и строительство ВЛИ-0,4 кВ от РУ-0,4 кВ вновь установленной ТП-10/0,4 кВ  для присоединения жилого помещения Отроды Т.П., квартиры Кравченко Л.В. и квартиры в жилом доме Яценко В.Р., расположенных по адресам: Ростовская область, Дубовский район, станица Андреевская, ул. Восточная, д.34, кв.2, к.н. 61:09:0600011:500;  ул. Кольцевая, д.1, кв.1, к.н. 61:09:0080101:1918 и кв.2, к.н. 61:09:0080101:0:724 (ориентировочная протяженность ЛЭП 0,49 км, ориентировочная мощность трансформатора 40 кВА)
</t>
  </si>
  <si>
    <t>Строительство ВЛИ-0,4 кВ от РУ-0,4 кВ КТП-7054/40 кВА ВЛ-10 кВ №1 ПС 35/10 кВ Почтовская для присоединения жилого дома Лосева А.Е., расположенного по адресу: Ростовская область, Константиновский район, северо-восточнее х. Кременской, к.н.61:17:0600002:1966 (ориентировочная протяженность ЛЭП 1,31 км)</t>
  </si>
  <si>
    <t>Строительство участка ВЛИ-0,4 кВ от вновь установленной опоры вновь построенной ВЛИ-0,4кВ от вновь установленной ТП-10/0,4кВ по ВЛ-10кВ №2 ПС 35/10кВ Нижне-Журавская (по договору №61-1-19-00490149 от 19.12.2019г) для присоединения жилого дома Жилина А.В., расположенного по адресу: Ростовская область, Константиновский район, х. Хрящевский, пер. Дальний, д.10, к.н. 61:17:0600010:3487 (ориентировочная протяженность ЛЭП 0,022 км)</t>
  </si>
  <si>
    <t>Строительство ВЛИ-0,4 кВ от РУ-0,4 кВ КТП-1468 ВЛ 10 кВ №11 ПС 35 кВ Камышевская и установка прибора коммерческого учета электрической энергии (мощности) в точке поставки для присоединения жилого дома Кольцова А.А., расположенного по адресу: Ростовская область, Цимлянский район, х. Рынок-Каргальский, ул. Полевая, д. 4, к.н.з.у. 61:41:0040401:5 (ориентировочная протяженность ЛЭП 1,1 км)</t>
  </si>
  <si>
    <t>Строительство участка ВЛ-6 кВ от опоры №281 ВЛ-6 кВ №6 ПС 110/6 кВ НС-1, с установкой ТП-6/0,4 кВ, и строительство ВЛИ-0,4 кВ от вновь установленной ТП-6/0,4 кВ  для присоединения коровника ИП главы К(Ф)Х Магомедовой З.А., расположенного по адресу: Ростовская область, Мартыновский район, х. Садовый, Ильиновское сельское поселение, к.н. 61:20:0600022:2326 (ориентировочная протяженность ЛЭП 0,675 км, ориентировочная мощность трансформатора 25 кВА)</t>
  </si>
  <si>
    <t>Строительство участка ВЛЗ10 кВ от ВЛ10 кВ Придонский ПС 110/35/10 Ш-34, с установкой ТП 10/0,4 кВ, и строительство ВЛИ 0,4 кВ от вновь установленной ТП 10/0,4 кВ для присоединения ВРУ-0,4 кВ карьера, ООО Фирма «Стройпроект» в ст. Мелиховская Усть-Донецкого района (ориентировочная протяженность ЛЭП 1,285 км, ориентировочная мощность трансформатора 0,25 МВА)</t>
  </si>
  <si>
    <t>Строительство ВЛ 0,4 кВ подключить от ТП-6/0,4 от ЛЭП-6 кВ от оп №25 отпайки на КТП №110 по ВЛ 6 кВ Орошение ПС 110/35/6 кВ Н-8 строящейся по договору №61-1-20-00511053 заключенному с Мелиховым А.В, для присоединения ВРУ-0,4 кВ приюта для собак. Ростовская область, г. Красный Сулин, ул. Тельмана, в 1,1 км на юго-запад от дома № 104 (ИП Сычева И.Ю) (ориентировочная протяженность ЛЭП-0,63 км)</t>
  </si>
  <si>
    <t>Строительство участка ВЛ-10 кВ от существующей оп. №243 по ВЛ-10 кВ «Федоровка» от ПС С-5, с установкой ТП-10/0,4 кВ, и строительство ВЛИ-0,4 кВ от вновь установленной ТП-10/0,4 кВ для присоединения ВРУ-0,4 кВ уличное освещение периметра, бытовые вагончики, Ростовская обл, Красносулинский район, х. Малая Федоровка, Владимировское сельское поселение, 2,8 км на северо-восток от х. Малая Федоровка (ООО Дельта) (ориентировочная протяженность ЛЭП 3,415 км, ориентировочная мощность трансформатора 160 кВА)</t>
  </si>
  <si>
    <t xml:space="preserve"> Строительство участка ВЛ-6 кВ от существующей оп. №127 ВЛ-6 кВ «Россия» от ПС Ш-12, с установкой ТП-6/0,4 кВ, и строительство ВЛИ-0,4 кВ от вновь установленной ТП-6/0,4 кВ для присоединения кондитерского цеха ИП Сенаторова Н.А. (ориентировочная протяженность ЛЭП 0,015 км, ориентировочная мощность трансформатора 160 кВА)</t>
  </si>
  <si>
    <t>Строительство участка ВЛ-10 кВ от существующей оп. №243 по ВЛ-10 кВ «Федоровка» от ПС С-5, с установкой ТП-10/0,4 кВ, и строительство ВЛИ-0,4 кВ от вновь установленной ТП-10/0,4 кВ для присоединения ВРУ-0,4 кВ уличное освещение периметра, бытовые вагончики, Ростовская обл, Красносулинский район, СПК «Федоровский», р.у. №96 (ООО Дельта) (ориентировочная протяженность ЛЭП 1,285 км, ориентировочная мощность трансформатора 250 кВА)</t>
  </si>
  <si>
    <t>Строительство ТП-10/0,4 от существующей опоры № 26 ВЛ 10 кВ Каменный Брод от ПС 110/10 кВ АС-12, и ВЛИ-0,4 кВ от вновь установленной ТП-10/0,4 кВ для присоединения садового домика Белакина В.В. (ориентировочная протяженность ЛЭП 0,005 км, ориентировочная мощность трансформатора 250 кВА)</t>
  </si>
  <si>
    <t>Строительство ТП-10/0,4, ЛЭП-10 кВ от оп. № 70 ВЛ 10 кВ Каменный Брод от ПС АС-12, и ВЛИ-0,4 кВ от вновь установленной ТП-10/0,4 кВ для присоединения складского здания ИП Алоян Н.А.: Родионово-Несветайский район, в 470 м от ориентира от х. Каменный Брод по направлению на запад. КН 61:33:0600015:46 (ориентировочная протяженность ЛЭП 1,365 км, ориентировочная мощность трансформатора 160 кВА)</t>
  </si>
  <si>
    <t>Строительство ТП-10/0,4 кВ от существующей оп.№59 ВЛ 10 кВ «Кутейниково» ПС 110/35/10 кВ Н-9 и ВЛИ-0,4 кВ от вновь установленной ТП-10/0,4 кВ для присоединения стоянки для с/х техники ИП Раздорского А.В. (ориентировочная протяженность ЛЭП 0,020 км, ориентировочная мощность трансформатора 25 кВА)</t>
  </si>
  <si>
    <t>Строительство ВЛИ-0,4 кВ от оп.34 по ВЛ-0,4кВ №3 от КТП 6/0,4 кВ №45 по ВЛ-6кВ Совхоз-10 ПС Ш-12 для электроснабжения жилого дома Мгоева А.Ю. Ростовская обл., Октябрьский р-н, х. Марьевка, ул. Парковая, д. 6 (ориентировочная протяженность ЛЭП – 0,07 км)</t>
  </si>
  <si>
    <t>Строительство ВЛИ-0,4 кВ от оп. №19 ВЛ-0,4 кВ №1 КТП №363 по ВЛ-10 кВ Зерновой ПС 110 кВ Ш-36 для присоединения полевого стана ИП Минина В.В. по адресу: Ростовская область, Октябрьский район, Керчикское сельское поселение, вблизи п. Атлантово (ориентировочная протяженность ЛЭП-0,3 км)</t>
  </si>
  <si>
    <t>Строительство ВЛИ 0,4 кВ от ВЛ 0,4 кВ №1 КТП 87 ВЛ 10 кВ Крымский ПС Ш14 для электроснабжения ВРУ-0.4кВ малоэтажной жилой застройки Колоскова В.В. по адресу: Усть-Донецкий район, х. Ещеулов, ул. Комарова, д. 11, КН ЗУ:61:39:0050301:649 (ориентировочная протяженность ЛЭП – 0,780 км</t>
  </si>
  <si>
    <t>Строительство ТП-6/0,4, ЛЭП-6 кВ от оп. №60 ВЛ 6 кВ Кривянка ПС Ш-43, и ВЛИ-0,4 кВ от вновь установленной ТП-6/0,4 кВ для присоединения девяти жилых домов (Цебенко П.С., Пудов Ю.В., Каклюгина Н.И., Бобернага О.В., Страданченков В.И., Пятаков А.М., Чернов А.С., Болдырева Т.Н., Пудов Т.А.) по адресу: Октябрьский район, ст. Кривянская, ул. Кирпичная (ориентировочная протяженность ЛЭП 0,7 км, ориентировочная мощность трансформатора 160 кВА)</t>
  </si>
  <si>
    <t>Строительство ВЛИ-0,4 кВ от оп. №14 ВЛИ-0,4 кВ №1 КТП №412 по ВЛ-6 кВ ПТФ ПС 35 кВ Ш-20 для присоединения склада ИП Штогрина С.В. по адресу: Ростовская область, Красносулинский район, с/п Табунщиковское, в 150 м на запад от с. Табунщиково (ориентировочная протяженность ЛЭП 0,37 км)</t>
  </si>
  <si>
    <t>Строительство ТП-10/0,4, ЛЭП-10 кВ от №163 по ВЛ-10кВ «Новоегорьевка» ПС 110кВ Н-9, и ВЛИ-0,4 кВ от вновь установленной ТП-10/0,4 кВ для присоединения объекта с-х производства ИП Лигус В.Н. по адресу: Родионово-Несветайский район, относительно ориентира 470м по направлению на юг от х. Грекова-Балка. КН 61:33:0600001:639 (ориентировочная протяженность ЛЭП 0,085 км, ориентировочная мощность трансформатора 160 кВА)</t>
  </si>
  <si>
    <t>Строительство участка ВЛ-10 кВ от существующей оп. №243 по ВЛ-10 кВ «Федоровка» от ПС С-5, с установкой ТП-10/0,4 кВ, и строительство ВЛИ-0,4 кВ от вновь установленной ТП-10/0,4 кВ для присоединения ВРУ-0,4 кВ освещения, насосов, Ростовская обл., Красносулинский район, СПК «Федоровский», примерно 5,8 км от х. Обухов №4 (ООО Щебторг) (ориентировочная протяженность ЛЭП 0,56 км, ориентировочная мощность трансформатора 250 кВА)</t>
  </si>
  <si>
    <t>Строительство ТП-6/0,4, ЛЭП-6 кВ от оп. №10 отпайки к КТП №228 по ВЛ 6 кВ Кривянка ПС Ш-43, и ВЛИ-0,4 кВ от вновь установленной ТП-6/0,4 кВ для присоединения восьми жилых домов (Сидоренко Е.Н., Гречишкин А.Н., Ягодкин А.В., Величко Л.А., Юрасов С.В., Морщагин Н.С., Череповская В.П., Куреннов А.Г.) по адресу:Октябрьский район, ст. Кривянская, ул. Жданова, ул. Чехова (ориентировочная протяженность ЛЭП 1,070 км, ориентировочная мощность трансформатора 160 кВА)</t>
  </si>
  <si>
    <t>Строительство ВЛИ 0,4 кВ от РУ 0,4кВ КТП 29 ВЛ 10кВ Мостовой ПС 35/10 Ш18 для электроснабжения ВРУ 0,4кВ малоэтажной жилой застройки Винниковой Ю.В. по адресу: Ростовская обл., Усть-Донецкий район, ст. Верхнекундрюченская, ул. Пушкина, д. 13, КН ЗУ:61:39:0070101:643 (ориентировочная протяженность ЛЭП – 0,470 км)</t>
  </si>
  <si>
    <t>«Строительство ВЛ-10 кВ от опоры №10/129 по ВЛ-10 кВ №4 ПС 110/35/10 кВ "ГОК" с установкой КТП и строительством ВЛ- 0,4 кВ, обеспечение коммерческим учетом электрической энергии (мощности) в точке поставки и установка шкафа 0,4 кВ с коммутационным аппаратом, для технологического присоединения ангара заявителя, ООО ИП Бачевский А.С., расположенного в Ростовской области, Миллеровский р-н, с юго- западной стороны от х. Малотокмацкий, бригада 1, гуртовой участок 2, (61:22:0600027:712) (ориентировочная протяженность ЛЭП-0,01 км, ориентировочная мощность ТП- 0,16 МВА)»</t>
  </si>
  <si>
    <t>Строительство ВЛ-10 кВ от опоры № 3/49 по ВЛ-10 кВ № 6 ПС 110/35/10 кВ «Ал. Лозовская», установка КТП- 10/04 кВ и строительство ВЛ- 0,4 кВ, установка прибора коммерческого учета электрической энергии (мощности) в точке поставки и установка шкафа 0,4 кВ с коммутационным аппаратом, строительство ВЛ-10 кВ от опоры № 35 по ВЛ-10 кВ № 9 ПС 110/35/10 кВ «Ал. Лозовская», установка КТП-10/04 кВ и строительство ВЛ-0,4 кВ, установка прибора коммерческого учета электрической энергии (мощности) в точке поставки и установка шкафа 0,4 кВ с коммутационным аппаратом, для технологического присоединения МБДОУ Алексеево-Лозовский детский сад II категории, заявитель Отдел образования Администрации Чертковского района, расположенного в Ростовской области, Чертковский р-н, с. Алексеево-Лозовское, ул. Спортивная, д. 3-в,  (61:42:0010101:3801) (ориентировочная   протяженность ЛЭП – 1,9 км, ориентировочная мощность 2-х ТП – 0,5 МВА (2х0,25)</t>
  </si>
  <si>
    <t>Строительство ВЛ-10 кВ от опоры №13/46 отпайки на ТП10/04 кВ № 0217(на балансе ООО «ЛУКОЙЛ-Югнефтепродукт») по ВЛ-10 кВ №1 ПС 110/10 кВ «Дегтевская» с установкой КТП и строительством ВЛ-0,4 кВ, установка коммерческого учета (1 шт.) электрической энергии (мощности) в точке поставки и установка шкафа 0,4 кВ с коммутационными аппаратами, для электроснабжения электрической зарядной станции Заявителя, АО «Ситроникс» расположенной в Ростовской области, Миллеровский р-н, а/д М4 Дон с южной стороны от х. Грай-Воронец, 824 км+500 м слева, координаты 49.163482, 40.597913 (к.н.з.у. 61:22:600006:439), (ориентировочная протяженность ЛЭП – 0,015 км, ориентировочная мощность ТП – 0,160 МВА)</t>
  </si>
  <si>
    <t xml:space="preserve">Строительство ВЛ 0,4 кВ от РУ 0,4 кВ техперевооружаемой КТП №605 (по договору №61-1-19-00480303 от 31.10.2019 г.) ВЛ 10 кВ №101 ПС 110 кВ АС1 для электроснабжения ВРУ 0,4 кВ жилого дома Румянниковой А. Ю. по ул. Ленина, 10 в ст-це Ольгинская Аксайского района Ростовской области </t>
  </si>
  <si>
    <t xml:space="preserve">Строительство ТП 10/0,4 кВ, ВЛ 10 кВ, ВЛ 0,4 кВ от ВЛ 10 кВ №3 ПС 35 кВ Б. Салы для электроснабжения жилого дома Мунтян В. Ю. по ул. Сосновая, 42 в пос. Темерницкий Аксайского района Ростовской области </t>
  </si>
  <si>
    <t xml:space="preserve">Строительство ВЛ 0,4 кВ, ТП 10/0,4 кВ, КЛ 10 кВ от ВЛ 10 кВ №26-66 ПС 110 кВ Р26 для электроснабжения заявителя Абдулкадировой П.А., расположенной по адресу: Ростовская область, Мясниковский район, тер. Юго-Восточная промзона, КН 61:25:601001:0313 </t>
  </si>
  <si>
    <t>Строительство ТП 10/0,4 кВ, ВЛ 0,4 кВ, ВЛ 10 кВ от ВЛ 10 кВ №111 ПС 110 кВ АС1 для электроснабжения нежилого здания ИП Кравцова А. В. и складов Рогальского А. В. в п. Дорожный Аксайского района Ростовской области</t>
  </si>
  <si>
    <t xml:space="preserve">Строительство КТПН 10/0,4 кВ, ВЛ 0,4 кВ, ВЛ 10 кВ от ВЛ 10 кВ №403 ПС 110 кВ АС4 для электроснабжения ВРУ 0,4 кВ жилых домов по ул. Крымская в х. Ленина Аксайского района Ростовской области </t>
  </si>
  <si>
    <t xml:space="preserve">Строительство КТП 10/0,4 кВ, ВЛ 0,4 кВ, ВЛ 10 кВ от ВЛ 10 кВ №705 ПС 35 кВ БГ7 для электроснабжения насосной станции Гучучалиева К.Г. по адресу: Ростовская обл., р-н. Багаевский, местоположение установлено относительно ориентира, расположенного в границах участка. Ориентир от п. Садовый. Участок находится примерно в 2 км от ориентира по направлению на северо-запад, к.н.: 61:03:0600010:69. </t>
  </si>
  <si>
    <t>Строительство ТП 6/0,4 кВ, ВЛ 0,4 кВ, ВЛ 6 кВ от ВЛ 6 кВ №3 РП 6 кВ №6 КЛ 6 кВ №340 ПС 110 кВ БТ3 для электроснабжения ВРУ 0,22 кВ жилых домов Марченко А. Г. в п. Красный Сад Азовского района Ростовской области</t>
  </si>
  <si>
    <t xml:space="preserve">Строительство ТП 10/0,4 кВ, ВЛ 10 кВ, ВЛ 0,4 кВ от ВЛ 10 кВ №111 ПС 110 кВ АС1 для электроснабжения складов ООО “Молот” на участке с КН 61:02:0600016:3581 в х. Ленина Аксайского района Ростовской области </t>
  </si>
  <si>
    <t xml:space="preserve">Строительство ТП 10/0,4 кВ, ВЛ 10 кВ, ВЛ 0,4 кВ от опоры №217  ВЛ 10 кВ №125 ПС 110 кВ СМ1 для электроснабжения ВРУ-0,4 кВ на земельном участке, заявителя: Денисовой Ирины Ивановны по адресу: Ростовская область, Семикаракорский  район,  Семикаракорское лесничество ,Семикаракорское участковое лесничество, квартал 59 выд.17 к.н.:61:35:0600004:195  </t>
  </si>
  <si>
    <t>Строительство ВЛ 10 кВ от ВЛ 10 кВ №407 ПС 110 кВ СМ4 до проектируемой  ВЛ 10 кВ по договору №61-1-19-00486467 (ООО Стройснаб), строительство ТП 10/0,4 кВ, ВЛ 0,4 кВ, ВЛ10 кВ от ВЛ10 кВ КРС №407 ПС110 Ш34 для электроснабжения ВРУ-0,4 кВ нежилого здания заявителя Синцова В.В. по адресу: Р.О., Усть-Донецкий р-н, ст-ца Раздорская, левый берег р. Дон, к.н.: 61:39:0000000:6684</t>
  </si>
  <si>
    <t xml:space="preserve">Строительство ТП 6/0,4 кВ, ВЛ 0,4 кВ, ВЛ 6 кВ от ВЛ 6 кВ №807 ПС 35 кВ АС7 для электроснабжения складского здания/помещения ИП Варламовой Т. Н. на участке с КН 61:02:0010201:6894 в х. Большой Лог Аксайского района Ростовской области </t>
  </si>
  <si>
    <t xml:space="preserve">Строительство ТП 10/0,4 кВ, ВЛ 10 кВ, ВЛ 0,4 кВ от ВЛ 10 кВ №1005 ПС 110 кВ АС10 для электроснабжения складов ООО “Горизонт” на участках с КН 61:02:0600002:929, 61:02:0600002:2420 в ст-це Грушевская Аксайского района Ростовской области </t>
  </si>
  <si>
    <t xml:space="preserve">Строительство ТП 10/0,4 кВ, ВЛ 10 кВ, ВЛ 0,4 кВ от опоры №352  ВЛ 10 кВ №255 ПС 110 кВ БГ2 для электроснабжения складов сельскохозяйственной продукции ООО «Ритм»  по адресу: Ростовская обл., Аксайский район, АО «Заречное», поле 33 к.н.: 61:02:0600019:1255, к.н: 61:02:0600019:1261, к.н. 61:02:0600019:1213  </t>
  </si>
  <si>
    <t xml:space="preserve">Строительство ТП 10/0,4 кВ, ВЛ 0,4 кВ, ВЛ 10 кВ от опоры №2/18 ВЛ 10 кВ №610 ПС 35 кВ СМ6,  с установкой прибора учета электрической энергии на границе балансовой принадлежности для электроснабжения объекта сельхоз. производства заявителя ИП Анастасиадис Д.Я. адресу: РО, Семикаракорский район, п. Крымский, поле № 4,5 массива земель реорганизованного сельскохозяйственного предприятия ОАО «Крымское» к.н.:61:35:060009:482 </t>
  </si>
  <si>
    <t xml:space="preserve">Строительство КТП 10/0,4 кВ, ВЛ 0,4 кВ, ВЛ 10 кВ от ВЛ 10 кВ №1208 ПС 110 кВ АС12 для электроснабжения ВРУ 0,4 кВ жилых домов Полулях С. А. в п. Щепкин Аксайского района Ростовской области </t>
  </si>
  <si>
    <t xml:space="preserve">Строительство ТП 10/0,4 кВ, ВЛ 0,4 кВ, ВЛ 10 кВ от ВЛ 10 кВ №653 ПС 110 кВ АС6 для электроснабжения ВРУ 0,4 кВ жилых домов по ул. Ласточкина, 11, 13, 15 в х. Краснодворск Аксайского района Ростовской области </t>
  </si>
  <si>
    <t xml:space="preserve">Строительство ТП 6/0,4 кВ, ВЛ 0,4 кВ, ВЛ 6 кВ от ВЛ 6 кВ №807 ПС 35 кВ АС8 для электроснабжения ВРУ 0,4 кВ нежилой застройки Чевычалова А. И. на участке с КН 61:02:0600011:1281 в х. Большой Лог Аксайского района Ростовской области </t>
  </si>
  <si>
    <t xml:space="preserve">Строительство ВЛ 0,4 кВ от РУ 0,4 кВ проектируемой ТП 10/0,4 кВ (по договору №61-1-20-00505085 от 16.04.2020 г.) ВЛ 10 кВ №403 ПС 110 кВ АС4 для электроснабжения ВРУ 0,4 кВ жилого дома Бондаревой Е. Ю. в х. Ленина Аксайского района Р.О. </t>
  </si>
  <si>
    <t>Строительство ВЛ 0,4 кВ от кольцевой проектируемой опоры по договору № 61-1-21-00584993 от 29.06.2021г. проектируемого ТП 10/0,4 кВ ВЛ 10 кВ № 403 ПС 110 АС-4 для электроснабжения жилого дома Кипко М.В. по адресу РО, Аксайский р-н, х. Ленина, ул. Севастопольская, 13 К.Н. 61:02:0600016:4496.</t>
  </si>
  <si>
    <t xml:space="preserve">Строительство ВЛ 0,4 кВ от проектируемой ВЛ 0,4 кВ (по договору №61-1-20-00524953 от 18.09.2020 г.) ТП 10/0,4 кВ №39 ВЛ 10 кВ №1213 ПС 110 кВ АС-12 для электроснабжения ВРУ 0,4 кВ жилого дома Кусакиной Я.Ю. на участке с КН 61:33:0600015:1126 в совх. Каменобродский, Родионово-Несветайский р-н, юго-западнее х. Каменный Брод, участок 107 Аксайского района Ростовской области </t>
  </si>
  <si>
    <t xml:space="preserve">Строительство ВЛ 0,4 кВ от проектируемой ВЛ 0,4 кВ (по договору №61-1-21-00602853 от 21.09.2021 г.) проектируемой КТПН 10/0,4 кВ ВЛ 10 кВ №403 ПС 110 кВ АС4 для электроснабжения ВРУ 0,4 кВ жилого дома Баранцевой Е. О. на участке с КН 61:02:0600016:4452 в х. Ленина Аксайского района Ростовской области </t>
  </si>
  <si>
    <t xml:space="preserve">Строительство ВЛ 0,4 кВ по ВЛ 0,4 кВ №3 от КТП 10 кВ №91, ВЛ 10 кВ №160 ПС 110 кВ В1 для электроснабжения жилого дома Ахметова Р. У.  на участке с КН 61:06:0010141:354 в Веселовском районе Ростовской области, п. Веселый, ул. Береговая, 40 </t>
  </si>
  <si>
    <t xml:space="preserve">Строительство ТП 10/0,4 кВ, ВЛ 0,4 кВ, ВЛ 10 кВ от ВЛ 10 кВ №125 ПС 110 кВ СМ1 для электроснабжения ВРУ-0,4 кВ жилого дома заявителя Худотеплова А.С. по адресу: Ростовская обл., р-н. Семикаракорский, г. Семикаракорск, ул. Серегина, д.64, а к.н.: 61:35:0110205:634., </t>
  </si>
  <si>
    <t>Строительство участка ВЛЗ-6 кВ от опоры №142 ВЛ-6 кВ №1 ПС 35/6 кВ Романовская, с установкой ТП-6/0,4 кВ, строительство ВЛИ-0,4 кВ от РУ-0,4 кВ вновь установленной ТП-6/0,4 кВ,  с установкой шкафов 0,4 кВ, и обеспечение коммерческим учетом электрической энергии (мощности) в точках поставки по присоединению спального домика базы отдыха Сидоренко И.О., расположенного по адресу: Ростовская область, г. Волгодонск, ул. Отдыха, д.61, кадастровый номер земельного участка 61:48:0020101:1399 и дачных домов Сидоренко А.В., расположенных по адресам: Ростовская область, г. Волгодонск, ул. Отдыха, д.61, кадастровые номера земельных участков 61:48:0020101:1487, 61:48:0020101:1488, 61:48:0020101:1490, 61:48:0020101:1489, 61:48:0020101:1482, 61:48:0020101:1483, 61:48:0020101:1484, 61:48:0020101:1485, 61:48:0020101:1486, 61:48:0020101:1494, 61:48:0020101:1495, 61:48:0020101:1498, 61:48:0020101:1500, 61:48:0020101:1474, 61:48:0020101:1499, 61:48:0020101:1491, 61:48:0020101:1492, 61:48:0020101:1497, 61:48:0020101:1496, 61:48:0020101:1501, 61:48:0020101:1505, 61:48:0020101:1506, 61:48:0020101:1507, 61:48:0020101:1504, 61:48:0020101:1502, 61:48:0020101:1503, 61:48:0020101:1479, 61:48:0020101:1478 (ориентировочная протяженность ЛЭП 0,485 км, ориентировочная мощность трансформатора 250 кВА)</t>
  </si>
  <si>
    <t>Строительство участка ВЛЗ-6 кВ от опоры №12/11 ВЛ 6 кВ №11 ПС 35 кВ Шлюзовая, с установкой ТП-6/0,4 кВ, строительство ВЛИ-0,4 кВ от РУ-0,4 кВ вновь установленной ТП-6/0,4 кВ и установка шкафа коммерческого учета электрической энергии (мощности) в точке поставки для присоединения объекта крестьянского (фермерского) хозяйства ИП Зерновой М.С., расположенного по адресу: Ростовская область, Волгодонской район, 3,4 км на юг от х. Лагутники, к.н.з.у.: 61:08:0600701:1437 (ориентировочная протяженность ЛЭП 0,02 км, ориентировочная мощность трансформатора 0,25 МВА)</t>
  </si>
  <si>
    <t>Строительство участка ВЛ-10 кВ от опоры №2/2 ВЛ 10 кВ №4 ПС 110 кВ Вербовая, с установкой ТП-10/0,4 кВ, строительство ВЛИ-0,4 кВ от РУ-0,4 кВ вновь установленной ТП-10/0,4 кВ и установка шкафа коммерческого учета электрической энергии (мощности) в точке поставки для присоединения объекта сельскохозяйственного производства ООО «ЮгАгроХолдинг», расположенного по адресу: Ростовская область, Дубовский район, х. Вербовый Лог, к.н.з.у.: 61:09:0600003:1249 (ориентировочная протяженность ЛЭП 0,04 км, ориентировочная мощность трансформатора 0,16 МВА)</t>
  </si>
  <si>
    <t>Строительство участка ВЛ-10 кВ от опоры №91 ВЛ 10 кВ №11 ПС 35 кВ Рябичевская,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объекта сельскохозяйственного производства ООО «Агро-Дон», расположенного по адресу: Ростовская область, Волгодонской район, ЗАО «Дон» в 1,8 км на запад от х. Ясырев, к.н.з.у.: 61:08:0601601:110 (ориентировочная протяженность ЛЭП 0,03 км, ориентировочная мощность трансформатора 0,16 МВА)</t>
  </si>
  <si>
    <t>Строительство участка ВЛ-10 от опоры №15 ВЛ 10 кВ №4 ПС 110 кВ Дубенцовская, с установкой ТП-10/0,4 кВ, строительство ВЛИ-0,4 кВ от РУ-0,4 кВ вновь установленной ТП-10/0,4 кВ и установка шкафа коммерческого учета электрической энергии (мощности) в точке поставки для присоединения объекта сельскохозяйственного производства ИП Рыжкина П.Е., расположенного по адресу: Ростовская область, Волгодонской район, станица Дубенцовская, за чертой населенного пункта станицы Дубенцовская на расстоянии 20 м, удален от трассы районного значения на 50 м в северо-восточном направлении, к.н.з.у.: 61:08:0600201:36 (ориентировочная протяженность ЛЭП 0,04 км, ориентировочная мощность трансформатора 0,25 МВА)</t>
  </si>
  <si>
    <t>Строительство ВЛ- 0,4 кВ от РУ- 0,4 кВ КТП- 10/0,4 кВ №169 по ВЛ-10 кВ №4 ПС 110/10 кВ "Новоселовская", обеспечение коммерческим учетом электрической энергии (мощности) в точке поставки и установка шкафа 0,4 кВ с коммутационным аппаратом, для технологического присоединения жилого дома заявителя, Семенкова Ю.А., расположенного  Ростовская область, Кашарский р-н, с. Фомино- Свечниково, ул. Большая, д. 21 (к.н.з.у. 61:16:0170601:69), (ориентировочная протяженность ЛЭП- 0,64 км)</t>
  </si>
  <si>
    <t>«Строительство ВЛ-10 кВ от опоры № 64/166 по ВЛ-10 кВ № 3 ПС 35/10 кВ «Мальчевская» с установкой КТП и строительством ВЛ-0,4 кВ, установка прибора учета электрической энергии (мощности) в точке поставки и установка шкафа 0,4 кВ с коммутационным аппаратом (2 шт.), для электроснабжения объекта сельскохозяйственного производства Заявителя, ИП Салманова З.Ф. и электроснабжения гостиницы Заявителя, ИП Ченцовой С.В.,  расположенных в Ростовской области, Миллеровский р-н, х. Ленина, (к.н.з.у. 61:22:0600008:1321), (к.н.з.у. 61:22:0070701:370), (ориентировочная протяженность ЛЭП – 0,316 км, ориентировочная мощность ТП – 0,250 МВА)»</t>
  </si>
  <si>
    <t>Строительство ВЛ 0,4 кВ от РУ 0,4 кВ, вновь построенной ТП 10/0,4 кВ, строительство ВЛ 10 кВ от опоры № 8  по ВЛ 10 кВ №8 ПС 110/10 кВ «Миллеровская», установка прибора учета электрической энергии (мощности) в точке поставки и установка шкафа 0,4 кВ с коммутационным аппаратом (3 шт.), для технологического присоединения ВРУ 0,4 кВ, для электроснабжения жилого дома, Заявителя, Ткаченко Е.В.,  для ведения садоводства и огородничества Заявителей, Кнышовой Г.А.и Ескиной Е.А.,  расположенных в Ростовской области, Миллеровский р-н, г. Миллерово, ООО «Маслодел», (ориентировочная   протяженность ЛЭП – 0,54 км, ориентировочная мощность ТП – 0,063 МВА)</t>
  </si>
  <si>
    <t>Строительство двух ВЛ 0,4 кВ от РУ 0,4 кВ, вновь перенесенной ТП 10/0,4 кВ №255, строительство ВЛ 10 кВ от опоры № 274  по ВЛ 10 кВ №6 ПС 110/35/10 кВ «Вешенская 1», установка приборов учета электрической энергии (мощности) в точке поставки и установка шкафа 0,4 кВ с коммутационным аппаратом (2 шт.), для электроснабжения жилых домов, Заявителей, Тимофеева Н.И. и Тимофеева С.И.,  расположенных в Ростовской области, Шолоховский р-н, х. Черновский, ул. Заречная, д. 14, ул. Песочная, д. 54, (ориентировочная   протяженность ЛЭП – 0,27 км, ориентировочная мощность существующей ТП – 0,1 МВА)</t>
  </si>
  <si>
    <t>Строительство ВЛ-10 кВ от опоры № 61 по ВЛ-10 кВ № 3 ПС 110/27,5/10 кВ «Старая Станица» с установкой КТП и строительством ВЛ-0,4 кВ, установку коммерческого учета (1 шт.) электрической энергии (мощности) в точке поставки и установка шкафа 0,4 кВ с коммутационным аппаратом, для технологического присоединения объекта сельскохозяйственного производства, Заявителя,  ООО МДЦ «АвтоНиКа», расположенного в Ростовской области, Миллеровский р-н, Верхнеталовское сельское поселение, (61:22:0600026:515) (ориентировочная   протяженность ЛЭП – 0,05 км, ориентировочная мощность ТП – 0,25 МВА)</t>
  </si>
  <si>
    <t>«Строительство ВЛ-10 кВ от опоры № 92 по ВЛ-10 кВ № 2 ПС 110/10 кВ «Туриловская» с установкой КТП и строительством ВЛ-0,4 кВ, установку коммерческого учета (1 шт.) электрической энергии (мощности) в точке поставки и установка шкафа 0,4 кВ с коммутационным аппаратом, для электроснабжения молочной фермы Заявителя, ИП Глава К(Ф)Х Скляров В.А. расположенной в Ростовской области, Миллеровский р-н, х. Кузмичевка, (61:22:0600004:979) (ориентировочная   протяженность ЛЭП – 0,59 км, ориентировочная мощность ТП – 0,25 МВА)»</t>
  </si>
  <si>
    <t>«Строительство ВЛ-10 кВ от опоры № 7/14 по ВЛ-10 кВ № 1 ПС 35/10 кВ «Мальчевская» с установкой КТП и строительством ВЛ-0,4 кВ, установку коммерческого учета (1 шт.) электрической энергии (мощности) в точке поставки и установка шкафа 0,4 кВ с коммутационным аппаратом, для технологического присоединения ангара, Заявителя,  ИП Глава К(Ф)Х Коник Я.А., расположенного в Ростовской области, Миллеровский р-н, ст. Мальчевская, ул. Готальского, (61:22:0070101:4948) (ориентировочная   протяженность ЛЭП – 0,4 км, ориентировочная мощность ТП – 0,25 МВА)»</t>
  </si>
  <si>
    <t>Строительство ВЛ-0,4 кВ от опоры №2/8, ВЛ 0,4 кВ №1, КТП-10/0,4 кВ №284 по ВЛ-10 кВ №3 ПС  35/10 кВ «Дударевская»,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здания модульного дома культуры заявителя, Администрация Дударевского сельского поселения, расположенного по адресу: Ростовская область, Шолоховский р-н, х. Дударевский, ул. Клубная, д. 43, (к.н.з.у. 61:43:0040101:1659) (ориентировочная протяженность ЛЭП – 0,02 км)</t>
  </si>
  <si>
    <t>Строительство ВЛ-10 кВ от опоры № 153 по ВЛ-10 кВ № 3 ПС 110/10 кВ «Промзона» с установкой КТП и строительством ВЛ-0,4 кВ, установку коммерческого учета (1 шт.) электрической энергии (мощности) в точке поставки и установка шкафа 0,4 кВ с коммутационным аппаратом, для технологического присоединения складов хранения и переработки сельскохозяйственной продукции, Заявителя, ИП Глава КФХ Тарадин П.В., расположенных в Ростовской области, Миллеровский р-н, х. Терновой, ул. Луговая, д. 52, корп. А, (61:22:0061001:548) (ориентировочная   протяженность ЛЭП – 0,09 км, ориентировочная мощность ТП – 0,16 МВА)</t>
  </si>
  <si>
    <t>Строительство ВЛ-10 кВ, от опоры №42 по ВЛ-10 кВ №2 ПС 35/10 кВ «Долотинская» с установкой КТП и строительством ВЛ-0,4 кВ, установка коммерческого учета (1 шт.) электрической энергии (мощности) в точке поставки и установка шкафа 0,4 кВ с коммутационными аппаратами, для электроснабжения перекачивающего устройства сливо-наливной ЖД эстакады Заявителя, ООО «ГПН-Аэро» расположенной в Ростовской области, Миллеровский р-н, п. Долотинка, (к.н.з.у. 61:22:0600029:363), (ориентировочная протяженность ЛЭП – 0,122 км, ориентировочная мощность ТП – 0,160 МВА</t>
  </si>
  <si>
    <t>Строительство ВЛ-10 кВ от опоры № 89 по ВЛ-10 кВ № 5 ПС 110/35/10 кВ «ГОК» с установкой КТП и строительством ВЛ-0,4 кВ, установку коммерческого учета (1 шт.) электрической энергии (мощности) в точке поставки и установка шкафа 0,4 кВ с коммутационным аппаратом, для технологического присоединения жилого дома (площадью 272,5 кв.м, из них жилой 29.3 кв.м.), Заявителя, ООО «АКВА.РУ», расположенного в Ростовской области, Миллеровский р-н, х. Новоандреевка, ул. Донецкая, д. 2, к/н, (61:22:0010801:56) (ориентировочная   протяженность ЛЭП – 0,01 км, ориентировочная мощность ТП – 0,16 МВА)</t>
  </si>
  <si>
    <t>Строительство участка ВЛ-6 кВ от существующей оп. №83 отпайки к КТП № 474 по ВЛ 6 кВ «Правда» ПС Г6, с установкой ТП-6/0,4 кВ, и строительство ВЛ-0,4 кВ от вновь установленной ТП-6/0,4 кВ для присоединения электрической зарядной станции АО «Ситроникс» по адресу: Ростовская область, Красносулинский район, п. Пролетарка, а/д Воронеж-Ростов-на-Дону, 947+300 м, К.Н.З.У.:61:18:600004:1. (ориентировочная протяженность ЛЭП 0,035 км, ориентировочная мощность трансформатора 160 кВА)</t>
  </si>
  <si>
    <t>Строительство ТП-6/0,4, ЛЭП-6 кВ от оп. №7 отпайки к КТП №16 ВЛ 6 кВ Россия ПС Ш-12, и ВЛИ-0,4 кВ от вновь установленной ТП-6/0,4 кВ для присоединения объекта сельскохозяйственного производства ООО «Краснокутское» по адресу: Октябрьский район, х.Красный Кут, ул. Социалистическая, д.2г, (ориентировочная протяженность ЛЭП 0,03 км, ориентировочная мощность трансформатора 160 кВА)</t>
  </si>
  <si>
    <t>Строительство ТП-10/0,4 кВ, ЛЭП-10 кВ от существующей оп. №6 отпайки к КТП № 558 по ВЛ 10 кВ СТФ от ПС 110 кВ Ш38 и ВЛИ-0,4 кВ от вновь установленной ТП-10/0,4 кВ для присоединения электрической зарядной станции АО «Ситроникс» по адресу: Ростовская обл., р-н Октябрьский, 1024 км. а/д Ростов-на-Дону – Воронеж, АЗС Лукойл 61309, (ориентировочная протяженность ЛЭП 0,035 км, ориентировочная мощность трансформатора 160 кВА)</t>
  </si>
  <si>
    <t>Строительство ТП-10/0,4, ЛЭП-10 кВ от оп.13 отпайки на ТП № 136 по ВЛ-10кВ Мир ПС 110кВ Н-9, и ВЛИ-0,4 кВ от вновь установленной ТП-10/0,4 кВ для присоединения фермы ИП Григорян Т.В.: Ростовская обл, Родионово-Несветайский район, участок находится примерно в 200 м по направлению на юго-запад от ориентира х.Поповка с кадастровым номером: 61:33:0600006:2248 (ориентировочная протяженность ЛЭП 1,688 км, ориентировочная мощность трансформатора 160 кВА)</t>
  </si>
  <si>
    <t>Строительство ТП-6/0,4, ЛЭП-6 кВ от оп. №93 ВЛ 6 кВ Совхоз-10 ПС Ш-12, и ВЛИ-0,4 кВ от вновь установленной ТП-6/0,4 кВ для присоединения нежилой застройки ИП Коваленко Д.О.  по адресу: Октябрьский район, СПК «Заря Дона» (территория бывшего ТОО «Колос»), (ориентировочная протяженность ЛЭП 0,022 км, ориентировочная мощность трансформатора 0,16 МВА)</t>
  </si>
  <si>
    <t>Строительство участка ВЛЗ10 кВ от ВЛ 10кВ Комплекс ПС 110/35/10 Ш34, с установкой ТП 10/0,4 кВ, и строительство ВЛИ 0,4 кВ от вновь установленной ТП 10/0,4 кВ для присоединения ЛЭП-0,4 кВ ИП Елагина А.В. в ст. Мелиховская Усть-Донецкого района (ориентировочная протяженность ЛЭП 2,31 км, ориентировочная мощность трансформатора 0,25 МВА)</t>
  </si>
  <si>
    <t>Строительство участка ВЛЗ10 кВ от ВЛ10 кВ МТФ ПС 110/10 Ш47, с установкой ТП 10/0,4 кВ, и строительство ВЛИ 0,4 кВ от вновь установленной ТП 10/0,4 кВ для присоединения ВРУ-0.4кВ объекта некапитального строительства, Рябцев А.М. в ст. Кочетовской Семикаракорского района. Усть-Донецкий РЭС (ориентировочная протяженность ЛЭП 0,030 км, ориентировочная мощность трансформатора 0,25 МВА)</t>
  </si>
  <si>
    <t>Строительство ВЛ-10 кВ от оп. 24 отпайки на КТП 177 по ВЛ 10 кВ Заря от ПС Н-9, с установкой ТП 10/0,4кВ и строительство ВЛИ 0,4кВ от вновь установленной ТП 10/0,4 кВ для электроснабжения «объекта торговли» ИП Исматулаева Д.А. по адресу: р-н. Родионово-Несветайский, сл. Родионово-Несветайская, ул. 30 лет Победы, д.18Б, к.н.з.у.:  61:33:0040127:350 (ориентировочная протяженность ЛЭП – 0,086км, ориентировочная мощность трансформатора -160 кВА)</t>
  </si>
  <si>
    <t>Строительство участка ВЛЗ10 кВ от ВЛ 10кВ Раздоры ПС 110/35/10 Ш34, с установкой ТП 10/0,4 кВ, и строительство ВЛИ 0,4 кВ от вновь установленной ТП 10/0,4 кВ для электроснабжения «малоэтажной жилой застройки» Вельмицкого А.В. в ст. Раздорской ул. Донская, д. 55д Усть-Донецкого района (ориентировочная протяженность ЛЭП 0,02 км, ориентировочная мощность трансформатора 0,25 МВА)</t>
  </si>
  <si>
    <t>Строительство участка ВЛ-6 кВ от существующей оп. №59 отпайки к КТП № 264 по ВЛ 6 кВ «Божковка» ПС Г14, с установкой ТП-6/0,4 кВ, и строительство ВЛ-0,4 кВ от вновь установленной ТП-6/0,4 кВ для присоединения земельного участка Павлова И.А.: Ростовская область, Красносулинский район, СПК «Божковский» 1,5 км на юг от х. Божковка, К.Н.З.У.:61:18:0600004:517. (ориентировочная протяженность ЛЭП 0,141 км, ориентировочная мощность трансформатора 0,25 МВА)</t>
  </si>
  <si>
    <t>Строительство участка ВЛ-6 кВ от опоры № 140 по ВЛ – 6 кВ «Орошение» ПС Ш-9, с установкой на границе земельного участка заявителя ПКУ для объектов жилищно-коммунального хозяйства ООО «Экострой-Дон», по адресу: примерно в 2 км по направлению на юго-запад от п. Аютинский, Красносулинский район, Ростовская область, К.Н З.М: 61:18:0600022:567. (ориентировочная протяженность ЛЭП – 1,18 км.)</t>
  </si>
  <si>
    <t>Строительство ВЛ-10 кВ от  оп. 78 отпайки на КТП 16 по ВЛ 10 кВ Мир от ПС Н-9,с установкой ТП 10/0,4кВ и строительство ВЛИ 0,4кВ от вновь установленной ТП 10/0,4 кВ для электроснабжения «объекта для благоустройства территории» Администрация Болдыревского сельского поселения по адресу: р-н. Родионово-Несветайский, х. Дарьевка, ул.Заречная, к.н.з.у.:  61:33:0600006:2297. (ориентировочная протяженность ЛЭП – 0,180 км, ориентировочная мощность ТП -160 кВА)</t>
  </si>
  <si>
    <t>Строительство ТП-6/0,4, от оп. №38 отпайки к КТП №696 ВЛ 6 кВ Совхоз-10 ПС Ш-12 и ВЛИ-0,4 кВ от вновь установленной ТП-6/0,4 кВ для присоединения нежилой застройки ИП Коваленко Д.О. по адресу: Октябрьский район, Красюковское сельское поселение, слева автомобильной дороги М-4 «Дон» км 1014+370, (ориентировочная протяженность ЛЭП 0,01 км, ориентировочная мощность трансформатора 250 кВА)</t>
  </si>
  <si>
    <t>Строительство ВЛ 0,4 кВ от новой ТП 6/0,4 кВ, строительство ТП 6/0,4 кВ, строительство ВЛ 6 кВ от ВЛ 6 кВ №2 ПС 110/35/6 кВ «Т-25», для технологического присоединения Заявителей (Михайлецкая Г.И., Михайлецский И.С.) по адресу: Ростовская область, г. Таганрог, ул. Поляковское шоссе, 19, к.н.: 61:58:0002500:806, к.н.: 61:58:0002500:805,(Гаражно-строительный кооператив №34) по адресу: Ростовская область, г. Таганрог, ул. Сызранова, 7, к.н. 61:58:05265:0049 (ориентировочная протяженность ЛЭП 0,302 км; мощность силового трансформатора 0,16 МВА)</t>
  </si>
  <si>
    <t>Строительство ВЛ 0,4 кВ от РУ 0,4 кВ проектируемого  ТП 10/0,4 кВ, строительство ТП 10/0,4 кВ, строительство ВЛ 10 кВ от ВЛ 10 кВ № 1 ПС 110/35/10 Чалтырь отпайки на ТП 10/0,4 кВ № 1-183 А, запитанной от ВЛ 10 кВ № 13 ПС 110/35/10 кВ Чалтырь, для технологического присоединения индивидуальных жилых домов Заявителей: (Керимова Л.К., Карпенко А. Н.) по адресу: Ростовская область Мясниковский район х. Ленинаван, ул. Мясникяна, 70-летия Победы, Октябрьская  (ориентировочная протяжённость ЛЭП 0,455 км; мощность силового трансформатора-0,16 МВА )</t>
  </si>
  <si>
    <t>Строительство ВЛ 0,4 кВ от РУ 0,4 кВ новой ТП 10/0,4 кВ, строительство ТП 10/0,4 кВ, строительство ВЛ 10 кВ от ВЛ 10 кВ №5 ПС 35/10 кВ Б.Салы для технологического присоединения жилых домов Заявителей: (Гаркуша О.В., Берберян Д.С., Берберян С.К., Матосян Н.К., Арзиева С.С.) по адресу: Ростовская область, Мясниковский район, с. Большие Салы, ул. Партизанская, (ориентировочная протяженность ЛЭП 0,285 км; мощность силового трансформатора – 100 кВА)</t>
  </si>
  <si>
    <t>Строительство  ВЛ 0,4 кВ от РУ 0,4 кВ проектируемого ТП 10/0,4 кВ, строительство ТП 10/0,4 кВ, строительство ВЛ 10 кВ от ВЛ 10 кВ № 1 ПС 110/35/10 кВ Чалтырь отпайки на ТП 10/0,4 кВ № 1-182, для технологического присоединения индивидуальных жилых домов Заявителей: (Тащиян А. А., Восканян Т. Д., Явруян А. А., Устимова В. М., Хурдаян Л. Д., Тухикян С. М., Османян Х. М., Поркшеян Н. С., Хатламаджиев В. В., Мошиян А. Э., Тащиян А.А., Хурдаян А. А., Килафян В. М., Мелконян Е. А., Хурдаян А. В.) по адресу: Ростовская область, Мясниковский район, х. Ленинаван, ул. Орджоникидзе (ориентировочная протяжённость ЛЭП-0,73 км, мощность силового трансформатора- 0,25 МВА )</t>
  </si>
  <si>
    <t>Строительство ВЛ 0,4 кВ от РУ 0,4 кВ ТП 10/0,4 кВ, строительство ТП 10/0,4 кВ, строительство ВЛ 10 кв от опоры ВЛ 10 кВ № 1 ПС 110/35/10 кВ "Чалтырь" для технологического присоединения Заявителей: (Мазницин И. В., Хатламаджиян И. В., Хатламаджиян Х. В., Рейдин А. Г., Бузина Н. Г., Галоян Р. Т.) по адресу: Мясниковский район х. Ленинакан (ориентировочная протяжённость ЛЭП 1,05 км; мощность силового трансформатора-0,16 МВА)</t>
  </si>
  <si>
    <t>Строительство ВЛ 0,4 кВ от опоры по ВЛ 0,4 кВ № 2 ТП 10/0,4 кВ № 5-3 по ВЛ 10 кВ № 5 ПС 110/35/10 кВ Чалтырь, для технологического присоединения индивидуальных жилых домов Заявителей: (Худоярова А. А., Егиян А. А., Алеворян С. С., Олаян В. Б., Саргсян С. И., Долаков А. С.) по адресу: Ростовская область, Мясниковский район, с. Чалтырь, ул. Красноармейская, ул. Абовяна  (ориентировочная протяжённость ЛЭП 0,295 км)</t>
  </si>
  <si>
    <t>Строительство ВЛ 0,4 кВ от ВЛ 0,4 кВ №4 ТП 6/0,4 кВ №103 для электроснабжения жилого дома заявителя (Чуприна В.А.) по адресу: Ростовская область, г. Таганрог, ул. Гастелло, д.82, к.н. 61:58:0003165:21. (ориентировочная протяженность ЛЭП - 0,145 км)</t>
  </si>
  <si>
    <t xml:space="preserve">Строительство ВЛ 0,4кВ от РУ 0,4кВ ТП 6/0,4кВ №117 по КЛ 6кВ №1702 ПС 110/6кВ Т-17 для электроснабжения нежилого помещения заявителя (ИП Ильянов И.А.) по адресу: Ростовская обл., г. Таганрог, ул. Чехова, д.104 корп. А., к.н. 61:58:0001140:279. (ориентировочная протяженность ЛЭП - 0,23км.)
</t>
  </si>
  <si>
    <t>Строительство ВЛ 0,4 кВ от новой ТП 10/0,4 кВ, строительство ТП 10/0,4 кВ, строительство ВЛ 10 кВ от ВЛ 10 кВ №3 ПС 110/35/10 кВ «Чалтырь», для технологического присоединения складское здание Заявителя (Чубарян С.Х.) по адресу: Ростовская область, Мясниковский район, с. Крым, ул. Большесальская, д. 26/б, к.н. 61:25:0201026:291 (ориентировочная протяженность ЛЭП 0,26 км; мощность силового трансформатора 0,16 МВА)</t>
  </si>
  <si>
    <t>Строительство ВЛ 0,4 кВ от ТП 6/0,4 кВ №6 по КЛ 6 кВ №5 ПС 110/6 кВ Т-5 для технологического присоединения нежилого помещения Заявителя (ИП Элбакян В.Л.) по адресу: Ростовская область, Таганрог, ул. Чехова, д.170/8-й переулок, д.29, к.н.:61:58:0002092:32. (ориентировочная протяженность ЛЭП 0,23 км)</t>
  </si>
  <si>
    <t>Строительство ВЛ 0,4 кВ от новой ТП 10/0,4 кВ, строительство ТП 10/0,4 кВ, строительство ВЛ 10 кВ от ВЛ 10 кВ № 6 ПС 35/10 кВ "Б. Салы", для технологического присоединения жилых домов Заявителей (Чебанян Д. К., Есаян Н. Ш., Токарев М. К., Егиазарян А. С., Шеховцова А. Д.) по адресу: Ростовская область, Мясниковский район, с. Большие Салы (ориентировочная протяжённость ЛЭП 2,22 км; ориентировочная мощность трансформатора  0,4 МВА)</t>
  </si>
  <si>
    <t>Строительство ВЛ 0,4 кВ от новой ТП 10/0,4 кВ, строительство ТП 10/0,4 кВ, строительство ВЛ 10 кВ от ВЛ 10 кВ № 13 ПС 110/35/10 кВ "Чалтырь", для технологического присоединения жилых домов Заявителей (Бликян В. Ш., Нухрикян С. С., Нухрикян Э. Н., Нухрикян Н. Р., Бликян М. В., Нухрикян Н. Н.) по адресу: Ростовская область, Мясниковский район, х. Ленинакан (ориентировочная протяжённость ЛЭП 1,24 км; ориентировочная мощность трансформатора  0,25 МВА)</t>
  </si>
  <si>
    <t>Строительство ВЛ 0,4кВ от новой ТП 10/0,4кВ, строительство ТП 10/0,4кВ, строительство ВЛ 10кВ от ВЛ 10кВ №6 ПС 35/10кВ Б.Салы, отпайки на ТП №5-44А ПС 35/10кВ Б.Салы для технологического присомединения  производственного цеха Заявителя (ООО "Селма") по адресу: Ростовская область, Мясниковский район, с. Чалтырь, в границах участка ориентир 7км + 40м от автодороги Ростов-на-Дону - Новошахтинск к.н. 61:25:0600401:532 (ориентировочная протяженность ЛЭП 0,08км, мощность силового трансформатора 160кВА)</t>
  </si>
  <si>
    <t>Строительство ВЛ 0,4 кВ от РУ 0,4 кВ ТП 10/0,4 кВ № 6-2 по ВЛ 10 кВ № 6 ПС 110/35/10 кВ Чалтырь, для технологического присоединения Заявителей (Хабаликян А. А., Тащиян Н. И., Гайбарян А. А., Гайбарян С. А., ИП Поповян К. А.) по адресу: Ростовская область, Мясниковский район, с. Чалтырь, ул. 3-я линия, 36, 36/а, 38, 43/б, ул. Октябрьская, 28  (ориентировочная протяжённость ЛЭП 0,62 км)</t>
  </si>
  <si>
    <t>Строительство ВЛ 0,4 кВ от ВЛ 0,4 кВ проектируемой по договору № 61-1-18-00373925 от 23.05.2018г Таранова А.В. для технологического присоединения подсобного хозяйств Заявителей (Стражникова Ю.В., Самохвалова Е.В.) по адресу: Ростовская область, Неклиновский район, с. Анреево-Мелентьево, пер. Сквозной, д. 5, 5а (ориентировочная протяженность ЛЭП 0,26 км)</t>
  </si>
  <si>
    <t>Строительство ВЛ 0,4 кВ от РУ 0,4 кВ ТП 10/0,4 кВ №1-210 по ВЛ 10 кВ №1 ПС 110/35/10 кВ Чалтырь для технологического присоединения складского помещения Заявителя (ИП Радякин Н.А.) по адресу: Мясниковский район, 370 м. влево автодороги Ростов-на-Дону – Новошахтинск, к.н. 61:25:0600401:9859 (ориентировочная протяженность ЛЭП 0,21 км)</t>
  </si>
  <si>
    <t>Строительство ВЛ 0,4 кВ от опоры, проектируемой по договору №61-1-21-00599769 для технологического присоединения жилого дома Заявителя (Соколовский В.В.) по адресу: Ростовская область, Мясниковский район, с. Крым, ул. генерала Джелаухова, д. 52/в, к.н. 61:25:0600201:1581 (ориентировочная протяженность ЛЭП 0,06 км)</t>
  </si>
  <si>
    <t xml:space="preserve">Строительство ВЛ 0,4 кВ от КТП 10/0,4 кВ №846 ВЛ 10 кВ №1/3 ПС 110/35/10 кВ «Троицкая-1» для технологического присоединения производственного помещения Заявителя (ООО «Прогресс») по адресу: Ростовская область, Неклиновский район, с. Николаевка, к.н. 61:26:0600014:2025 (ориентировочная протяженность ЛЭП 0,15 км)
</t>
  </si>
  <si>
    <t>Строительство ВЛ 0,4 кВ от опоры по ВЛ 0,4 кВ №1 ТП 10/0,4 кВ №6-7 по ВЛ 10 кВ №6 ПС 35/10 кВ Б.Салы для технологического присоединения жилого дома Заявителя (Пугач В.В.) по адресу: Ростовская область, Мясниковский район, с. Б.Салы, ул. Вишневая, д.13 к.н. №61:25:0600501:1980, (ориентировочная протяженность ЛЭП 0,5 км)</t>
  </si>
  <si>
    <t>Строительство ВЛ 0,4 кВ от новой ТП 10/0,4 кВ, строительство ТП 10/0,4 кВ, строительство ВЛ 10 кВ от вновь смонтированной опоры в пролете опор №19-20 отпайки на ТП 10/0,4 кВ №5-15 по ВЛ 10 кВ №5 ПС 35/10 кВ «Петровская», для технологического присоединения жилых домов Заявителей (Вахорина С.А., Селезнева Ю.В., Назаренко Я.В., Нитутина А.М., Щаднева М.Е.) по адресу: Ростовская область, Мясниковский район, СТ «Крокус» (ориентировочная протяженность ЛЭП 1,34 км; мощность силового трансформатора 0,04 МВА)</t>
  </si>
  <si>
    <t>Строительство ВЛ 0,4 кВ от новой ТП 10/0,4 кВ, строительство ТП 10/0,4 кВ, строительство ВЛ 10 кВ от опоры по ВЛ 10 кВ №6 ПС 35/10 кВ «Б.Салы», для технологического присоединения жилых домов Заявителя (Поповян А.М.) по адресу: Ростовская область, Мясниковский район, 10 м на юг от южной окраины с. Большие Салы (ориентировочная протяженность ЛЭП 2,85 км; мощность силового трансформатора 0,25 МВА)</t>
  </si>
  <si>
    <t>Строительство ВЛ 0,4 кВ от новой ТП 10/0,4 кВ, строительство ТП 10/0,4 кВ, строительство ВЛ 10 кВ от опоры по ВЛ 10 кВ №7 ПС 110/35/10 кВ «Синявская», отпайки на ТП 10/0,4 кВ №7-14, для технологического присоединения жилых домов Заявителей (Павлов Д.Ф., Наумов С.О., Каплин А.Я., Нечепуренко И.Г.) по адресу: Ростовская область, Мясниковский район, х. Хапры, пер. Восточный, пер. Никаноровский (ориентировочная протяженность ЛЭП 0,71 км; мощность силового трансформатора 0,1 МВА</t>
  </si>
  <si>
    <t>«Строительство ВЛ 0,4 кВ от новой ТП 10/0,4 кВ, строительство ТП 10/0,4 кВ, строительство ВЛ 10 кВ от опоры по ВЛ 10 кВ №6 ПС 35/10 кВ «Б. Салы», для технологического присоединения жилого дома Заявителя (Григоренко Н.В.) по адресу: Ростовская область, Мясниковский район, с. Большие Салы (ориентировочная протяженность ЛЭП 0,49 км; мощность силового трансформатора 0,025 МВА)»</t>
  </si>
  <si>
    <t>Строительство ВЛ 0,4 кВ от новой ТП 10/0,4 кВ, строительство ТП 10/0,4 кВ, строительство ВЛ 10 кВ от ВЛ 10 кВ №1/3 ПС 110/35/10 кВ «Троицкая-1», для технологического присоединения Административное здание Заявителя (ООО «ТрансБалт») по адресу: Ростовская область, г. Таганрог, Николаевское Шоссе, д.11, к.н. 61:58:0006073:8 (ориентировочная протяженность ЛЭП 0,040 км; мощность силового трансформатора 0,160 МВА)</t>
  </si>
  <si>
    <t>Строительство ВЛ 0,4 кВ от РУ 0,4 кВ  КТП 10/0,4 кВ №63м ВЛ 10 кВ №2 ПС 110/10 кВ «Носовская» для технологического присоединения малоэтажной жилой застройки (ООО «Транс Марин Лоджик») по адресу: Ростовская область, Неклиновский район, с. Ивановка, ул. Миусская, д.15-Б к.н. 61:26:0150401:113 (ориентировочная протяженность ЛЭП 0,270 км)</t>
  </si>
  <si>
    <t>Строительство ВЛ 0,4 кВ от новой ТП 6/0,4 кВ, строительство ТП 6/0,4 кВ, строительство КЛ 6 кВ от новой ТП 6/0,4 кВ до места врезки в КЛ 6 кВ №801 от РП 6 кВ №8 по КЛ 6 кВ 108/1 ПС 110/35/6 кВ Т-1 для электроснабжения производственной базы и АЗС с магазином, заявителей ИП Кумейко С.А., ИП Бызова Е.С. по адресу: РО г. Таганрог, ул. Социалистическая, 150У, 150/4 (ориентировочная протяженность ЛЭП - 0,075 км, ориентировочная мощность силового трансформатора – 250 кВА)</t>
  </si>
  <si>
    <t>«Строительство ВЛ 0,4 кВ от новой ТП 10/0,4 кВ, строительство ТП 10/0,4 кВ, строительство ВЛ 10 кВ от ВЛ 10 кВ №2 ПС 35/10 кВ «Таганрогская», для технологического присоединения объект торговли Заявителя (ИП Тимченко А.С.) по адресу: Ростовская область, Неклиновский район, х. Рожок, ул. Северная, д. 27-Б, к.н. 61:26:0100401:2621 (ориентировочная протяженность ЛЭП 0,025 км; мощность силового трансформатора 0,160 МВА)»</t>
  </si>
  <si>
    <t>Строительство ВЛ 0,4 кВ от новой ТП 10/0,4 кВ, строительство ТП 10/0,4 кВ, строительство ВЛ 10 кВ от ВЛ 10 кВ №8 ПС 35/10 кВ «Русский Колодец», для технологического присоединения объекта Заявителя (ИП Галат М.И.) по адресу: Ростовская область, Неклиновский район, х. Русский Колодец, хозяйство СПК к-з «Прогресс», поле №35, 116, 36, 117, к.н. 61:26:0600023:449 (ориентировочная протяженность ЛЭП 0,31 км; мощность силового трансформатора 0,16 МВА)</t>
  </si>
  <si>
    <t>Строительство двух ВЛ 0,4 кВ, строительство 2-х ТП 10/0,4 кВ, строительство ВЛ 10 кВ от опоры ВЛ 10 кВ № 1 ПС 110/35/10 кВ «Чалтырь», отпайки на ТП 10/0,4 кВ №1-27А ПС Чалтырь, строительство ВЛ 10 кВ от опоры ВЛ 10 кВ №6 ПС 35/10 кВ «Б.Салы» для технологического присоединения муниципального бюджетного детского образовательного учреждения Заявителя: (МУ «Отдел образования Администрации Мясниковского района») по адресу: Ростовская обл. Мясниковский р-н, х.Красный Крым, ул. 2-я Молодежная, д. 35, к.н. 61:25:0030101:2074 (ориентировочная протяженность ЛЭП - 0,69 км; мощность силовых трансформаторов – 2 х 0,16 МВА)</t>
  </si>
  <si>
    <t>Строительство ВЛ 0,4 кВ от ВЛ 0,4 кВ №23 ТП 6/0,4 кВ №294 по КВЛ 6 кВ №80 ПС-35/6 кВ Т-8, для технологического присоединения медицинского учреждения Заявителя (ИП Албатова Е.Н.) по адресу: Ростовская область, г. Таганрог, ул. Бакинская, 56 к.н. 61658:0004487:70 (ориентировочная протяженность ЛЭП 0,45 км)</t>
  </si>
  <si>
    <t>Строительство ВЛ 0,4 кВ от новой ТП 10/0,4 кВ, строительство ТП 10/0,4 кВ, строительство ВЛ 10 кВ от вновь смонтированной опоры в пролете опор №19-20 отпайки на ТП 10/0,4 кВ №5-15 по ВЛ 10 кВ №5 ПС 35/10 кВ «Петровская», для технологического присоединения жилых домов Заявителей (Марцев Е.В., Дрожжова Е.А., Филонов Н.Н., Наумова М.Н., Семенихина Е.В., Романеева Л.А., Гойдина В.М., Муртазова И.Н., Моисеева И.Е., Демчук Я.С., Тарновецкий Д.А., Путивец В.Н., Чижкова Е.Н., Путинцева Н.Н., Зеркаль И.А.) по адресу: Ростовская область, Мясниковский район, СТ «Крокус» (ориентировочная протяженность ЛЭП 1,47 км; мощность силового трансформатора 0,16 МВА)</t>
  </si>
  <si>
    <t>Строительство ВЛ 0,4 кВ от новой ТП 10/0,4 кВ, строительство ТП 10/0,4 кВ, строительство ВЛ 10 кВ от опоры по ВЛ 10 кВ №13 ПС 110/35/10 кВ «Чалтырь», для технологического присоединения объектов Заявителя (ИП Карапетян С.А., ИП Карапетян Ж.А.) по адресу: Ростовская область, Мясниковский район, к.н. 61:25:0600401:25103, 61:25:0600401:25101 (ориентировочная протяженность ЛЭП 0,19 км; мощность силового трансформатора 0,4 МВА)</t>
  </si>
  <si>
    <t>Строительство ВЛ 0,4 кВ от новой ТП 10/0,4 кВ, строительство ТП 10/0,4 кВ, строительство ВЛ 10 кВ от ВЛ 10 кВ №1 ПС 110/35/10 кВ «Синявская», для технологического присоединения объекта сельскохозяйственного производства Заявителя (Бабаев К.Ф.) по адресу: Ростовская область, Мясниковский район, СПК «Пролетарская диктатура», к.н. 61:25:0600801:275 (ориентировочная протяженность ЛЭП 1,11 км; мощность силового трансформатора 0,160 МВА)</t>
  </si>
  <si>
    <t>Строительство ВЛ 0,4 кВ от новой ТП 10/0,4 кВ, строительство ТП 10/0,4 кВ, строительство ВЛ 10 кВ от ВЛ 10 кВ №1/3 ПС 110/35/10 кВ «Троицкая-1», для технологического присоединения производственного здания Заявителя (ИП Тригубко И.В.) по адресу: Ростовская область, Неклиновский район, к.н. 61:26:0600014:2427 (ориентировочная протяженность ЛЭП 0,270 км; мощность силового трансформатора 0,100 МВА)</t>
  </si>
  <si>
    <t>Строительство ВЛ 0,4 кВ от ВЛ 0,4 кВ №1 КТП 10/0,4 кВ №845 ВЛ 10 кВ №6 ПС 110/10 кВ Самбек, для технологического присоединения АГЗС Заявителя (ООО «ГАЗМАРКЕТ Газозаправочные станции. Ростов») по адресу: Ростовская область, Неклиновский район, 62 км. а/д Ростов-Таганрог, 61:26:0600015:5235 (ориентировочная протяженность ЛЭП 0,100 км)</t>
  </si>
  <si>
    <t>Строительство ВЛ 0,4 кВ от новой ТП 10/0,4 кВ, строительство ТП 10/0,4 кВ, строительство ВЛ 10 кВ от опоры по ВЛ 10 кВ №2 ПС 110/35/10 кВ «Чалтырь», отпайки на ТП 10/0,4 кВ №2-2А, для технологического присоединения объектов Заявителя (ИП Шутов М.Е., ИП Спиваков А.А., ИП Стамболиди М.С.) по адресу: Ростовская область, Мясниковский район, к.н. 61:25:0600401:21155, 61:25:0600401:21158, 61:25:0600401:19498, 61:25:0600401:21154 (ориентировочная протяженность ЛЭП 0,71 км; мощность силового трансформатора 0,63 МВА)</t>
  </si>
  <si>
    <t>Строительство двух ВЛ 0,4 кВ, строительство 2-х трансформаторной ТП 10/0,4 кВ, строительство ВЛ 10 кВ от ВЛ 10 кВ №8 ПС 35/10 кВ Куйбышево-1, строительство ВЛ 10 кВ от ВЛ 10 кВ №3 ПС 35/10 кВ Куйбышево-1, для технологического присоединения детского сада (МБОУ детский сад «Аленушка») по адресу: Ростовская обл., р-н Куйбышевский, с. Куйбышево, ул. Кузьменко, 3-а, к.н. 61:19:0000000:545 (ориентировочная протяженность ЛЭП - 0,49 км; мощность силового трансформатора – 2х0,16 МВА)</t>
  </si>
  <si>
    <t>Строительство ВЛ 0,4 кВ от новой ТП 10/0,4 кВ, строительство ТП 10/0,4 кВ от ВЛ 10 кВ №8 ПС 35/10 кВ «Куйбышево-1», для технологического присоединения дошкольной образовательной организации Заявителя (МБДОУ детский сад комбинированного вида №1 «Колокольчик») по адресу: Ростовская область, Куйбышевский район, село Куйбышево, пер. Овчаренко, д. 6. к.н 61:19:0010159:7 (ориентировочная протяженность ЛЭП 0,9 км; мощность силового трансформатора 0,16 МВА)</t>
  </si>
  <si>
    <t>Строительство ВЛ 0,4 кВ от РУ 0,4 кВ ТП 10/0,4 кВ №7-23 по ВЛ 10 кВ №7 ПС110/35/10 кВ Синявская, для технологического присоединения жилых домов Заявителей (Салюк В.В., Салюк О.В.) по адресу: Ростовская область, Мясниковский район, х. Хапры, пер. Таганрогский, д. 6/ж, 6/з, к.н. №61:25:0070201:2185., 61:25:0070201:2183, (ориентировочная протяженность ЛЭП 0,21 км)</t>
  </si>
  <si>
    <t>Строительство ВЛ 0,4 кВ от новой ТП 10/0,4 кВ, строительство ТП 10/0,4 кВ, строительство ВЛ 10 кВ от ВЛ 10 кВ №1/3 ПС 110/35/10 кВ «Троицкая-1», для технологического присоединения производственное здание Заявителя (ИП Саакян А.С.) по адресу: Ростовская область, Неклиновский район, к.н. 61:26:0600014:2446 (ориентировочная протяженность ЛЭП 0,035 км; мощность силового трансформатора 0,160 МВА)</t>
  </si>
  <si>
    <t>«Строительство двух КВЛ 0,4 кВ от ВЛ 0,4 кВ №17 ТП 6/0,4 кВ №298 РП 6 кВ №15 по КЛ 6 кВ №172/1, 172/2 ПС 110/6 кВ Т-17 до границ земельных участков Заявителя (ООО «Континент») по адресу: Ростовская область, г. Таганрог, ул. Портовая, д. 2-г, к.н. 61:58:0001174:14, Заявителя (Федерального государственного унитарного  предприятия «Росморпорт») по адресу: Ростовская область, г. Таганрог, ул. Портовая, д. 2-20, к.н. 61:58:0001172:124 (ориентировочная протяженность ЛЭП 2х0,21 км)»</t>
  </si>
  <si>
    <t>Строительство ВЛ 0,4 кВ от ВЛ 0,4 кВ №10 ТП 6/0,4 кВ №571 по КЛ 10 кВ №2702 ПС-110/10 кВ Т-27, для технологического присоединения объекта торговли Заявителя (ИП Ярызько С.А.) по адресу: Ростовская область, г. Таганрог, ул. Мариупольское шоссе, 8-1 (ориентировочная протяженность ЛЭП 0,08 км)</t>
  </si>
  <si>
    <t>Строительство ВЛ 0,4 кВ от новой ТП 10/0,4 кВ, строительство ТП 10/0,4 кВ, строительство ВЛ 10 кВ от опоры по ВЛ 10 кВ №1 ПС 110/35/10 кВ «Чалтырь», запитанной от ВЛ 10 кВ №13 ПС 110/35/10 кВ ПС «Чалтырь», для технологического присоединения складского здания/помещения Заявителя (ИП Каровко А.А.) по адресу: Ростовская область, Мясниковский район, 1-й км автодороги Ростов-на-Дону – Новошахтинск, уч. 1/2 (ориентировочная протяженность ЛЭП 0,195 км; мощность силового трансформатора 0,16 МВА)</t>
  </si>
  <si>
    <t>Строительство ВЛ 0,4 кВ от опоры по ВЛ 0,4 кВ №1 ТП 10/0,4 кВ №3-37 по ВЛ 10 кВ №3 ПС 110/35/10 кВ Чалтырь, для технологического присоединения жилых домов Заявителей (Скворцов М.В., Чибичян Х.М.) по адресу: Ростовская область, Мясниковский район, с. Чалтырь, ул. Победы (ориентировочная протяженность ЛЭП 0,46 км)</t>
  </si>
  <si>
    <t>Строительство ВЛ 0,4 кВ от опоры ВЛ 0,4 кВ №13  КТП 6/0,4 кВ №560 по КВЛ 6 кВ №2 ПС-110/35/6 кВ Т-25, для технологического присоединения сборочного цеха Заявителя (АО «АВИАОК») по адресу: Ростовская область, г. Таганрог, пл. Авиаторов, д. 1, к.н. 61:58:0002501:412 (ориентировочная протяженность ЛЭП 0,05 км)</t>
  </si>
  <si>
    <t>Строительство ВЛ 0,4 кВ от опоры №2-00/14 ВЛ 0,4 кВ Л-2 КТП 10/0,4 кВ №483 по ВЛ 10 кВ Л-1 Фрунзе 1, для электроснабжения объекта – «гостевой дом», расположенного по адресу: Российская Федерация, Ростовская обл, р-н Сальский, Манычское сельское поселение, кадастровый номер земельного участка 61:34:0600001:2612, заявитель Толстенко Т.В.» (Ориентировочная протяженность ЛЭП – 0,12 км)</t>
  </si>
  <si>
    <t>«Строительство ВЛ-0,4 кВ от КТП 10/0,4 кВ № 19 по ВЛ-10 кВ Л-8 Пролетарская, для электроснабжения объекта «нежилое здание», расположенного по адресу: Российская Федерация, Ростовская обл., р-н. Пролетарский, ЗАО им 50-летия СССР, отделение 5, р.у. 41, к.н.з.у: 61:31:0600008:1701, заявитель Басов С.И.» (Ориентировочная протяженность ЛЭП – 0,25 км)</t>
  </si>
  <si>
    <t>«Строительство ВЛ 10 кВ от опоры №1-00/223 ВЛ 10 кВ Л-1 Ново-Донская, строительство КТП 10/0,4 и ВЛ 0,4 кВ для электроснабжения объекта – «объект сельскохозяйственного производства», расположенного по адресу: РФ, Ростовская обл., р-н. Целинский, с. Средний Егорлык, Среднеегорлыкское с/п, СПК «Московский», кадастровое поле №20, к.н. земельного участка 61:40:0600015:4043, заявитель ИП Винокуров А.Ю.»  (Ориентировочная протяженность ЛЭП – 0,41 км, ориентировочная мощность ТП – 0,025 МВА)»</t>
  </si>
  <si>
    <t>«Строительство ВЛ 0,4 кВ от КТП 10/0,4 кВ №319 по ВЛ 10 кВ Л-5 Степная для электроснабжения объекта – «жилой дом», расположенного по адресу: РФ, Ростовская обл., р-н. Пролетарский, х. Степной, ул. Первомайская, д. 27, заявитель Гасанов М.А.»  (Ориентировочная протяженность ЛЭП – 0,48 км)»</t>
  </si>
  <si>
    <t>«Строительство ВЛ 0,4 кВ от КТП №130 по ВЛ 10 кВ Л-4 Уютная и установка системы учета электрической энергии (мощности) на границе земельного участка для электроснабжения объекта «жилой дом», расположенного по адресу: Российская Федерация, Ростовская обл., р-н. Пролетарский, х. Уютный, сад. Заречное, кадастровый номер земельного участка: 61:31:0500401:116, заявитель Горнушко Т.Н.»  (Ориентировочная протяженность ЛЭП – 0,22 км)».</t>
  </si>
  <si>
    <t>«Строительство ВЛИ 0,4 кВ от существующей опоры 1-00/7 ВЛ 0,4 кВ Л-1 КТП 10/0,4 кВ №246 ВЛ 10 кВ Л-4 Плодородненская для технологического присоединения «объект сельскохозяйственного производства», расположенного по адресу: РФ, Ростовская область, Целинский район,  с. Плодородное, в границах ОАО «Плодородное», к.н.з.у.:61:40:0600006:2159, заявитель ИП глава КФХ Рудненко П.М.» (Ориентировочная протяженность ЛЭП-0,3 км)»</t>
  </si>
  <si>
    <t xml:space="preserve"> "Строительство ВЛИ 0,4 кВ от опоры 1-00/10 ВЛ 0,4 кВ Л-1 от КТП 10/0,4 кВ, № 137 по  ВЛ 10 кВ Л-2Коневод   для электроснабжения объектов - "жилой  дом"  расположенных  по адресу: РФ, Ростовская область, Целинский район х.Образцовый, ул.Кирпичная, д.23 ( с к.н.61:40:0030501:11), д.29, ( с к.н. 61:40:0030501:2), заявитель С.И.Винокурова, заявитель А.В.Елизарова  (ориентировочная протяженность ЛЭП 0,63 км; )"</t>
  </si>
  <si>
    <t>«Строительство ВЛ 0,4 кВ от опоры №4-00/16 ВЛ 0,4 кВ Л-4 КТП №956 по ВЛ 10кВ Л-2 Ганчуковская для электроснабжения объекта –«нестационарный торговый объект», расположенного по адресу: 347557 Российская Федерация, Ростовская обл., р-н. Пролетарский, х. Ганчуков, в кадастровом квартале 61:31:0070101, заявитель ИП Никифорова Т.Н.»  (Ориентировочная протяженность ЛЭП – 0,11 км)</t>
  </si>
  <si>
    <t>«Строительство ВЛ 0,4 кВ от опоры №2-00/6 ВЛ 0,4 кВ Л-2 КТП 10/0,4 кВ №49 по ВЛ 10 кВ Л-21 Сальская и установка системы учета электрической энергии (мощности) на границе земельного участка, для электроснабжения объекта – «гостиница», расположенного по адресу: Российская Федерация, Ростовская обл., Сальский р-н, п. Конезавод имени Буденного, ул. Восточная,    д. 60, кадастровый номер земельного участка 61:34:0600006:856, заявитель Тамоян С.Х.»</t>
  </si>
  <si>
    <t>Строительство ВЛ 0,4 кВ от РУ 0,4 кВ КТП 10/0,4 кВ № 483 по ВЛ 10 кВ Л-1 Фрунзе 1, для электроснабжения объекта – «нежилая застройка (хозяйственная постройка, нежилое здание)», расположенного по адресу: Российская Федерация, Ростовская область, р-н. Сальский, п. Степной Курган, в кадастровом квартале 61:34:0600001 с условным центром в п. Степной Курган, отд. №5 поле 24г, кадастровый номер земельного участка: 61:34:0600001:2599, заявитель Евко В.Н. (Ориентировочная протяженность ЛЭП – 0,5 км)</t>
  </si>
  <si>
    <t>Строительство ВЛ 0,4 кВ от опоры №1-00/4 ВЛ 0,4 кВ Л-1 КТП 10/0,4 кВ № 431 по ВЛ 10 кВ Л­3 Фрунзе 1 и установка системы учета электрической энергии (мощности) на границе земельного участка для электроснабжения объекта – «Малоэтажная жилая застройка», расположенного по адресу: Российская Федерация, Ростовская обл., Сальский район, с условным центром в п. Степной Курган, в 1 км на юго-запад от п. Лужки, кадастровый номер земельного участка: 61:34:0600001:684, заявитель Шкуринский А.С.» (Ориентировочная протяженность ЛЭП – 0,38 км)</t>
  </si>
  <si>
    <t>Строительство ВЛИ 0,4 кВ от КТП 10/0,4 кВ №40 по ВЛ 10 кВ Л-1 Ново-Донская для электроснабжения объектов – «жилой дом», расположенных по адресу: РФ, Ростовская область, Целинский район, х. Дачный, ул. Дачная, д. 25, (с к.н. 61:40:0080201:64), д. 29, (с к.н. 61:40:0080201:23), заявитель В.В. Пак, заявитель  М.Н. Мартынов (Ориентировочная протяженность ЛЭП-2,04 км)</t>
  </si>
  <si>
    <t>«Строительство ВЛ 10 кВ от опоры 3-00/96 по ВЛ 10 кВ Л-3 Целинская, строительство КТП 10/0,4 кВ, ВЛ 0,4 кВ и установка системы учета электрической энергии (мощности) на границе земельного участка для электроснабжения объекта – «парковка автомобилей и гараж», расположенного по адресу: РФ, Ростовская обл., р-н. Целинский, п. Целина, кадастровый номер земельного участка 61:40:0600011:2925, заявитель АО «Агрокомплекс Развильное» (Ориентировочная протяженность ЛЭП – 0,02 км, ориентировочная мощность ТП – 0,1 МВА)</t>
  </si>
  <si>
    <t>«Строительство ВЛИ 0,4 кВ от существующей опоры №1-00/1 ВЛ 0,4 кВ Л-1 КТП 10/0,4 кВ №109 по ВЛ 10 кВ Л-2 Жуковская и установка системы учета электрической энергии (мощности) на границе земельного участка для электроснабжения объекта «магазин», расположенного по адресу: 347567, РФ, Ростовская область, Песчанокопский район, с. Жуковское, ул. Ленина, д. 152, к.н.з.у.: 61:30:0030101:4353, заявитель ИП Масалитин И.В.»</t>
  </si>
  <si>
    <t>«Строительство ВЛ 10 кВ от опоры №206/76 ВЛ 10 кВ (собственник Апарников Н.Н.) по ВЛ 10 кВ Л-2 «Буденовская», строительство КТП 10/0,4 и ВЛ 0,4 кВ для электроснабжения объектов – «производственная база» заявитель Кобяков С.А. и «дом рыбака» заявитель Дергачев А.Н., расположенных по адресу: РФ, Ростовская обл., Пролетарский район, Буденновское сельское поселение, р.у. 130, к.н. 61:31:0600007:700, 61:31:0600007:569» (Ориентировочная протяженность ЛЭП – 2,71 км, ориентировочная мощность ТП – 0,04 МВА)</t>
  </si>
  <si>
    <t>«Строительство ВЛ 0,4 кВ от опоры No3-00/16 ВЛ 0,4 кВ Л-3 КТП 10/0,4 кВ No 517  по ВЛ 10  кВ Л-5 Ивановская и установка системы учета электрической энергии (мощности) на границе земельного участка для электроснабжения объекта  – «Объект крестьянского (фермерского) хозяйства», расположенного по адресу: Российская Федерация, Ростовская обл., р-н.Сальский, в кадастровом квартале  61:34:0600018  с условным центром в с.Ивановка, кадастровый номер земельного участка: 61:34:0600018:1973, заявитель Черненко А.В.» (Ориентировочная протяженность ЛЭП  –  0,32  км)</t>
  </si>
  <si>
    <t>«Строительство ВЛ 0,4 кВ от РУ 0,4 кВ КТП 10/0,4 кВ №116 по ВЛ 10 кВ Л-21 Сальская и установка системы учета электрической энергии (мощности) на границе земельного участка, для электроснабжения объекта – «магазин», расположенного по адресу: Российская Федерация, Ростовская обл., р-н. Сальский, п. Конезавод имени Буденного, ул. Восточная, земельный участок 59 А, кадастровый номер земельного участка 61:34:0040101:4572, заявитель ИП Тубольцев Р.В.»</t>
  </si>
  <si>
    <t>«Строительство ВЛ 10 кВ от опоры No4-01/31 Л-4 ГПЗ, строительство ТП 10/0,4 и ВЛ 0,4 кВ и установка системы учета электрической энергии (мощности) на границе земельного участка для электроснабжения  объекта - дом  рыбака, расположенного по адресу: РФ, Ростовская область, Пролетарский район, № участка  116, заявитель ИП Тимченко С.Н.» (Ориентировочная протяженность ЛЭП – 1,31 км, ориентировочная мощностьТП – 0,025 МВА)»</t>
  </si>
  <si>
    <t>"Строительство ВЛ 0,4 кВ от РУ 0,4 кВ КТП 10/0,4 кВ №48 по ВЛ 10 кВ Л-2 РП 21 С и установка системы учета электрической энергии (мощности) на границе земельного участка, для электроснабжения объекта – «объект торговли», расположенного по адресу: Российская Федерация, Ростовская обл, р-н Сальский, п. Конезавод имени Буденного, ул. Чумакова, д. 1 Г, кадастровый номер земельного участка 61:34:0040101:4560, заявитель ИП Акопян К.П.» (Ориентировочная протяженность ЛЭП – 0,2 км)"</t>
  </si>
  <si>
    <t>«Строительство ВЛ 0,4 кВ от РУ 0,4 кВ КТП 10/0,4 кВ №184 по ВЛ 10 кВ Л-9 Трубецкая и установка системы учета электрической энергии (мощности) на границе земельного участка для электроснабжения объекта «складское здание/помещение», расположенного по адресу: Российская Федерация, Ростовская область, р-н. Сальский, п. Гигант, отделение №5, кадастровый номер земельного участка: 61:34:0010601:455, заявитель ИП Попов О.П.» (Ориентировочная протяженность ЛЭП – 0,285 км)</t>
  </si>
  <si>
    <t>«Строительство ВЛ 10 кВ от опоры 7-02/42 по ВЛ 10 кВ Л-7 Львовская, строительство КТП 10/0,4 кВ, ВЛ 0,4 кВ и установка системы учета электрической энергии (мощности) на границе земельного участка для электроснабжения объекта – «объект крестьянского (фермерского) хозяйства», расположенного по адресу: Российская Федерация, Ростовская обл., р-н. Орловский, х. Николаевский, ул. Степная, д.4,  кадастровый номер земельного участка: 61:29:0080301:28, заявитель Зубайриев А.А.» (Ориентировочная протяженность ЛЭП – 0,51 км, ориентировочная мощность ТП – 0,16 МВА).</t>
  </si>
  <si>
    <t>«Строительство ВЛ 10 кВ от опоры №5-00/88 ВЛ 10 кВ Л-5 Шаблиевская, строительство ТП 10/0,4 кВ, ВЛ 0,4 кВ и установка системы учета электрической энергии (мощности) на границе земельного участка для электроснабжения объекта – «Нежилая застройка», расположенного по адресу: Российская Федерация, Ростовская обл., р-н. Сальский, с. Шаблиевка, кадастровый номер земельного участка 61:34:0600009:974, заявитель ООО «ЮгХолодМонтаж»</t>
  </si>
  <si>
    <t>«Строительство ВЛ 10 кВ от опоры №5-00/10 ВЛ 10 кВ Л-5 Трубецкая, строительство ТП 10/0,4 кВ, ВЛ 0,4 кВ и установка системы учета электрической энергии (мощности) на границе земельного участка для электроснабжения объекта – «Нежилые помещения», расположенного по адресу: Российская Федерация, Ростовская обл., Сальский, Гигантовское сельское поселение, п. Гигант, ул. Северная, 1 б, кадастровый номер земельного участка 61:34:0010113:219, заявитель ООО «Агрофирма-ССМ»</t>
  </si>
  <si>
    <t>«Строительство ВЛ 0,4 кВ от РУ 0,4 кВ КТП 10/0,4 кВ № 274 по ВЛ 10 кВ Л­9 Трубецкая и установка системы учета электрической энергии (мощности) на границе земельного участка для электроснабжения объекта – «нежилое здание», расположенного по адресу: Российская Федерация, Ростовская обл., р-н. Сальский, п. Загорье, 235 м севернее п. Загорье, кадастровый номер земельного участка: 61:34:0600005:3983, заявитель Хворост А.В.»</t>
  </si>
  <si>
    <t>«Строительство ВЛ  0,4 кВ от опоры  3-00/21 ВЛ-0,4 кВ Л-3 КТП 10/0,4 кВ No 259 по ВЛ 10 кВ Л-1 Черкесская и установка  системы  учета  электрической  энергии (мощности)  на  границе  земельного  участка  для электроснабжения  объекта– «нежилое  здание», расположенного по адресу: Российская Федерация, Ростовская обл., р-н. Орловский, х. Черкесский, ул. Транспортная д.  46,  кадастровый номер земельного участка:  61:29:0600010:1414, заявитель Гамзатова С.М.» (Ориентировочная протяженность ЛЭП – 0,415 км)</t>
  </si>
  <si>
    <t>«Строительство ВЛИ 0,4 кВ от существующей опоры № 2­00/6 ВЛ 0,4 кВ №2 КТП № 80 по ВЛ 10 кВ Л­3 Пролетарская и установка системы учета электрической энергии (мощности) на границе земельного участка для электроснабжения объекта – «дачный дом», расположенного по адресу: Российская Федерация, Ростовская обл., р-н. Пролетарский, г. Пролетарск, ул. СТФ, д. 7, кадастровый номер земельного участка: 61:31:0110402:215, заявитель Свинарёва Н.А.» (Ориентировочная протяженность ЛЭП – 0,06 км)</t>
  </si>
  <si>
    <t xml:space="preserve">Строительство ТП 10/04 кВ, ВЛ 0,4 кВ, ВЛ 10 кВ от ВЛ 10 кВ №105 ПС 110 кВ АС1 для электроснабжения объекта сельскохозяйственного производства Кротовой Л.Д. в ст-це Ольгинская Аксайского района Ростовской области </t>
  </si>
  <si>
    <t xml:space="preserve">Строительство КТП 10/0,4 кВ, ВЛ 0,4 кВ, ВЛ 10 кВ от ВЛ 10 кВ №105 ПС 110 кВ АС1 для электроснабжения объекта сельскохозяйственного производства ООО «БизнесЭйр» на участке с КН 61:02:0600015:7452 Аксайского района Ростовской области </t>
  </si>
  <si>
    <t xml:space="preserve">Строительство ВЛ 0,4 кВ от РУ 0,4 кВ КТП 10/0,4 кВ №70А ВЛ 10 кВ №3 ПС 35 кВ Б. Салы для электроснабжения ВРУ 0,4 кВ жилых домов Ступко К.А. на участках с КН 61:02:0600005:11413, КН 61:02:0600005:11389, КН 61:02:0600005:11412, КН 61:02:0600005:11397 в п. Темерницкий  Аксайского района Ростовской области </t>
  </si>
  <si>
    <t xml:space="preserve">Строительство ВЛ 0,4 кВ от РУ 0,4 кВ с заменой трансформатора ТП 10/0,4 кВ №944 ВЛ 10 кВ №3 ПС 35/10 кВ Б. Салы для электроснабжения ВРУ 0,4 кВ жилых домов Ступко К.А. на участках с на участках с КН 61:02:0600005:11381, КН 61:02:0600005:11416 в п. Темерницкий Аксайского района Ростовской области </t>
  </si>
  <si>
    <t xml:space="preserve">Строительство ВЛ 0,4 кВ от проектируемой ВЛ 0,4 кВ (по договору №61-1-21-00598231 от 02.09.2021 г.) от РУ 0,4 кВ ТП 10 кВ №271 ВЛ 10 кВ №1513 ПС 110 кВ АС15 для электроснабжения ВРУ 0,4 кВ жилого дома Рогальской Л. И. на участке с КН 61:02:0010146:6 в п. Янтарный Аксайского района Ростовской области </t>
  </si>
  <si>
    <t xml:space="preserve">Строительство ВЛ 0,4 кВ от проектируемой ВЛ 0,4 кВ (по договору №61-1-21-00601061 от 13.09.2021 г.) техперевооружаемой ТП 6 кВ №188 ВЛ 6 кВ №804 ПС 35 кВ АС8 для электроснабжения жилого дома Ермолаева М. А. на участке с КН 61:02:0010301:332 в п. Российский Аксайского района Ростовской области </t>
  </si>
  <si>
    <t xml:space="preserve">Строительство ТП 10/0,4 кВ, ВЛ 0,4 кВ, ВЛ 10 кВ по ВЛ 10 кВ №1205 ПС 110 кВ АС-12, для электроснабжения ВРУ 0,4 кВ жилых домов Кузнецовой Н.Н. на участках с КН 61:02:0600007:2736., КН 61:02:0600002:3150 в поселке Рассвет Аксайского района РО </t>
  </si>
  <si>
    <t xml:space="preserve">Строительство ТП 10/0,4 кВ, ВЛ 0,4 кВ, ВЛ 10 кВ по ВЛ 10 кВ №1101 ПС 110кВ АС11 для электроснабжения нежилого здания ООО «ДонСвязьКонструкция» на участке с КН 61:02:0600009:2217 в ст-це Мишкинская Аксайского района Ростовской области </t>
  </si>
  <si>
    <t xml:space="preserve">Строительство ВЛ 0,4 кВ от РУ 0,4 кВ  КТП 10 кВ №45, ВЛ 10 кВ №160 ПС 110 кВ В1 для электроснабжения жилого дома Ахметова Р. У.  на участке с КН 61:06:0010141:568 в Веселовском районе РО, п. Веселый, ул. Береговая, 15-е </t>
  </si>
  <si>
    <t xml:space="preserve">Строительство ВЛ 0,4 кВ от РУ 0,4 кВ ТП 10 кВ №923 ВЛ 10 кВ №3 ПС 35 кВ Б. Салы для электроснабжения ВРУ-0.4 кВ жилых домов Коковой Т. С. и Ромащенко Д. В. по адресу: Ростовская обл., р-н. Аксайский, п. Щепкин, КН: 61:02:0600006:6930, 61:02:0600006:6933 </t>
  </si>
  <si>
    <t xml:space="preserve">Строительство ВЛ 0,4 кВ от проектируемой ВЛ 0,4 кВ (по договору №61-1-20-00523945 от 11.08.2020 г.) от РУ 0,4 кВ ТП 10 кВ №653 ВЛ 10 кВ №403 ПС 110 кВ АС4 для электроснабжения ВРУ 0,4 кВ жилого дома Панина И. А. на участке с КН 61:02:0600016:3892 в х. Ленина Аксайского района Ростовской области </t>
  </si>
  <si>
    <t xml:space="preserve">Строительство ВЛ 0,4 кВ от РУ 0,4 кВ ТП-10/0,4 кВ №113 ВЛ 10 кВ №702 ПС 35 кВ АС7 для электроснабжения объекта крестьянского (фермерского) хозяйства ООО «РИДЕР» на участке с КН 61:02:0600009:1743 в п. Красный, ул. Дорожная, д. 4, Аксайского района, Ростовской области </t>
  </si>
  <si>
    <t>Строительство ВЛ 0,4 кВ по ВЛ 0,4 кВ №1 техперевооружаемого ТП-10/0,4 кВ 639 (по договору №61-1-22-00650597) ВЛ 10 кВ №101 ПС 110 кВ АС-1 для электроснабжения ВРУ-0,4 кВ жилого дома Мальченко И. С. на участке с КН 61:02:0090301:526 в х. Махин Аксайского района Ростовской области</t>
  </si>
  <si>
    <t xml:space="preserve">Строительство ТП 10/0,4 кВ, ВЛ 0,4 кВ, ВЛ 10 кВ от ВЛ 10 кВ №706 ПС 35 кВ АС-7 для электроснабжения рамной конструкции Системы Стационарного Контроля №582 "Платон" по адресу: РО., р-н. Аксайский, п. Аглос, на а/д М-4 Дон км 1045+188 широта 47.372133 долгота 39.903089, КН: 61:02:0000000:165 </t>
  </si>
  <si>
    <t xml:space="preserve">Строительство ВЛ 0,4 кВ от ВЛ 0,4 кВ №3 КТП-10/0,4 кВ №615 ВЛ 10 кВ №101 ПС 110 кВ АС-1 для электроснабжения ВРУ-0,4 кВ жилого дома Москачевой Т.Н. на участке с КН 61:02:0090301:411 в ст-це Ольгинской Аксайского района Ростовской области </t>
  </si>
  <si>
    <t xml:space="preserve">Строительство КТП 10/0,4 кВ, ВЛ 0,4 кВ, ВЛ 10 кВ от проектируемой КВЛ 10 кВ (по договору №61-1-19-00491643 от 26.12.2019 г.) от КВЛ 10 кВ №3Ф5 РП 10 кВ №3 ПС 110 кВ АС15 для электроснабжения малоэтажной жилой застройки ООО “КапиталСтрой” на участке с КН 61:02:0600010:16697 в г. Аксае Аксайского района РО </t>
  </si>
  <si>
    <t xml:space="preserve">Строительство ТП 10/0,4 кВ, ВЛ 0,4 кВ, ВЛ 10 кВ от ВЛ 10 кВ №1207 ПС 110 кВ АС12 для электроснабжения нежилого здания Габреляна В. М. на участке с КН 61:02:0600006:6345 в п. Щепкин Аксайского района Ростовской области </t>
  </si>
  <si>
    <t>Строительство ТП 10/0,4 кВ, ВЛ 0,4 кВ, ВЛ 10 кВ от ВЛ 10 кВ №263 ПС 110 кВ БГ2 для электроснабжения дачных домов Амирян В.Н., ООО «ГеоЭкоПроект» по адресу: Ростовская обл., р-н. Багаевский, х. Арпачин, к.н.: 61:03:0600007:1308, к.н. 61:03:0600007:1309, к.н. 61:03:0600007:1310, к.н. 61:03:0600007:1311, к.н. 61:03:0600007:1312, к.н. 61:03:0600007:1313, к.н. 61:03:0600007:1314, к.н. 61:03:0600007:1315, к.н. 61:03:0600007:1316, к.н. 61:03:0600007:1317, к.н. 61:03:0600007:1318, к.н. 61:03:0600007:1319, к.н. 61:03:0600007:1320, к.н. 61:03:0600007:1322, к.н. 61:03:0600007:1323, к.н. 61:03:0600007:1325, к.н. 61:03:0600007:1327, к.н. 61:03:0600007:1328, к.н. 61:03:0600007:1329, к.н. 61:03:0600007:1307, к.н. 61:03:0600007:1324, к.н. 61:03:0600007:1326.</t>
  </si>
  <si>
    <t xml:space="preserve">Строительство ТП 10/0,4 кВ, ВЛ 0,4 кВ, ВЛ 10 кВ от ВЛ 10 кВ №1109 ПС 110 кВ АС11 для электроснабжения торгового комплекса ООО “ТРИАР” на участке с КН 61:02:0600002:1313 в Аксайском районе Ростовской области </t>
  </si>
  <si>
    <t xml:space="preserve">Строительство ВЛ 0,4 кВ от проектируемой ВЛ 0,4 кВ (договор №61-1-22-00630117 от 21.02.2022 г.) с заменой трансформатора в ТП-10/0,4 кВ ВЛ 10 кВ №101 ПС 110 кВ АС-1 для электроснабжения жилых домов Хаширова И.Д., Поповой Н.С., Чулкова Д.С., Сомик Г.К., Белоусовой Л.И. в РО, Аксайский р-н, х. Махин КН: 61:02:0600015:8159, 61:02:0600015:8103, 61:02:0600015:8100, 61:02:0600015:8102, 61:02:0600015:8093 </t>
  </si>
  <si>
    <t xml:space="preserve">Строительство ВЛ 0,4 кВ по ВЛ 0,4 кВ №1 ТП 10/0,4 кВ №453 ВЛ 10 кВ №1109 ПС 110 кВ АС11 для электроснабжения ВРУ 0,4 кВ жилого дома Ржакинского В.Ю. на участке с КН 61:02:0600010:1064 по пер. Рахманинский, д. 149 в ст. Грушевская, Аксайского района Ростовской области </t>
  </si>
  <si>
    <t xml:space="preserve">Строительство ВЛ 0,4 кВ от проектируемой ВЛ 0,4 кВ (по договору №61-1-22-00627353 от 14.02.2022 г.) ВЛ 10 кВ №101 ПС 110/35/10 кВ АС-1 для электроснабжения ВРУ-0.4 кВ жилого дома Резниковой Т.Ю. ст-ца. Ольгинская Аксайского района Ростовской области КН: 61:02:0600015:7925 </t>
  </si>
  <si>
    <t xml:space="preserve">Строительство ТП 10/0,4 кВ, ВЛ 0,4 кВ, ВЛ 10 кВ от ВЛ 10 кВ №102 ПС 110 кВ АС1 для электроснабжения объекта сельскохозяйственного производства ИП Федотовой О. Н. на участке с КН 61:02:0600017:3561 в границах плана земель КСП «Пригородное» Аксайского района Ростовской области </t>
  </si>
  <si>
    <t xml:space="preserve">Строительство ТП 10/0,4 кВ, ВЛ 0,4 кВ, ВЛ 10 кВ от ВЛ 10 кВ №3 ПС 35 кВ Б. Салы для электроснабжения ВРУ 0,22 кВ жилых домов Алексанян Э. М., Гандилян В. А. и ВРУ 0,4 кВ жилого дома Арушанова В. А. в Аксайском районе Ростовской области </t>
  </si>
  <si>
    <t>Строительство ВЛ 0,4 кВ от проектируемой ВЛ 0,4 кВ (по договору №61-1-22-00642031 от18.04.2022) ТП 10 кВ №944 ВЛ 10 кВ №3 ПС 35 кВ Б. Салы    для электроснабжения ВРУ 0,4 кВ жилого дома Коваленко Е.А. по адресу: Ростовская обл., р-н Аксайский, п. Темерницкий, кадастровый номер земельного участка 61:02:0600005:12667</t>
  </si>
  <si>
    <t xml:space="preserve">Строительство ВЛ 0,4 кВ от РУ 0,4 кВ ТП 10 кВ №192 ВЛ 10 кВ №441 ПС 220 кВ Р4 для электроснабжения ВРУ 0,4 кВ жилого дома Ващук В. С. на участке с КН 61:02:0010130:7 в п. Янтарный Аксайского района Ростовской области </t>
  </si>
  <si>
    <t xml:space="preserve">Строительство ВЛ 0,4 кВ от ВЛ 0,4 кВ №3 КТП-6/0,4 кВ №169 ВЛ 6 кВ №807 ПС 35/6 кВ АС-8 для электроснабжения ВРУ-0,4 кВ жилого дома Колесниковой С. И. на участке с КН 61:02:0010201:7397 в х. Большой Лог Аксайского района Ростовской области </t>
  </si>
  <si>
    <t xml:space="preserve">Техперевооружение существующего КТП-10/04 кВ № 635, строительство ВЛ 0,4 кВ по ВЛ 0,4 кВ № 1 КТП 10/0,4 кВ №635 ВЛ 10 кВ №101 ПС 110 кВ АС 1 для электроснабжения жилого дома Бондарева И.А. расположенного по адресу РО., р-н. Аксайский, ст Ольгинская. ул. Кузнецкая, 126-В </t>
  </si>
  <si>
    <t xml:space="preserve">Строительство ВЛ 0,4 кВ от ВЛ 0,4 кВ №1 КТП-10/0,4 кВ №17 ВЛ 10 кВ №655 ПС 110/10 кВ АС-6 для электроснабжения ВРУ 0,4 кВ жилого дома Редкиной Е.А. по адресу: Ростовская обл., р-н. Аксайский, ст-ца. Старочеркасская, ул. Московская, д. 8-а, КН: 61:02:0110102:3372 </t>
  </si>
  <si>
    <t xml:space="preserve">Строительство ВЛ 0,4 кВ от проектируемой ВЛ 0,4 кВ (по
договору №61-1-21-00602853 от 21.09.2021 года) ТП-10/0,4 кВ №940 ВЛ 10 кВ №403 ПС 110 кВ АС-4,  для электроснабжения ВРУ-0,4 кВ жилого дома Авериной А.А. по адресу: РО., р-н. Аксайский, х. Ленина, ул. Севастопольская, д. 31, К.Н.:61:02:0600016:4454 
</t>
  </si>
  <si>
    <t xml:space="preserve">Строительство ТП 10/0,4 кВ, ВЛ 0,4 кВ, ВЛ 10 кВ от ВЛ 10 кВ №706 ПС 35 кВ АС-7 для электроснабжения объекта сельскохозяйственного производства ФГБУ "Федерального Ростовского аграрного научного центра" по адресу: РО., р-н. Аксайский, КН: 61:02:0000000:413 </t>
  </si>
  <si>
    <t xml:space="preserve">Строительство ВЛ 0,4 кВ от концевой проектируемой ВЛ 0,4 кВ (по договору №61-1-21-00617285 от 07.12.2021 года) от опоры №13 ВЛ 0,4 кВ №1 КТП-10/0,4 кВ №19 ВЛ 10 кВ №655 ПС 110/10 кВ АС-6,  для электроснабжения ВРУ-0,4 кВ жилого дома Шалиной Тамары Александровны по адресу: Ростовская обл., р-н. Аксайский, ст-ца. Старочеркасская, ул. Лесная, д. 19, кадастровый номер земельного участка: 61:02:0110102:3183. </t>
  </si>
  <si>
    <t xml:space="preserve">Строительство ВЛ 0,4 кВ от ВЛ 0,4 кВ №2 КТП-10/0,4 кВ №923 ВЛ 10 кВ №3 ПС 35/10 кВ Б. Салы для электроснабжения ВРУ-0.4 кВ жилого дома Попова Алексея Викторовича по адресу: Ростовская обл., р-н. Аксайский, п. Щепкин, проезд Серебряный, д. 4, кадастровый номер земельного участка: 61:02:0600006:6100 </t>
  </si>
  <si>
    <t xml:space="preserve">Строительство ВЛ 0,4 кВ по ВЛ 0,4 кВ №2 ТП №14 ВЛ 10 кВ №657 ПС 110 кВ АС-6 для электроснабжения ВРУ-0.4 кВ жилого дома Ткаченко Ю.В по адресу: РО р-н. Аксайский, ст. Старочеркасская, ул. Береговая, д. 2-Б, КН: 61:02:0110102:4473 </t>
  </si>
  <si>
    <t xml:space="preserve">Строительство ВЛ 0,4 кВ от ВЛ 0,4 кВ №2 КТП-10/0,4 кВ №265 ВЛ 10 кВ №1208 ПС 110/10 кВ АС-12 для электроснабжения ВРУ-0.4 кВ складского здания ООО "Наш сервис" по адресу: Ростовская обл., Аксайский р-н, п. АО «Октябрьское», кадастровый номер земельного участка: 61:02:0600004:3352 </t>
  </si>
  <si>
    <t xml:space="preserve">Строительство ТП 10/0,4 кВ, ВЛ 0,4 кВ, ВЛ 10 кВ по ВЛ 10 кВ №1208 ПС 110/10 кВ АС12 для электроснабжения нежилого помещения ИП Маилян М. С. на участке с КН 61:02:0600004:3378 в АО «Аксайское» на поле №30 Аксайского района Ростовской области </t>
  </si>
  <si>
    <t xml:space="preserve">Строительство ТП 6/0,4 кВ, ВЛ 0,4 кВ, ВЛ 6 кВ по ВЛ 6 кВ №807 ПС 35/6 кВ АС8 для электроснабжения нежилого здания ИП Лобовой Е.И. на участке с КН 61:02:0600010:21730 по ул. Калинина, в х. Большой Лог Аксайского района Ростовской области </t>
  </si>
  <si>
    <t xml:space="preserve">Строительство ВЛ 0,4 кВ от ВЛ 0,4 кВ №1 ТП 10 кВ №1 ВЛ 10 кВ №657 ПС 110 кВ АС6 для электроснабжения ВРУ 0,4 кВ жилого дома Набока Н. Л. на участке с КН 61:02:0600013:2066 в ст-це Старочеркасская Аксайского района Ростовской области </t>
  </si>
  <si>
    <t xml:space="preserve">Строительство ТП 10/0,4 кВ, ВЛ 0,4 кВ, ВЛ 10 кВ от ВЛ 10 кВ №409 ПС 110 кВ АС4 для электроснабжения складского здания/помещения Шаповаловой Е. В. в х. Ленина Аксайского района РО </t>
  </si>
  <si>
    <t>Строительство ТП 10/0,4 кВ, ВЛ 0,4 кВ, ВЛ 10 кВ от ВЛ 10 кВ №207 ПС 110 кВ СМ2 для электроснабжения ВРУ-0,4 кВ жилых домов заявителя Агеева Е.В. по адресу: РФ, Ростовская обл., р-н. Семикаракорский, ст-ца. Задоно-Кагальницкая, 1,3,4,5,10,11 восточная часть контура № 12, северная часть контура № 12 массива земель реорганизованного с/х предприятия ОАО " Задоно-Кагальницкая птицефабрика", КН ЗУ: 61:35:0600008:404 (ориентировочная мощность трансформатора 0,025 МВА, ориентировочная протяжённость ЛЭП 1,02км)</t>
  </si>
  <si>
    <t xml:space="preserve">Строительство ТП 10/0,4 кВ, ВЛ 0,4 кВ, ВЛ 10 кВ от ВЛ 10 кВ №401 ПС 110 кВ АС4 для электроснабжения складских зданий/помещений Игнатьева Г. Н. на участке с КН 61:02:600016:2121 в х. Ленина Аксайского района Ростовской области </t>
  </si>
  <si>
    <t xml:space="preserve">Строительство ВЛ 0,4 кВ от ВЛ 0,4 кВ №1 КТП-10/0,4 кВ №679 ВЛ 10 кВ №102 ПС 110 кВ АС-1 для электроснабжения малоэтажной жилой застройки Бабаева В.А. по адресу: РО, р-н. Аксайский, ст-ца. Ольгинская, ул. Левобережная, д. 4, с/т "Донское", д.521, КН: 61:02:0504301:43 </t>
  </si>
  <si>
    <t xml:space="preserve">Строительство ВЛ 0,4 кВ от ВЛ 0,4 кВ №2 КТП-6/0,4 кВ №169 ВЛ 6 кВ №807 ПС 35/6 кВ АС-8 для электроснабжения ВРУ-0,4 кВ Малоэтажной жилой застройки Антоновой И. Н. по адресу: Ростовская обл., р-н. Аксайский, х. Большой Лог, ул. Пушкина, д. 35а, кадастровый номер земельного участка: 61:02:0010201:7248 </t>
  </si>
  <si>
    <t xml:space="preserve">Строительство ВЛ 0,4 кВ от РУ 0,4 кВ проектируемой ТП 10/0,4 кВ (по договору №61-1-20-00506489 от 27.05.2020 г.) по ВЛ 10 кВ №401 ПС 110 кВ АС4 для электроснабжения нежилой застройки Бободжонова А. К. на участке с КН 61:02:0600016:4628 в х. Ленина Аксайского района Ростовской области </t>
  </si>
  <si>
    <t>Строительство ТП 10/0,4 кВ, ВЛ 0,4 кВ, ВЛ 10 кВ от ВЛ 10 кВ №102 ПС 110 кВ АС1 для электроснабжения ВРУ 0,4 кВ жилых домов по ул. Левобережная в ст-це Ольгинской Аксайского района Ростовской области</t>
  </si>
  <si>
    <t>Строительство ТП 10/0,4 кВ, ВЛ 0,4 кВ, КВЛ 10 кВ от КЛ 10 кВ №2ф7 РП 10 кВ №2 ПС 110 кВ АС15 для электроснабжения нежилых застроек и складских зданий/сооружений Соколовой Е. А. на пр-кте Аксайском в г. Аксае (ориентировочная мощность трансформатора 1,0 МВА, ориентировочная протяженность ЛЭП 0,41 км)</t>
  </si>
  <si>
    <t xml:space="preserve">Строительство ТП 10/0,4 кВ, ВЛ 0,4 кВ, ВЛ 10 кВ от ВЛ 10 кВ №441 ПС 220 кВ Р4 для электроснабжения производственного здания/помещения ООО «МБ-Авто» на участке с КН 61:02:0600010:7562 в г. Аксай, пр-т Аксайский, д. 19-в </t>
  </si>
  <si>
    <t xml:space="preserve">Строительство ТП 10/0,4 кВ, ВЛ 0,4 кВ, КЛ 10 кВ от проектируемой ЛЭП 10 кВ (по договору №61-1-20-00494737 от 17.02.2020 г.) от ячейки 10 кВ №23 ПС 110 кВ АС10 для электроснабжения хозяйственных помещений ИП Маилян М. С. по адресу: РО, г. Новочеркасск, участок с КН 61:55:0010901:7 </t>
  </si>
  <si>
    <t>Строительство ТП 10/0,4 кВ, ВЛ 0,4 кВ, ВЛ 10 кВ от ВЛ 10 кВ №1207 ПС 110 кВ АС12 для электроснабжения ВРУ 0,4 кВ жилых домов по ул. Ясная, ул. Степная в п. Октябрьский Аксайского района Ростовской области</t>
  </si>
  <si>
    <t xml:space="preserve">Строительство ВЛ 0,4 кВ от проектируемой ВЛ 0,4 кВ (по договору №61-1-20-00505785 от 13.04.2020 г.) техперевооружаемой КТП №292 ВЛ 6 кВ №804 ПС 35 кВ АС8 для электроснабжения ВРУ 0,4 кВ жилого дома Кубениной Л. А. на участке с КН 61:02:0600010:11054 в п. Российский Аксайского района Ростовской области </t>
  </si>
  <si>
    <t xml:space="preserve">Строительство ВЛ 0,4 кВ от РУ ТП 10/0,4 кВ №111 по КЛ 10 кВ №625, №628 ПС 110 Р6 для электроснабжения нежилого помещения Назарян Ш. Ю. по адресу: РО, г. Ростов-на-Дону, СНТ «Донподход», уч 0-30, КН: 61:44:0070902:41 </t>
  </si>
  <si>
    <t>Строительство ТП 6/0,4 кВ, ВЛ 0,4 кВ, ВЛ 6 кВ от ВЛ 6 кВ №305 ПС 35 кВ АС3 для электроснабжения нежилой застройки ООО «СпецТехСтрой-Юг» по адресу: Ростовская область, р-н Аксайский, п. Российский, ул. Молодежная, 2А, участок с КН 61:02:0600010:11286 (ориентировочная мощность трансформатора 0,16 МВА, ориентировочная протяженность ЛЭП 0,06 км)</t>
  </si>
  <si>
    <t>Строительство ТП 10/0,4 кВ, ВЛ 0,4 кВ, ВЛ 10 кВ от проектируемой ВЛ 10 кВ (по договору №61-1-21-00559549 от 10.03.2021 г.) от КВЛ 10 кВ №3Ф5 РП 10 кВ №3 ПС 110 кВ АС15 для электроснабжения объекта торговли ИП Париевой Е. А. в балке Капранова Аксайского района Ростовской области (ориентировочная мощность трансформатора 0,16 МВА, ориентировочная протяжённость ЛЭП 0,06 км)</t>
  </si>
  <si>
    <t>Строительство ТП 10/0,4 кВ, ВЛ 0,4 кВ, ВЛ 10 кВ от ВЛ 10 кВ №1003 ПС 110 кВ АС10 для электроснабжения объекта сельскохозяйственного производства ООО НПК «Сокол-Фарм» по адресу: Ростовская область, р-н Аксайский, в границах плана бывшего совхоза «Новочеркасский», участок с КН 61:02:0600002:355 (ориентировочная мощность трансформатора 0,16 МВА, ориентировочная протяженность ЛЭП 0,3 км)</t>
  </si>
  <si>
    <t>Строительство ВЛ 0,4 кВ от РУ 0,4 кВ ТП 10 кВ №200 ВЛ 10 кВ №3 ПС 35 кВ Б. Салы для электроснабжения нежилой застройки ООО «Системы управления» по адресу: Ростовская обл., р-н. Аксайский, п. Темерницкий, ул. Задонская, 7, кадастровый номер земельного участка: 61:02:0081101:84 (ориентировочная протяжённость ЛЭП 0,335 км)</t>
  </si>
  <si>
    <t>Строительство ТП 10/0,4 кВ, ВЛ 0,4 кВ, ВЛ 10 кВ от ВЛ 10 кВ №3 ПС 35 кВ Б. Салы для электроснабжения жилых домов Картухова С. Е. на участках с КН 61:02:0080501:47, 61:02:0080501:2 в п. Щепкин Аксайского района Ростовской области (ориентировочная мощность трансформатора 0,16 МВА, ориентировочная протяженность ЛЭП 0,36 км)</t>
  </si>
  <si>
    <t>Строительство ТП 10/0,4 кВ, ВЛ 0,4 кВ, ВЛ 10 кВ от ВЛ 10 кВ №1406 ПС 35 кВ АС14 для электроснабжения складских и производственных помещений по адресу: РО, р-н Аксайский, п. Рассвет, ул. Комсомольская, участки с КН 61:02:0600008:2147, 61:02:0600008:2148, 61:02:0600008:2149 (ориентировочная мощность трансформатора 0,63 МВА, ориентировочная протяженность ЛЭП 0,19 км)</t>
  </si>
  <si>
    <t>Строительство ТП 10/0,4 кВ, ВЛ 0,4 кВ, ВЛ 10 кВ от ВЛ 10 кВ №1103 ПС 110кВ АС6 для электроснабжения ВРУ 0,4 кВ жилых домов Лазарева А.Л и Курчавовой И.А. на участках с КН 61:02:060009:3561, 61:02:060009:3630 в Аксайском районе Ростовской области (ориентировочная мощность трансформатора 0,04 МВА, ориентировочная протяженность ЛЭП 1,345 км)</t>
  </si>
  <si>
    <t>Строительство КЛ-10 кВ от вновь установленной опоры ВЛ-10 кВ «Сельхозтехника» от ПС 35/6 кВ Ш-39, с установкой ТП-10/0,4 кВ, и строительство ВЛИ-0,4 кВ от вновь установленной ТП-10/0,4 кВ  для присоединения нежилого здания Маилян М.С.(ориентировочная протяженность ЛЭП- 0,105 км, ориентировочная мощность трансформатора 160 кВА)</t>
  </si>
  <si>
    <t>Строительство ТП-6/0,4, ВЛ-6 кВ от существующей оп. №63 ВЛ 6 кВ АБЗ ПС Ш-15, и ВЛИ-0,4 кВ от вновь установленной ТП-6/0,4 кВ для присоединения нежилого помещения ИП Маилян М.С. (ориентировочная протяженность ЛЭП 0,015 км, ориентировочная мощность трансформатора 160 кВА)</t>
  </si>
  <si>
    <t>Строительство ТП-10/0,4 кВ, участка ВЛ-10 кВ от существующей оп. №23 ВЛ-10 кВ «Дружба» от ПС С-5 и ВЛИ-0,4 кВ от вновь установленной ТП-10/0,4 кВ для присоединения сельскохозяйственной ярмарки ИП Шумилин Б.А. (ориентировочная протяженность ЛЭП 6,2 км, ориентировочная мощность трансформатора 63 кВА)</t>
  </si>
  <si>
    <t>Строительство ВЛ-10 кВ от оп.17 отпайки на КТП В-5 по ВЛ-10 кВ «Прохоровка» от ПС Н-22, с установкой ТП-10/0,4 кВ и ВЛИ-0,4 для присоединения распределительного щита максимальной мощности 15кВт: Ростовская обл., р-н. Родионово-Несветайский, 2150м северо-восточнее от сл. Алексеево-Тузловка, (ФГКУ «ПУ ФСБ РФ по РО»). (ориентировочная протяженность ЛЭП 2,4 км, ориентировочная мощность трансформатора 25 кВА)</t>
  </si>
  <si>
    <t xml:space="preserve"> Строительство ВЛИ-0,4 кВ от вновь установленной ТП-10/0,4 кВ строящейся ВЛ-10 кВ от существующей оп. №112 ВЛ-10 кВ «Огиб» Ш-26 для присоединения ветеринарно наблюдательного пункта водно биологических ресурсов и аквакультуры в ст.Усть-Быстрянской, Усть-Донецкого района (ориентировочная протяженность ЛЭП 0,630 км, ориентировочная мощность трансформатора 100 кВА)</t>
  </si>
  <si>
    <t>Строительство ТП-6/0,4 кВ,  строительство участка ВЛ-6 кВ от существующей оп. №48  ВЛ-6 кВ «Поселок» от   ПС Ш-41 и строительство ВЛИ-0,4 кВ от вновь установленной ТП-6/0,4 кВ  для присоединения центра гребного спорта ООО «Ростовская областная Федерация Гребли на Байдарках и Каноэ»» (ориентировочная протяженность ЛЭП 0,015 км, ориентировочная мощность трансформатора 25 кВА)</t>
  </si>
  <si>
    <t>Строительство участка ВЛ-6 кВ от существующей оп. №25 отпайки к КТП 6/0,4 кВ №110 по ВЛ-6 кВ «Орошение», с установкой ТП-6/0,4 кВ, и строительство ВЛИ-0,4 кВ от вновь установленной ТП-6/0,4 кВ для присоединения домика охотника и рыболова. Ростовская область, г. Красный Сулин, 1,3 км. на юго-запад от дома №29 по пер. Русский (Мелихов А.В.) (ориентировочная протяженность ЛЭП 0,485 км, ориентировочная мощность трансформатора 63 кВА)</t>
  </si>
  <si>
    <t>Строительство ВЛИ-0,4 кВ от оп.39 по ВЛ-0,4кВ № 1от КТП 10/0,4кВ  № 124 по ВЛ-10кВ «Юдино» ПС Н-19 для электроснабжения жилого дома Васильева Ш.И. Родионово-Несветайский р-н, х. Волошино, ул. Северная, д. 10 (ориентировочная протяженность ЛЭП – 0,160 км)</t>
  </si>
  <si>
    <t>Строительство ВЛИ-0,4 кВ от оп. №39 ВЛ-0,4 кВ №3 КТП №96 ВЛ-10 кВ  «Родина» от ПС 110/10 кВ Ш-42 для электроснабжения садового дома в п. Новосветловский, Октябрьского района Ростовской области ( Черный В.Д.) (ориентировочная протяженность ЛЭП – 0,135 км)</t>
  </si>
  <si>
    <t>Строительство ВЛИ-0,4 кВ от оп. №7 ВЛИ-0,4 кВ №2 КТП №654 ВЛ-10 кВ Совхоз от ПС 110 кВ Ш-16 для электроснабжения блокированных жилых домов Арутюновой В.К. Октябрьский район, п. Каменоломни, ул. Пролетарская, д.71, д.73. (ориентировочная протяженность ЛЭП – 0,26 км)</t>
  </si>
  <si>
    <t>Строительство ВЛИ-0,4 кВ от оп. №6 ВЛИ-0,4 кВ №1 КТП №670 ВЛ-10 кВ Совхоз от ПС 110 кВ Ш-16 для электроснабжения жилого дома Антошкина Е.А. Ростовская область Октябрьский район, п. Красногорняцкий, ул. Кудаченко, д.2. (ориентировочная протяженность ЛЭП – 0,03 км)</t>
  </si>
  <si>
    <t xml:space="preserve"> Строительство участка ВЛЗ-10кВ от ВЛ-10кВ «Жилмасив» ПС 110/35/10кВ Ш-34, с установкой ТП-10/0,4 кВ, и строительство ВЛИ-0,4 кВ от вновь установленной ТП-10/0,4 кВ для присоединения хозяйственных построек Дуванова А.Б. в ст.Мелиховской, Усть-Донецкого района (ориентировочная протяженность ЛЭП 0,245 км, ориентировочная мощность трансформатора 25 кВА)</t>
  </si>
  <si>
    <t>Строительство ВЛИ-0,4 кВ от оп.24 по ВЛ-0,4кВ №1 от КТП 6/0,4 кВ  №228 по ВЛ-6кВ Кривянка ПС Ш-43 для электроснабжения жилого дома Антоновой Н.В. Октябрьский р-н, ст-ца Кривянская, пер. Дальний,  д. 1А. (ориентировочная протяженность ЛЭП – 0,035 км)</t>
  </si>
  <si>
    <t>Строительство ТП-10/0,4, ВЛ-10 кВ от существующей оп.№ 62 за Р-7 ВЛ-10кВ «Кутейниково» ПС Н-9, и ВЛИ-0,4 кВ от вновь установленной ТП-10/0,4 кВ для присоединения площадки водопроводных сооружений: ул.Папанина,5, сл. Родионово-Несветайская, Родионово-Несветайский  район ( Администрация Родионово-Несветайского района) (ориентировочная протяженность ЛЭП 0,185 км, ориентировочная мощность трансформатора 63 кВА)</t>
  </si>
  <si>
    <t>Строительство ТП-6/0,4 кВ, строительство участка ВЛ-6 кВ от существующей оп. №11 ВЛ-6 кВ «Россия» от   ПС Ш-12 и строительство ВЛИ-0,4 кВ от вновь установленной ТП-6/0,4 кВ для присоединения нежилого здания Витковского В.В. Октябрьский район, г. Шахты, ул. Келдыша, д. 1-в (ориентировочная протяженность ЛЭП 0,285 км, ориентировочная мощность трансформатора 25 кВА)</t>
  </si>
  <si>
    <t>Строительство ВЛИ-0,4 кВ от РУ-0,4 кВ КТП 10/0,4 кВ №691 по ВЛ 10 кВ Сельхозтехника ПС Ш-39 для присоединения торгового павильона ИП Ванян А.К. Ростовская область, Октябрьский район, п. Персиановский, ул. Школьная, 37 (ориентировочная протяженность ЛЭП 0,095 км)</t>
  </si>
  <si>
    <t>Строительство ВЛИ-0,4 кВ от оп.17 по ВЛ-0,4кВ №2 от КТП 10/0,4 кВ № 533 по ВЛ-10кВ Красюковка ПС Ш-39 для электроснабжения жилого дома Любохинец Л.В. Ростовская обл., Октябрьский р-н, сл. Красюковская, ул. Вишневая, д. 15 (ориентировочная протяженность ЛЭП – 0,1 км)</t>
  </si>
  <si>
    <t>Строительство участка ВЛ-6 кВ от существующей оп. №2 отпайки на КТП №41 ВЛ-6 кВ «Совхоз-10» от ПС Ш-12, с установкой ТП-10/0,4 кВ, и строительство ВЛИ-0,4 кВ от вновь установленной ТП-10/0,4 кВ для присоединения жилых домов Шишкова И.П. (ориентировочная протяженность ЛЭП 0,2 км, ориентировочная мощность трансформатора 63 кВА)</t>
  </si>
  <si>
    <t>Строительство участка ВЛ-10 кВ от существующей оп. №10 ВЛ-10 кВ «СТФ» от   ПС Ш-38, с установкой ТП-10/0,4 кВ, и строительство ВЛИ-0,4 кВ от вновь установленной ТП-10/0,4 кВ для присоединения жилых домов Михайльо М.М., Колубелова Е.А.  (ориентировочная протяженность ЛЭП 0,13 км, ориентировочная мощность трансформатора 100 кВА)</t>
  </si>
  <si>
    <t>Строительство участка ВЛИ-0,4кВ от ВЛ-0,4кВ КТП №332 ВЛ-10кВ «КРС» ПС 110/35/10кВ Ш-34, для присоединения жилого дома Скопинцева С.Н. в ст. Раздорской Усть-Донецкого района (ориентировочная протяженность ЛЭП 0,125 км)</t>
  </si>
  <si>
    <t>Строительство ВЛИ-0,4 кВ от оп. №107 ВЛИ-0,4 кВ №3 от КТП №227 ВЛ-6 кВ  «Поселок» от ПС 35/6кВ Ш-41 для электроснабжения   жилого дома в ст. Бессергеневская, ул. Песчанная, д. 49-б (Барзыкин С.В) Октябрьского района Ростовской области  (ориентировочная протяженность ЛЭП – 0,205 км)</t>
  </si>
  <si>
    <t>Строительство ВЛИ-0,4 кВ от конечной опоры строящейся ВЛ-0,4 кВ (по договору №61-1-19-00425003 от 14.02.2019) для электроснабжения   жилого дома Выпряжкина Е.И.  в х. Яново-Грушевский, с/т «Электровозостроитель» уч. №1 Октябрьского района Ростовской области (ориентировочная протяженность ЛЭП – 0,23 км)</t>
  </si>
  <si>
    <t>Строительство участка ВЛ-6 кВ от существующей оп. №99 отпайки на КТП №458(на балансе Государственной компании «Автодор») подключенной от оп. №227 по ВЛ-6 кВ «Мир» ПС 35/6 кВ Г-6, с установкой ТП-6/0,4 кВ, и строительство ВЛИ-0,4 кВ от вновь установленной ТП-6/0,4 кВ для присоединения ВРУ-0,4 кВ вышки сотовой связи, Ростовская обл, Красносулинский район, х. Русско-Прохоровский, СПК «Дружба» (ИП Хлопонин И. П) (ориентировочная протяженность ЛЭП 0,05 км, ориентировочная мощность трансформатора 25 кВА)</t>
  </si>
  <si>
    <t>Строительство участка ВЛ-10 кВ от ВЛ-10 кВ «Крымский» ПС Ш14, с установкой ТП-10/0,4 кВ, и строительство ВЛИ-0,4 кВ для присоединения фермы, х. Крымский, Усть-Донецкого района ИП Максименко А.А. (ориентировочная протяженность ЛЭП 0,75 км, ориентировочная мощность трансформатора 0,25 МВА)</t>
  </si>
  <si>
    <t>Строительство ВЛ-0,4 кВ от существующей оп. №7 по ВЛ 0,4 кВ №1 от КТП № 126 по ВЛ-6 кВ «Кадамовка» для присоединения домика фермера Сулименко И.А., расположенного в 2,13 км. На юго-восток от х.Садки (ориентировочная протяженность ВЛ 0,39 км)</t>
  </si>
  <si>
    <t>Строительство участка ВЛ-6 кВ от существующей оп. №72 отпайки к КТП №165 по ВЛ-6 кВ «Платово», с установкой ТП-6/0,4 кВ, и строительство ВЛИ-0,4 кВ для присоединения жилого дома Головешкиной М.В. (ориентировочная протяженность ЛЭП 0,495 км, ориентировочная мощность трансформатора 0,025 МВА)</t>
  </si>
  <si>
    <t>Строительство ВЛИ-0,4 кВ от РУ-0,4 кВ  КТП №188 ВЛ-10 кВ  «Зверпромхоз» от ПС 110/10 кВ Ш-42 для электроснабжения   фермы в сл. Красюковская, Октябрьского района Ростовской области ( Деулин Ю.А) (ориентировочная протяженность ЛЭП – 0,535 км)</t>
  </si>
  <si>
    <t>Строительство ТП-6/0,4 кВ, строительство участка ВЛ-6 кВ от проектируемой опоры по договору №61-1-18-00389177 от 30.07.2019 от оп. №58 отпайки на КТП №66 по ВЛ-6кВ «Совхоз-10» от ПС Ш-12 и строительство ВЛИ-0,4 кВ от вновь установленной ТП-6/0,4 кВ для присоединения ангара ИП Коваленко Д.О. (ориентировочная протяженность ЛЭП 0,03 км, ориентировочная мощность трансформатора 160 кВА)</t>
  </si>
  <si>
    <t>Строительство ВЛИ-0,4 кВ от  оп.2 ВЛ 0,4 кВ № 2 от КТП 10/0,4кВ  № 230 по ВЛ-10кВ «Кутейниково» ПС Н-9 для  электроснабжения жилого дома Белёвой Е.Д. в сл. Родионово-Несветайская. ориентировочная протяженность ЛЭП – 0,500  км</t>
  </si>
  <si>
    <t>Строительство ВЛИ-0,4 кВ от оп. №15 ВЛИ-0,4 кВ №1 КТП №657 ВЛ-6 кВ  Рыбхоз от ПС 35кВ Ш-41 для электроснабжения жилого дома в х. Калинин, пер. Атаманский, д.7, Октябрьского района Ростовской области (Погорелов А.И.) (ориентировочная протяженность ЛЭП – 0,150 км)</t>
  </si>
  <si>
    <t>Строительство участка ВЛЗ-10кВ от ВЛ-10кВ «Апаринка» ПС 110/35/27,5/10кВ Ш-14, с установкой ТП-10/0,4 кВ, и строительство ВЛИ-0,4 кВ от вновь установленной ТП-10/0,4 кВ для присоединения дачных домов  Демьяновой С.В., Заиченко С.Ю., Долотов В.А. в х.Апаринском, Усть-Донецкого района (ориентировочная протяженность ЛЭП 0,140 км, ориентировочная мощность трансформатора 250 кВА)</t>
  </si>
  <si>
    <t>Строительство ВЛИ-0,4кВ от ВЛ-0,4кВ ТП №251 ВЛ-10кВ «Жилмассив» ПС 110/35/10кВ Ш-34 для присоединения жилых домов Нечипоренко Т.И. Кулешовой Я.С. Кулешовой С.С. в п. Донские Зори Усть-Донецкого района (ориентировочная протяженность ЛЭП 0,305 км)</t>
  </si>
  <si>
    <t>Строительство ВЛИ-0,4 кВ от оп. №4 ВЛИ-0,4 кВ №1 КТП №607 по ВЛ-10 кВ «Комсомолец» от ПС 110/35/10кВ Ш-35 для электроснабжения базовой станции сотовой связи №61-01899 в п. Новозарянский Октябрьского района Ростовской области (ПАО «МТС») (ориентировочная протяженность ЛЭП – 0,155 км)</t>
  </si>
  <si>
    <t>Строительство ТП-10/0,4 кВ от существующей оп. №28 ВЛ 10 кВ «Полив» ПС 35/10 кВ Н-19 и ВЛИ-0,4 кВ от вновь установленной ТП-10/0,4 кВ для присоединения фермы: Ростовская обл., р-н. Родионово-Несветайский, х. Волошино, юго-западная окраина х.Волошино,( Глава К(Ф)Х ИП Степаненко А.А.) (ориентировочная протяженность ЛЭП 0,005км, ориентировочная мощность трансформатора 25 кВА)</t>
  </si>
  <si>
    <t>Строительство ВЛИ-0,4 кВ от оп. №9 ВЛ-0,4 кВ № 1 от КТП 10/0,4 кВ № 66 по ВЛ-10 кВ «Молблок» от ПС Н-21 для присоединения БС № 61-02310 (ПАО «МТС») ориентировочная протяженность ЛЭП – 0,250 км</t>
  </si>
  <si>
    <t>Строительство ВЛИ-0,4 кВ от опоры №45 по ВЛ-0,4кВ № 1 от   КТП 10/0,4кВ  № 82 по ВЛ-10кВ «Юдино» ПС Н-19 для электроснабжения жилого дома Ганцовой А.Х. Родионово-Несветайский р-н, х. Юдино, ул. Новоселов,  д. 22А (ориентировочная протяженность ЛЭП – 0,07 км)</t>
  </si>
  <si>
    <t>Строительство ВЛИ-0,4 кВ от оп.13 по ВЛ-0,4кВ № 2 от   КТП 10/0,4кВ № 230 по ВЛ-10кВ «Кутейниково» ПС Н-9 для электроснабжения жилого дома Злогодухова А.С. Родионово-Несветайский р-н сл. Родионово-Несветайская ул. Покрышкина, д. 50А (ориентировочная протяженность ЛЭП – 0,12 км</t>
  </si>
  <si>
    <t>Строительство ВЛИ-0,4 кВ от оп.34 по ВЛ-0,4кВ № 2 от   КТП 10/0,4кВ  № 214 по ВЛ-10кВ «Ростовский» ПС Н-9 для электроснабжения блокированных жилого дома Мирущенко Н.П. Родионово-Несветайский р-н, х. Веселый, ул. Новая,  д. 23 (ориентировочная протяженность ЛЭП – 0,160 км)</t>
  </si>
  <si>
    <t>Строительство ВЛИ-0,23 кВ от РУ 0,4кВ КТП 10/0,4кВ № 508 по ВЛ-10кВ «КРС» ПС Н-9 для электроснабжения жилого дома Серенко Н.А. Родионово-Несветайский р-н сл. Родионово-Несветайская, ул. Сосновая, д. 5А (ориентировочная протяженность ЛЭП – 0,10 км)</t>
  </si>
  <si>
    <t>Строительство ВЛИ-0,4 кВ от оп.31 по ВЛ-0,4кВ №2 от КТП 10/0,4 кВ  №135 по ВЛ-10кВ Летний Гурт-Горняк ПС Ш-48 для электроснабжения нежилого здания ООО «Джамп» Ростовская обл., Октябрьский р-н, автодорога г.Шахты-ст.Раздорская -а/д «Шахты-Цимлянск» 14км+190м (слева) (ориентировочная протяженность ЛЭП – 0,15 км)</t>
  </si>
  <si>
    <t>Строительство ТП-6/0,4, ВЛ-6 кВ от существующей оп. №3 отпайки к КТП №214 по ВЛ 6 кВ Прогресс ПС Ш-41, и ВЛИ-0,4 кВ от вновь установленной ТП-6/0,4 кВ для присоединения девяти жилых домов в ст. Заплавская, Октябрьского района, Ростовской области (ориентировочная протяженность ЛЭП 1,020 км, ориентировочная мощность трансформатора 160 кВА)</t>
  </si>
  <si>
    <t>Строительство участка ВЛ-10 кВ от существующей оп. №43 по ВЛ-10 кВ «Дружба» от ПС С-5, с установкой ТП-10/0,4 кВ, и строительство ВЛИ-0,4 кВ от вновь установленной ТП-10/0,4 кВ для присоединения сельского дома культуры в Красносулинском районе, ст. Владимировская, ул. Ленина, (ориентировочная протяженность ЛЭП 0,337 км, ориентировочная мощность трансформатора 250 кВА)</t>
  </si>
  <si>
    <t>Строительство ВЛИ-0,4 кВ от оп. №24 ВЛИ-0,4 кВ №1 МТП №802 ВЛ-10 кВ Красюковка ПС Ш-39 для электроснабжения двух садовых домов СТ «Электровозостроитель» (Кривцов С.Я., Мельникова Е.Н.) (ориентировочная протяженность ЛЭП – 0,04 км)</t>
  </si>
  <si>
    <t>Строительство ВЛИ-0,4 кВ от оп. №11 ВЛИ-0,4 кВ №1 МТП №802 ВЛ-10 кВ Красюковка ПС Ш-39 для электроснабжения садового дома Коломиец Е.А в СТ «Электровозостроитель» (ориентировочная протяженность ЛЭП – 0,15 км)</t>
  </si>
  <si>
    <t>Строительство ТП-10/0,4, ВЛ-10 кВ от существующей оп. №3 отпайки к КТП 1 по ВЛ 10 кВ Красюковка ПС Ш-39, и ВЛИ-0,4 кВ от вновь установленной ТП-10/0,4 кВ для присоединения дошкольной образовательной организации на 120 мест в сл. Красюковская, Октябрьского района, Ростовской области (ориентировочная протяженность ЛЭП 0,34 км, ориентировочная мощность трансформатора 160 кВА)</t>
  </si>
  <si>
    <t>Строительство ТП-10/0,4, ВЛ-10 кВ от существующей оп. №29 отпайки к КТП 434 по ВЛ 10 кВ Зверпромхоз ПС Ш-42, и ВЛИ-0,4 кВ от вновь установленной ТП-10/0,4 кВ для присоединения шести жилых домов в п. Персиановский, Октябрьского района, Ростовской области (ориентировочная протяженность ЛЭП 1,385 км, ориентировочная мощность трансформатора 100 кВА)</t>
  </si>
  <si>
    <t>Строительство участка ВЛЗ10 кВ от ВЛ10 кВ Жилмассив ПС 110/35/10 Ш34, с установкой ТП 10/0,4 кВ, и строительство ВЛИ 0,4 кВ от вновь установленной ТП 10/0,4 кВ для присоединения ВРУ-0,4 кВ нежилого здания, ИП Кононов В.В. в ст. Мелиховская Усть-Донецкого района (ориентировочная протяженность ЛЭП 0,085 км, ориентировочная мощность трансформатора 0,25 МВА)</t>
  </si>
  <si>
    <t>Строительство ТП-6/0,4, ВЛ-6 кВ от существующей оп. №19 ВЛ 6 кВ Пушкино ПС С-2, и ВЛИ-0,4 кВ от вновь установленной ТП-6/0,4 кВ для присоединения ангара ИП Оверченко Д.Ю., Ростовская область, Красносулинский район, х. Клевцово, с/п «Пролетарское»
(ориентировочная протяженность ЛЭП 0,12 км. ориентировочная мощность трансформатора 250 кВА)</t>
  </si>
  <si>
    <t>Строительство участка ВЛ-6 кВ от оп. №10 ЛЭП 6 кВ строящейся по договору №61-1-20-00511053 от 15.06.2020г. с Мелиховым А.В, по ВЛ-6 кВ «Орошение» ПС 110/35/6 кВ Н-8, с установкой МТП-6/0,4 кВ, и строительство ВЛИ-0,4 кВ от вновь установленной МТП-6/0,4 кВ для присоединения ВРУ-0,4 кВ производственного здания/помещения, Ростовская обл, г.Красный Сулин, Красносулинское городское поселение, ул.Заводская, д.1 (ООО «ЮжСталь) (ориентировочная протяженность ЛЭП 0,04 км, ориентировочная мощность трансформатора 160 кВА)</t>
  </si>
  <si>
    <t>Строительство ВЛИ-0,4 кВ от РУ-0,4 кВ МТП №803 ВЛ-10 кВ Красюковка ПС Ш-39 для электроснабжения пяти жилых домов Ростовская обл., Октябрьский р-н, садоводческое товарищество «Электровозостроитель», уч.111, уч.123, уч.70, уч.69, уч.68 (ориентировочная протяженность ЛЭП – 0,75 км)</t>
  </si>
  <si>
    <t>Строительство ВЛ 0,4 кВ от новой ТП 10/0,4 кВ, строительство ТП 10/0,4 кВ, строительство ВЛ 10 кВ от ВЛ-10 кВ №5 ПС 110/35/10 кВ Алексеевская, для технологического присоединения ВРУ-0,4 кВ жилого дома заявителя (Симонян Е.М.) по адресу: Ростовская обл., р-н М-Курганский, х. Староротовка, ул. Рябиновая 13, к.н. 61:21:0010401:752 (ориентировочная протяжённость ЛЭП 0,09 км; мощность силового трансформатора 250 кВА)</t>
  </si>
  <si>
    <t>Строительство ВЛ 0,4 кВ от опоры проектируемой ВЛ 0,4 кВ по договору №61-1-19-00433953 от 27.03.2019 г., для технологического присоединения жилого дома Заявителя (Нечаев А.П.) по адресу: Ростовская область, Неклиновский район, х. Красный Десант, ул. Цветочная, 2-в, к.н. 61:26:0600024:1075 (ориентировочная протяженность ЛЭП 0,2 км)</t>
  </si>
  <si>
    <t>Строительство участка ВЛ 0,4 кВ от проектируемой ВЛ-0,4 кВ по договору № 61-1-16-00289471 от 20.12.2016 г. для технологического присоединения ВРУ-0,4 кВ личного подсобного хозяйства заявителя (Корниенко А.А.) по адресу: Ростовская обл., Неклиновский р-н, с. Николаевка, пер. Ломоносовский, д. 39-а, к. н. 61:26:0110101:9259 (ориентировочная протяженность ЛЭП 0,04 км)</t>
  </si>
  <si>
    <t>Строительство ВЛ 0,4 кВ от новой ТП 10/0,4 кВ, строительство ТП 10/0,4 кВ, строительство ВЛ 10 кВ от ВЛ 10 кВ №1 ПС 110/35/10 кВ Чалтырь, отпайки на ТП №1-189А, для технологического присоединения жилых домов Заявителя (Дзиваян С.Х.) по адресу: Ростовская область, Мясниковский район, х. Красный Крым, ул. Российская, д.32 к.н. 61:25:0600401:9953, д.34 к.н. 61:25:0600401:9952, д.3 к.н. 61:25:0600401:9714, д.26 к.н. 61:25:0600401:9743, д.25 к.н. 61:25:0600401:9729 (ориентировочная протяженность ЛЭП 0,07 км; мощность силового трансформатора 250 кВА)</t>
  </si>
  <si>
    <t>Строительство ВЛ 0,4 кВ от новой ТП 10/0,4 кВ, строительство ТП 10/0,4 кВ, строительство ВЛ 10 кВ от ВЛ 10 кВ №12 ПС 110/35/10 кВ «Чалтырь» для технологического присоединения кафе Заявителя (ИП Бабаджанян А.О.) по адресу: Ростовская область, Мясниковский район, с. Чалтырь, ул.Красноармейская, д 126 к.н. №61:25:0101608:104 (ориентировочная протяженность ЛЭП 0,18 км; мощность силового трансформатора 100 кВА)</t>
  </si>
  <si>
    <t>Строительство ВЛ 0,4 кВ от новой ТП 10/0,4 кВ, строительство ТП 10/0,4 кВ, строительство ВЛ 10 кВ от ВЛ 10 кВ №13 ПС 110/35/10 кВ «Чалтырь» для технологического присоединения Заявителя (Мнацаканян С.А.) по адресу: Ростовская область, Мясниковский район, х. Ленинакан, ул. Южная 12 к.н. №61:25:0600401:1131, ул. Южная 21 к.н. №61:25:0600401:6611 (ориентировочная протяженность ЛЭП 0,045 км; мощность силового трансформатора 400 кВА)</t>
  </si>
  <si>
    <t>Строительство ВЛ 0,4 кВ от новой ТП 10/0,4 кВ, строительство ТП 10/0,4 кВ, строительство ВЛ 10 кВ от ВЛ 10 кВ №1 ПС 110/35/10 кВ «Чалтырь», запитанной от ВЛ 10 кВ №13 ПС 110/35/10 кВ Чалтырь для технологического присоединения нежилого здания Заявителя (Мнацаканян В.А.) по адресу: Ростовская область, Мясниковский район, х. Красный Крым, Краснокрымское сельское поселение, на землях колхоза «Дружба» к.н. №61:25:0600401:3887 (ориентировочная протяженность ЛЭП 0,035 км; мощность силового трансформатора 160 кВА)</t>
  </si>
  <si>
    <t>Строительство ВЛ 0,4 кВ от новой ТП 10/0,4 кВ, строительство ТП 10/0,4 кВ, строительство ВЛ 10 кВ от ВЛ 10 кВ №5 ПС 35/10 кВ Б. Салы, для технологического присоединения нежилых помещений Заявителей (ИП Поповян М.А., ИП Поповян М.А, Григорян С.В., Бугаян А.Г., Бугаян Г.А.) по адресу: Ростовская область, Мясниковский район, с. Большие Салы, северная окраина, уч. 5 к.н. 61:25:0600501:1813, уч. 2 к.н. 61:25:0600501:1812, уч.4 к.н. 61:25:0600501:1814, уч. 3 к.н. 61:25:0600501:1815, уч. 1 к.н. 61:25:0600501:1811 (ориентировочная протяженность ЛЭП 0,36 км; мощность силового трансформатора 100 кВА)</t>
  </si>
  <si>
    <t xml:space="preserve">Строительство ВЛ 0,4 кВ от новой ТП 10/0,4 кВ, строительство ТП 10/0,4 кВ, строительство ВЛ 10 кВ от ВЛ 10 кВ № 7 ПС 35/10 кВ «Б.Салы», для технологического присоединения питомника Заявителя (ИП Вареникова С.Н.) по адресу: Ростовская область, Мясниковский район, с. Большие Салы ул. 4-я Промышленная д. 30. к.н. 61:25:0600501:2054, д. 28. к.н. 61:25:0600501:2056, ул. 5-я Промышленная д. 27. к.н. 61:25:0600501:2025 (ориентировочная протяженность ЛЭП 0,93 км; мощность силового трансформатора 63 кВА)
</t>
  </si>
  <si>
    <t>Строительство ВЛ 0,4 кВ от новой ТП 10/0,4 кВ, строительство ТП 10/0,4 кВ, строительство ВЛ 10 кВ от ВЛ 10 кВ № 13 ПС 110/35/10 кВ «Чалтырь», для технологического присоединения нежилого помещения Заявителя (ИП Халамбащян А.В.) по адресу: Ростовская область, Мясниковский район, с. Чалтырь земли колхоза имени Мясникяна к.н. 61:25:0000000:6050  (ориентировочная протяженность ЛЭП 0,84 км; мощность силового трансформатора 25 кВА)</t>
  </si>
  <si>
    <t>Строительство ВЛ 0,4 кВ от новой ТП 10/0,4 кВ, строительство ТП 10/0,4 кВ, строительство ВЛ 10 кВ от ВЛ 10 кВ №3 ПС 110/10 кВ «Самбек», для технологического присоединения детского дошкольного учреждения Заявителя (Администрация Неклиновского района) по адресу: Ростовская область, Неклиновский район, с. Самбек, ул. Западная, 22 корп. А, к.н. 61:26:0020101:4060 (ориентировочная протяженность ЛЭП 0,2 км; мощность силового трансформатора 160 кВА)</t>
  </si>
  <si>
    <t>Строительство ВЛ 0,4 кВ от новой ТП 10/0,4 кВ, строительство ТП 10/0,4 кВ, строительство ВЛ 10 кВ от ВЛ 10 кВ №13 ПС 110/35/10 кВ «Чалтырь», для технологического присоединения производственно-складского здания Заявителя (ИП Бабиян К.М.) по адресу: Ростовская область, Мясниковский район, с. Крым ул. Большесальская д. 50 б  к.н. 61:25:0201026:285  (ориентировочная протяженность ЛЭП 0,05 км; мощность силового трансформатора 160 кВА)</t>
  </si>
  <si>
    <t>Строительство ВЛ 0,4 кВ от ВЛ 0,4 кВ №1 КТП №223 ВЛ 10 кВ №3 ПС 110/10 кВ «Некрасовская» для технологического присоединения жилого дома Заявителя (Жерносек А.И.) по адресу: Ростовская область, Неклиновский район, х. Жатва, ул. Полевая, 16, к.н. 61:26:0130701:2 (ориентировочная протяженность ЛЭП 0,25 км)</t>
  </si>
  <si>
    <t xml:space="preserve">Строительство ВЛ 0,4 кВ от ВЛ 0,4 кВ №3 ТП 10/0,4 кВ №1-54 по ВЛ 10 кВ №1 ПС 110/35/10 кВ «Чалтырь» для технологического присоединения жилых домов заявителей (Алейникова Н.Г., Сагамонова О.И.) по адресу: Ростовская область, Мясниковский район, х. Ленинаван ул. Садовая 1/3 к.н.61:25:0030202:4236; ул. Садовая 1/11 к.н .61:25:0030202:4244 (ориентировочная протяженность ЛЭП 0,25 км)
</t>
  </si>
  <si>
    <t>Строительство ВЛ 0,4 кВ от ВЛ 0,4 кВ №1 ТП 10/0,4 кВ №2-4 по ВЛ 10 кВ №2 ПС 110/35/10 кВ Чалтырь для технологического присоединения жилого дома заявителя (Талошный С.В.) по адресу: Ростовская область, Мясниковский район, с. Султан Салы ул. Селиверстова д. 5 г к.н.61:25:0030401:1398 (ориентировочная протяженность ЛЭП 0,37 км)</t>
  </si>
  <si>
    <t>Строительство ВЛ 0,4 кВ от новой ТП 10/0,4 кВ, строительство ТП 10/0,4 кВ, строительство ВЛ 10 кВ от ВЛ 10 кВ №5 ПС 110/10 кВ «Лиманная», для технологического присоединения нежилого помещения Заявителя (ИП Неткачев А.В.) по адресу: Ростовская область, Неклиновский район, х. Павло-Мануйловский, ул. Родниковая, 41-а, к.н. 61:26:0090801:272 (ориентировочная протяженность ЛЭП 0,74 км; мощность силового трансформатора 160 кВА)</t>
  </si>
  <si>
    <t>Строительство ВЛ 0,4 кВ от новой ТП 10/0,4 кВ, строительство ТП 10/0,4 кВ, строительство ВЛ 10 кВ от ВЛ 10 кВ № 3 ПС 35/10 кВ «ГСКБ», для технологического присоединения нежилого помещения Заявителя (ИП Саркисян Б.В.) по адресу: Ростовская область, Неклиновский район, с. Комаровка, ул. Мирная, 1-В к.н. 61:25:0180301:967 (ориентировочная протяженность ЛЭП 0,16 км; мощность силового трансформатора 160 кВА)</t>
  </si>
  <si>
    <t>Строительство ВЛ 0,4 кВ от ВЛ 0,4 кВ проектируемой по договору №61-1-18-00404885 от ТП 10/0,4 кВ №7-21 по ВЛ 10 кВ №7 ПС 110/35/10 кВ Синявская, для технологического присоединения жилых домов Заявителей (Сербин В.В., Гужавин А.В., Сухоносова Е.С.)  по адресу: Ростовская область, Мясниковский район, х. Недвиговка, ул. Успенская (ориентировочная протяженность ЛЭП – 0,38 км.)</t>
  </si>
  <si>
    <t>Строительство ВЛ 0,4 кВ от ВЛ 0,4 кВ №2 ТП 10/0,4 кВ №7-13 по ВЛ 10 кВ №7 ПС 110/35/10 кВ Синявская для технологического присоединения жилых домов Заявителей (Заболотнева А.В., Криволапов И.Е., Мочкаева С.А., Солянкина Э.С.) по адресу: Ростовская область, Мясниковский район, х. Хапры, ул. Гагарина д.45, д.47, пер. Костенко д.11, д.14 (ориентировочная протяженность ЛЭП 0,6 км)</t>
  </si>
  <si>
    <t>Строительство КВЛ 0,4 кВ от КТП 10/0,4 кВ №316 ВЛ 10 кВ №4 ПС 110/10 кВ «Самбек» для технологического присоединения парковой зоны военно-исторического комплекса «Самбекские высоты» Заявителя (Администрация Самбекского с.п.) по адресу: Ростовская область, Неклиновский район, 50 м западнее с. Самбек, к.н. 61:26:0600015:3453 (ориентировочная протяженность ЛЭП 0,24 км)</t>
  </si>
  <si>
    <t>Строительство ВЛ 0,4 кВ от новой ТП 10/0,4 кВ, строительство ТП 10/0,4 кВ, строительство ВЛ 10 кВ от ВЛ 10 кВ №1 ПС 110/35/10 кВ «Чалтырь», отпайки на ТП 10/0,4 кВ №1-8, для технологического присоединения станции техобслуживания, автомойки, АБК Заявителя (ИП Батыжев Р.Х.) по адресу: Ростовская область, Мясниковский район, х. Ленинакан ул. Торговый проспект 19, к.н. 61:25:0600401:10478 (ориентировочная протяженность ЛЭП 0,06 км; мощность силового трансформатора 160 кВА)</t>
  </si>
  <si>
    <t>Строительство ВЛ 0,4 кВ от ВЛ 0,4 кВ №3 ТП 10/0,4 кВ №265м по ВЛ 10 кВ №3 ПС 35/10 кВ «Русский Колодец» для технологического присоединения жилого дома Заявителя (Гуляева Г.А.) по адресу: Ростовская область, Неклиновский район, х. Ключникова Балка, ул. Пушкина, 54, к.н. 61:26:0070501:76 (ориентировочная протяженность ЛЭП 0,12 км)</t>
  </si>
  <si>
    <t>Строительство ВЛ 0,4 кВ от ВЛ 0,4 кВ №2 ТП 10/0,4 кВ №1-133 по ВЛ 10 кВ №1 ПС 110/35/10 кВ «Чалтырь» для технологического присоединения; жилых домов заявителей (Бабиева С.Е., Керимова Л.К., Пегливанов В.Х.) по адресу: Ростовская область, Мясниковский район, х. Ленинаван ул. Мясникяна 74 к.н. 61:25:0600401:11498, ул. 70 лет Победы 19 к.н. 61:25:0600401:11502, ул. 70 лет Победы 22/78 к.н. 61:25:0600401:11497,  (ориентировочная протяженность ЛЭП 0,14 км)</t>
  </si>
  <si>
    <t>Строительство ВЛ 10 кВ от ВЛ 10 кВ №1 ПС 35/10 кВ Чалтырь отпайки на ТП 10/0,4 кВ №1-133 до новой ТП 10/0,4 кВ, строительство ТП 10/0,4 кВ у границы земельного участка заявителя (Гукова И.А.) (ориентировочная протяженность ЛЭП - 0,11 км, ориентировочная мощность ТП – 100 кВА)</t>
  </si>
  <si>
    <t>Строительство ВЛ 0,4 кВ от новой ТП 10/0,4 кВ, строительство ТП 10/0,4 кВ, строительство ВЛ 10 кВ от ВЛ 10 кВ №6 ПС 35/10 кВ «Б.Салы» для технологического присоединения жилых домов Заявителей по адресу: Ростовская область, Мясниковский район, с. Большие Салы, ул. Бакинская, ул. Тбилисская, ул. Армянская, ул. Ростовская, ул. Ярославская, ул. Белорусская, ул. Московская (ориентировочная протяженность ЛЭП 1,98 км; мощность силового трансформатора 400 кВА)</t>
  </si>
  <si>
    <t>Строительство ВЛ 0,4 кВ от ВЛ 0,4 кВ №1 КТП 10/0,4 кВ №134 ВЛ 10 кВ №6 ПС 110/10 кВ «Самбек» для технологического присоединения магазина Заявителя (Шевченко Р.Л.) по адресу: Ростовская область, Неклиновский р-н, с. Вареновка, ул. Партизанская, 2 Б, к.н. 61:26:0600015:984 (ориентировочная протяженность ЛЭП 0,145 км)</t>
  </si>
  <si>
    <t>Строительство ВЛ 0,4 кВ от новой ТП 10/0,4 кВ, строительство ТП 10/0,4 кВ, строительство ВЛ 10 кВ от ВЛ 10 кВ №1 ПС 35/10 кВ «Лакадемоновская» для технологического присоединения жилых домов Заявителя (Чичканова Е.Ю.) по адресу: Ростовская область, Неклиновский район, с. Малофедоровка, ул. Лиманная, 19, 31, 43, 49, 58, 68 (ориентировочная протяженность ЛЭП 0,71 км; мощность силового трансформатора 630 кВА)</t>
  </si>
  <si>
    <t>Строительство ВЛ 0,4 кВ от РУ 0,4 кВ ТП 10/0,4 кВ №1-208 по ВЛ 10 кВ №1 ПС 110/35/10 кВ Чалтырь для технологического присоединения жилых домов Заявителей (Никишов А.С., Борисова А.А., Борисов С.Ю., Борисов Д.С., Горьковая А.Н.) по адресу: Мясниковский район, х. Красный Крым (ориентировочная протяженность ЛЭП 0,45 км)</t>
  </si>
  <si>
    <t>Строительство ВЛ 0,4 кВ от КТП 10/0,4 кВ №849 ВЛ 10 кВ №5/3 ПС 110/35/10 кВ «Троицкая-1» для технологического присоединения нежилого помещения Заявителя (Малахова Е.В.) по адресу: Ростовская область, г. Таганрог, Николаевское шоссе, 14-В, к.н. 61:58:0005268:36 (ориентировочная протяженность ЛЭП 0,28 км)</t>
  </si>
  <si>
    <t>Строительство ВЛ 0,4 кВ от новой ТП 10/0,4 кВ, строительство ТП 10/0,4 кВ, строительство ВЛ 10 кВ от ВЛ 10 кВ №6 ПС 110/10 кВ «Самбек», для технологического присоединения жилого дома Заявителя (Гладких С.В.) по адресу: Ростовская область, Неклиновский район, п. Ореховый, ул. Ростовская, 27, к.н. 61:26:0600014:1512 (ориентировочная протяженность ЛЭП 1,74 км; мощность силового трансформатора 25 кВА)</t>
  </si>
  <si>
    <t>Строительство ВЛ 0,4 кВ от РУ 0,4 кВ ТП 10/0,4 кВ, строительство ТП 10/0,4 кВ, строительство ВЛ 10 кВ от ВЛ 10 кВ №2 отпайки на ТП 10/0,4 кВ №2-6 ПС 110/35/10 кВ Чалтырь для технологического присоединения нежилого помещения Заявителя: (Саркисян С.А.), по адресу: Мясниковский район, земли колхоза «Дружба», ориентир с. Султан Салы, примерно 300м. от ориентира по направлению на северо-восток, к.н. 61:25:0600401:1236 (ориентировочная протяженность ЛЭП 0,21 км; мощность силового трансформатора – 160 кВА)</t>
  </si>
  <si>
    <t>«Строительство ЛЭП 0,4 кВ по ВЛ-0,4 кВ №3 от ЗТП-10/0,4 кВ №328 по ВЛ-10 кВ №3 ПС-35/10 кВ М-Курганская, для технологического присоединения Заявителя (Администрация Матвеево-Курганского сельского поселения) по адресу: Ростовская область, Матвеево-Курганский район, п. Матвеев Курган, ул. Донецкая д.2, примерно 24м в южном направлении (ориентировочная протяженность ЛЭП 0,03 км)»</t>
  </si>
  <si>
    <t>Строительство ВЛ 0,4 кВ от новой ТП 6/0,4 кВ, строительство ТП 6/0,4 кВ, строительство КЛ 6 кВ от ячейки №17 РП 6 кВ №16, для технологического присоединения амбулаторно-поликлиническое учреждение, заявителя (Албатова Е.Н.) по адресу: Ростовская область, Таганрог, ул. Бакинская, д. 56, к.н. 61:58:0004487:70. (ориентировочная протяженность ЛЭП - 0,75 км, мощность силового трансформатора 160 кВА)</t>
  </si>
  <si>
    <t xml:space="preserve">«Строительство ВЛ 0,4 кВ от новой ТП 6/0,4 кВ, строительство КЛ 6 кВ от РУ-6 кВ ТП-6/0,4 кВ проектируемой по договору ТП № 61-1-19-00429155 от 13.03.2019 г. до новой ТП 6/0,4 кВ, строительство новой ТП 6/0,4 кВ для технологического присоединения жилых домов Заявителей (Беликова С.А., Клеветов Ю.В., ООО «СтройИнвест-Девелопмент») по адресу: г. Таганрог, ул. Бакинская (ориентировочная протяженность ЛЭП 1,475 км, ориентировочной мощностью ТП 250 кВА)»
</t>
  </si>
  <si>
    <t>Строительство ВЛ 0,4 кВ от новой ТП 6/0,4 кВ проектируемой по титулу: ««Строительство ВЛ 0,4 кВ от новой ТП 6/0,4 кВ, строительство КЛ 6 кВ от РУ-6 кВ ТП-6/0,4 кВ проектируемой по договору ТП № 61-1-19-00429155 от 13.03.2019 г. до новой ТП 6/0,4 кВ, строительство новой ТП 6/0,4 кВ для технологического присоединения жилых домов Заявителей (Беликова С.А., Клеветов Ю.В., ООО «СтройИнвест-Девелопмент») по адресу: г. Таганрог, ул. Бакинская (ориентировочная протяженность ЛЭП 1,475 км, ориентировочной мощностью ТП 250 кВА)»», для Заявителей (Суворин Д.Н., Мягкая К.С.) по адресу г. Таганрог, ул. Бакинская (ориентировочной протяженностью 0,350 км)</t>
  </si>
  <si>
    <t>Строительство КВЛ 0,4 кВ от РУ 0,4 кВ ТП 6/0,4 кВ №57 по КЛ 6 кВ №1702 ПС 110/6 кВ Т-17 для электроснабжения нежилого здания ИП Лыков М.С. по адресу: РО г. Таганрог ул. Александровская, 60, к.н.61:58:0001094:2. (ориентировочная протяженность ЛЭП – 0,375 км.)</t>
  </si>
  <si>
    <t>2.3.1.3.3.1.</t>
  </si>
  <si>
    <t>Строительство ВЛ на железобетонных опорах  изолированным сталеалюминиевым проводом сечением от 100 до 200 квадратных мм включительно одноцепные</t>
  </si>
  <si>
    <t xml:space="preserve">плановые расходы - сметный расчет в ценах 2025 года </t>
  </si>
  <si>
    <t>2.3.1.4.1.1.</t>
  </si>
  <si>
    <t>Строительство ВЛ на железобетонных опорах  изолированным алюминиевым проводом сечением до 50 квадратных мм включительно одноцепные</t>
  </si>
  <si>
    <t>плановые расходы - сметный расчет в ценах 2025 года</t>
  </si>
  <si>
    <t>2.3.1.4.2.1.</t>
  </si>
  <si>
    <t>Строительство ВЛ на железобетонных опорах  изолированным алюминиевым проводом сечением от 50 до 100 квадратных мм включительно одноцепные</t>
  </si>
  <si>
    <t>2.3.1.4.3.1.</t>
  </si>
  <si>
    <t>Строительство ВЛ на железобетонных опорах  изолированным алюминиевым проводом сечением от 100 до 200 квадратных мм включительно одноцепные</t>
  </si>
  <si>
    <t>Неизолированный провод</t>
  </si>
  <si>
    <t>2.3.2.3.1.1.</t>
  </si>
  <si>
    <t>Строительство ВЛ на железобетонных опорах неизолированным сталеалюминевый проводом сечением до 50 квадратных мм включительно одноцепные</t>
  </si>
  <si>
    <t>2.3.2.3.2.1.</t>
  </si>
  <si>
    <t>Строительство ВЛ на железобетонных опорах неизолированным сталеалюминевый проводом сечением от 50 до 100 квадратных мм включительно одноцепные</t>
  </si>
  <si>
    <t>Строительство ТП-10/0,4, ВЛ-10 кВ от существующей оп. 10 отпайки на КТП №30 по ВЛ 10 кВ «Память Кирова» ПС 110/35/10 кВ Н-9, и ВЛИ-0,4 кВ от вновь установленной ТП-10/0,4 кВ для присоединения площадки по переработке вторичного сырья по адресу: РО, р-н Родионово-Несветайский молзавод сл. Род-Несветайская, ООО «Полигон» (ориентировочная протяженность ЛЭП 0,895 км, ориентировочная мощность трансформатора 25 кВА)</t>
  </si>
  <si>
    <t>«Строительство ВЛ 10 кВ от  проектируемой ВЛ 10 кВ (по договору № 61-1-19-00480445 от 20.11.2019г.) от опоры №65/49 по ВЛ 10 кВ №8 ПС 35/10кВ «Ореховская», строительство ПКУ на границе балансовой принадлежности, для технологического присоединения КФХ заявителя, ООО «Транс - Маркет», расположенного в Ростовской области, Миллеровский р-н, х. Локтев,  (61:22:0600027:46), (ориентировочная   протяженность ЛЭП – 0,22 км.)»</t>
  </si>
  <si>
    <t>«Строительство ВЛ-0,22 кВ от РУ-0,22 кВ, вновь построенной ТП 10/0,22 кВ, строительство ВЛ-10 кВ от опоры № 89/66  по ВЛ-10 кВ №6 ПС 110/35/10 кВ «Кашарская», установка прибора учета электрической энергии (мощности) в точке поставки и установка шкафа 0,22 кВ с коммутационным аппаратом (1 шт.), для технологического присоединения объектов дорожного хозяйства (светофорные объекты, объекты видеофиксации) Заявителя, Министерство транспорта Ростовской области, расположенных в Ростовской области, Кашарский р-н, сл. Кашары, км 42+350 м автомобильной дороги г. Миллерово-ст. Вешенская (61:16:600000:0018) (ориентировочная протяженность ЛЭП – 0,045 км, ориентировочная мощность ТП – 0,01 МВА)»</t>
  </si>
  <si>
    <t>Строительство ВЛ-10 кВ от опоры №55/159 по ВЛ-10 кВ №2 ПС 110/35/10 кВ "Калининская" с установкой КТП и строительством ВЛ-0,4 кВ,  обеспечение коммерческим учетом электрической энергии (мощности) в точке поставки и установка шкафа 0,4 кВ с коммутационным аппаратом, для технологического присоединения жилого дома  заявителя, Сепетый Т.А., расположенного в  Ростовской области, Шолоховский р-н, х. Матвеевский, ул. Зеленая, д. 13  (61:33:0050301:10) (ориентировочная протяженность ЛЭП-0,23 км, ориентировочная мощность ТП- 0,04 МВА)</t>
  </si>
  <si>
    <t>«Строительство ВЛ-10 кВ от опоры № 205 по ВЛ-10 кВ № 5 ПС 110/35/10 кВ «Каргинская» с установкой КТП и строительством ВЛ-0,4 кВ, установку коммерческого учета (1 шт.) электрической энергии (мощности) в точке поставки и установка шкафа 0,4 кВ с коммутационным аппаратом, для электроснабжения склада Заявителя, ИП Сутулов В.С. расположенного в Ростовской области, Боковский р-н, х. Попов, ул. Колхозная, д. 3, (61:05:0600004:153) (ориентировочная   протяженность ЛЭП – 0,045 км, ориентировочная мощность ТП – 0,16 МВА)»</t>
  </si>
  <si>
    <t>Строительство ВЛ-10 кВ от опоры №136 по ВЛ-10 кВ №2  ПС 110/10 кВ "Новоселовская" с установкой КТП и строительством ВЛ-0,4 кВ обеспечение коммерческим учетом электрической энергии (мощности) в точке поставки и установка шкафа 0,4 кВ с коммутационным аппаратом, для технологического присоединения жилого дома  заявителя, Эльбиева Б.И., расположенного в  Ростовская область, Кашарский  р-н, х. Рожок, ул. Набережная, д. 6  (61:16:0170501:27) (ориентировочная протяженность ЛЭП-0,28 км, ориентировочная мощность ТП- 0,04 МВА)</t>
  </si>
  <si>
    <t>Строительство ВЛ-10 кВ от опоры №153/160 по ВЛ-10 кВ №3 ПС 110/35/10 кВ "Казанская" с установкой КТП и строительством ВЛ- 0,4 кВ, установка коммерческого учета электрической энергии (мощности) в точке поставки и установка шкафа 0,4 кВ с коммутационным аппаратом, для электроснабжения пункта охраны заявителя, ИП Глава КФХ Шурупов А.Н., расположенного в Ростовской области, Верхнедонской р-н, х. Морозовский, в 8,0 км. на север от х. Солонцовского  (61:07:0600011:296) (ориентировочная протяженность ЛЭП- 0,23 км, ориентировочная мощность ТП- 0,025 МВА)</t>
  </si>
  <si>
    <t>Строительство   ВЛ 10 кВ от опоры №110/73 по ВЛ 10 кВ №5 ПС 110/10кВ «Дёгтевская», строительство ПКУ на границе балансовой принадлежности, для технологического присоединения объекта торговли, Заявитель ООО «МАК-Лоджистик»., расположенного в Ростовской области, Миллеровский р-н, с северной стороны от сл. Дёгтево (61:22:0600006:1508), ориентировочная   протяженность ЛЭП – 0,1 км.</t>
  </si>
  <si>
    <t>Строительство ВЛ-10 кВ от опоры № 130 по ВЛ-10 кВ № 5 ПС 110/35/10 кВ «ГОК» с установкой КТП и строительством ВЛ-0,4 кВ, установку коммерческого учета (1 шт.) электрической энергии (мощности) в точке поставки и установка шкафа 0,4 кВ с коммутационным аппаратом, для электроснабжения индивидуальной жилой застройки Заявителя, Трофименко В.В. расположенной в Ростовской области, Миллеровский р-н, х. Красная Заря, ул. Прудная, д. 5, (61:22:0010501:22) (ориентировочная   протяженность ЛЭП – 0,012 км, ориентировочная мощность ТП – 0,025 МВА)</t>
  </si>
  <si>
    <t>Строительство ВЛ-10 кВ от опоры № 15/48 по ВЛ-10 кВ № 3 ПС 35/10 кВ «Базковская» с установкой КТП и строительством ВЛ-0,4 кВ, установку коммерческого учета (1 шт.) электрической энергии (мощности) в точке поставки и установка шкафов 0,4 кВ с коммутационным аппаратом, для технологического присоединения склада сельскохозяйственной продукции, Заявителя,  ИП Глава К(Ф)Х Пащинскова Т.П., расположенных в Ростовской области, Шолоховский р-н, х. Белогорский, ул. Молодежная, д. 1д, (61:43:0010301:2153) (ориентировочная   протяженность ЛЭП – 0,18 км, ориентировочная мощность ТП – 0,1 МВА)</t>
  </si>
  <si>
    <t xml:space="preserve">Строительство двух ТП 10/0,4 кВ, ВЛ 0,4 кВ, ВЛ 10 кВ по ВЛ 10 кВ №3Ф5 РП 10 кВ №3 КЛ 10 кВ №1532 и №1546 ПС 110 кВ АС15 для электроснабжения магазина и станции ТО Апресян А. Г., а также объектов торговли ИП Рыбалкиной Р. Ф. на участках с КН 61:02:0600010:14195, 61:02:0600010:14927 в Аксайском районе РО </t>
  </si>
  <si>
    <t>Строительство ВЛ 0,4 кВ от новой ТП 10/0,4 кВ, строительство ТП 10/0,4 кВ, строительство ВЛ 10 кВ от ВЛ 10 кВ №2 ПС 35/10 кВ «Советка» для технологического присоединения ВРУ 0,4 кВ сельскохозяйственного назначения Заявителя (Нечепуренко В.В.) по адресу: Ростовская область, Неклиновский район, южнее 3800 м сл. Советка, к.н. 61:26:0600007:1486 (ориентировочная протяженность ЛЭП 0,25 км; мощность силового трансформатора 25 кВА)</t>
  </si>
  <si>
    <t>1-20 кВ</t>
  </si>
  <si>
    <t>Строительство ВЛ-10 кВ от опоры №8-06/10 ВЛ 10кВ Л-8 Пролетарская, строительство КТП 10/0,4 и ВЛ 0,4 кВ для электроснабжения объекта «Дачный дом», расположенного по адресу: РФ, Ростовская обл., р-н. Пролетарский, 1,2 км юго-западнее п. п. 1185 (Ремонтный), к.н. земельного участка 61:31:0600008:1707, заявитель Семендуева И. Я.» (Ориентировочная протяженность ЛЭП — 4,13 км, ориентировочная мощность ТП— 0, 025 МВА)</t>
  </si>
  <si>
    <t>«Строительство ВЛ 10 кВ от опоры 2-00/39 по ВЛ 10 кВ Л-2 КРС, строительство КТП 10/0,4 кВ, ВЛ 0,4 кВ и установка системы учета электрической энергии (мощности) на границе земельного участка для электроснабжения объекта – «дом рыбака», расположенного по адресу: Российская Федерация, Ростовская обл., р-н. Пролетарский, номер участка 115, заявитель ИП Ромашков И.И.»</t>
  </si>
  <si>
    <t>«Строительство ВЛ 6 кВ от опоры №1-00/51 ВЛ 6 кВ Л-1 Фрунзе 3, строительство ТП 6/0,4 и ВЛ 0,4 кВ для электроснабжения объекта – «бытовой вагон», расположенного по адресу: РФ, Ростовская обл, р-н Сальский, кадастровый номер земельного участка 61:34:0600001:2976, заявитель Глушко С.Н.»</t>
  </si>
  <si>
    <t>«Строительство ВЛ 10 кВ от опоры №2-00/108 ВЛ 10 кВ Л-2 АРЗ, строительство ТП 10/0,4 и ВЛ 0,4 кВ для электроснабжения объекта – «гараж», расположенного по адресу: Российская Федерация, Ростовская обл, р-н Сальский, х. Новоселый 1-й, кадастровый квартал 61:34:0600008 с условным центром в х. Новоселый 1-й, 5800 м. восточнее х. Новоселый 1-й, кадастровый номер земельного участка 61:34:0600008:1358, заявитель Галушко В.Н.» (Ориентировочная протяженность ЛЭП – 0,390 км, ориентировочная мощность ТП – 0,025 МВА)»</t>
  </si>
  <si>
    <t>«Строительство ВЛ 10 кВ от опоры 3-00/96 по ВЛ 10 кВ Л-3 Целинская, строительство КТП 10/0,4 кВ, ВЛ 0,4 кВ и установка системы учета электрической энергии (мощности) на границе земельного участка для электроснабжения объекта – «парковка автомобилей и гараж», расположенного по адресу: РФ, Ростовская обл., р-н. Целинский, п. Целина, кадастровый номер земельного участка 61:40:0600011:2925, заявитель  АО «Агрокомплекс Развильное»</t>
  </si>
  <si>
    <t>Строительство ВЛ 10 кВ от опоры №3-02/17 ВЛ 10 кВ Л-3 РП 21 С, строительство ТП 10/0,22 кВ, ВЛ 0,4 кВ и установка системы учета электрической энергии (мощности) на границе земельного участка для электроснабжения объекта – «Нежилая застройка», расположенного по адресу: Российская Федерация, Ростовская обл., р-н. Сальский, п. Поливной, Сальский р-н, с условным центром в п. Поливной, кадастровый номер земельного участка 61:34:0600006:838, заявитель Катылевский С.М.  (Ориентировочная протяженность ЛЭП – 0,16 км, ориентировочная мощность ТП – 0,01 МВА)</t>
  </si>
  <si>
    <t xml:space="preserve">Строительство ВЛ 10 кВ от опоры 4-03/113 по ВЛ 10 кВ Л-4 Уютная, строительство КТП 10/0,4 кВ, ВЛ 0,4 кВ и установка системы учета электрической энергии (мощности) на границе земельного участка для электроснабжения объекта – «ЛПХ», расположенного по адресу: Российская Федерация, Ростовская обл., р-н. Пролетарский, СА "Уютная" отделение 1: контур 301, отделение 3: ру 1к, контур 310, кадастровый номер земельного участка: 61:31:0600011:758, заявитель Фоменко И.Н. </t>
  </si>
  <si>
    <t>Строительство ВЛ 10 кВ от опоры №2-00/51 ВЛ 10кВ Л-2 Волочаевская, строительство КТП 10/0,4 и ВЛ 0,4 кВ для электроснабжения объекта – «Нежилая застройка», расположенного по адресу: РФ, Ростовская обл., р-он Орловский, установлено относительно ориентира, расположенного за пределами участка. Ориентир п. Правобережный. Участок находится примерно в 1,0 км от ориентира по направлению на юго-запад, к.н. з.у. 61:29:0600012:940, заявитель Ассоциация по сохранению и восстановлению редких и исчезающих животных «Живая природа степи» (Ориентировочная протяженность ЛЭП – 3,73 км, ориентировочная мощность ТП – 0,040 МВА)</t>
  </si>
  <si>
    <t>«Строительство ВЛ 10 кВ от опоры 8-02/8 по ВЛ 10 кВ Л-8 Львовская, строительство КТП 10/0,4 кВ, ВЛ 0,4 кВ и установка системы учета электрической энергии (мощности) на границе земельного участка для электроснабжения объекта – «крестьянское (фермерское) хозяйство», расположенного по адресу: Российская Федерация, Ростовская обл., р-н. Орловский, примерно в 4,3 км по направлению на юго-восток от ориентира х. Пролетарский, кадастровый номер земельного участка: 61:29:0600010:1242, заявитель Федоренко А.Д.» (Ориентировочная протяженность ЛЭП – 3,15 км, ориентировочная мощность ТП – 0,025 МВА)»</t>
  </si>
  <si>
    <t>«Строительство ВЛ 10 кВ от опоры №3-00/13 ВЛ 10 кВ Л-3 Мелькомбинат, строительство ТП 10/0,4 кВ, ВЛ 0,4 кВ и установка системы учета электрической энергии (мощности) на границе земельного участка для электроснабжения объекта – «здание производственного корпуса», расположенного по адресу: 347636 Российская Федерация, Ростовская обл., г. Сальск, ул. Фабричная, д. 8, кадастровый номер земельного участка 61:57:0010857:801, заявитель Шарапов Р.А.»</t>
  </si>
  <si>
    <t>"Строительство ВЛ 10 кВ от опоры №2-06/39 ВЛ 10 кВ (собственник Апарников Н.Н.) по ВЛ 10 кВ Л-2 «Буденновская», строительство КТП 10/0,4 кВ, ВЛ 0,4 кВ и установка системы учета электрической энергии (мощности) на границе земельного участка для электроснабжения объекта – «дачный дом», расположенного по адресу: РФ, Ростовская обл., р-н. Пролетарский, 2,5 км восточнее п.п. 1260 (Красный Кут), кадастровый номер земельного участка 61:31:0600007:680, заявитель Калмыкова В.В.» (Ориентировочная протяженность ЛЭП – 0,13 км, ориентировочная мощность ТП – 0,025 МВА"</t>
  </si>
  <si>
    <t>Строительство ВЛ-10 кВ от оп. № 158 по ВЛ-10кВ №1005 ПС 110/10 кВ «Полячки», ТП-10/0,4 кВ, ВЛИ-0,4 кВ и установка коммерческого учета электрической энергии (мощности) на границе земельного участка для электроснабжения рыбохозяйства заявителя ООО «Агенство оценки и учета», Кагальницкий р-н, п. Березовая Роща, Ростовская область (ориентировочная протяженность ЛЭП– 0,310 км, ориентировочная трансформаторная мощность – 0,025 МВА)</t>
  </si>
  <si>
    <t>2.3.2.3.3.1</t>
  </si>
  <si>
    <t>110 кВ</t>
  </si>
  <si>
    <t>Строительство отпаечной ВЛ 110кВ от опоры №42 ВЛ 110кВ Г4-Г18 к ПС 35/110 кВ Заря, (ориентировочной протяжённостью ЛЭП- 1,665 км.)</t>
  </si>
  <si>
    <t>Строительство ЛЭП 110 кВ от опоры № 90 ВЛ 110 кВ ГПП1 – Волченская ПТФ до РУ 110 кВ Казачей ВЭС с образованием ВЛ 110 кВ ГПП1 – Волченская ПТФ с отпайкой на Казачью ВЭС (ориентировочная протяженность ЛЭП - 12,5 км)</t>
  </si>
  <si>
    <t>2.3.2.4.1.1.</t>
  </si>
  <si>
    <t>Строительство двух дополнительных проводов от опоры №2 до опоры №18 ВЛ 0,4 кВ №1 ТП 6/0,4 кВ №93 по КЛ 6 кВ №11 ПС 110/6 кВ Т-5 для технологического присоединения нежилого помещения Заявителя (Хачунц Н.С.) по адресу: Ростовская область, Таганрог, ул. Октябрьская, д.93/1, к.н.:61:58:0002161:14. (ориентировочная протяженность ЛЭП 0,2 км)</t>
  </si>
  <si>
    <t>0,4кВ</t>
  </si>
  <si>
    <t>«Строительство ТП 10/0,4 кВ от опоры №11-00/102 ВЛ 10 кВ Л-11 Трубецкая, строительство ВЛ 0,4 кВ от РУ 0,4 кВ ТП 10/0,4 кВ ВЛ 10 кВ Л-11 Трубецкая и установка системы учета электрической энергии (мощности) на границе земельного участка для электроснабжения объекта – «Объекты жилищно-коммунального хозяйства», расположенного по адресу: Российская Федерация, Ростовская обл., р-н. Сальский, 750 м к востоку от  п. Глубокая Балка, кадастровый номер земельного участка 61:34:0600005:3001, заявитель Администрация Сальского района»</t>
  </si>
  <si>
    <t xml:space="preserve">Строительство ВЛ 0,4 кВ от РУ 0,4 кВ КТП 10 кВ №447, ВЛ 10 кВ №705 ПС 35 кВ В7 для электроснабжения жилого дома Оджа Р. М. на участке с КН 61:06:0020101:6 в Веселовском районе, РО, х. Верхнесоленый, ул. Заречная, 14 </t>
  </si>
  <si>
    <t>Строительство ВЛ 0,4 кВ от ВЛ 0,4 кВ №2 ТП 10/0,4 кВ №190 ВЛ 10 кВ №6 ПС 35/10 кВ «Покровская», для технологического присоединения жилого дома заявителя Лойторенко В.Н. по адресу: Ростовская область, Неклиновский р-н, с. Покровское, ул. 1 Мая, 10 А, к.н. № 61:26:0050140:924 (ориентировочная протяженность ЛЭП - 0,13 км)</t>
  </si>
  <si>
    <r>
      <t>Строительство  кабельных  линий  (C</t>
    </r>
    <r>
      <rPr>
        <b/>
        <vertAlign val="subscript"/>
        <sz val="14"/>
        <color indexed="8"/>
        <rFont val="Times New Roman"/>
        <family val="1"/>
        <charset val="204"/>
      </rPr>
      <t>3,i</t>
    </r>
    <r>
      <rPr>
        <b/>
        <sz val="14"/>
        <color indexed="8"/>
        <rFont val="Times New Roman"/>
        <family val="1"/>
        <charset val="204"/>
      </rPr>
      <t>)</t>
    </r>
  </si>
  <si>
    <t>3.1.1.1.1.1</t>
  </si>
  <si>
    <t>Строительство КЛ в траншеях одножильные с резиновой и пластмассовой изоляцией сечением провода до 50 квадратных мм включительно с одним кабелем в траншее</t>
  </si>
  <si>
    <t>1-10 кВ</t>
  </si>
  <si>
    <t>3.1.1.1.2.1</t>
  </si>
  <si>
    <t>Строительство КЛ в траншеях одножильные с резиновой и пластмассовой изоляцией сечением провода от 50 до 100 квадратных мм включительно с одним кабелем в траншее</t>
  </si>
  <si>
    <t>3.1.1.1.3.1</t>
  </si>
  <si>
    <t>Строительство КЛ в траншеях одножильные с резиновой и пластмассовой изоляцией сечением провода от 100 до 200 квадратных мм включительно с одним кабелем в траншее</t>
  </si>
  <si>
    <t>Строительство двух КВЛ 10 кВ от вновь смонтированной ячейки I-ой и II-ой секции шин КРУН 10 кВ ПС Пролетарская для электроснабжения объекта «реконструкция резервуарного парка… ФГУ комбината «Кавказ Росрезерва (3 этап)», расположенного по адресу: Ростовская область, Пролетарский район, г. Пролетарск, к.н.: 61:31:0000000:1» (Ориентировочная протяженность ЛЭП 10 кВ -17,925 км, в том числе КЛ методом ГНБ - 1,386 км)</t>
  </si>
  <si>
    <t>Строительство 2КЛ 10кВ от двух проектируемых линейных ячеек 10кВ ПС 110кВ Р-26 для электроснабжения комплекса по переработке бытовых отходов (ООО "ОЗОН-плюс") расположенного по падресу: Мясниковский район, тер. Юго-Восточная промзона, участок №11, к.н. 61:25:0601001:31 (ориентировочная протяженность ЛЭП 0,3км)</t>
  </si>
  <si>
    <t>3.1.1.1.5.2</t>
  </si>
  <si>
    <t>Многожильный кабель</t>
  </si>
  <si>
    <t>3.1.2.1.1.1</t>
  </si>
  <si>
    <t>Строительство КЛ в траншеях многожильные с резиновой и пластмассовой изоляцией сечением провода до 50 квадратных мм включительно с одним кабелем в траншее</t>
  </si>
  <si>
    <t>0,4 кВ и ниже</t>
  </si>
  <si>
    <t>3.1.2.1.2.1</t>
  </si>
  <si>
    <t>Строительство КЛ в траншеях многожильные с резиновой и пластмассовой изоляцией сечением провода от 50 до 100 квадратных мм включительно с одним кабелем в траншее</t>
  </si>
  <si>
    <t xml:space="preserve">Строительство КЛ 6 кВ, ТП 6/0,4 кВ, КЛ 0,4 кВ от КЛ 6 кВ №24-25 ПС 110 кВ Р24 для электроснабжения производственной базы (ИП Бабичева Т.Ф.) расположенного по адресу: г. Ростов-на-Дону, пер. Радиаторный, д.11/3, к.н. 61:44:0081116:56 </t>
  </si>
  <si>
    <t xml:space="preserve">Строительство ТП 10/0,4 кВ, ЛЭП 0,4 кВ, ЛЭП 10 кВ от ВЛ 10 кВ №401 ПС 110 кВ АС4 для электроснабжения ВРУ 0,4 кВ нежилых помещений и застроек в пос. АО «Родина» Аксайского района Ростовской области </t>
  </si>
  <si>
    <t xml:space="preserve">Строительство ТП 10/0,4 кВ, ЛЭП 0,4 кВ, ЛЭП 10 кВ от ВЛ 10 кВ №406 ПС 110 кВ АС4 для электроснабжения нежилых застроек и складских зданий/помещений ИП Гулуа Р. З. в пос. АО «Родина» Аксайского района Ростовской области </t>
  </si>
  <si>
    <t>3.1.2.1.3.1</t>
  </si>
  <si>
    <t>Строительство КЛ в траншеях многожильные с резиновой и пластмассовой изоляцией сечением провода от 100 до 200 квадратных мм включительно с одним кабелем в траншее</t>
  </si>
  <si>
    <t>3.1.2.1.4.2</t>
  </si>
  <si>
    <t>Строительство КЛ в траншеях многожильные с резиновой и пластмассовой изоляцией сечением провода от 200 до 250 квадратных мм включительно с двумя кабелями в траншее</t>
  </si>
  <si>
    <t>3.1.2.2.2.1</t>
  </si>
  <si>
    <t>Строительство КЛ в траншеях многожильные с бумажной изоляцией сечением провода от 50 до 100 квадратных мм включительно с одним кабелем в траншее</t>
  </si>
  <si>
    <t>3.1.2.2.3.1</t>
  </si>
  <si>
    <t>Строительство КЛ в траншеях многожильные с бумажной изоляцией сечением провода от 100 до 200 квадратных мм включительно с одним кабелем в траншее</t>
  </si>
  <si>
    <t>Горизонтальное наклонное бурение</t>
  </si>
  <si>
    <t>3.6.2.1.1.1.</t>
  </si>
  <si>
    <t>3.6.2.1.2.1.</t>
  </si>
  <si>
    <t>Кабельные линии, прокладываемые методом горизонтального наклонного бурения, многожильные с резиновой или пластмассовой изоляцией сечением провода от 50 до 100 квадратных мм включительно с одной трубой в скважине</t>
  </si>
  <si>
    <t>3.6.2.1.2.1</t>
  </si>
  <si>
    <t>Строительство ВЛ 0,4 кВ от РУ 0,4 кВ новой ТП 6/0,4 кВ, строительство ТП 6/0,4 кВ, строительство 2-х КЛ 6 кВ с подключением от КЛ 6 кВ №44 ПС 35/6 кВ Т-8 для электроснабжения производственного участка заявителя (Ковалева К.С.) по адресу РО, г. Таганрог, пер. 7-й Новый, 95-а, к.н: 61:58:0004505:13 (ориентировочная протяженность ЛЭП – 0,230 км, ориентировочная мощность ТП – 100 кВА)</t>
  </si>
  <si>
    <t>1-10 кВ и ниже</t>
  </si>
  <si>
    <r>
      <t>Строительство пунктов секционирования  (C</t>
    </r>
    <r>
      <rPr>
        <b/>
        <vertAlign val="subscript"/>
        <sz val="14"/>
        <color indexed="8"/>
        <rFont val="Times New Roman"/>
        <family val="1"/>
        <charset val="204"/>
      </rPr>
      <t>4,i</t>
    </r>
    <r>
      <rPr>
        <b/>
        <sz val="14"/>
        <color indexed="8"/>
        <rFont val="Times New Roman"/>
        <family val="1"/>
        <charset val="204"/>
      </rPr>
      <t>)</t>
    </r>
  </si>
  <si>
    <t>4.1.4.</t>
  </si>
  <si>
    <t>Реклоузеры номинальным током  от 500 до 1 000 А включительно</t>
  </si>
  <si>
    <r>
      <t>Строительство трансформаторных подстанций (ТП), за исключением распределительных трансформаторных подстанций (РТП), с уровнем напряжения до 35 кВ (C</t>
    </r>
    <r>
      <rPr>
        <b/>
        <vertAlign val="subscript"/>
        <sz val="14"/>
        <color indexed="8"/>
        <rFont val="Times New Roman"/>
        <family val="1"/>
        <charset val="204"/>
      </rPr>
      <t>5,i</t>
    </r>
    <r>
      <rPr>
        <b/>
        <sz val="14"/>
        <color indexed="8"/>
        <rFont val="Times New Roman"/>
        <family val="1"/>
        <charset val="204"/>
      </rPr>
      <t>)</t>
    </r>
  </si>
  <si>
    <t>5.1.1.1</t>
  </si>
  <si>
    <t>10/0,4</t>
  </si>
  <si>
    <t>Однотрансформаторные подстанции (за исключением РТП) мощностью до 25 кВА включительно столбового/мачтового типа</t>
  </si>
  <si>
    <t>6/0,4</t>
  </si>
  <si>
    <t>Строительство ТП 6/0,4 кВ, ВЛ 0,4 кВ, ВЛ 6 кВ от ВЛ 6 кВ №807 ПС 35 кВ АС8 для электроснабжения ВРУ 0,4 кВ нежилой застройки Чевычалова А. И. на участке с КН 61:02:0600011:1281 в х. Большой Лог Аксайского района Ростовской области</t>
  </si>
  <si>
    <t>Строительство ВЛ 6 кВ от опоры № 16 по КВЛ-6кВ №429 ПС 35/6 кВ «А-4», ТП 6/0,4 кВ, ВЛИ 0,4 кВ и установка системы учета электрической энергии (мощности) на границе земельного участка для электроснабжения шламонакопителя заявителя ООО «Азоврыба» Ростовская область, Азовский район, кадастровый номер земельного участка: 61:01:0600004:742. (ориентировочная протяженность ЛЭП– 0,045 км, ориентировочная трансформаторная мощность – 0,025 МВА)</t>
  </si>
  <si>
    <t>Строительство участка ВЛЗ-6 кВ от опоры №12/7 ВЛ-6 кВ №1 ПС 35 кВ Романовская, с установкой ТП-6/0,4 кВ, строительство ВЛИ-0,4 кВ от РУ-0,4 кВ вновь установленной ТП-6/0,4 кВ и установка прибора коммерческого учета электрической энергии (мощности) в точке поставки для присоединения садового дома Тагаевой И.В., расположенного по адресу: Ростовская область, г. Волгодонск, ул. Отдыха, д. 37б24, к.н.з.у.: 61:48:0020101:1849 (ориентировочная протяженность ЛЭП 0,5 км, ориентировочная мощность трансформатора 0,025 МВА)</t>
  </si>
  <si>
    <t>Строительство участка ВЛЗ-6 кВ от опоры №31 ВЛ-6 кВ №7 ПС 35 кВ Романовская, с установкой ТП-6/0,4 кВ, строительство ВЛИ-0,4 кВ от РУ-0,4 кВ вновь установленной ТП-6/0,4 кВ и установка прибора коммерческого учета электрической энергии (мощности) в точке поставки для присоединения объекта сельскохозяйственного назначения ИП Полякова Р.А., расположенного по адресу: Ростовская область, Волгодонской район, СПК «Волгодонской», в районе бригады №1 в 0,650 км на запад от х. Лагутники  к.н.з.у.: 61:08:600701:0204 (ориентировочная протяженность ЛЭП 0,455 км, ориентировочная мощность трансформатора 0,025 МВА)</t>
  </si>
  <si>
    <t>Строительство участка ВЛЗ-6 кВ от опоры №6/49 ВЛ-6 кВ №14 ПС 35 кВ Романовская, с установкой ТП-6/0,4 кВ, строительство ВЛИ-0,4 кВ от РУ-0,4 кВ вновь установленной ТП-6/0,4 кВ и установка прибора коммерческого учета электрической энергии (мощности) в точке поставки для присоединения летнего домика Щудляка Б.И., расположенного по адресу: Ростовская область, г. Волгодонск, ул. Отдыха, д. 14, к.н.з.у.: 61:48:0020101:41 (кадастровый номер объекта: 61:48:010002:14.2/43:6986:1) (ориентировочная протяженность ЛЭП 0,015 км, ориентировочная мощность трансформатора 0,025 МВА)</t>
  </si>
  <si>
    <t>Строительство участка ВЛ-6 кВ от опоры №3/46 ВЛ 6 кВ №6 ПС 110 кВ НС-1, с установкой ТП-6/0,4 кВ, строительство ВЛИ-0,4 кВ от РУ-0,4 кВ вновь установленной ТП-6/0,4 кВ и установка прибора коммерческого учета электрической энергии (мощности) в точке поставки для присоединения объекта сельскохозяйственного производства АО «Антрацит-А», расположенного по адресу: Ростовская область, Мартыновский район, х. Ильинов, Ильиновское сельское поселение, к.н.з.у.: 61:20:0600022:2620 (ориентировочная протяженность ЛЭП 1,2 км, ориентировочная мощность трансформатора 0,025 МВА)</t>
  </si>
  <si>
    <t>Строительство ТП-6/0,4, ЛЭП-6 кВ от оп. №136 ВЛ 6 кВ Совхоз-10 ПС Ш-12, и ВЛИ-0,4 кВ от вновь установленной ТП-6/0,4 кВ для присоединения базовой станции сотовой связи ПАО «МТС» по адресу: Октябрьский район, 2,4 км юго-западнее х.Сусол, (ориентировочная протяженность ЛЭП 2,86 км, ориентировочная мощность трансформатора 25 кВА)</t>
  </si>
  <si>
    <t>Строительство участка КВЛ-6 кВ от опоры № 128 ВЛ-6 кВ «Атлас, ПС 110/35/10/6 кВ «К-4», ТП 6/0,4 кВ и ВЛ-0,4 кВ от РУ-0,4 кВ проектируемой  ТП 6/0,4 кВ, для подключения базовой станции сотовой связи БС61-02338       ПАО «Мобильные Теле Системы», расположенной по адресу: Ростовская обл., Каменский р-н, СПК колхоз «Березовый» р.у. № 89, КН ЗУ 61:15:0600701:1150 (ориентировочная протяженность ЛЭП –2,365 км, трансформаторная мощность – 0,025 МВА, прибор учёта электроэнергии - 1шт)</t>
  </si>
  <si>
    <t>Строительство BЛ 0,4 кВ от новой ТП 10/0,4 кВ, строительство ТП 6/0,4 кВ, строительство ВЛ 10 кВ от ВЛ 10 кВ №5/3 ПС 110/35/10 кВ "Троицкая-1" для технологического присоединения объекта туристической отрасли Заявителя (ИП Арзоян А.Р.) по адресу: Ростовская область, Неклиновский район, с. Троицкое, ул. Ленина, д. 196-Д, к.н. 61:26:0600014:2315 (ориентировочная протяженность ЛЭП 0,26 км; мощность силового трансформатора - 0,025 MBA)</t>
  </si>
  <si>
    <t>Строительство участка ВЛ-6 кВ от существующей опоры №6/38 ВЛ-6 кВ ПС 35/6 кВ Потаповская, с установкой ТП-6/0,4 кВ, и строительство ВЛИ-0,4 кВ от вновь установленной ТП-6/0,4 кВ  для присоединения животноводческой фермы Попова А.М. (ориентировочная протяженность ЛЭП 1,275 км, ориентировочная мощность трансформатора 25 кВА)</t>
  </si>
  <si>
    <t xml:space="preserve">Строительство МТП 6/0,4 кВ, ВЛ 0,4 кВ, КВЛ 6 кВ от ВЛ 6 кВ №804 ПС 35 кВ АС8 для электроснабжения ВРУ 0,4 кВ жилых домов Дербенцевой Е. Г. в п. Российский Аксайского района Ростовской области (ориентировочная мощность трансформатора 0,1 МВА, ориентировочная протяжённость ЛЭП 1,409 км)
</t>
  </si>
  <si>
    <t xml:space="preserve">Строительство КТПН 6/0,4 кВ, ВЛ 0,4 кВ, ВЛ 6 кВ от ВЛ 6 кВ №804 ПС 35 кВ АС8 для электроснабжения ВРУ 0,4 кВ жилых домов по ул. Овражная, 19, 23 в х. Большой Лог Аксайского района Ростовской области (ориентировочная мощность трансформатора 0,04 МВА, ориентировочная протяжённость ЛЭП 0,19 км)
</t>
  </si>
  <si>
    <t xml:space="preserve">Строительство ТП 6/0,4 кВ, ВЛ 0,4 кВ, ВЛ 6 кВ от ВЛ 6 кВ №806 ПС 35 кВ АС8 для электроснабжения нежилого здания ООО “Южная региональная компания по предоставлению услуг телефонной связи” на участке с КН 61:02:0600011:1799 в Аксайском районе Ростовской области </t>
  </si>
  <si>
    <t>Строительство КТПН 6/0,4 кВ, ВЛ 0,4 кВ, ВЛ 6 кВ от ВЛ 6 кВ №806 ПС 35 кВ АС8 для электроснабжения ВРУ 0,4 кВ нежилого помещения Семеновой Г. К. на участке с КН 61:02:0600011:1810 в п. Мускатный Аксайского района Ростовской области (ориентировочная мощность трансформатора 0,025 МВА, ориентировочная протяжённость ЛЭП 0,04 км)</t>
  </si>
  <si>
    <t>Строительство ВЛ 6 кВ от опоры № 69 по ВЛ 6кВ №207Н ПС 110/6/10 кВ НС-2, ТП 6/0,4 кВ, ВЛИ 0,4 кВ и установка системы учета электрической энергии (мощности) на границе земельного участка для электроснабжения объекта сельскохозяйственного производства заявителя ООО «Нардек», ориентир Пункт ГГС Пеленкин (поле№132,135,133,136 СХКА им. Партсъезда), 4,2 км на юго-восток, Азовский район, Ростовская область (ориентировочная протяженность ЛЭП– 0,105 км, ориентировочная трансформаторная мощность – 0,025 МВА)</t>
  </si>
  <si>
    <t>5.1.1.2</t>
  </si>
  <si>
    <t>Однотрансформаторные подстанции (за исключением РТП) мощностью до 25 кВА включительно шкафного или киоскового типа</t>
  </si>
  <si>
    <t>Строительство ТП-6/0,4, ЛЭП-6 кВ от оп. №12 отпайки к КТП №275 по ВЛ 6 кВ Кривянка ПС Ш-40, и ВЛИ-0,4 кВ от вновь установленной ТП-6/0,4 кВ для присоединения объекта крестьянского (фермерского) хозяйства ИП Александрова Б.Б. по адресу: Октябрьский район, ст. Кривянская, на поле №11(ориентировочная протяженность ЛЭП 1,010 км, ориентировочная мощность трансформатора 25 кВА)</t>
  </si>
  <si>
    <t>Строительство участка ВЛЗ-6 кВ от опоры №17/8 ВЛ 6 кВ №7 ПС 35 кВ Романовская, с установкой ТП-6/0,4 кВ, строительство ВЛИ-0,4 кВ от РУ-0,4 кВ вновь установленной ТП-6/0,4 кВ и установка прибора коммерческого учета электрической энергии (мощности) в точке поставки, с монтажом ответвления от ВЛИ к вводу, для присоединения малоэтажной жилой застройки Газарова Э.М., расположенной по адресу: Ростовская область, Волгодонской район, х. Лагутники, к.н.з.у.: 61:08:0600701:1618 (ориентировочная протяженность ЛЭП 0,115 км, ориентировочная мощность трансформатора 0,025 МВА)</t>
  </si>
  <si>
    <t>5.1.2.1</t>
  </si>
  <si>
    <t>Строительство ЛЭП 0,4 кВ от РУ 0,4 кВ ТП 10/0,4 кВ, строительство ТП 10/0,4 кВ, строительство ЛЭП 10 кВ от ВЛ 10 кВ №7 ПС 110/35/10 кВ Латоновская для технологического присоединения здания птичника Заявителя (ИП Болдырев В.Н.), по адресу: Матвеево-Курганский район, 751м на юго-восток от х. Лесной, к.н. 61:21:0600018:861 (ориентировочная протяженность ЛЭП 0,505 км; мощность силового трансформатора – 40 кВА)</t>
  </si>
  <si>
    <t>Строительство ВЛ 0,4 кВ от новой ТП 10/0,4 кВ, строительство ТП 10/0,4 кВ, строительство ВЛ 10 кВ от ВЛ 10 кВ №5 ПС 35/10 кВ «Куйбышево-1», для технологического присоединения объектов Заявителей (Воронина Н.Г., ИП Измайлова А.И., МУП «Водоканал» Куйбышевского района) расположенных: Ростовская обл., Куйбышевский район, х.Свободный к.н. 61:19:0600004:534, 61:19:0600004:446, 61:19:0600004:254 (ориентировочная протяженность ЛЭП 0,29 км; мощность силового трансформатора 63 кВА)</t>
  </si>
  <si>
    <t>Строительство ВЛ 0,4 кВ от новой ТП 10/0,4 кВ, строительство ТП 10/0,4 кВ, строительство ВЛ 10 кВ от ВЛ 10 кВ №20-04 ПС 220/110/10 кВ «Р-20», для технологического присоединения хоз. построек Заявителей (Наноян К.А., Тер-Багдасарян Х.О., Тер-Багдасарян Ш.А.) по адресу: Ростовская область, Мясниковский район, земли колхоза имени Мясникяна, к.н. 61:25:0601001:3349, 61:25:0000000:6154, 61:25:0000000:6155 (ориентировочная протяженность ЛЭП 0,18 км; мощность силового трансформатора 0,063 МВА)</t>
  </si>
  <si>
    <t>Строительство BЛ 0,4 кВ от новой ТП 10/0,4 кВ, строительство ТП 10/0,4 кВ, строительство ВЛ 10 кВ от ВЛ 10 кВ №2 ПС 110/35/10 кВ «Дарагановская», для технологического присоединения жилого дома Заявителя (Мантаржиев O.K.) по адресу: Ростовская область, Неклиновский район, СГЖ колхоз «Приазовье», к.н. 61:26:0600024:863 (ориентировочная протяженность ЛЭП 2,05 км; мощность силового трансформатора 25 кВА)</t>
  </si>
  <si>
    <t>Строительство ВЛ 0,4 кВ от новой ТП 10/0,4 кВ, строительство ТП 10/0,4 кВ, строительство ВЛ 10 кВ от ВЛ 10 кВ №4 ПС 35/10 кВ «ГСКБ», для технологического присоединения нежилого здания Заявителя (ИП Петрусь А.П.) по адресу: Ростовская область, Неклиновский район, с. Петрушино, х-во ОАО «Заря», к.н. 61:26:0600024:4753 (ориентировочная протяженность ЛЭП 0,025 км; мощность силового трансформатора 63 кВА)</t>
  </si>
  <si>
    <t>Строительство ВЛ 0,4 кВ от новой ТП 10/0,4 кВ, строительство ТП 10/0,4 кВ, строительство ВЛ 10 кВ от отпайки на ТП 10/0,4 кВ №1-95 по ВЛ 10 кВ №1 ПС 110/35/10 кВ Чалтырь, для технологического присоединения производственного здания Заявителя (ИП Кюрджиев Д.Д.)  по адресу: Ростовская область, Мясниковский район, х. Ленинакан, пер. Содружества, д. 6/2, к.н. 61:25:0600401:16718 (ориентировочная протяженность ЛЭП 0,02 км; мощность силового трансформатора 0,1 МВА)</t>
  </si>
  <si>
    <t>Строительство ВЛ 0,4 кВ от новой ТП 10/0,4 кВ, строительство ТП 10/0,4 кВ, строительство ВЛ 10 кВ от ВЛ 10 кВ №1 ПС 110/35/10 кВ Чалтырь для технологического присоединения жилых домов заявителей (Таран Н.И., Явруян С.А.) по адресу: Ростовская область, Мясниковский район, х. Ленинаван ул. Мясникяна, д.№32/2, №32/5, ул. Кавказская, д.№41 (ориентировочная протяженность ЛЭП 0,52 км; мощность силового трансформатора 63 кВА)</t>
  </si>
  <si>
    <t>«Строительство ВЛ 0,4 кВ от РУ 0,4 кВ новой ТП 10/0,4 кВ, строительство ТП 10/0,4 кВ, строительство ВЛ 10 кВ от ВЛ 10 кВ №7 ПС 110/35/10 кВ Синявская для технологического присоединения производственного помещения заявителя (Синельников А.В.) по адресу: Ростовская область, Мясниковский р-н, х. Недвиговка, ул. Молодежная 42-а к.н. №61:25:0070101:4544 (ориентировочная протяженность ЛЭП - 0,015 км, ориентировочная мощность ТП – 100 кВА)»</t>
  </si>
  <si>
    <t>Строительство участка ВЛЗ-6 кВ от опоры №12 ВЛ-6 кВ №15 ПС 35 кВ Романовская, с установкой ТП-6/0,4 кВ, строительство ВЛИ-0,4 кВ от РУ-0,4 кВ вновь установленной ТП-6/0,4 кВ и установка приборов коммерческого учета электрической энергии (мощности) в точках поставки для присоединения жилых домов Яндина В.С., Шепиченко П.В., Шепиченко С.С., Полунина В.Е., расположенных по адресам: Ростовская область, Волгодонской район, станица Романовская, ул. Шолохова, д.1, к.н.з.у. 61:08:0600601:4982, д.13, к.н.з.у. 61:08:0600601:4986, д.40, к.н.з.у. 61:08:0600601:5016, д.41, к.н.з.у. 61:08:0600601:5017 (ориентировочная протяженность ЛЭП 0,725 км, ориентировочная мощность трансформатора 63 кВА, количество приборов коммерческого учета – 4 шт)</t>
  </si>
  <si>
    <t>Строительство участка ВЛ-10 кВ от опоры №2/10 ВЛ 10 кВ №4 ПС 110 кВ Вербовая,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зерносклада №1 ООО «АГРО-СИСТЕМА», расположенного по адресу: Ростовская область, Дубовский район, х. Вербовый Лог, ул. Центральная, 25а, к.н.о.: 61:09:0130101:1555 (ориентировочная протяженность ЛЭП 0,05 км, ориентировочная мощность трансформатора 0,04 МВА)</t>
  </si>
  <si>
    <t>Строительство участка ВЛ-10 кВ от опоры №120 ВЛ 10 кВ №5 ПС 35 кВ Железнодорожная,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нежилого здания ИП главы К(Ф)Х Османова Р.О., расположенного по адресу: Ростовская область, Дубовский район, с. Дубовское, ул. Первомайская, д.2, к.н.з.у.: 61:09:0110838:3 (ориентировочная протяженность ЛЭП 0,025 км, ориентировочная мощность трансформатора 0,04 МВА)</t>
  </si>
  <si>
    <t>Строительство участка ВЛ-10 кВ от опоры №3/10 ВЛ-10 кВ №3 ПС 110/35/10 кВ Большовская,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объекта крестьянского (фермерского) хозяйства ИП главы К(Ф)Х Кушнира В.А., расположенного по адресу: Ростовская область, Волгодонской район, 247 м юго-западнее ж.д. №21 ул. Степная, х. Морозов, к.н.з.у.: 61:08:0020202:491 (ориентировочная протяженность ЛЭП 0,07 км, ориентировочная мощность трансформатора 0,04 МВА)</t>
  </si>
  <si>
    <t>Строительство участка ВЛ-10 кВ от существующей №158 по ВЛ-10кВ «Новоегорьевка» ПС 110 кВ Н9, с установкой ТП-10/0,4 кВ, и строительство ВЛИ-0,4 кВ от вновь установленной ТП-10/0,4 кВ для присоединения «объект сельскохозяйственного производства» ИП Лигус В.Н. (ориентировочная протяженность ЛЭП 0,125 км, ориентировочная мощность трансформатора 63кВА)</t>
  </si>
  <si>
    <t>Строительство участка ВЛ-10 кВ от опоры № 9, ВЛ-10 кВ № 2, ПС 35/10 кВ «Нижнепоповская», ТП 10/0,4 кВ и участка ВЛ-0,4 кВ от РУ-0,4 кВ новой ТП 10/0,4 кВ, для электроснабжения ВНС Администрации Белокалитвинского района, расположенного по адресу: Ростовская обл., Белокалитвинский р-н, х. Нижнепопов к.н. 61:04:0600013:997. (ориентировочная протяженность ЛЭП – 0,200 км, ориентировочная мощность ТП – 0, 063 МВА, прибор учёта  электроэнергии - 1шт</t>
  </si>
  <si>
    <t>Строительство участка ВЛ-10 кВ от опоры № 7, отпайка Л-183, ВЛ-10 кВ №3, ПС 110/35/10 кВ «Чеботовская», ТП 10/0,4 кВ и ВЛ-0,4 кВ от РУ-0,4 кВ проектируемой ТП 10/0,4 кВ, для подключения телятника ООО «Деметра», расположенного по адресу: Ростовская обл., Тарасовский р-н, х. Зеленовка, ул. Центральная, д. 85 а, КН ЗУ 61:37:0600021:1327 (ориентировочная протяженность ЛЭП –0,19 км, трансформаторная мощность – 0,063 МВА, прибор учёта электроэнергии - 1шт)</t>
  </si>
  <si>
    <t>Строительство участка ВЛ-10 кВ от опоры № 7, ВЛ-10 кВ № ДКУ, ПС 110/35/10 кВ «Б-4», ТП 10/0,4кВ и участка ВЛ-0,4кВ от РУ-0,4 кВ проектируемого ТП 10/0,4 кВ для подключения объекта крестьянского (фермерского) хозяйства Байкова Н.Н. расположенного по адресу: Ростовская обл., Каменский р-н, х. Богданов, ТсОО им. Кирова, пастбище р.у. 7, к.н.з.у. 61:15:0602501:1372 (ориентировочная протяженность ЛЭП – 0,353 км,трансформаторная мощность – 0,063МВА,прибор учёта электроэнергии 40 кВт- 1шт)</t>
  </si>
  <si>
    <t>Строительство участка ВЛ-10кВ от опоры № 81, ВЛ-10кВ № 2, ПС 110/35/10/6кВ «К-4», ТП 10/0,4кВ и участка ВЛ-0,4кВ от РУ-0,4кВ новой   ТП 10/0,4кВ для подключения магазина Кривогузовой Т.Н., расположенного по адресу: Ростовская обл., Каменский р-н, х. Красновка, ул. Профильная, д. №1, корп. А, к.н.з.у. 61:15:0080109:1309 (ориентировочная протяженность ЛЭП – 0,205км, трансформаторная мощность – 0,100МВА, прибор учёта электроэнергии - 1шт.)</t>
  </si>
  <si>
    <t>Строительство участка ВЛ-10 кВ от опоры № 16, отпайка Л-РК 58, ВЛ-10 кВ № 1, ПС 35/10 кВ «Митякинская», ТП 10/0,4 кВ и ВЛ-0,4 кВ от РУ-0,4 кВ новой ТП 10/0,4 кВ, для подключения жилых домов Лаврухиной Л. В., Кузьмичевой М. И., Талалаевой С. В., Дзюбенко В. М., расположенных по адресу: Ростовская обл., Тарасовский р-н, х. Верхний Митякин, ул.Заречная, жилые дома № 57 (к.н.з.у. 61:37:0060101:367),  № 59 (к.н.з.у. 61:37:0060101:369), № 61 (к. н.з.у. 61:37:0060101:382) ,     № 58 (к.н.з.у.61:37:000000:4179) (ориентировочная протяженность ЛЭП –0,53 км, трансформаторная  мощность – 0,1 МВА, прибор учёта электроэнергии – 4 шт)</t>
  </si>
  <si>
    <t>Строительство участка ВЛ-10 кВ от опоры № 14, Л-63, ВЛ-10 кВ № 2, ПС 110/10 кВ «Головокалитвинская», ТП 10/0,4 кВ и участка ВЛ-0,4 кВ от РУ-0,4 кВ новой ТП 10/0,4 кВ, для электроснабжения здания коровника индивидуального предпринимателя Шакенус И.А., расположенного по адресу: Ростовская обл., Белокалитвинский р-н, от п.п. 8787. Участок находится в 1500 метрах от ориентира по направлению на северо-восток, к.н. 61:04:0600002:209 (ориентировочная протяженность ЛЭП – 0,150 км, ориентировочная мощность ТП – 0, 025 МВА, прибор учёта электроэнергии - 1шт)</t>
  </si>
  <si>
    <t>Строительство участка ВЛ-10 кВ от опоры № 17 на отпайке Л-139 по ВЛ-10 кВ № 4, ПС 35/10 кВ «Обливская-2», ТП 10/0,4 кВ и участка ВЛ-0,4 кВ от РУ-0,4 кВ новой ТП 10/0,4 кВ, для подключения жилого дома Дьяченко В.М., расположенного по адресу: Ростовская обасть, Обливский район, хутор Кривов, улица Новая, дом № 17, к.н.з.у. 61:27:0050402:59 (ориентировочная протяженность ЛЭП – 0,1 км, трансформаторная мощность – 0,025 МВА, прибор учёта электроэнергии - 1шт.)</t>
  </si>
  <si>
    <t>Строительство ЛЭП 10 кВ от опоры №34 по ВЛ 10 кВ №1107 ПС 35/10 кВ А-11, ТП 10/0,4 кВ, ЛЭП 0,4 кВ и установка системы учета электрической энергии (мощности) на границе земельного участка для электроснабжения магазина ИП Мироненко С.А., Ростовская область, Азовский район, с. Кагальник (ориентировочная протяженность ЛЭП– 0,03 км, ориентировочная трансформаторная мощность – 0,100 МВА)</t>
  </si>
  <si>
    <t>Строительство ВЛ-10 кВ от опоры № 13/45 по ВЛ-10 кВ № 1 ПС 110/35/10 кВ «Вешенская 1» с установкой КТП и строительством ВЛ-0,4 кВ, установку коммерческого учета (2 шт.) электрической энергии (мощности) в точке поставки и установка шкафов 0,4 кВ с коммутационным аппаратом, для технологического присоединения зданий для бытовых нужд заявителей, Хохлачева Г.Я., и Скориковой Р.С расположенных в Ростовской области, Шолоховский р-н, х. Пигаревский,  (61:43:0500101:224, 61:43:0500101:258) (ориентировочная   протяженность ЛЭП – 1,51 км, ориентировочная мощность ТП – 0,04 МВА)</t>
  </si>
  <si>
    <t xml:space="preserve">Строительство ТП 10/0,4 кВ, ВЛ 0,4 кВ, ВЛ 10 кВ от ВЛ 10 кВ №653 ПС 110 кВ АС6 для электроснабжения ВРУ 0,4 кВ объекта сельхозначения Шкорина А. И. на участке с КН 61:02:0600013:2709 в ст-це Старочеркасская Аксайского района Ростовской области </t>
  </si>
  <si>
    <t xml:space="preserve">Строительство ТП 10/0,4 кВ, ВЛ 0,4 кВ, ВЛ 10 кВ от ВЛ 10 кВ №3 ПС 35 кВ Б. Салы для электроснабжения ВРУ 0,4 кВ жилых домов по ул. Радужная, 5, 7, ул. Гармоничная, 6, 8 в п. Темерницкий Аксайского района Ростовской области </t>
  </si>
  <si>
    <t xml:space="preserve">Строительство ТП 10/0,4 кВ, ВЛ 0,4 кВ, ВЛ 10 кВ от ВЛ 10 кВ №3 ПС 35 кВ Б. Салы для электроснабжения ВРУ 0,4 кВ жилых домов Тарасова С. С., Кудашко Ю. В. на участках с КН 61:02:0600005:7596, 61:02:0600005:5469 в п. Темерницкий Аксайского района Ростовской области </t>
  </si>
  <si>
    <t>Строительство участка ВЛ-10кВ от опоры 6-00/237 по ВЛ-10кВ Л-6 Целинская и участка ВЛ-10кВ от опоры 1-03/11 по ВЛ-10кВ Л-1 Лопанская, строительство КТП 10/0,4 и ВЛ 0,4 кВ для электроснабжения скважин №11-14, 16-19 и насосной станции второго подъема, расположенных по адресу: Ростовская область, Целинский район, заявитель Администрация Целинского района Ростовской области» (Ориентировочная протяженность ЛЭП – 15,38 км, ориентировочная мощность ТП – 0,9 МВА)</t>
  </si>
  <si>
    <t>Строительство ЛЭП 10 кВ от опоры №110 по ВЛ 10 кВ №105Н ПС 110/6/10 кВ НС-1, ТП 10/0,4 кВ, ЛЭП 0,4 кВ и установка системы учета электрической энергии (мощности) на границе земельного участка для электроснабжения двух объектов сельскохозяйственного производства заявителя ООО «Азовская Рыбная Компания», х.Усть-Койсуг, Азовский район, Ростовская область, к.н. 61:01:0600003:1776, к.н. 61:01:0600003:1777 (ориентировочная протяженность ЛЭП– 0,145 км, ориентировочная трансформаторная мощность – 0,1 МВА)</t>
  </si>
  <si>
    <t>Строительство ЛЭП 10 кВ от опоры №105 по ВЛ 10 кВ №214 ПС 35/10 кВ А-2, ТП 10/0,4 кВ, ЛЭП 0,4 кВ и установка системы учета электрической энергии (мощности) на границе земельного участка для электроснабжения двух объектов сельскохозяйственного производства заявителя ООО «Азовская Рыбная Компания», х.Усть-Койсуг, Азовский район, Ростовская область, к.н. 61:01:0600003:1778, к.н. 61:01:0600003:1779 (ориентировочная протяженность ЛЭП– 0,155 км, ориентировочная трансформаторная мощность – 0,1 МВА)</t>
  </si>
  <si>
    <t>Строительство ВЛ 10 кВ от опоры №7-357 по ВЛ 10 кВ №202Н ПС 110/6/10 кВ НС-2, ТП 10/0,4 кВ, ЛЭП 0,4 кВ и установка системы учета электрической энергии (мощности) на границе земельных участков для электроснабжения объектов заявителей Красиковой Э.А., Бутко С.С., Макуевой Н.Т., ЗАО «Обильное», поля 86-88, 1 км от с.Кулешовка Азовский район, Ростовская область, к.н. 61:01:0600006:4095, 61:01:0600006:4085, 61:01:0600006:4074 (ориентировочная протяженность ЛЭП– 0,890 км, ориентировочная трансформаторная мощность – 0,063МВА)</t>
  </si>
  <si>
    <t>Строительство ЛЭП 10 кВ от опоры №66-38 по ВЛ 10 кВ №1402 ПС 110 кВ ЗР14, ТП 10/0,4 кВ, ЛЭП 0,4 кВ и установка системы учета электрической энергии (мощности) на границе земельного участка для электроснабжения объекта сельскохозяйственного производства заявителя ИП Мурадов К.С., Ростовская область, р-н Егорлыкский, с/с Объединенный, ПСК «Калинина» к.н. 61:10:0600001:1834 (ориентировочная протяженность ЛЭП– 3,405 км, ориентировочная трансформаторная мощность – 0,063 МВА)</t>
  </si>
  <si>
    <t>Строительство участка ВЛЗ-10 кВ от опоры №56 ВЛ-10 кВ №4 ПС 35 кВ Николаевская, с установкой ТП-10/0,4 кВ, строительство ВЛИ-0,4 кВ от РУ-0,4 кВ вновь установленной ТП-10/0,4 кВ и установка приборов коммерческого учета электрической энергии (мощности) в точках поставки для присоединения жилых домов Каймакова П.Ю., Сизёвой И.В., Гапкина В.Б., Афанасьева М.В. и Пятиковой М.В., расположенных по адресам: Ростовская область, Константиновский район, станица Николаевская, ул.Гагарина, д.40, к.н.з.у. 61:17:0050101:1486 и д.50, к.н.з.у. 61:17:0050101:1494, ул. Ермакова, д.8, к.н.з.у. 61:17:0050101:1627 и д.21, к.н.з.у. 61:17:0050101:1567, ул. 9 Января, д.46, к.н.з.у. 61:17:0050101:2355 (ориентировочная протяженность ЛЭП 0,62 км, ориентировочная мощность трансформатора 100 кВА, количество приборов коммерческого учета – 5 шт)</t>
  </si>
  <si>
    <t>Строительство участка ВЛ-10 кВ от опоры № 11 на отпайке Л-53 по  ВЛ-10 кВ № 6, ПС 110/35/10 кВ «Обливская-1», ТП 10/0,4 кВ и участка  ВЛ-0,4 кВ от РУ-0,4 кВ проектируемой ТП 10/0,4 кВ , для подключения   склада Фокина А.А., здания мясосклада Николаева И.С., подъездной дороги Строганова В.А., расположенных по адресу: Ростовская область, Обливский район, станица Обливская, улица Калиманова, дома: № 25, № 26 д, № 26 а, к.н.з.у.: 61:27:0070147:33, 61:27:0070147:377, 61:27:0070147:95 (ориентировочная протяженность ЛЭП – 0,260 км, трансформаторная мощность – 0,063 МВА, прибор учёта электроэнергии - 3 шт.)</t>
  </si>
  <si>
    <t>Строительство участка ВЛ-10 кВ отпайки Л-124, ВЛ-10 кВ № 3, ПС 35/10 кВ «Каменская СХТ», ТП 10/0,4 кВ и участков ВЛИ-0,4 кВ от РУ-0,4 кВ новой ТП 10/0,4 кВ, для подключения жилых домов Калининой М.А., Федотова Ю.Н., Алиной Е.А., расположенных по адресу: Ростовская обл., Каменский р-н, х. Старая Станица, ул. 50 лет Победы, дома № 4, № 1, корп. Д, № 3 корп. Б,  к.н.з.у. 61:15:0130103:4262, к.н.з.у. 61:15:0130103:4986, к.н.з.у. 61:15:0130103:4716 (ориентировочная протяженность ЛЭП – 0,181 км, трансформаторная мощность – 0,100 МВА, прибор учёта электроэнергии -  3 шт.)</t>
  </si>
  <si>
    <t>Строительство участка ВЛ-10 кВ от отпайки Л-187, ВЛ-10 кВ № 3, ПС 110/35/10 кВ «Чеботовская», ТП 10/0,4 кВ и участка ВЛ-0,4 кВ от РУ-0,4 кВ новой ТП 10/0,4 кВ, для подключения объекта К(Ф)Х ИП Главы К(Ф)Х Сафронова И.А., расположенной по адресу: Ростовская обл., Тарасовский р-н, Зеленовское сельское поселение, х. Верхние Грачики, 40 м. на северо-запад от жилого дома по ул. Школьная, д. 3, к.н.з.у.: 61:37:0600021:1592 (ориентировочная протяженность ЛЭП – 0,08 км, трансформаторная мощность – 0,063 МВА, прибор учёта электроэнергии - 1 шт.)</t>
  </si>
  <si>
    <t>Строительство участка ЛЭП-10 кВ от отпайки Л-20 ВЛ-10 кВ № 2, ПС  110/35/10/6  кВ  «К-4», ТП  10/0,4 кВ  и  участка  ВЛ-0,4  кВ  от  РУ-0,4  кВ новой ТП 10/0,4 кВ, для подключения объекта сельскохозяйственного производства ООО «Грин К», расположенного по адресу: Ростовская область, Каменский р-н, х. Харьковка, к.н.з.у.: 61:15:0602101:1879 (ориентировочная протяженность ЛЭП – 1,515 км, трансформаторная мощность – 0,063 МВА, прибор учёта   электроэнергии - 1шт.)</t>
  </si>
  <si>
    <t>Строительство участка ВЛ-10 кВ от Л 86 ВЛ-10 кВ № 5, ПС 110/10 кВ  «Волченская ПТФ», ТП 10/0,4 кВ и участка ВЛ-0,4 кВ от РУ-0,4 кВ Новой ТП 10/0,4 кВ, Объекта жилищно-коммунального хозяйства Администрации Каменского района, расположенного по адресу: Ростовская обл., Каменский р-н, х. Малая Каменка, западная окраина, КНЗУ 61:15:00790101:4030 (ориентировочная протяженность ЛЭП – 0,701 км, трансформаторная мощность – 0,063 МВА, прибор учёта электроэнергии - 1шт)</t>
  </si>
  <si>
    <t>Строительство ВЛ 0,4кВ от новой ТП 10/0,4кВ, строительство ТП 10/0,4кВ, строительство ВЛ 10кВ от ВЛ 10кВ №1 ПС 110/35/10кВ «Чалтырь», отпайки на ТП 10/0,4кВ №1-54, запитанной от ВЛ 10кВ №29-35 ПС 110/10кВ Р-29, для технологического присоединения нежилого здания Заявителя (Мардиросян С.Л.) по адресу: Ростовская область, Мясниковский район, х. Ленинаван, ул. Садовая, 33/1, к.н. 61:25:0600401:11362 (ориентировочная протяженность ЛЭП 0,027км; мощность силового трансформатора 40кВА)</t>
  </si>
  <si>
    <t>Строительство ВЛ 0,4 кВ от новой ТП 10/0,4 кВ, строительство ТП 10/0,4 кВ, строительство КВЛ 10 кВ от ВЛ 10 кВ № 3 ПС 110/35/10 кВ Чалтырь, для технологического присоединения жилого дома Заявителя (Шакирова А. В.) по адресу: Ростовская область, Мясниковский район, с. Чалтырь, ул. Сады, д. 12  к.н. 61:25:0101221:0003 (ориентировочная протяжённость ЛЭП 0,12 км, ориентировочная мощность трансформатора  63 кВА)</t>
  </si>
  <si>
    <t>«Строительство ВЛ 0,4кВ от новой ТП 10/0,4кВ, строительство ТП 10/0,4кВ, строительство ВЛ 10кВ от ВЛ 10кВ №1 ПС 110/35/10кВ «Чалтырь» отпайки на ТП 10/0,4кВ №1-8, для технологического присоединения АГЗС Заявителя (Дорощак В.Б.) по адресу: Ростовская область, Мясниковский район, х. Ленинакан, Торговый проспект к.н. №61:25:0600401:13114 (ориентировочная протяженность ЛЭП 0,02км; мощность силового трансформатора 40кВА)</t>
  </si>
  <si>
    <t>Строительство ВЛ 0,4 кВ от РУ 0,4 кВ ТП 10/0,4 кВ, строительство ТП 10/0,4 кВ, строительство ВЛ 10 кВ от ВЛ 10 кВ №1 ПС 110/35/10 кВ Чалтырь запитанной от ВЛ 10 кВ №13 ПС 110/35/10 кВ Чалтырь, для технологического присоединения нежилого помещения Заявителя: (ИП Срапионян А.Т.), по адресу: Мясниковский район, 1-й км автодороги Ростов-на-Дону – Новошахтинск, д 7 –а, промышленная зона, 1-й проезд (ориентировочная протяженность ЛЭП 0,015 км; мощность силового трансформатора – 40 кВА)</t>
  </si>
  <si>
    <t>Строительство ВЛ 0,4 кВ от новой ТП 10/0,4 кВ, строительство ТП 10/0,4 кВ, строительство ВЛ 10 кВ от ВЛ 10 кВ №4 (на балансе ООО «РСК») ПС 110/10 кВ «Самбек», для технологического присоединения мобильного пункта обогрева и питания Заявителя (Администрация Неклиновского района) по адресу: Ростовская область, Неклиновский район, 54 км. Федеральной трассы А-280, к.н. 61:26:0600015:288. (ориентировочная протяженность ЛЭП 0,035 км; мощность силового трансформатора 0,063 МВА)</t>
  </si>
  <si>
    <t>Строительство ВЛИ 0,4 кВ от новой ТП 10/0,4 кВ, строительство ТП 10/0,4 кВ, строительство ВЛ 10 кВ от ВЛ 10 кВ №3 ПС 35/10 кВ Новоспасовская, для технологического присоединения объекта местный пропускной пункт Шрамко-Ульяновская Заявителя (ФГКУ «Дирекция по строительству объектов Росграницы») по адресу: Ростовская область, М-Курганский район,  в 18 м на восток от ориентира ул. Пограничная, 20, х. Шрамко, кадастровый номер земельного участка 61:21:0060601:79 (ориентировочная протяженность ЛЭП 0,655км; мощность силового трансформатора 0,1 МВА)</t>
  </si>
  <si>
    <t>Строительство ВЛ 0,4 кВ от новой ТП 10/0,4 кВ, строительство ТП 10/0,4 кВ, строительство ВЛ 10 кВ от ВЛ 10 кВ №5 ПС 35/10 кВ «Русский Колодец», для технологического присоединения мобильного пункта обогрева и питания  Заявителя (Администрация Неклиновского района) по адресу: Ростовская область, Неклиновский район, Поляковское сельское поселение, 85 км. Федеральной трассы А-280, к.н. 61:26:0070701:ЗУ1, 61:26:0600023:ЗУ1. (ориентировочная протяженность ЛЭП 0,050 км; мощность силового трансформатора 0,063 МВА)</t>
  </si>
  <si>
    <t>Строительство ТП 10/0,4 кВ, ВЛ 0,4 кВ, ВЛ 10 кВ по ВЛ 10 кВ №307 ПС 35 кВ БГ3 для электроснабжения жилых домов Шакировой Ш.Н.  и Махмудова Д.С. по адресу: Ростовская обл., р-н. Багаевский, х. Елкин, пер. Степной, 12 участок 4, к.н. 61:03:0030122:29, пер. Степной, 12 участок 5, к.н. 61:03:0030122:30</t>
  </si>
  <si>
    <t>Строительство ТП 10/0,4 кВ, ВЛ 0,4 кВ, ВЛ 10 кВ от ВЛ 10 кВ №157 ПС 110 кВ В1 для электроснабжения склада ИП Казарян М. С. на участке с КН 61:06:0600012:1161 в Веселовском районе, РО, п. Веселый, ул. Октябрьская, 2-е и склада ИП Авагян А. А. на участке с КН 61:06:0600012:1324 в Веселовском районе, РО, п. Веселый, ул. Октябрьская, 2-з</t>
  </si>
  <si>
    <t xml:space="preserve">Строительство ВЛ 0,4 кВ проектируемой ТП 10/0,4 кВ  ВЛ 10 кВ №307 ПС 35 кВ БГ3 с заменой трансформатора проектируемой ТП 10/0,4 кВ для электроснабжения дачных домов Ли Н.Г. и Ким А.В. по адресу  Багаевский район, Елкинское сельское пос, к.н. 61:03:0600002:960, к.н. 61:03:0600002:687. </t>
  </si>
  <si>
    <t xml:space="preserve">Строительство ТП 10/0,4 кВ, ВЛ 0,4 кВ, ВЛ 10 кВ по ВЛ 10 кВ №606 ПС 110 кВ БГ6 для электроснабжения магазина ИП Галдиной О.В. по адресу: Ростовская обл., р-н. Багаевский, х. Ажинов, ул. Зеленая, д. 1-Д, д. 1-Б к.н. 61:03:0020103:564, к.н. 61:03:0020103:565 </t>
  </si>
  <si>
    <t xml:space="preserve">Строительство ВЛ 0,4 кВ по ВЛ 0,4 кВ №2, замена трансформатора КТП-10/0,4 кВ №456 ВЛ 10 кВ №1109 ПС 110 кВ АС-1 для электроснабжения малоэтажной жилой застройки Кравчук В.А. по адресу: РО., р-н. Аксайский, ст-ца. Грушевская, д. 14, пер Чайковский, КН: 61:02:0600002:1163  </t>
  </si>
  <si>
    <t xml:space="preserve">Строительство ВЛИ 0,4 кВ по ВЛ 0,4 кВ (по договору №61-1-22-00682101 от 23.12.2022г.) техперевооружаемого ТП №456 (по договору №61-1-22-00669427 от 27.09.2022 года) ВЛ 10 кВ №1109 ПС 110 кВ АС-11 с заменой тр-ра в ТП для электроснабжения малоэтажной застройки Семенова М.Ю. по адресу: РО., р-н. Аксайский, ст-ца. Грушевская, пер. Скрябина, уч. 1, К.Н: 61:02:0600002:1133, </t>
  </si>
  <si>
    <t xml:space="preserve">Строительство ТП 10/0,4 кВ, ВЛ 0,4 кВ, ВЛ 10 кВ от ВЛ 10 кВ №1208 ПС 110 кВ АС12 для электроснабжения автосервиса Ивина А. Ф. на участке с КН 61:02:0600006:7804 в п. Щепкин Аксайского района Ростовской области </t>
  </si>
  <si>
    <t>Строительство ВЛ-10 кВ от существующей оп.7 за Р-7 ВЛ-10 кВ «Кутейниково» от   ПС Н-9, с установкой ТП-10/0,4 кВ и ВЛИ-0,4 кВ от вновь установленной ТП-10/0,4 кВ для присоединения ангара ИП Богомазова Е.В. (ориентировочная протяженность ЛЭП 0,085 км, ориентировочная мощность трансформатора 25 кВА)</t>
  </si>
  <si>
    <t>Строительство участка ВЛ-10 кВ от существующей оп. №33 отпайки на КТП№672 ГРС Шахты-2 ВЛ-10 кВ «Родина» от   ПС Ш-42, с установкой ТП-10/0,4 кВ, и строительство ВЛИ-0,4 кВ от вновь установленной ТП-10/0,4 кВ  для присоединения офиса ИП Романченко (ориентировочная протяженность ЛЭП 0,73 км, ориентировочная мощность трансформатора 25 кВА)</t>
  </si>
  <si>
    <t xml:space="preserve">Строительство ТП 10/0,4 кВ, ВЛ 0,4 кВ, ВЛ 10 кВ от ВЛ 10 кВ №261 ПС 110 кВ БГ2 для электроснабжения жилых домов по адресу: Ростовская область, Багаевский район, ст. Манычская, ул. Советская, к. н. 61:03:0040150:41, к. н. 61:03:0040150:31, к. н. 61:03:0040150:0032, к. н. 61:03:0040150:30, к. н. 61:03:0040150:0076 </t>
  </si>
  <si>
    <t xml:space="preserve">Строительство ТП 10/0,4 кВ, ВЛ 10 кВ, ВЛ 0,4 кВ от опоры №5/26  ВЛ 10 кВ №125 ПС 110 кВ СМ1 для электроснабжения жилых домов, заявителей: Воликова А.Ю. на участке с к.н.61:35:060201:2469 по адресу: Ростовская область, Семикаракорский  район,  х. Чебачий ул. Гагарина, 83, Рогаченко  А. М. на участке с к.н.61:35:060201:141 по адресу: Ростовская область, Семикаракорский  район,  х. Чебачий ул. Гагарина, 79; Попова Г.Н. на участке с к.н.61:35:060201:0705 по адресу: Ростовская область, Семикаракорский  район,  х. Чебачий ул. Горького, 104, Гавшева Лидия Михайловна по адресу х. Чебачий, ул. Горького, д.100      к.н.:61:35:0060201:0048; Павлов Иван Викторович по адресу; в 30 м. на восток от строения по адресу: х. Чебачий, ул. Горького, д.108   к.н.:61:35:0060201:2211; Симакина Елена Васильевна по адресу х. Чебачий, ул. Горького, д.98      к.н.:61:35:0060201:477   </t>
  </si>
  <si>
    <t>Строительство ВЛ 0,4 кВ от новой ТП 10/0,4 кВ, строительство ТП 10/0,4 кВ, строительство ВЛ 10 кВ от ВЛ 10 кВ №3 ПС 110/35/10 кВ «Чалтырь», отпайки на ТП №3-8 ПС 110/35/10 кВ Чалтырь для технологического присоединения магазина Заявителя (ИП Явруян С.О.) по адресу: Ростовская область, Мясниковский район, с. Чалтырь, ул. Социалистическая, д 13 к.н. №61:25:0101205:9 (ориентировочная протяженность ЛЭП 0,11 км; мощность силового трансформатора 100 кВА)</t>
  </si>
  <si>
    <t>Строительство ВЛ 0,4 кВ от новой ТП 10/0,4 кВ, строительство ТП 10/0,4 кВ, строительство ВЛ 10 кВ от ВЛ 10 кВ №7 ПС 35/10 кВ «Б. Салы», для технологического присоединения здания столовой, Заявителя (Булгурян М.К.) по адресу: Ростовская область, Мясниковский район, с. Большие Салы ул. 5-я Промышленная 1, к.н. 61:25:0600501:2051 (ориентировочная протяженность ЛЭП 0,61 км; мощность силового трансформатора 40 кВА)</t>
  </si>
  <si>
    <t>Строительство ТП 10/0,4 кВ, строительство ВЛ 10 кВ от ВЛ 10 кВ №1 ПС 110/35/10 кВ «Чалтырь»  до новой ТП 10/0,4 кВ для технологического присоединения нежилого помещения Заявителя (ООО «СИНЕРГИЯ») по адресу: Ростовская область, Мясниковский район, 0-й+810 км автодороги Ростов-на-Дону – Новошахтинск, к.н. 61:25:0600401:10433. (ориентировочная протяженность ЛЭП 0,01 км; мощность силового трансформатора 40 кВА)</t>
  </si>
  <si>
    <t>Строительство ВЛ 0,4 кВ от новой ТП 10/0,4 кВ, строительство ТП 10/0,4 кВ, строительство ВЛ 10 кВ от ВЛ 10 кВ №1 ПС 110/35/10 кВ «Чалтырь» отпайки на ТП 10/0,4 кВ №1-8, для технологического присоединения жилых домов Заявителя (Согомонова О.Ю.) по адресам: Ростовская область, Мясниковский район, х. Ленинакан, ул. Суворова д.113, д.111, д.109, д.107 (ориентировочная протяженность ЛЭП 0,13 км; мощность силового трансформатора 100 кВА)</t>
  </si>
  <si>
    <t>Строительство ВЛ 0,4 кВ от новой ТП 10/0,4 кВ, строительство ТП 10/0,4 кВ, строительство ВЛ 10 кВ от ВЛ 10 кВ № 2 ПС 110/35/10 кВ «Чалтырь», проектируемой по договору №61-1-18-00414343 от 20.12.2018, для технологического присоединения авто спортивного комплекса Заявителя (учебный центр «Развитие») по адресу: Ростовская область, Мясниковский район, земли колхоза «Дружба» уч. №27 к.н. 61:25:0600401:1285 (ориентировочная протяженность ЛЭП 1,26 км; мощность силового трансформатора 63 кВА)</t>
  </si>
  <si>
    <t>Строительство двух ВЛ 0,4 кВ от РУ 0,4 кВ двух новых ТП 10/0,4 кВ, строительство двух ТП 10/0,4 кВ, строительство ВЛ 10 кВ от ВЛ 10 кВ №6 ПС 110/35/10 кВ «Чалтырь» отпайки на ТП 10/0,4 кВ №5-32А до первой новой ТП 10/0,4 кВ, строительство ВЛ 10 кВ от ВЛ 10 кВ №5 ПС 110/35/10 кВ «Чалтырь до второй новой ТП 10/0,4 кВ для технологического присоединения нежилого помещения Заявителя (ООО «Форель») по адресу: Ростовская область, Мясниковский район, с. Чалтырь, тер. Промзона 2 к.н. №61:25:0101330:58 (ориентировочная протяженность ЛЭП 0,43 км; мощность силового трансформатора 2х100 кВА)</t>
  </si>
  <si>
    <t>Строительство ВЛ 0,4 кВ от новой ТП 10/0,4 кВ, строительство ТП 10/0,4 кВ, строительство ВЛ 10 кВ от ВЛ 10 кВ №6 ПС 110/35/10 кВ «Чалтырь», для технологического присоединения сарая Заявителя (Хейгетян А.М.) по адресу: Ростовская область, Мясниковский район, с. Чалтырь тер. промзона уч. №2 к.н. 61:25:0101330:62 (ориентировочная протяженность ЛЭП 0,06 км; мощность силового трансформатора 40 кВА)</t>
  </si>
  <si>
    <t>Строительство ВЛ-10 кВ от опоры №1-324 ВЛ-10 кВ №106Н ПС 110/6/10 кВ НС-1, ТП-10/0,4 кВ, ВЛИ-0,4 кВ для подключения объектов Каджояна Р.Г. п. Овощной Азовский р-он, Ростовская область (ориентировочная протяженность ЛЭП – 0,05 км, ориентировочная трансформаторная мощность – 0,1 МВА)</t>
  </si>
  <si>
    <t xml:space="preserve">Строительство ВЛ-10 кВ от оп. №10-182 ВЛ-10 кВ № 805 ПС 110/10 кВ «БОС», ТП-10/0,4 кВ, ВЛИ-0,4 кВ для электроснабжения объектов заявителя Живанович И.В. п. Мокрый Батай, Кагальницкий район Ростовская область (ориентировочная протяженность ЛЭП– 0,440 км, ориентировочная трансформаторная мощность – 0,063 МВА) </t>
  </si>
  <si>
    <t xml:space="preserve">Строительство ТП-10/0,4 кВ, от оп. №15 ВЛ 10 кВ №609 ПС 35/10 кВ «А-6», ВЛИ-0,4 кВ для электроснабжения врачебной амбулатории МБУЗ «ЦРБ» Азовского р-на с. Маргаритово, Азовский район, Ростовская область (ориентировочная протяженность ЛЭП– 0,03 км, ориентировочная трансформаторная мощность – 0,063 МВА) </t>
  </si>
  <si>
    <t>5.1.2.2</t>
  </si>
  <si>
    <t>Строительство ТП 10/0,4 кВ от опоры №1-00/61-4 ВЛ 10 кВ Л-1 Шаблиевская, строительство ВЛ 0,4 кВ от РУ 0,4 кВ вновь строящейся ТП 10/0,4 кВ для электроснабжения объекта – «нежилое здание (телятник)», расположенного по адресу: Российская Федерация, Ростовская область, Сальский район, с. Шаблиевка, 500м на Юго-Запад с.Шаблиевка, к.н.з.у.: 61:34:0600009:1061, заявитель Темиров К. З. (Ориентировочная протяженность ЛЭП-0,1 км, ориентировочная мощность ТП-0,04 МВА).</t>
  </si>
  <si>
    <t>Строительство МТП 10/0,4кВ от оп. 10-130 ВЛ 10 кВ 805 ПС 110/10 кВ "БОС", для электроснабжения жилого дома заявителя Буднева А.В., п. Мокрый Батай, Кагальницкий район Ростовская область (ориентировочная трансформаторная мощность – 0,100 МВА)</t>
  </si>
  <si>
    <t>Техническое перевооружение КТП 10/0,4 кВ №355 по ВЛ-10 кВ № 910 ПС 35/10 кВ «А-9» с заменой силового трансформатора, строительство ВЛИ - 0,4 кВ от оп. №355-3 ВЛ-0,4кВ №1 КТП-10/0,4 кВ №№355 ВЛ-10кВ №910 ПС 35/10 «А-9» и установка коммерческого учета электрической энергии (мощности) для электроснабжения жилых домов Заявителей Пивоваровой Н.К., Субботовой О.А., ДНТ «Южное», Азовский район Ростовская область (ориентировочная протяженность ЛЭП– 0,05 км, ориентировочная трансформаторная мощность – 0,063 МВА)</t>
  </si>
  <si>
    <t>Строительство участка ВЛ-6 кВ от опоры №101 ВЛ-6 кВ №5 ПС 35 кВ НС-8, с установкой ТП-6/0,4 кВ, строительство ВЛИ-0,4 кВ от РУ-0,4 кВ вновь установленной ТП-6/0,4 кВ и установка прибора коммерческого учета электрической энергии (мощности) в точке поставки для присоединения охотничье-рыболовной базы (к.н. 61:48:0060101:115) ИП Бондаренко Д.Д., расположенной по адресу: Ростовская область, Волгодонской район, примерно в 500 м по направлению на северо-восток от ориентира п. Сибирьковый, ул. Надежды, №1, к.н.з.у.: 61:48:0060101:59 (ориентировочная протяженность ЛЭП 0,13 км, ориентировочная мощность трансформатора 0,063 МВА)</t>
  </si>
  <si>
    <t>Строительство участка ВЛ 6 кВ от существующей оп. №171 по ВЛ 6 кВ Платово ПС Г2, с установкой ТП-6/0,4 кВ, и строительство ВЛИ-0,4 кВ от вновь установленной ТП-6/0,4 кВ для присоединения ВРУ-0,4 кВ базовая станция/оборудование сотовой связи, Ростовская обл, Красносулинский район, х. Платово (ПАО МТС) (ориентировочная протяженность ЛЭП 0,515 км, ориентировочная мощность трансформатора 25 кВА)</t>
  </si>
  <si>
    <t>Строительство участка ВЛ-10 кВ опоры № 76 ВЛ-10 кВ № 1, ПС 35/10 кВ «Широко-Атамановская», ТП 10/0,4 кВ и участка ВЛ-0,4 кВ от РУ-0,4 кВ новой ТП 10/0,4 кВ, для подключения жилых домов Громовой В.Н. и Громова С.А. расположенных по адресу: Ростовская обл., Морозовский р-н, х. Большая Хлоповая, д. 3 (КНЗУ 61:24:0040101:67), д. 5 (КНЗУ 61:24:0040101:5) (ориентировочная   протяженность ЛЭП – 0,410 км, трансформаторная мощность – 0,040 МВА, прибор учёта электроэнергии – 2 шт)</t>
  </si>
  <si>
    <t>Строительство участка ВЛ-10 кВ от проектируемой опоры на отпайке Л-565 ВЛ-10 кВ № 3, ПС 35/10 кВ «Краснодонецкая», ТП 10/0,4 кВ и участка ВЛ-0,4 кВ от РУ-0,4 кВ новой ТП 10/0,4 кВ, для подключения щита питания берега наплавного моста Администрации Белокалитвинского района, расположенного по адресу: Ростовская обл., Белокалитвинский р-н, Краснодонецкое сельское поселение, ст-ца. Краснодонецкая, ул. Центральная, д. 39 В, КНЗУ 61:04:0080104:508, (ориентировочная   протяженность ЛЭП – 0,210 км, трансформаторная мощность – 0,063 МВА, прибор учёта электроэнергии - 1шт)</t>
  </si>
  <si>
    <t>50</t>
  </si>
  <si>
    <t xml:space="preserve">Строительство ВЛ 0,4 кВ от РУ 0,4 кВ проектируемой (по договору №61-1-19-00435209 от 02.04.2019 г.) КТПН 10/0,4 кВ ВЛ 10 кВ №403 ПС 110 кВ АС4 с заменой силового трансформатора для электроснабжения ВРУ 0,4 кВ нежилого здания Нечай А. В. в Аксайском районе Ростовской области </t>
  </si>
  <si>
    <t>Строительство ВЛ 6 кВ от опоры № 63 по ВЛ 6 кВ №2301 ПС 35/6 кВ Правобережная, ТП 6/0,4 кВ, ЛЭП 0,4 кВ и установка системы учета электрической энергии (мощности) на границе земельного участка для электроснабжения объекта животноводства заявителя Зубайриева А.А, Ростовская область, Азовский район, п.Топольки, к.н. 61:01:0600001:147 (ориентировочная протяженность ЛЭП– 2,22 км, ориентировочная трансформаторная мощность – 0,100 МВА)</t>
  </si>
  <si>
    <t>Строительство участка ВЛ-6 кВ от опоры №111 ВЛ 6 кВ №1 ПС 110 кВ Северный Портал, с установкой ТП-6/0,4 кВ, строительство ВЛИ-0,4 кВ от РУ-0,4 кВ вновь установленной ТП-6/0,4 кВ и установка шкафа коммерческого учета электрической энергии (мощности) в точке поставки, с монтажом ответвлений от ВЛИ к вводу, для присоединения общежития на 200 мест ОАО «Цимлянские Вина», расположенного по адресу: Ростовская область, Мартыновский район, х. Малая Мартыновка, ул. Административная, д. 10, к.н.з.у.: 61:20:0100201:514 (ориентировочная протяженность ЛЭП 0,124 км, ориентировочная мощность трансформатора 0,1 МВА)</t>
  </si>
  <si>
    <t>«Строительство ВЛ 0,4 кВ от новой ТП 6/0,4 кВ, строительство ТП 6/0,4 кВ, строительство ВЛ 6 кВ от КВЛ 6 кВ №3 ПС 110/35/6 кВ «Очистные Сооружения», для технологического присоединения производственного здания Заявителя (Ковалик Г.Г.) по адресу: Ростовская область, г. Таганрог, между ул. Бартини и ул. Петлякова, к.н. 61:58:0005299:203 (ориентировочная протяженность ЛЭП 0,080 км; мощность силового трансформатора 0,063 МВА)»</t>
  </si>
  <si>
    <t xml:space="preserve">Строительство ТП 6/0,4 кВ, ВЛ 0,4 кВ, ВЛ 6 кВ по ВЛ 6 кВ №805 ПС 35 кВ АС8 для электроснабжения объекта торговли ИП Рогальского А. В. на участке с КН 61:02:0010201:1294 в х. Большой Лог Аксайского района Ростовской области </t>
  </si>
  <si>
    <t xml:space="preserve">Строительство ТП 6/0,4 кВ, ВЛ 0,4 кВ, ВЛ 6 кВ от ВЛ 6 кВ №603 ПС 110/10/6 кВ АС6 для электроснабжения объектов туристической отрасли на участках с КН 61:02:0600013:3454, КН 61:02:0600013:3322, КН 61:02:0600013:3223 в ст. Старочеркасская Аксайского района Ростовской области </t>
  </si>
  <si>
    <t xml:space="preserve">Строительство КТПН 6/0,4 кВ, ВЛ 0,4 кВ от проектируемой ВЛ 6 кВ (по договору №61-1-17-00321639 от 24.07.2017 г.) от ВЛ 6 кВ РП6 КЛ 6 кВ №340 ПС 110 кВ БТ3 для электроснабжения ВРУ 0,4 кВ жилых домов по ул. Крылова в п. Красный Сад Азовского района Ростовской области </t>
  </si>
  <si>
    <t>Строительство ТП 6/0,4 кВ, ВЛ 0,4 кВ, ВЛ 6 кВ от ВЛ 6 кВ №806 ПС 35 кВ АС8 для электроснабжения производственно-складского помещения Чернова А. А. на участке с КН 61:02:0600011:2257 в п. Реконструктор Аксайского района Ростовской области (ориентировочная мощность трансформатора 0,063 МВА, ориентировочная протяжённость ЛЭП 0,060 км)</t>
  </si>
  <si>
    <t>Однотрансформаторные подстанции (за исключением РТП) мощностью от 25 до 100 кВА включительно шкафного или киоскового типа</t>
  </si>
  <si>
    <t>Строительство ВЛИ-0,4 кВ от РУ-0,4 кВ вновь устанавливаемой ТП-6/0,4 кВ, установка ТП 6/0,4 кВ от опоры №23/4 ВЛ-6 кВ №1 ПС 35/6 кВ Романовская и установка прибора коммерческого учета электрической энергии (мощности) в точке поставки для присоединения базы отдыха ИП Пономарева И.А., расположенной по адресу: Ростовская область, г. Волгодонск, ул. Отдыха, д. 49, к.н.з.у: 61:48:0020101:93 (ориентировочная протяженность ЛЭП 0,09 км, ориентировочная мощность трансформатора 0,1 МВА)</t>
  </si>
  <si>
    <t>Строительство участка ВЛ-6 кВ от существующей оп. №22 отпайки к КТП № 476 по ВЛ-6 кВ «Ударник» ПС 110 кВ С2 (на балансе ООО «Глобус»), с установкой ТП-6/0,4 кВ, и строительство ВЛИ-0,4 кВ от вновь установленной ТП-10/0,4 кВ для присоединения АБЗ ООО «Рось» (ориентировочная протяженность ЛЭП 0,065 км, ориентировочная мощность трансформатора 250 кВА)</t>
  </si>
  <si>
    <t xml:space="preserve">Строительство ТП 6/0,4 кВ, ВЛ 0,4 кВ, ВЛ 6 кВ от ВЛ 6 кВ №305 ПС 35 кВ АС3 для электроснабжения оборудования СТОА ООО “АксайАвтоРемонт” на участке с КН 61:02:0120110:360 в г. Аксае Аксайского района Ростовской области </t>
  </si>
  <si>
    <t>«Строительство ВЛ 6 кВ от опоры 1-00/13-3 по ВЛ 6 кВ Л-1 Фрунзе 3, МТП 6/0,4 кВ и ВЛ 0,4 кВ для электроснабжения: объекта «нежилой застройки», расположенного по адресу: Российская федерация, Ростовская обл., Сальский район, Манычское сельское поселение, кадастровый номер земельного участка 61:34:0600001:2970, заявитель Прудникова Л.Г.; объекта «нежилой застройки (хозяйственная постройка, нежилое здание)», расположенного по адресу: Российская федерация, Ростовская обл., Сальский район, Манычское сельское поселение, кадастровый номер земельного участка 61:34:0600001:2969, заявитель Копченко О.В.» (Ориентировочная протяженность ЛЭП-0,08 км, ориентировочная мощность ТП-0,04 МВА)</t>
  </si>
  <si>
    <t>Строительство ВЛ 10кВ от опоры №1-11/61 ВЛ 10кВ Л-1 Пролетарская, строительство КТП 10/0,4 и ВЛ 0,4кВ для электроснабжения объекта – «здание», расположенного по адресу: РФ, Ростовская область, Пролетарский район, Участок находится примерно в 11км по направлению на северо-восток от ориентира хутора М. Ельмута, расположенного за пределами участка, адрес ориентира, р-н Пролетарский, х. Мокрая Ельмута, к.н. 61:31:0600009:642, заявитель Зинченко А.Г.» (Ориентировочная протяженность ЛЭП-2,94км, ориентировочная мощность ТП-0,04МВА)</t>
  </si>
  <si>
    <t>Строительство участка ВЛ-6 кВ от опоры №11 ВЛ 6 кВ №7 ПС 35 кВ НС-8, с установкой ТП-6/0,4 кВ, строительство ВЛИ-0,4 кВ от РУ-0,4 кВ вновь установленной ТП-6/0,4 кВ и установка прибора коммерческого учета электрической энергии (мощности) в точке поставки для присоединения полевого стана ИП Сеина Н.Н., расположенного по адресу: Ростовская область, Волгодонской район, 5385 м юго-восточнее дома №15 ул. 40 лет Победы х. Потапов, к.н.з.у.: 61:08:0601501:481 (ориентировочная протяженность ЛЭП 0,055 км, ориентировочная мощность трансформатора 0,04 МВА)</t>
  </si>
  <si>
    <t xml:space="preserve">Строительство участка ВЛЗ-6 кВ от вновь установленной опоры в пролете опор №15 и №16 ВЛ-6 кВ №2 ПС 35/6 кВ Потаповская, с установкой ТП-6/0,4 кВ, и строительство ВЛИ-0,4 кВ от вновь установленной ТП-6/0,4 кВ  для присоединения жилого дома Попова А.М. (ориентировочная протяженность ЛЭП 0,315 км, ориентировочная мощность трансформатора 100 кВА) </t>
  </si>
  <si>
    <t>Строительство ТП-6/0,4, ЛЭП-6 кВ от оп. №9 отпайки к КТП №427 ВЛ 6 кВ СТФ ПС Ш20, и ВЛИ-0,4 кВ от вновь установленной ТП-6/0,4 кВ для присоединения объекта КФХ ИП Полякова В.П. по адресу: Октябрьский район, п. Атюхта, ул. Дачная, д.1, (ориентировочная протяженность ЛЭП 0,02 км, ориентировочная мощность трансформатора 100 кВА)</t>
  </si>
  <si>
    <t xml:space="preserve">Строительство КТПН 6/0,4 кВ, ВЛ 6 кВ, ВЛ 0,4 кВ от ВЛ 6 кВ №3 РП6 КЛ 6 кВ №340 ПС 110 кВ БТ3 для электроснабжения ВРУ 0,4 кВ жилых домов по ул. Лермонтова, 68А, ул. Есенина, 41А в п. Красный Сад Азовского района Ростовской области (ориентировочная мощность трансформатора 0,040 МВА, ориентировочная протяжённость ЛЭП 0,756 км)
</t>
  </si>
  <si>
    <t>Строительство ТП 6/0,4 кВ, ВЛ 0,4 кВ, ВЛ 6 кВ от ВЛ 6 кВ №806 ПС 35 кВ АС8 для электроснабжения нежилого здания Романенко С.А. на участке с КН 61:02:0600011:2113 в Аксайском районе Ростовской области (ориентировочная мощность трансформатора 0,063 МВА,ориентировочная протяженность ЛЭП 0,073 км)</t>
  </si>
  <si>
    <t>5.1.3.1</t>
  </si>
  <si>
    <t>Однотрансформаторные подстанции (за исключением РТП) мощностью от 100 до 250 кВА включительно столбового/мачтового типа</t>
  </si>
  <si>
    <t>Строительство ВЛЗ-6 кВ от опоры №149 ВЛ-6 кВ №1 ПС 35/6 кВ Романовская,с установкой ТП-6/0,4 кВ и строительство ВЛИ-0,4 кВ от РУ-0,4 кВ вновь установленной ТП-6/0,4 кВ  для присоединения здания общественного питания ИП Свитенко Д.В., расположенного по адресу: Ростовская область, г. Волгодонск, ул. Отдыха, д. 51б, к.н. 61:48:0020101:1451 (ориентировочная протяженность ЛЭП 0,013 км, ориентировочная мощность трансформатора 160 кВА)</t>
  </si>
  <si>
    <t>Техперевооружение КТП 6/0,4 кВ № 329 ВЛ 6 кВ Орошение ПС 110 кВ Ш9 для электроснабжения объекта животноводства ИП Дроздов А.Ю. в р-н. Красносулинский, Пролетарское сельское поселение, на землях ПСХ “Соколовское’, кадастровьпй номер земельного участка: 61:18:0600022:900 (ориентировочная мощность трансформатора 0,25 МВА)</t>
  </si>
  <si>
    <t>Строительство ВЛ 6 кВ от опоры № 11 по ВЛ 6 кВ №10706 ПС 110/35/6 кВ А-1, ТП 6/0,4 кВ, ВЛИ 0,4 кВ и установка системы учета электрической энергии (мощности) на границе земельного участка для электроснабжения производственного помещения заявителя Зозуля С.Ю., г.Азов, Ростовская область (ориентировочная протяженность ЛЭП– 0,04 км, ориентировочная трансформаторная мощность – 0,250 МВА)</t>
  </si>
  <si>
    <t>Строительство ТП-6/0,4, ЛЭП-6 кВ от оп. №126 ВЛ 6 кВ Совхоз-10 ПС Ш12, и ВЛИ-0,4 кВ от вновь установленной ТП-6/0,4 кВ для присоединения базы отдыха ИП Шишкова И.П. по адресу: Октябрьский район, Красюковское сельское поселение, (ориентировочная протяженность ЛЭП 0,43 км, ориентировочная мощность трансформатора 160 кВА)</t>
  </si>
  <si>
    <t xml:space="preserve">Строительство ТП 6/0,4 кВ, ВЛ 0,4 кВ, ВЛ 6 кВ по ВЛ 6 кВ №806 ПС 35/6 кВ АС8 для электроснабжения нежилой застройки ИП Шутова М.Е. на участке с КН 61:02:0600011:2318 в п. Реконструктор Аксайского района Ростовской области </t>
  </si>
  <si>
    <t>Строительство ТП 6/0,4 кВ, ВЛ 0,4 кВ, ВЛ 6 кВ от ВЛ 6 кВ №807 ПС 35 кВ АС8 для электроснабжения песчаного карьера ООО “РЕКОНСТРУКТОР” на участке с КН 61:02:0600009:1155 в КСП им. М. Горького Аксайского района Ростовской области</t>
  </si>
  <si>
    <t>Строительство ТП 6/0,4 кВ, ВЛ 6 кВ, ВЛ 0,4 кВ от проектируемой ВЛ 6 кВ (по договору № 61-1-18-00410909) от ВЛ 6 кВ № 305 ПС 35 кВ АС 3 для электроснабжения нежилого помещения ИП Телегина С. Е. по ул. Атаманская, 24 в г. Аксае Аксайского района Ростовской области</t>
  </si>
  <si>
    <t xml:space="preserve">Строительство ТП 6/0,4 кВ, ВЛ 0,4 кВ, ВЛ 6 кВ от проектируемой ВЛ 6 кВ (по договору № 61-1-18-00411669 от 10.12.2018 г.) от ВЛ 6 кВ № 807 ПС 35 кВ АС 8 для электроснабжения нежилого здания ООО "Строительно-монтажная компания Интер" по ул. Калинина, 74 Б в х. Большой Лог Аксайского района Ростовской области </t>
  </si>
  <si>
    <t>5.1.3.2</t>
  </si>
  <si>
    <t>Однотрансформаторные подстанции (за исключением РТП) мощностью от 100 до 250 кВА включительно шкафного или киоскового типа</t>
  </si>
  <si>
    <t>5.1.3.3</t>
  </si>
  <si>
    <t>Однотрансформаторные подстанции (за исключением РТП) мощностью от 100 до 250 кВА включительно блочного типа</t>
  </si>
  <si>
    <t>5.1.4.1</t>
  </si>
  <si>
    <t>Однотрансформаторные подстанции (за исключением РТП) мощностью от 250 до 400 кВА включительно столбового/мачтового типа</t>
  </si>
  <si>
    <t>5.1.4.2</t>
  </si>
  <si>
    <t>Однотрансформаторные подстанции (за исключением РТП) мощностью от 250 до 400 кВА включительно шкафного или киоскового типа</t>
  </si>
  <si>
    <t>5.1.5.2</t>
  </si>
  <si>
    <t>Однотрансформаторные подстанции (за исключением РТП) мощностью от 400 до 630 кВА включительно шкафного или киоскового типа</t>
  </si>
  <si>
    <t>Строительство ВЛ 0,4 кВ от РУ 0,4 кВ ТП 10/0,4 кВ, строительство ТП 10/0,4 кВ, строительство ВЛ 10 кВ от ВЛ 10 кВ №6 ПС 35/10 кВ Б.Салы, отпайки на ТП 10/0,4 кВ №6-3 для технологического присоединения жилых домов Заявителя: (Явруев А.Х.), по адресу: Мясниковский район, х. Красный Крым, ул. Пшеничная, (ориентировочная протяженность ЛЭП 0,56 км; мощность силового трансформатора – 630 кВА)</t>
  </si>
  <si>
    <t>Строительство двух ВЛ 0,4 кВ, строительство двух ТП 10/0,4 кВ, строительство ВЛ 10 кВ от ВЛ 10 кВ №5 отпайки на ТП 10/0,4 кВ №5-51, запитанной от ВЛ 10 кВ №12 ПС 110/35/10 кВ Чалтырь, строительство ВЛ 10 кВ от ВЛ 10 кВ №3 отпайки на ТП 10/0,4 кВ №3-37 ПС 110/35/10 кВ Чалтырь, для технологического присоединения муниципального бюджетного детского образовательного учреждения Заявителя: (МУ «Отдел образования Администрации Мясниковского района») по адресу: Ростовская обл. Мясниковский р-н, с. Чалтырь, ул. Гайламазяна, д 19/2 к.н. 61:25:0101605:182 (ориентировочная протяженность ЛЭП -0,82 км; мощность силового трансформатора – 2х0,25 МВА)</t>
  </si>
  <si>
    <t xml:space="preserve">Строительство ТП-10/0,4 кВ, ЛЭП 10 кВ, ЛЭП 0,4 кВ от опоры № 50 ВЛ 10 кВ №401 ПС 110 кВ АС4 для электроснабжения нежилых зданий ИП Гулуа Р.З., для электроснабжения ВРУ 0,4 кВ нежилых зданий ООО «Экогазтехнолоджи» в х. Ленина, ул. Тенисная, Аксайского района, Ростовской области </t>
  </si>
  <si>
    <t>Строительство КТПН 10/0,4 кВ, ВЛ 0,4 кВ, КЛ 10 кВ от ВЛ 10 кВ №1111 ПС 110 кВ АС11 для электроснабжения ВРУ 0,4 кВ садовых домов по адресу: Ростовская обл., г. Новочеркасск, СТ “УМ-3”</t>
  </si>
  <si>
    <t>Техническое перевооружение ТП 6/0,4 кВ №51 по КВЛ 6 кВ №3 ПС 110/6 кВ Т-5 с заменой силового трансформатора для технологического присоединения нежилого здания Заявителя (ИП Иванов С.О.) по адресу: ростовская область, г. Таганрог, пл. Красная, 27 к.н. 61:58:02511:0008. ( мощность силового трансформатора 630 кВА)</t>
  </si>
  <si>
    <t>Строительство ЛЭП 10кВ от опоры №3-144 ВЛ 10кВ №1019 ПС 110/35/10кВ Самарская, ТП 10/0,4кВ, ЛЭП 0,4кВ и установка системы учета электрической энергии (мощности) (4шт) на границе земельных участков для электроснабжения объектов нежилых застроек заявителей ИП Лучкина А.К., ИП Сиволапова А.В., ИП Подратчян Н.В., ИП Григорян Н.К. Азовский район, Ростовская область, к.н. 61:01:0600013:2422, 61:01:0600013:2174, 61:01:0600013:2184, 61:01:0600013:1007 (ориентировочная протяженность ЛЭП-0,7км, ориентировочная трансформаторная мощность – 2х0,4МВА)</t>
  </si>
  <si>
    <t xml:space="preserve">Строительство ТП 10/0,4 кВ, ВЛ 0,4 кВ, ВЛ 10 кВ от ВЛ 10 кВ №403 ПС 110 кВ АС4 для электроснабжения складских зданий/помещений ИП Юнева А. Л. в Аксайском районе Ростовской области </t>
  </si>
  <si>
    <t xml:space="preserve">Строительство ТП 10/0,4 кВ, КЛ 0,4 кВ, КЛ 10 кВ от РУ 10 кВ БКТП 10 кВ №687 ВЛ 10 кВ №401 ПС 110 кВ АС4 для электроснабжения нежилых застроек ИП Гулуа Р. З. на участках с КН 61:02:0600016:4651, 61:02:0600016:4652, 61:02:0600016:4653, 61:02:0600016:4647 в х. Ленина Аксайского района Ростовской области </t>
  </si>
  <si>
    <t>Строительство КТПН 10/0,4 кВ, ВЛ 10 кВ, ВЛ 0,4 кВ от ВЛ 10 кВ №1103 ПС 110 кВ АС11 для электроснабжения ВРУ 0,4 кВ жилых домов в ст-це Мишкинская Аксайского района Ростовской области (ориентировочная мощность трансформатора 0,630 МВА, ориентировочная протяжённость ЛЭП 2,115 км)</t>
  </si>
  <si>
    <t>Строительство ЛЭП 10кВ от опоры №144 по ВЛ 10кВ №3129 от ПС 110/35/10кВ "А-31", ТП 10/0,4кВ, ЛЭП 0,4кВ, для электроснабжения складов заявителей ИП Дорошенко И.И., ИП Главы КФХ Дорошенко Р.И., ИП Дорошенко И.И, с. Пешково, Азовский район, Ростовская область (ориентировочная протяженность ЛЭП - 0,245км, ориентировочная трансформаторная мощность - 0,630МВА)</t>
  </si>
  <si>
    <t>Строительство КТПН 10/0,4 кВ, ВЛ 0,4 кВ, ВЛ 10 кВ от ВЛ 10 кВ №105 ПС 110 кВ АС1 для электроснабжения жилых домов в х. Нижнеподпольный Аксайского района Ростовской области (ориентировочная мощность трансформатора 0,630 МВА, ориентировочная протяжённость ЛЭП 2,460 км)</t>
  </si>
  <si>
    <r>
      <t>Обеспечение средствами коммерческого учета электрической энергии (мощности) (C</t>
    </r>
    <r>
      <rPr>
        <b/>
        <vertAlign val="subscript"/>
        <sz val="14"/>
        <color indexed="8"/>
        <rFont val="Times New Roman"/>
        <family val="1"/>
        <charset val="204"/>
      </rPr>
      <t>8,i</t>
    </r>
    <r>
      <rPr>
        <b/>
        <sz val="14"/>
        <color indexed="8"/>
        <rFont val="Times New Roman"/>
        <family val="1"/>
        <charset val="204"/>
      </rPr>
      <t>)</t>
    </r>
  </si>
  <si>
    <t>8.1.1.</t>
  </si>
  <si>
    <t>Средства коммерческого учета электрической энергии (мощности) однофазные прямого включения</t>
  </si>
  <si>
    <t>8.2.1.</t>
  </si>
  <si>
    <t>Средства коммерческого учета электрической энергии (мощности) трехфазные прямого включения</t>
  </si>
  <si>
    <t>Строительство ВЛ 0,4 кВ от ВЛ 0,4 кВ №2 КТП 10/0,4 кВ №266м ВЛ 10 кВ №2 ПС 110/35/10 кВ «Дарагановская» для технологического присоединения жилого дома Заявителя (Шевцов А.Н.) по адресу: Ростовская область, Неклиновский район, х. Дарагановка, ул. Северная, 46, к.н. 61:26:0180701:0386 (ориентировочная протяженность ЛЭП 0,11 км)</t>
  </si>
  <si>
    <t>Строительство ВЛ 0,4 кВ от РУ 0,4 кВ КТП №132 ВЛ 10 кВ №2 ПС 35/10 кВ «Троицкая» для технологического присоединения летней кухни Заявителя (Зеленковская Н.Л.) по адресу: Ростовская область, Неклиновский район, с. Троицкое, ул. Межевая, 34, к.н. 61:26:0010101:1533 (ориентировочная протяженность ЛЭП 0,39 км)</t>
  </si>
  <si>
    <t>Строительство ВЛ 0,4 кВ от ВЛ 0,4 кВ №2 КТП №41 ВЛ 10 кВ №3 ПС 110/10 кВ «Некрасовская» для технологического присоединения ВРУ 0,4 кВ Жилого дома Заявителя (Беляев В.Н.) по адресу: Ростовская область, Неклиновский район, с. Большая Неклиновка, ул. Школьная, 58, к.н. 61:26:0130101:120 (ориентировочная протяженность ЛЭП 0,075 км)</t>
  </si>
  <si>
    <t>Строительство ВЛ 0,4 кВ от опоры ВЛ 0,4 кВ №2 от КТП 10/0,4 кВ №108 по ВЛ 10 кВ №2 ПС 110/35/10 кВ Новиковская для технологического присоединения антенно-мачтового сооружения заявителя (Администрация Куйбышевского района) по адресу: 346950 Российская Федерация, Ростовская обл., р-н. Куйбышевский, примерно 75 метров на юг от с. Новиковка, пер. Юбилейный, д. 20, кадастровый номер земельного участка: 61:19:0050401:795 (ориентировочная протяжённость ЛЭП 0,21 км)</t>
  </si>
  <si>
    <t>Строительство ВЛ 0,4 кВ от РУ 0,4 кВ ТП 10/0,4 кВ, строительство ТП 10/0,4 кВ, строительство ВЛ 10 кВ от ВЛ 10 кВ №3 ПС 110/35/10 кВ Рябиновская для технологического присоединения жилого дома Заявителя: (ИП Сухоруков А.Н.), по адресу: Неклиновский район, х. Николаево-Отрадное, ул. Ленина, д.32, к.н. 61:26:0030301:130 (ориентировочная протяженность ЛЭП 0,03 км; мощность силового трансформатора – 160 кВА)</t>
  </si>
  <si>
    <t>Строительство ВЛ 0,4 кВ от РУ 0,4 кВ ТП 10/0,4 кВ, строительство ТП 10/0,4 кВ, строительство ВЛ 10 кВ от ВЛ 10 кВ №6 ПС 110/35/10 кВ Чалтырь для технологического присоединения нежилого помещения Заявителя: (ИП Барнагян В.С.), по адресу: Мясниковский район, с. Чалтырь, тер. Промзона 2, к.н. 61:25:0101330:59 (ориентировочная протяженность ЛЭП 0,02 км; мощность силового трансформатора – 25 кВА)</t>
  </si>
  <si>
    <t>Строительство ВЛ 0,4 кВ от ВЛ 0,4 кВ №2 КТП 10/0,4 кВ №488м ВЛ 10 кВ №1 ПС 35/10/6 кВ «Гаевка» для технологического присоединения Заявителя (Ануфриева М.С.) по адресу: Ростовская область, Неклиновский р-н, с. Никольское, ул. Центральная, 60-б, к.н. 61:26:0180901:643 (ориентировочная протяженность ЛЭП 0,14 км)</t>
  </si>
  <si>
    <t>Строительство ВЛ 0,4 кВ от РУ 0,4 кВ ТП 10/0,4 кВ, строительство ТП 10/0,4 кВ, строительство ВЛ 10 кВ от ВЛ 10 кВ №6 ПС 110/10 кВ «Самбек» для технологического присоединения жилого дома Заявителя: (ИП Богохвалова Н.В.), по адресу: Ростовская область, г. Таганрог, ул. Михайловская, 78-г, к.н. 61:58:0007029:167 (ориентировочная протяженность ЛЭП 0,023 км; мощность силового трансформатора – 160 кВА)</t>
  </si>
  <si>
    <t>Строительство ВЛ 0,4 кВ от ВЛ 0,4 кВ №4 КТП 10/0,4 кВ №147 ВЛ 10 кВ №4 ПС 110/10 кВ «Самбек» для технологического присоединения Заявителя (ИП Ярош Э.С.) по адресу: Ростовская область, Неклиновский р-н, с. Самбек, ул. Центральная, 11-в, к.н. 61:26:0020101:5155 (ориентировочная протяженность ЛЭП 0,08 км)</t>
  </si>
  <si>
    <t>Строительство ВЛ 0,4 кВ от РУ 0,4 кВ ТП 10/0,4 кВ, строительство ТП 10/0,4 кВ, строительство ВЛ 10 кВ от ВЛ 10 кВ №4 ПС 35/10 кВ «ГСКБ» для технологического присоединения жилого дома Заявителя: (Венченко А.Г.), по адресу: Ростовская область, Неклиновский район, с. Петрушино, в границах хозяйства ОАО «Заря», к.н. 61:58:0600024:5290 (ориентировочная протяженность ЛЭП 0,01 км; мощность силового трансформатора – 25 кВА)</t>
  </si>
  <si>
    <t>Строительство ВЛ 0,4 кВ от РУ 0,4 кВ ТП 10/0,4 кВ, строительство ТП 10/0,4 кВ, строительство ВЛ 10 кВ от отпайки на ТП 10/0,4 кВ №1-37А по ВЛ 10 кВ №1 ПС 110/35/10 кВ Чалтырь для технологического присоединения Заявителя: (ИП Юшков Д.Г.) по адресу: х. Ленинакан, ул. Дзержинского, д. 2-д/е, к.н. 61:25:0030301:1269 (ориентировочная протяженность ЛЭП 0,02 км; мощность силового трансформатора – 160 кВА)</t>
  </si>
  <si>
    <t>Строительство ВЛ 0,4 кВ от РУ 0,4 кВ ТП 10/0,4 кВ №20-3 по ВЛ 10 кВ № 20-04 от ПС 220/110/10 кВ Р-20 для технологического присоединения нежилого помещения Заявителя: (ИП Самсонова К.И.) по адресу: Ростовская обл. Мясниковский р-н, х. Калинин, ул. Рябиновая, д. 2, к.н. 61:25:0601001:3417 (ориентировочная протяженность ЛЭП - 0,35 км)</t>
  </si>
  <si>
    <t>Строительство ВЛ 0,4 кВ от РУ 0,4 кВ ТП 10/0,4 кВ, строительство ТП 10/0,4 кВ, строительство ВЛ 10 кВ от ВЛ 10 кВ №1 ПС 110/35/10 кВ Чалтырь запитанной от ВЛ 10 кВ №29-35 ПС 110/10 кВ Р-29, для технологического присоединения нежилого здания Заявителя: (ИП Шабанян М.С.), по адресу: Мясниковский район, Краснокрымское сельское поселение северо-восточная окраина хутора Ленинаван, уч. 7/а, к.н. 61:25:0600401:13706 (ориентировочная протяженность ЛЭП 0,085 км; мощность силового трансформатора – 100 кВА)</t>
  </si>
  <si>
    <t>Строительство ВЛ 0,4 кВ от ВЛ 0,4 кВ №1 ЗТП 10/0,4 кВ №15 ВЛ 10 кВ №2 ПС 35/10 кВ «Троицкая» для технологического присоединения жилого дома Заявителя (Толкачев В.В.) по адресу: Ростовская область, Неклиновский район, с. Троицкое, ул. Лермонтова, 2-В, к.н. 61:26:0010101:4677 (ориентировочная протяженность ЛЭП 0,09 км)</t>
  </si>
  <si>
    <t>Строительство ВЛ 0,4 кВ от ВЛ 0,4 кВ, проектируемой по договору № 61-1-20-00540611 от 02.11.2020 г. с ИП Аракелян К.К., для технологического присоединения объекта сельскохозяйственного производства Заявителя (ИП Сарксян Р.А.) по адресу: Ростовская область, Неклиновский район, с. Троицкое, 1,6 км южнее с. Троицкое, к.н. 61:26:0600014:189 (ориентировочная протяженность ЛЭП 0,27 км)</t>
  </si>
  <si>
    <t>Строительство ВЛ 0,4 кВ от КТП №55 по ВЛ 10 кВ №7 ПС Куйбышево-1 для технологического присоединения энергопринимающих устройств Заявителя (Юдин Е.И.) в Куйбышевском районе Ростовской области (ориентировочная протяжённость ЛЭП 0,26 км)</t>
  </si>
  <si>
    <t>Строительство ВЛ 0,4 кВ от ВЛ 0,4 кВ №2 КТП 10/0,4 кВ №229 ВЛ 10 кВ №5 ПС 110/10 кВ «Лиманная» для технологического присоединения жилого дома Заявителя (Махиня В.С.) по адресу: Ростовская область, Неклиновский район, п. Дарьевка, пер. Дружбы, 8, к.н. 61:26:0090901:458 (ориентировочная протяженность ЛЭП 0,35 км)</t>
  </si>
  <si>
    <t>Строительство ВЛ 0,4 кВ от ВЛ 0,4 кВ №5 ТП 6/0,4 кВ №12 по КЛ-6 кВ №1702 от ПС-110/6 кВ Т-17 для технологического присоединения здания Краеведческого музея Заявителя (ГБУК РО «Таганрогский государственный литературный и историко-архитектурный музей-заповедник») по адресу: Ростовская область, г. Таганрог, ул. Фрунзе, д.41/пер. А. Глушко, д.13, к.н. 61:58:0001110:143 (ориентировочная протяженность ЛЭП 0,26 км)</t>
  </si>
  <si>
    <t>Строительство ВЛ 0,4 кВ от ВЛ 0,4 кВ №1 КТП 10/0,4 кВ №118м ВЛ 10 кВ №2 ПС 110/35/10 кВ «Ефремовская» для технологического присоединения жилого дома Заявителя (Казарян А.С.) по адресу: Ростовская область, Неклиновский район, х. Атамановка, ул. Свободы, 32, к.н. 61:26:0170201:100 (ориентировочная протяженность ЛЭП 0,57 км)</t>
  </si>
  <si>
    <t>Строительство ВЛ 0,4 кВ от ВЛ 0,4 кВ №1 КТП 10/0,4 кВ №70м ВЛ 10 кВ №3 ПС 110/35/10 кВ «Рябиновская» для технологического присоединения хозяйственных строений Заявителя (ГКУС РФ «ПС РО») по адресу: Ростовская область, Неклиновский район, с. Натальевка, ул. Чехова, 2-ж, к.н. 61:26:0000000:6539 (ориентировочная протяженность ЛЭП 0,53 км)</t>
  </si>
  <si>
    <t>Строительство ВЛ 0,4 кВ от ВЛ 0,4 кВ №1 КТП 10/0,4 кВ №580 ВЛ 10 кВ №5 ПС 110/35/10 кВ «Самбек» для технологического присоединения жилого дома Заявителя (Пузанов А.Ю.) по адресу: Ростовская область, Неклиновский район, с. Бессергеновка, ул. К.Зуева, 15, к.н. 61:26:0040201:2936 (ориентировочная протяженность ЛЭП 0,31 км)</t>
  </si>
  <si>
    <t>Строительство ВЛ 0,4 кВ от новой ТП 10/0,4 кВ, строительство ТП 10/0,4 кВ, строительство ВЛ 10 кВ от ВЛ 10 кВ №1 ПС 35/10 кВ «Таганрогская», для технологического присоединения жилых домов Заявителей (Литвишко С.А., Тихонов Ю.В., Гуркевич С.В.) по адресу: Ростовская область, Неклиновский район, с. Весело-Вознесенка, ул. Пограничная, 34, 38, 38-б, к.н. 61:26:0100101:4721, 61:26:0100101:5080, 61:26:0100101:5082 (ориентировочная протяженность ЛЭП 0,49 км; мощность силового трансформатора 160 кВА)</t>
  </si>
  <si>
    <t>Строительство ВЛ 0,4 кВ от новой ТП 10/0,4 кВ, строительство ТП 10/0,4 кВ, строительство ВЛ 10 кВ от ВЛ 10 кВ №5/3 ПС 110/35/10 кВ «Троицкая-1», для технологического присоединения ЛЭП 0,4 кВ Заявителя (СНТ «Восход НИИ связи») по адресу: Ростовская область, г. Таганрог, шоссе Николаевское, 7-2 (ориентировочная протяженность ЛЭП 0,02 км; мощность силового трансформатора 160 кВА)</t>
  </si>
  <si>
    <t>Строительство ВЛ 0,4 кВ от РУ 0,4 кВ ТП 10/0,4 кВ, строительство ТП 10/0,4 кВ, строительство ВЛ 10 кВ от ВЛ 10 кВ №5 ПС 110/35/10 кВ Чалтырь для технологического присоединения ледового катка Заявителя: (СПК-колхоз имени С.Г. Шаумяна), по адресу: Мясниковский район, с. Чалтырь, ул. Синявская, уч. 29, к.н. 61:25:0101523:42 (ориентировочная протяженность ЛЭП 0,03 км; мощность силового трансформатора – 160 кВА)</t>
  </si>
  <si>
    <t>Строительство ВЛ 0,4 кВ от новой ТП 10/0,4 кВ, строительство ТП 10/0,4 кВ, строительство ВЛ 10 кВ от отпайки на ТП-10/0,4кв №329(А) по ВЛ 10 кВ №3 ПС 35/10 кВ Колесниковская, для технологического присоединения ЛЭП 0,4 кВ Заявителя (ЗАО «Матвеев-Курганагрохимсервис») по адресу: Ростовская область, Матвеево-Курганский район, п. Матвеев Курган, ул. Лунная, д. 6, к.н. 61:21:0010152:43 (ориентировочная протяженность ЛЭП 0,285 км; мощность силового трансформатора 40 кВА)</t>
  </si>
  <si>
    <t>Установка системы учета для технологического присоединения энергопринимающих устройств Заявителя (ИП Сыроватский Ю.В.) по адресу: Ростовская область, г. Таганрог, ул. Чехова, д. 120, к.н. 61-61-42/118/2009-180 (1 шт.)</t>
  </si>
  <si>
    <t>Установка системы учета для технологического присоединения энергопринимающих устройств Заявителя (ИП Жиляков И.В.) адресу: Ростовская область, г. Таганрог, пер. 10-й, д.125 (1 шт.)</t>
  </si>
  <si>
    <t>Установка системы учета для технологического присоединения энергопринимающих устройств Заявителя (ИП Посохов С.В.) по адресу: Ростовская область, г. Таганрог, ул. Ломоносова, д. 55, к.н. 61:58:0005138:265 (1 шт.)</t>
  </si>
  <si>
    <t>Установка системы учета для технологического присоединения энергопринимающих устройств Заявителя (Агодисян С.Х.) по адресу: Ростовская область, г. Таганрог, ул. Литейная, д. 152, к.н. 61:58:0004464:53:2 (1 шт.)</t>
  </si>
  <si>
    <t>Установка системы учета для технологического присоединения энергопринимающих устройств Заявителя (ИП Штода С.В.) по адресу: Ростовская область, г. Таганрог, ул. Лизы Чайкиной, д. 328, к.н. 61:58:00 43 81:0001:4-346-7/А:1/62027 (1 шт.)</t>
  </si>
  <si>
    <t>Установка системы учета для технологического присоединения энергопринимающих устройств Заявителя (ИП Маркосян А.А.) по адресу: Ростовская область, г. Таганрог, ул. Александровская, д. 128, к.н. 61:58:0002051:446 (1 шт.)</t>
  </si>
  <si>
    <t>Установка системы учета для технологического присоединения энергопринимающих устройств Заявителя (Карасев Д.А.)  по адресу: Ростовская область, г. Таганрог, ул. Петровская, д.76, к.н. 61:58:0001114:143 (1 шт.)</t>
  </si>
  <si>
    <t>Установка системы учета для технологического присоединения энергопринимающих устройств Заявителя (МАУ «Инфо-Радио»)  по адресу: Ростовская область, г. Таганрог, пер. 8-й Новый, 70а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</si>
  <si>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 61-1-21-00611495 от 30.03.2022), Ростовской области (1 шт)</t>
  </si>
  <si>
    <t>Установка системы учета для технологического присоединения энергопринимающих устройств Заявителя (Дохнов А.В.) адресу: Ростовская область, г. Таганрог, пер. 1-й Мариупольский, 7 (1 шт.)</t>
  </si>
  <si>
    <t>Установка системы учета для технологического присоединения энергопринимающих устройств Заявителя (Шаповалова Г.Н.) адресу: Ростовская область, г. Таганрог, ул. Петлякова/ пер. 4-й Мариупольский, д. 29/25, к.н. 61:58:0005231:19 ( 1 шт.)</t>
  </si>
  <si>
    <t>Установка системы учета для технологического присоединения энергопринимающих устройств Заявителя (Лабурцев Р.В.) по адресу: Ростовская область, г. Таганрог, проезд Бакинский, д. 7, к.н. 61:58:04485:0022 (1 шт.)</t>
  </si>
  <si>
    <t>Установка системы учета для технологического присоединения энергопринимающих устройств Заявителя (Диденко Ф.В.) по адресу: Ростовская область, г. Таганрог, ул. Приморская, д. 27, к.н. 61:58:0002001:359 (1 шт.)</t>
  </si>
  <si>
    <t>Установка системы учета для технологического присоединения энергопринимающих устройств Заявителя (Хачунц Э.М) по адресу: Ростовская область, г. Таганрог, с/т «Рыбник», уч. 5, к.н 61:58:0006175:143</t>
  </si>
  <si>
    <t>Установка системы учета для технологического присоединения энергопринимающих устройств Заявителя (Шматова Л.А.) по адресу: Ростовская область, г. Таганрог, Николаевское Шоссе, д.7, ТСН «Радуга», аллея 9, участок 72, к.н. 61:58:0006054:2833 (1 шт.)</t>
  </si>
  <si>
    <t>Установка системы учета для технологического присоединения энергопринимающих устройств Заявителя (ООО «ТрейдСервис») по адресу: Ростовская область, г. Таганрог, ул. Чехова, д. 98, к.н. 61:58:0001124:587 (1 шт.)</t>
  </si>
  <si>
    <t>Установка системы учета для технологического присоединения энергопринимающих устройств Заявителя (Лазарева Г.А.) по адресу: Ростовская область, г. Таганрог, ул. Бакинская, к.н. 61:58:0004523:1005 (1 шт.)</t>
  </si>
  <si>
    <t>Установка системы учета для технологического присоединения энергопринимающих устройств Заявителя (АО «Первая Башенная Компания») по адресу: Ростовская область, г. Таганрог, пер. Смирновский,  в 30 метрах от дома №43 (1 шт.)</t>
  </si>
  <si>
    <t>Строительство ВЛ 0,4 кВ от РУ 0,4 кВ ТП 10/0,4 кВ, строительство ТП 10/0,4 кВ, строительство ВЛ 10 кВ от ВЛ 10 кВ №7 ПС35/10 кВ Б.Салы, для технологического присоединения жилого дома Заявителя: (Смоян Г.С.), по адресу: Мясниковский район, с. Большие Салы, ул. Ленинская 2-я, д12 (ориентировочная протяженность ЛЭП 0,08 км; мощность силового трансформатора – 25 кВА)</t>
  </si>
  <si>
    <t>Строительство ВЛ 0,4 кВ от РУ 0,4 кВ ТП 10/0,4 кВ, строительство ТП 10/0,4 кВ, строительство ВЛ 10 кВ от ВЛ 10 кВ №1 ПС110/35/10 кВ Чалтырь, для технологического присоединения складского помещения Заявителя: ( ИП Беляков В.В.), по адресу: Мясниковский район, 1-й км а/д Ростов-на-Дону – Новошахтинск, участок № 1/6 , (ориентировочная протяженность ЛЭП 0,03 км; мощность силового трансформатора –100 кВА)</t>
  </si>
  <si>
    <t>Строительство ВЛ 10 кВ от ВЛ 10 кВ №7 ПС 35/10 кВ «Русский Колодец», для технологического присоединения нежилого здания Заявителя (ООО «ПК-ЭНЕРГО») по адресу: Ростовская область, Неклиновский район, х. Русский Колодец, 100 м на юг от ул. Мирная, к.н. 61:26:0600023:417 (ориентировочная протяженность ЛЭП 0,017 км)</t>
  </si>
  <si>
    <t>Строительство ВЛ 0,4 кВ от РУ 0,4 кВ КТП 10/0,4 кВ №846 ВЛ 10 кВ №1/3 ПС 110/35/10 кВ «Троицкая-1» для технологического присоединения нежилого помещения Заявителя (ИП Петрусь А.П.) по адресу: Ростовская область, Неклиновский район, с. Николаевка, к.н. 61:26:0600014:2266 (ориентировочная протяженность ЛЭП 0,275 км)</t>
  </si>
  <si>
    <t>Строительство ВЛ 0,4 кВ от новой ТП 10/0,4 кВ, строительство ТП 10/0,4 кВ, строительство ВЛ 10 кВ от ВЛ 10 кВ №5/3 ПС 110/35/10 кВ «Троицкая-1», для технологического присоединения нежилой застройки Заявителя (ИП Моор Д.В.) по адресу: Ростовская область, г. Таганрог, Николаевское шоссе, 30-а, к.н. 61:58:0005268:16 (ориентировочная протяженность ЛЭП 0,02 км; мощность силового трансформатора 160 кВА)</t>
  </si>
  <si>
    <t>Строительство ВЛ 0,4 кВ от РУ 0,4 кВ ТП 10/0,4 кВ, строительство ТП 10/0,4 кВ, строительство ВЛ 10 кВ от ВЛ 10 кВ №4 ПС 35/10 кВ Б.Салы, для технологического присоединения магазина Заявителя: (ИП Хатламаджиян М.А.), по адресу: Мясниковский район, с. Большие Салы, ул. Красноармейская, д. 19, к.н 61:25:0040101:350 (ориентировочная протяженность ЛЭП 0,02 км; мощность силового трансформатора – 160 кВА)</t>
  </si>
  <si>
    <t>Строительство ВЛ 0,4 кВ от РУ 0,4 кВ ТП 10/0,4 кВ, строительство ТП 10/0,4 кВ, строительство ВЛ 10 кВ от опоры отпайки на ТП 10/0,4 кВ №1-26А по ВЛ 10 кВ №6 ПС 35/10 кВ Б. Салы, для технологического присоединения склада Заявителя: (ООО «БЕТОНСНАБ»), по адресу: Мясниковский район, с. Большие Салы, южная окраина, уч. 3/1, к.н 61:25:0600501:2189 (ориентировочная протяженность ЛЭП 0,09 км; мощность силового трансформатора – 0,16 МВА)</t>
  </si>
  <si>
    <t xml:space="preserve">Строительство ВЛ 0,4 кВ от новой ТП 10/0,4 кВ, строительство ТП 10/0,4 кВ, строительство ВЛ 10 кВ от ВЛ 10 кВ №1/3 ПС 110/35/10 кВ «Троицкая-1», для технологического присоединения нежилого здания Заявителя (ИП Мизерный И.А.) по адресу: Ростовская область, Неклиновский район, с. Троицкое, х-во СПК к-з «Россия», Поле №2, к.н. 61:26:0600014:1468 (ориентировочная протяженность ЛЭП 0,15 км; мощность силового трансформатора 0,16 МВА) </t>
  </si>
  <si>
    <t>Строительство ВЛ 0,4 кВ от опоры проектируемой ВЛ 0,4 кВ по договору №61-1-21-00569179 от 06.04.2021г. от ВЛ 0,4 кВ №3 КТП 10/0,4 кВ №215АМ ВЛ 10 кВ №2 ПС 110/35/10 кВ «Дарагановская» для технологического присоединения жилого дома Заявителя (Смирнов А.А.) по адресу: Ростовская область, Неклиновский район, х. Дарагановка, ул. Прохладная,  д.21, к.н. 61:26:0180701:475 (ориентировочная протяженность ЛЭП 0,250 км)</t>
  </si>
  <si>
    <t>Строительство BЛ 0,4 кВ от BЛ 0,4 кВ №5 ЗТП 10/0,4 кВ №82 ВЛ 10 кВ №4 ПС 110/10 кВ «Лиманная» для технологического присоединения жилого дома Заявителя (Меняйленко С.В.) по адресу: Ростовская область, Неклиновский район, п. Сухосарматка, ул. Лесная, д. 35-Б, к.н. 61:26:0600013:1560 (ориентировочная протяженность ЛЭП 0,240 км)</t>
  </si>
  <si>
    <t>Строительство ВЛ 0,4 кВ от ВЛ 0,4 кВ №1 КТП 10/0,4 кВ №3/17 ВЛ 10 кВ №3 ПС 110/35/10 кВ «Синявская» для технологического присоединения объекта туристической отрасли Заявителя (Симонян Т.В.) по адресу: Ростовская область, Неклиновский район, х. Мержаново, пер. Дачный, д. 1-В, к.н. 61:26:0600016:1017 (ориентировочная протяженность ЛЭП 0,210 км)</t>
  </si>
  <si>
    <t>Строительство ВЛ 0,4 кВ от ВЛ 0,4 кВ № 1 КТП 10/0,4 кВ № 662 ВЛ 10 кВ № 1/3 ПС 110/358/10 кВ "Троицкая-1" для технологического присоединения жилого дома Заявителя (Котельникова Н. П.) по адресу: Ростовская область, Неклиновский район, с. Николаевка, ул. Юности, 4, к.н. № 61:26:0110101:443   (ориентировочная протяжённость ЛЭП 0,34 км)</t>
  </si>
  <si>
    <t>Строительство ВЛ 0,4 кВ от новой ТП 10/0,4 кВ, строительство ТП 10/0,4 кВ, строительство ВЛ 10 кВ от ВЛ 10 кВ №8 ПС 35/10 кВ «Куйбышево-1», для технологического присоединения объекта Заявителя Муниципальное бюджетное образовательное учреждение дополнительного образования Детско-юношеская спортивная школа, расположенного: Ростовская обл., Куйбышевский район, с. Куйбышево, ул. Пролетарская 7а к.н. 61:19:0010160:157, (ориентировочная протяженность ЛЭП 1,75 км; мощность силового трансформатора 0,16 МВА)</t>
  </si>
  <si>
    <t>Строительство  ВЛ-0,4 кВ от ВЛ-0,4 кВ №2 КТП 10/0,4 кВ №522 ВЛ-10 кВ №1/3 ПС 110/35/10 кВ "Троицкая-1" для технологического присоединения жилого дома Заявителя (Кашинсков Н.А.) по адресу: Ростовская область, Неклиновский район, с. Николаевка, ДНТ "Коммунальник", д. 86, к.н. 61:26:0513701:406  (ориентировочная протяженность ЛЭП 0,410 км)</t>
  </si>
  <si>
    <t>Строительство ВЛ 0,4 кВ от ВЛ 0,4 кВ №1 КТП 10/0,4 кВ №179 ВЛ 10 кВ №8 ПС 35/10 кВ «Покровская» для электроснабжения нежилого здания заявителя (Пасечник Ю.И.) по адресу: Ростовская обл., Неклиновский район, с. Покровское, ул. Олега Кошевого, 7-В, к.н. 61:26:0050139:104 (ориентировочная протяженность ЛЭП 0,065 км)</t>
  </si>
  <si>
    <t>Строительство ВЛ 0,4 кВ от РУ 0,4 кВ ТП 10/0,4 кВ №1-195 по ВЛ 10 кВ №1 ПС 110/35/10 кВ Чалтырь, для технологического присоединения склада Заявителя (ООО «Юг-строй») по адресу: Ростовская область, Мясниковский район, х. Ленинакан, пер. Содружества, д. 6, к.н. №61:25:0600401:14694, (ориентировочная протяженность ЛЭП 0,07 км)</t>
  </si>
  <si>
    <t>Строительство ВЛ 0,4 кВ от опоры по ВЛ 0,4 кВ №1 КТП 10/0,4 кВ №29 по ВЛ 10 кВ №4 ПС 35/10 кВ Б-Кирсановская, для технологического присоединения БССС № 2737 Заявителя (ООО «Т2 Мобайл») по адресу: Ростовская область, М-Курганский район, с. Кульбаково, 100 м на север от пер. Школьный, д.31 к.н. № 61:21:0110401:1084, (ориентировочная протяженность ВЛ 0,1 км)</t>
  </si>
  <si>
    <t>Строительство ВЛ 0,4 кВ от ВЛ 0,4 кВ №1 КТП 10/0,4 кВ №3/3 ВЛ 10 кВ №3 ПС 110/35/10 кВ «Синявская» для технологического присоединения жилого дома Заявителя (Улыбышева Е.Г.) по адресу: Ростовская область, Неклиновский район, х. Морской Чулек, ул. Красногвардейская, 17-а, к.н. 61:26:0060201:2044 (ориентировочная протяженность ЛЭП 0,05 км)</t>
  </si>
  <si>
    <t>Установка системы учета для технологического присоединения Заявителя: ООО «Суглинки» в Мясниковском районе Ростовской области (1 шт.)</t>
  </si>
  <si>
    <t>Строительство ВЛ 0,4 кВ от ВЛ 0,4 кВ №2 ТП 10/0,4 кВ №7-1 по ВЛ 10 кВ №7 ПС 35/10 кВ Петровская, для технологического присоединения Заявителей: (ИП Литвинцов Н.А., Литвинцов А.А.) по адресу: Ростовская обл. Мясниковский р-н, сл. Петровка, ул. Октябрьская (ориентировочная протяженность ЛЭП -0,12 км)</t>
  </si>
  <si>
    <t>Строительство ВЛ 0,4 кВ от опоры по ВЛ 0,4 кВ №1 ТП 10/0,4 кВ №1-126А по ВЛ 10 кВ №1 ПС 110/35/10 кВ Чалтырь, запитанной от ВЛ 10 кВ №29-35 ПС Р-29 для технологического присоединения жилого дома Заявителя (Гулиев Р.В.) по адресу: Ростовская область, Мясниковский район, х. Ленинаван, ул. Майская, д. 11, к.н. №61:25:0030202:4396 (ориентировочная протяженность ЛЭП 0,06 км)</t>
  </si>
  <si>
    <t>Строительство ВЛ 0,4 кВ от опоры по ВЛ 0,4 кВ №1 ТП 10/0,4 кВ №2-27 по ВЛ 10 кВ №2 ПС 110/35/10 кВ Чалтырь для технологического присоединения жилого дома Заявителя (Батыгян К.Л.) по адресу: Ростовская область, Мясниковский район, с. Крым, ул. Григора Бабияна, д. 48, к.н. №61:25:0600201:822 (ориентировочная протяженность ЛЭП 0,025 км)</t>
  </si>
  <si>
    <t>Строительство ВЛ 0,4 кВ от ВЛИ 0,4 кВ №1 ТП 10/0,4 кВ №6-6 по ВЛ 10 кВ №6 ПС 35/10 кВ Б.Салы, для технологического присоединения склада Заявителя: (ИП Арзуманян А.А.) по адресу: Ростовская обл. Мясниковский р-н, с. Большие Салы, ул. Крымская, д 17 к.н. 61:25:0040101:5710 (ориентировочная протяженность ЛЭП -0,08 км)</t>
  </si>
  <si>
    <t>Строительство ВЛ 0,4 кВ от опоры отпайки на ТП 10/0,4 кВ №4-40 по ВЛ 10 кВ №4 ПС 110/35/10 кВ Чалтырь, совместный подвес с ВЛИ 0,4 кВ №1 ТП 10/0,4 кВ №4-40 по ВЛ 10 кВ №4 ПС 110/35/10 кВ Чалтырь для технологического присоединения складского помещения Заявителя (ИП Бугаян Т.А.) по адресу: Ростовская область, Мясниковский район, с. Крым, ул. 2-я линия, д. 35, к.н. №61:25:0600101:150 (ориентировочная протяженность ЛЭП 0,09 км)</t>
  </si>
  <si>
    <t>Строительство ВЛ 0,4 кВ от ВЛ 0,4 кВ №2 ЗТП 10/0,4 кВ №295 ВЛ 10 кВ №4 ПС 35/10 кВ «Покровская» для технологического присоединения хозяйственных строений Заявителя (Горбанева К.Д.) по адресу: Ростовская область, Неклиновский район, с. Покровское, ул. Свердлова, 250-А, к.н. 61:26:0050128:469 (ориентировочная протяженность ЛЭП 0,15 км)</t>
  </si>
  <si>
    <t>Строительство ВЛ 0,4 кВ от опоры по ВЛ 0,4 кВ №2 КТП 10/0,4 кВ №31 по ВЛ 10 кВ №2 ПС 35/10 кВ М-Курганская для технологического присоединения ВРУ-0,38 кВ для питания гаража Заявителя (Шищенко А.Г.) по адресу: Ростовская область, М-Курганский район, п. Матвеев Курган, ул. Шолохова, д. 34, к.н.ЗУ: 61:21:0010140:754, (ориентировочная протяженность ВЛ 0,1 км.)</t>
  </si>
  <si>
    <t>Строительство ВЛ 0,4кВ от ВЛ 0,4кВ №4 ТП 6/0,4кВ №76 для технологического присоединения малоэтажной многоквартирной жилой застройки Заявителя (ИП Хруленко А.А.) по адресу: Ростовская обл., г. Таганрог, ул. Калинина, 4-а, к.н.:61:58:0005013:21 (ориентировочная протяженность ЛЭП 0,02 км)</t>
  </si>
  <si>
    <t>Строительство ВЛ 0,4кВ от ВЛ 0,4кВ №4 ТП 6/0,4кВ №76 для технологического присоединения малоэтажной многоквартирной жилой застройки Заявителя (ИП Хруленко А.А.) по адресу: Ростовская обл., г. Таганрог, ул. Калинина, 6-а, к.н.:61:58:0005013:22 (ориентировочная протяженность ЛЭП 0,02 км)</t>
  </si>
  <si>
    <t>Строительство ВЛ 0,4 кВ от РУ 0,4 кВ ТП 10/0,4 кВ №1-148 по ВЛ 10 кВ №1 ПС 110/35/10 кВ Чалтырь для технологического присоединения жилого дома Заявителя (Побудилин М.А.) по адресу: Ростовская область, Мясниковский район, х. Ленинаван, к.н. №61:25:0600401:14031, (ориентировочная протяженность ЛЭП 0,035 км)</t>
  </si>
  <si>
    <t>Строительство ВЛ 0,4 кВ от опоры по ВЛИ 0,4 кВ №2 ТП 10/0,4 кВ №7-2 по ВЛ 10 кВ №7 ПС 35/10 кВ Б. Салы для технологического присоединения жилого дома Заявителя (Оганнисян А.Г.) по адресу: Ростовская область, Мясниковский район, с. Большие Салы, ул. Танкистов, д. 33, корп. Б, к.н. №61:25:0040101:5785, (ориентировочная протяженность ЛЭП 0,06 км)</t>
  </si>
  <si>
    <t>Строительство ВЛ 0,4 кВ от РУ 0,4 кВ проектируемой ТП 10/0,4 кВ по договору № 61-1-21-00562813 от 24.03.2021 г., для технологического присоединения нежилой застройки Заявителя (Масалитина Е.А.) по адресу: Ростовская область, г. Таганрог, Николаевское шоссе, 30-Б, к.н. 61:58:0005268:212 (ориентировочная протяженность ЛЭП 0,05 км)</t>
  </si>
  <si>
    <t>Строительство ВЛ 0,4 кВ от опоры по ВЛ 0,4 кВ проектируемой по договору №61-1-20-00542383 от ВЛИ 0,4 кВ №1 ТП 10/0,4 кВ №7-44 по ВЛ 10 кВ №7 ПС 110/35/10 кВ Синявская для технологического присоединения жилого дома Заявителя (Юрченко Е.В.) по адресу: Ростовская область, Мясниковский район, х. Недвиговка, ул. Молодежная, д. 32, корп. В, к.н. №61:25:0070101:4535, (ориентировочная протяженность ЛЭП 0,02 км)</t>
  </si>
  <si>
    <t>Строительство ВЛ 0,4 кВ от опоры по ВЛ 0,4 кВ №1 ТП 10/0,4 кВ №3-102 по ВЛ 10 кВ №3 ПС 110/35/10 кВ Чалтырь для технологического присоединения нежилого здания Заявителя (ООО «ЮгАгроЗИП») по адресу: Ростовская область, Мясниковский район, с. Чалтырь, ул. Ростовская, д. 71, корп. В, к.н. №61:25:0101242:279 (ориентировочная протяженность ЛЭП 0,11 км)</t>
  </si>
  <si>
    <t>Строительство ВЛ 0,4 кВ от ВЛ 0,4 кВ №1 КТП №34м ВЛ 10 кВ №1 ПС 35/10/6 кВ «Гаевка» для технологического присоединения жилого дома Заявителя (Ланг И.Н.) по адресу: Ростовская область, Неклиновский район, х. Седых, ул. Центральная, 30-а, к.н. 61:26:0181101:646 (ориентировочная протяженность ЛЭП 0,07 км)</t>
  </si>
  <si>
    <t>Строительство ВЛ 0,4 кВ от ВЛ 0,4 кВ №2 КТП 10/0,4 кВ №44м ВЛ 10 кВ №5 ПС 35/10 кВ «Русский Колодец» для технологического присоединения жилого дома Заявителя (Решетникова Н.В.) по адресу: Ростовская область, Неклиновский район, с. Беглица, ул. Садовая, д. 2-ж, к.н. 61:26:0160401:3377 (ориентировочная протяженность ЛЭП 0,06 км)</t>
  </si>
  <si>
    <t>Строительство ВЛИ 0,4 кВ от опоры проектируемой по договору №61-1-21-00569145, запитанной от опоры по ВЛИ 0,4 кВ №1 ТП 10/0,4 кВ №2-27 по ВЛ 10 кВ №2 ПС 110/35/10 кВ Чалтырь для технологического присоединения жилого дома Заявителя (Дедушова С.А.) по адресу: Ростовская область, Мясниковский район, с. Крым, ул. Григора Бабияна, д. 46/а (ориентировочная протяженность ЛЭП 0,045 км)</t>
  </si>
  <si>
    <t>Строительство ВЛ 0,4 кВ от опоры ВЛ 0,4 кВ №3 от КТП 10/0,4кВ №130 по ВЛ 10 кВ №7 ПС 110/35/10 кВ Алексеевская, для технологического присоединения жилого дома Заявителя (Бутенко Л.П.) по адресу: Ростовская область, Матвеево-Курганский район, примерно 81 м в северо-восточном направлении с. Новоандриановка, ул. Степная 2-г, к.н. 61:21:0090401:1154 (ориентировочная протяженность ЛЭП 0,12 км)</t>
  </si>
  <si>
    <t>Строительство ВЛ 0,4 кВ от опоры по ВЛ 0,4 кВ №1 ТП №1-197 по ВЛ 10 кВ №1 ПС 110/35/10 кВ Чалтырь, для технологического присоединения нежилого помещения Заявителя (Мовсисян Р.Х.) по адресу: Ростовская область, Мясниковский район, 3-й км автодороги Ростов-на-Дону – Новошахтинск, уч. 1/2, к.н. 61:25:0600401:9527 (ориентировочная протяженность ЛЭП 0,07 км)</t>
  </si>
  <si>
    <t>Строительство ВЛ 0,4 кВ от оп. №13 ВЛ 0,4 кВ №1 КТП 10/0,4 кВ №31А ВЛ 10 кВ №4 ПС 35/10 кВ «Покровская» для технологического присоединения жилого дома Заявителя (Головченко А.А.) по адресу: Ростовская область, Неклиновский район, с. Покровское, пер. Мирный, д. 22-а, к.н. 61:26:0050134:744 (ориентировочная протяженность ЛЭП 0,1 км)</t>
  </si>
  <si>
    <t>Строительство ВЛ 0,4 кВ от  ВЛ 0,4кВ №5 ТП-268 по КЛ 6 кВ №309 ПС 35/6 кВ Т-3 для технологического присоединения нежилого здания Заявителя (ИП Безбородько С.Ю.) по адресу: Ростовская область, г. Таганрог, ул. Ленина, д. 217-а (ориентировочная протяженность ЛЭП 0,092 км)</t>
  </si>
  <si>
    <t xml:space="preserve">Строительство ВЛ 0,4 кВ от опоры, проектируемой ВЛ 0,4 кВ по договору №61-1-21-00613201 от ВЛ 0,4 кВ №1 КТП 10/0,4 кВ №34м ВЛ 10 кВ №1 ПС 35/10/6 кВ «Гаевка» для технологического присоединения жилого дома Заявителя (Гасинец Л.В.) по адресу: Ростовская область, Неклиновский район, х. Седых, ул. Центральная, д.30-Б, к.н. 61:26:0181101:647 (ориентировочная протяженность ЛЭП 0,040 км)
</t>
  </si>
  <si>
    <t>Строительство ВЛ 0,4 кВ от ВЛ 0,4 кВ № 5 ТП 6/0,4 кВ № 64 КВЛ 6 кВ № 74 ПС 35/6 кВ Т-8 для технологического присоединения жилого дома Заявителя (Ситнер С. А.) по адресу: Ростовская область, г. Таганрог, пр. 4-й Линейный, 178 к.н. 61:58:0004182:23  (ориентировочная протяженность ЛЭП 0,14 км)</t>
  </si>
  <si>
    <t>Строительство ВЛ 0,4 кВ от ВЛ 0,4 кВ № 5 ТП 6/0,4 кВ № 45 КВЛ 6 кВ № 5 ПС 110/6 кВ Т-5 для технологического присоединения модульной котельной Заявителя (МУП "Городское хозяйство") по адресу: Ростовская область, г. Таганрог, ул. Александровская, 109 (ориентировочная протяженность ЛЭП 0,22 км)</t>
  </si>
  <si>
    <t>«Строительство BJ1 0,4 кВ от опоры по BJ1 0,4 кВ №1 ТП 10/0,4 кВ №7-15 по ВЛ 10 кВ №7 ПС 110/35/10 кВ Синявская, для технологического присоединения жилых домов Заявителей (Зибаров Ю.А., Иваненко Н.И., Колесников И.А.) по адресу: Ростовская область, Мясниковский район, х. Недвиговка, ул. Железнодорожная, д. 63, 62, 63/а, к.н. 61:25:0070101:1046, 61:25:0070101:1045, 61:25:0070101:1047 (ориентировочная протяженность ЛЭП 0,22 км)»</t>
  </si>
  <si>
    <t>Установка системы учета для технологического присоединения энергопринимающих устройств Заявителя (АО «Почта России») по адресу: Ростовская область, М-Курганский район, с. Латоново, ул. Ленина, д. 65, корп. Б, к.н. 61:21:0070101:3168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</si>
  <si>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М-Курганский район, с. Анастасиевка, ул. Ленина, д. 82, к.н. 61:21:0040101:2606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</si>
  <si>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М-Курганский район, с. Малокирсановка, ул. Кутахова, д. 18, корп. Б, к.н. 61:21:0080101:2019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</si>
  <si>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М-Курганский район, с. Алексеевка, ул. Ворошилова, д. 51, к.н. 61:21:0030101:1968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</si>
  <si>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М-Курганский район, х. Большая Кирсановка, ул. Хайло, д. 78, к.н. 61:21:0110101:2165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</si>
  <si>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М-Курганский район, с. Ряженое, ул. Ленина, д. 2, корп. а, к.н. 61:21:0020101:4874 (1 шт.)</t>
  </si>
  <si>
    <t>Установка системы учета для технологического присоединения энергопринимающих устройств Заявителя (Администрация Малокирсановского сельского поселения) по адресу: Ростовская область, М-Курганский район, с. Латоново, 1м на юг от ул. Ленина, д. 44, к.н. 61:21:0070101:3587 (1 шт.)</t>
  </si>
  <si>
    <t>Установка системы учета для технологического присоединения энергопринимающих устройств Заявителя (Кудинов А.К.) по адресу: Ростовская область, М-Курганский район, п. Матвеев Курган, ул. Юго-Восточная, д. 11 к.н. 61:21:0010138:80 (1 шт.)</t>
  </si>
  <si>
    <t>Установка системы учета для технологического присоединения энергопринимающих устройств Заявителя (Федеральное государственное казенное учреждение Росгранстрой Ростовский филиал) по адресу: Ростовская область, М-Курганский район, в 18 м на восток от ориентира ул. Пограничная 20, х. Шрамко, к.н. 61:21:0060601:79 (1 шт.)</t>
  </si>
  <si>
    <t>Установка системы учета для технологического присоединения энергопринимающих устройств Заявителя (Жуков В.В.) по адресу: Ростовская область, Неклиновский район, с. Весело-Вознесенка, ул. Приреченская, д. 1Б, к.н. 61:26:0100101:499 (1 шт.)</t>
  </si>
  <si>
    <t>Установка системы учета для технологического присоединения энергопринимающих устройств Заявителя (Колиев С.В.) по адресу: Ростовская область, Неклиновский район, с. Троицкое, ул. Мельничная, д. 14, к.н. 61:26:0010101:1311 (1 шт.)</t>
  </si>
  <si>
    <t>Установка системы учета для технологического присоединения энергопринимающих устройств Заявителя (Мялкин М.А.) по адресу: Ростовская область, Неклиновский район, с. Кошкино, ул. Береговая, д. 69, к.н. 61:26:0010501:158 (1 шт.)</t>
  </si>
  <si>
    <t>Установка системы учета для технологического присоединения энергопринимающих устройств Заявителя (Тараканова А.В.) по адресу: Ростовская область, Неклиновский район, с. Русская Слободка, ул. Пушкина, д. 14, к.н. 61:26:0070201:165 (1 шт.)</t>
  </si>
  <si>
    <t xml:space="preserve">Установка системы учета для технологического присоединения энергопринимающих устройств Заявителя (Чеканенко А.И.) по адресу: Ростовская область, Неклиновский район, с. Весело-Вознесенка, ул. Социалистическая, д. 30, к.н. 61:26:0100101:5079 (1 шт.) </t>
  </si>
  <si>
    <t>Установка системы учета для технологического присоединения энергопринимающих устройств Заявителя (Даниелян Р.М.) по адресу: Ростовская область, Неклиновский район, с. Троицкое, ул. Новая, д. 2-а, к.н. 61:26:0010101:645 (1 шт.)</t>
  </si>
  <si>
    <t xml:space="preserve">Установка системы учета для технологического присоединения энергопринимающих устройств Заявителя (Егошина Л.В.) по адресу: Ростовская область, Неклиновский район, с. Николаевка, ул. Октябрьская, д. 21, к.н. 61:26:0110101:2386 (1 шт.) </t>
  </si>
  <si>
    <t>Установка системы учета для технологического присоединения энергопринимающих устройств Заявителя (Скубарев Г.Г.) по адресу: Ростовская область, Неклиновский район, с. Новобессергеневка, ул. Космонавтов, д. 20, к.н. 61:26:0180301:1002 (1 шт.)</t>
  </si>
  <si>
    <t>Установка системы учета для технологического присоединения энергопринимающих устройств Заявителя (Миначева Н.Н.) по адресу: Ростовская область, Неклиновский район, с. Бессергеновка, ул. Луговая, д. 78-А, к.н. 61:26:0040201:679 (1 шт.)</t>
  </si>
  <si>
    <t>Установка системы учета для технологического присоединения энергопринимающих устройств Заявителя (Трегубов И.Л.) по адресу: Ростовская область, Неклиновский район, с. Лотошники, пер. Веселый, д. 14, к.н. 61:26:0090401:33 (1 шт.)</t>
  </si>
  <si>
    <t>Установка системы учета для технологического присоединения энергопринимающих устройств Заявителя (Андриенко Ю.В.) по адресу: Ростовская область, Неклиновский район, с. Николаевка, ул. Советская, д. 25-А, к.н. 61:26:0110101:9265 (1 шт.)</t>
  </si>
  <si>
    <t>Установка системы учета для технологического присоединения энергопринимающих устройств Заявителя (ИП Саркисян Г.Г.) по адресу: Ростовская область, Неклиновский район, с. Николаевка, СНТ Альбатрос, д. 279, к.н. 61:26:0514201:42 (1 шт.)</t>
  </si>
  <si>
    <t>Установка системы учета для технологического присоединения энергопринимающих устройств Заявителя (Сабитов О.Н.) по адресу: Ростовская область, Неклиновский район, х. Седых, ул. Центральная, д. 9, к.н. 61:26:0181101:5 (1 шт.)</t>
  </si>
  <si>
    <t>Установка системы учета для технологического присоединения энергопринимающих устройств Заявителя (Саргсян М.С.) по адресу: Ростовская область, Неклиновский район, с. Вареновка, ул. Партизанская, д. 87-А, к.н. 61:26:0040101:5571 (1 шт.)</t>
  </si>
  <si>
    <t>Установка системы учета для технологического присоединения энергопринимающих устройств Заявителя (ООО «Автодор») по адресу: Ростовская область, Неклиновский район, с. Натальевка, пост ГИБДД, 98 км а/д Ростов-на-Дону – Таганрог – граница Украины, к.н. 61:26:0600011:146 (1 шт.)</t>
  </si>
  <si>
    <t>Установка системы учета для технологического присоединения энергопринимающих устройств Заявителя (Мищенко Д.Г.) по адресу: Ростовская область, Неклиновский район, с. Николаевка, ул. Сигма, д. 22, к.н. 61:26:0512801:5 (1 шт.)</t>
  </si>
  <si>
    <t>Установка системы учета для технологического присоединения энергопринимающих устройств Заявителя (Уразгильдеева Н.И.) по адресу: Ростовская область, Неклиновский район, с. Гаевка, ул. Набережная, д. 34-а, к.н. 61:26:0160301:2473 (1 шт.)</t>
  </si>
  <si>
    <t>Установка системы учета для технологического присоединения энергопринимающих устройств Заявителя (Заруба Н.В.) по адресу: Ростовская область, Неклиновский район, с. Христофоровка, ул. Пушкина, д. 44, к.н. 61:26:0070301:10 (1 шт.)</t>
  </si>
  <si>
    <t>Установка системы учета для технологического присоединения энергопринимающих устройств Заявителя (Ладыгин А.Л.) по адресу: Ростовская область, Неклиновский район, п. Золотая Коса, ул. Новаторов, д. 10, к.н. 61:26:0071001:786 (1 шт.)</t>
  </si>
  <si>
    <t>Установка системы учета для технологического присоединения энергопринимающих устройств Заявителя (Сиваев А.А.) по адресу: Ростовская область, Неклиновский район, с. Носово, ул. Мира, д. 46, 
к.н. 61:26:0150101:1803 (1 шт.)</t>
  </si>
  <si>
    <t>Установка системы учета для технологического присоединения энергопринимающих устройств Заявителя (ИП Геворгян П.В.) по адресу: Ростовская область, Неклиновский район, 47км+50м а/д Ростов н/д –Таганрог, к.н. 61:26:0600015:719 (1 шт.)</t>
  </si>
  <si>
    <t>Установка системы учета для технологического присоединения энергопринимающих устройств Заявителей (Дереберя А.А) по адресу: Ростовская область, Неклиновский район с. Новобессергеневка, ул. Лескова д.3 (1 шт.)</t>
  </si>
  <si>
    <t>Установка системы учета для технологического присоединения энергопринимающих устройств Заявителя (ИП Ефремова А.И.) по адресу: Ростовская область, Неклиновский район с. Николаевка, ул. Ленина, д.160 к.н. 61:26:0110101:10038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</si>
  <si>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Неклиновский район, с. Федоровка, ул. Ленина, д. 42, к.н. 61:26:0140101:89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</si>
  <si>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Неклиновский район, х. Красный Десант, ул. Октябрьская, д. 13, пом. 8-11,16, к.н. 61:26:0070101:2225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</si>
  <si>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Неклиновский район, с. Лакедемоновка, ул. Ленина, д. 50, к.н. 61:26:0160101:2258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</si>
  <si>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 Договор № 61-1-21-00611067 от 30.03.2022),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</si>
  <si>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 61-1-21-00611035 от 30.03.2022г.), Ростовской области (1 шт)</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</si>
  <si>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(Договор № 61-1-21-00612145 от 05.04.2022),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</si>
  <si>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 61-1-21-00611065 от 05.04.2022), Ростовской области (1 шт)</t>
  </si>
  <si>
    <t>Установка системы учета для технологического присоединения энергопринимающих устройств Заявителя (Общество с ограниченной ответственностью Специализированный Застройщик Перспектива) адресу: Ростовская область, г. Таганрог, ул. С. Шило, 265 (1 шт.)</t>
  </si>
  <si>
    <t>Установка системы учета для технологического присоединения энергопринимающих устройств Заявителя (ИП Ткачева С.В.) адресу: Ростовская область, г. Таганрог, ул. Греческая, д.58-а, к.н. 61:58:0001115:382 ( 1 шт.)</t>
  </si>
  <si>
    <t>Установка системы учета для технологического присоединения энергопринимающих устройств Заявителя (Мадатов Э.М.о.) адресу: Ростовская область, г. Таганрог, ул. Рассветная, 16/пер. 9-й Мариупольский, д. 19, к.н. 61:58:0005228:287 ( 1 шт.)</t>
  </si>
  <si>
    <t>Установка системы учета для технологического присоединения энергопринимающих устройств Заявителя (Ильина С.А.) по адресу: Ростовская область, г. Таганрог, ул. Надежды Сигиды, 1-1, ДНТ «Орешек», уч. № 91, к.н. 61:58:0007037:91 (1 шт.)</t>
  </si>
  <si>
    <t>Установка системы учета для технологического присоединения энергопринимающих устройств Заявителя (Лифарев С.В.) по адресу: Ростовская область, г. Таганрог,  ул. Надежды Сигиды, 1-1, ДНТ «Орешек», уч. № 182, к.н. 61:58:0007446:84 (1 шт.)</t>
  </si>
  <si>
    <t>Установка системы учета для технологического присоединения энергопринимающих устройств Заявителя (Меер И.В) по адресу: Ростовская область, г. Таганрог, пер. 4-й Мариупольский, д. 16, к.н. 61:58:0005216:35 (1 шт.)</t>
  </si>
  <si>
    <t>Установка системы учета для технологического присоединения энергопринимающих устройств Заявителя (ООО Лечебно-диагностический центр «Нейрон») по адресу: Ростовская область, г. Таганрог, ул. Свободы, д. 19а, к.н. 61:58:0000000:5645 (1 шт.)</t>
  </si>
  <si>
    <t>Установка системы учета для технологического присоединения энергопринимающих устройств Заявителя (Белых Л.Н.) по адресу: Ростовская область, г. Таганрог, Северо-западное Шоссе, д. 1-в,  СНТ «Дачное-3», уч. №27, к.н. 61:58:0006051:109 (1 шт.</t>
  </si>
  <si>
    <t>Установка системы учета для технологического присоединения энергопринимающих устройств Заявителя (Лядова Ю.Н.) по адресу: Ростовская область, г. Таганрог, 18-й Переулок, д. 34, к.н. 61:58:0002189:193 (1 шт.)</t>
  </si>
  <si>
    <t>Установка системы учета для технологического присоединения энергопринимающих устройств Заявителя (ИП Хруленко А.А.) по адресу: Ростовская область, г. Таганрог, ул. Энгельса, д. 134, к.н. 61:58:0001135:6 (1 шт.)</t>
  </si>
  <si>
    <t>Установка системы учета для технологического присоединения энергопринимающих устройств Заявителя (ИП Хруленко А.А.) по адресу: Ростовская область, г. Таганрог, ул. Энгельса, 10/пер. Добролюбовский, д. 40, к.н. 61:58:0001059:20 (1 шт.)</t>
  </si>
  <si>
    <t>Установка системы учета для технологического присоединения энергопринимающих устройств Заявителя (Мисюра Д.А.) по адресу: Ростовская область, г. Таганрог, около пер. 21-й Мариупольский, д. 2 (95), к.н. 61:58:0005257:95 (1 шт.)</t>
  </si>
  <si>
    <t>Установка системы учета для технологического присоединения энергопринимающих устройств Заявителя (Щусь А.В.) по адресу: Ростовская область, г. Таганрог, ул. Дачная, к.н. 61:58:0004217:302 (1 шт.)</t>
  </si>
  <si>
    <t>Установка системы учета для технологического присоединения энергопринимающих устройств Заявителя (ИП Штода С.В.) по адресу: Ростовская область, г. Таганрог, ул. Свободы, д. 20, к.н. 61:58:0002248:233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</si>
  <si>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по адресу: Ростовская область, г. Таганрог, ул. Дзержинского (между ул. Фрунзе и Привокзальная Площадь), около ул. Дзержинского, д. 140, к.н. 61:58:0003277:1587 (1 шт.)</t>
  </si>
  <si>
    <t>«Установка системы учета для технологического присоединения энергопринимающих устройств Заявителя (ООО «ПраймТелеком Юг») по адресу: Ростовская область, г. Таганрог, около ул. Ленина, д.222а, (1 шт.)</t>
  </si>
  <si>
    <t>Установка системы учета для технологического присоединения энергопринимающих устройств Заявителя (Гришачкина М.В.) по адресу: Ростовская область, г. Таганрог, ул. Капитана Кравцова, д. 8, к.н. 61:58:0003240:34 (1 шт.)</t>
  </si>
  <si>
    <t>Установка системы учета для технологического присоединения энергопринимающих устройств Заявителя (Калюжный А.В.) по адресу: Ростовская область, г. Таганрог, ул. Ломакина, д. 35, к.н. 61:58:0001116:500, 61:58:0001116:76 (1 шт.)</t>
  </si>
  <si>
    <t>Установка системы учета для технологического присоединения энергопринимающих устройств Заявителя (ИП Егиазарян Л.Г.) по адресу: Ростовская область, г. Таганрог, ул. Осипенко, д. 66-а, к.н. 61-61-42/015/2005-645 (1 шт.)</t>
  </si>
  <si>
    <t>Установка системы учета для технологического присоединения энергопринимающих устройств Заявителя (ООО «Атлант») по адресу: Ростовская область, г. Таганрог, ул. Сызранова, д. 25 (к.н. 61:58:0005267:818)</t>
  </si>
  <si>
    <t>Установка системы учета для технологического присоединения энергопринимающих устройств Заявителя (Еременко Б.П.) по адресу: Ростовская область, г. Таганрог, ул. Дачная, к.н. 61:58:0004217:308 (1 шт.)</t>
  </si>
  <si>
    <t>Установка системы учета для технологического присоединения энергопринимающих устройств Заявителя (ГСК «Таганрогстрой») по адресу: Ростовская область, г. Таганрог, ул. Ленина, 226-2, к.н. 61:58:0003233:11 (1 шт.)</t>
  </si>
  <si>
    <t>Установка системы учета для технологического присоединения энергопринимающих устройств Заявителя (ИП Иванкович Э.В.) по адресу: Ростовская область, г. Таганрог, пер. Гоголевский, д. 29а, (к.н. 61:58:0000000:44440, 61:58:0001165:35)</t>
  </si>
  <si>
    <t>Установка системы учета для технологического присоединения энергопринимающих устройств Заявителя (Ширяева Л.И.) по адресу: Ростовская область, г. Таганрог, пер. Антона Глушко, д.27, к.н. 61:58:0001108:319 (1 шт.)</t>
  </si>
  <si>
    <t>Установка системы учета для технологического присоединения энергопринимающих устройств Заявителя (ИП Самохвалов Д.В.) по адресу: Ростовская область, г. Таганрог, ул. Антона Глушко, 32, (к.н. 61:58:0001124:469)</t>
  </si>
  <si>
    <t>Установка системы учета для технологического присоединения энергопринимающих устройств Заявителя (ИП Халилов Турал Видади Оглы) по адресу: Ростовская область, г. Таганрог, ул. Щаденко, д. 60, к.н. 61:58:0003391:35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</si>
  <si>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по адресу: Ростовская область, г. Таганрог, ул. Морозова (между ул. Дзержинского и ул. Шаумяна), к.н. 61:58:0000000:47542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</si>
  <si>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по адресу: Ростовская область, г. Таганрог, ул. Турубаровых, на участке от д. 95 по ул. Турубаровых до ул. Москатова, около ул. Щаденко, д. 80 (к.н. 61:58:0000000:47567)</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</si>
  <si>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по адресу: Ростовская область, г. Таганрог, участок трамвайной линии от д. 37 по ул. Морозова до д. 26 по ул. Зои Космодемьянской, около ул. Морозова, д.3 7-2, (к.н. 61:58:0000000:47533)</t>
  </si>
  <si>
    <t>Установка системы учета для технологического присоединения энергопринимающих устройств Заявителя (Свинобаев Н.Н.) по адресу: Ростовская область, г. Таганрог, территория ДНТ «Мир», участок №166, к.н. 61:58:0005189:1021, (1 шт.)</t>
  </si>
  <si>
    <t>Установка системы учета для технологического присоединения энергопринимающих устройств Заявителя (ИП Динчари З.В. ) по адресу: Ростовская область, г. Таганрог, ул. Кузнечная, 239, к.н. объекта: 61:58:0000000:43759 (1шт.)</t>
  </si>
  <si>
    <t>Установка системы учета для технологического присоединения энергопринимающих устройств Заявителя (Сидоренко Ю.В. ) по адресу: Ростовская область, г. Таганрог, пер. Донской, д. 49, к.н. земельного участка: 61:58:0001099:85 (1шт.)</t>
  </si>
  <si>
    <t>Установка системы учета для технологического присоединения энергопринимающих устройств Заявителя (Бадасян Р.Г.) по адресу: Ростовская область, Мясниковский район, х. Ленинаван, ул. Ленина, д. 3/б, к.н. 61:25:0030202:3214 (1 шт.)</t>
  </si>
  <si>
    <t>Установка системы учета для технологического присоединения энергопринимающих устройств Заявителя (Курбатов А.Л.) по адресу: Ростовская область, Мясниковский район, х. Ленинаван, ул. Октябрьская, д. 5/1, к.н. 61:25:0600401:16253 (1 шт.)</t>
  </si>
  <si>
    <t>Установка системы учета для технологического присоединения энергопринимающих устройств Заявителя (Паламарчук П.А.) по адресу: Ростовская область, Мясниковский район, с. Большие Салы, ул. Согласия, д. 12, к.н. 61:25:0600501:1749 (1 шт.)</t>
  </si>
  <si>
    <t>Установка системы учета для технологического присоединения энергопринимающих устройств Заявителя (Казакевич Е.А.) по адресу: Ростовская область, Мясниковский район, с. Крым, ул. Ленина, д. 62, к.н. 61:25:0201024:528 (1 шт.)</t>
  </si>
  <si>
    <t>Установка системы учета для технологического присоединения энергопринимающих устройств Заявителя (Хатламаджиян Т.Т.) по адресу: Ростовская область, Мясниковский район, с. Чалтырь, ул. Крестьянская, д. 24, к.н. 61:25:0600601:1328 (1 шт.)</t>
  </si>
  <si>
    <t>Установка системы учета для технологического присоединения энергопринимающих устройств Заявителя (Шишкин С.С.) по адресу: Ростовская область, Мясниковский район, х. Ленинаван, ул. Кавказская, д. 16/в, к.н. 61:25:0030202:3253 (1 шт.)</t>
  </si>
  <si>
    <t>Установка системы учета для технологического присоединения энергопринимающих устройств Заявителя (Закинян Ю.Д.) по адресу: Ростовская область, Мясниковский район, с. Чалтырь, ул. 6-я линия, д. 62/б к.н. 61:25:0101317:197 (1 шт.)</t>
  </si>
  <si>
    <t>Установка системы учета для технологического присоединения энергопринимающих устройств Заявителя (Булгурян В.Л.) по адресу: Ростовская область, Мясниковский район, с. Чалтырь, ул. Красноармейская, д. 150, к.н. 61:25:0600601:1135 (1 шт.)</t>
  </si>
  <si>
    <t xml:space="preserve">Установка системы учета для технологического присоединения энергопринимающих устройств Заявителя (Гилязов Е.Л.) по адресу: Ростовская область, Мясниковский район, х. Хапры, ул. Свободы, д. 20, к.н. 61:25:0600601:1654 (1 шт.) </t>
  </si>
  <si>
    <t>Установка системы учета для технологического присоединения энергопринимающих устройств Заявителя (Дурасанян Т.Р.) по адресу: Ростовская область, Мясниковский район, с. Большие Салы, ул. Конституции, д. 1/е, к.н. 61:25:0040101:4886 (1 шт.)</t>
  </si>
  <si>
    <t>Установка системы учета для технологического присоединения энергопринимающих устройств Заявителя (ИП Бабахов В.А.) по адресу: Ростовская область, Мясниковский район, с. Чалтырь, ул. 7-я линия, д. 27/б, к.н. 61:25:0101106:148 (1 шт.)</t>
  </si>
  <si>
    <t>Установка системы учета для технологического присоединения энергопринимающих устройств Заявителя (Алексанян С.М.) по адресу: Ростовская область, Мясниковский район, с. Крым, ул. 3-я линия, д. 5, к.н. 61:25:0201016:710 (1 шт.)</t>
  </si>
  <si>
    <t>Установка системы учета для технологического присоединения энергопринимающих устройств Заявителя (Дымкевич М.С.) по адресу: Ростовская область, Мясниковский район, с. Чалтырь, ул. Плодородная, д. 18,  к.н. 61:25:0600601:1210 (1 шт.)</t>
  </si>
  <si>
    <t>Установка системы учета для технологического присоединения энергопринимающих устройств Заявителя (Кочергина К.В.) по адресу: Ростовская область, Мясниковский район, х. Красный Крым, ул. Братьев Баян, д. 72,  к.н. 61:25:0600401:14880 (1 шт.)</t>
  </si>
  <si>
    <t>Установка системы учета для технологического присоединения энергопринимающих устройств Заявителя (Лещенко И.Ю.) по адресу: Ростовская область, Мясниковский район, с. Чалтырь, ул. Плодородная, д. 20,  к.н. 61:25:0600601:1211 (1 шт.)</t>
  </si>
  <si>
    <t>Установка системы учета для технологического присоединения энергопринимающих устройств Заявителя (Малевин В.Н.) по адресу: Ростовская область, Мясниковский район, с. Большие Салы, ул. 26 Бакинских Комиссаров, д. 11/в,  к.н. 61:25:0040101:6101 (1 шт.)</t>
  </si>
  <si>
    <t>Установка системы учета для технологического присоединения энергопринимающих устройств Заявителя (МБУЗ «ЦРБ») по адресу: Ростовская область, Мясниковский район, х. Веселый, ул. Новая, д. 5/д,  к.н. 61:25:0060101:2923 (1 шт.)</t>
  </si>
  <si>
    <t>Установка системы учета для технологического присоединения энергопринимающих устройств Заявителя (АО «Первая Башенная Компания») по адресу: Ростовская область, Мясниковский район, с. Александровка 2-я, ул. Комсомольская, д. 1/а, к.н. 61:25:0080201:594 (1 шт.)</t>
  </si>
  <si>
    <t>Установка системы учета для технологического присоединения энергопринимающих устройств Заявителя (Погосян О.С.) по адресу: Ростовская область, Мясниковский район, с. Крым, ул. Октябрьская, д. 65/а,  к.н. 61:25:0201008:253 (1 шт.)</t>
  </si>
  <si>
    <t>Установка системы учета для технологического присоединения энергопринимающих устройств Заявителя (Попенко М.В.) по адресу: Ростовская область, Мясниковский район, х. Красный Крым, ул. Пушкинская, д. 63, к.н. 61:25:0600401:16370 (1 шт.)</t>
  </si>
  <si>
    <t>Установка системы учета для технологического присоединения энергопринимающих устройств Заявителя (Сайченко И.В.) по адресу: Ростовская область, Мясниковский район, с. Чалтырь, ул. Налбандяна, д. 36/б, к.н. 61:25:0101517:42 (1 шт.)</t>
  </si>
  <si>
    <t xml:space="preserve">Установка системы учета для технологического присоединения энергопринимающих устройств Заявителя (Сафарян Э.Ф.) по адресу: Ростовская область, Мясниковский район, с. Чалтырь, ул. Красноармейская, д. 80, к.н. 61:25:0101602:112 (1 шт.) </t>
  </si>
  <si>
    <t>Установка системы учета для технологического присоединения энергопринимающих устройств Заявителя (Хатламаджиян Р.С.) по адресу: Ростовская область, Мясниковский район, с. Чалтырь, ул. Мец-Чорвах, д. 116/б, к.н. 61:25:00101206:417 (1 шт.)</t>
  </si>
  <si>
    <t>Установка системы учета для технологического присоединения энергопринимающих устройств Заявителя (Хохлачёва Е.А.) по адресу: Ростовская область, Мясниковский район, х. Красный Крым, ул. Пшеничная, д. 10/а, к.н. 61:25:0600401:18632 (1 шт.)</t>
  </si>
  <si>
    <t>Установка системы учета для технологического присоединения энергопринимающих устройств Заявителя (Шаповалова Е.В.) по адресу: Ростовская область, Мясниковский район, х. Красный Крым, ул. Юбилейная, д. 26/а,  к.н. 61:25:0600401:17613 (1 шт.)</t>
  </si>
  <si>
    <t>Установка системы учета для технологического присоединения энергопринимающих устройств Заявителя (Шония Т.В.) по адресу: Ростовская область, Мясниковский район, х. Красный Крым, ул. Молодежная, д. 28/а,  к.н. 61:25:0030101:2102 (1 шт.)</t>
  </si>
  <si>
    <t xml:space="preserve">Установка системы учета для технологического присоединения энергопринимающих устройств Заявителя (Гайбарян С.Г.) по адресу: Ростовская область, Мясниковский район, с. Чалтырь, ул. Салых-Су, д. 6,  к.н. 61:25:0101509:3 (1 шт.) </t>
  </si>
  <si>
    <t>Установка системы учета для технологического присоединения энергопринимающих устройств Заявителя (Гайбарян М.Л.) по адресу: Ростовская область, Мясниковский район, с. Чалтырь, ул. Ленина, д. 46,  к.н. 61:25:0101121:49 (1 шт.)</t>
  </si>
  <si>
    <t>Установка системы учета для технологического присоединения энергопринимающих устройств Заявителя (Калугян О.А.) по адресу: Ростовская область, Мясниковский район, с. Чалтырь, ул. Тащияна, д. 138,  к.н. 61:25:0600601:1277 (1 шт.)</t>
  </si>
  <si>
    <t>Установка системы учета для технологического присоединения энергопринимающих устройств Заявителя (Пиджикян Д.С.) по адресу: Ростовская область, Мясниковский район, с. Чалтырь, ул. Тащияна, д. 48/и,  к.н. 61:25:0101602:862 (1 шт.)</t>
  </si>
  <si>
    <t>Установка системы учета для технологического присоединения энергопринимающих устройств Заявителя (Письменная Т.Б.) по адресу: Ростовская область, Мясниковский район, х. Красный Крым, ул. Юбилейная, д. 26/в, к.н. 61:25:0600401:17611 (1 шт.)</t>
  </si>
  <si>
    <t xml:space="preserve">Установка системы учета для технологического присоединения энергопринимающих устройств Заявителя (Ерохина А.А.) по адресу: Ростовская область, Мясниковский район, х. Красный Крым, ул. Звездная, д. 40,  к.н. 61:25:0600401:9353 (1 шт.) </t>
  </si>
  <si>
    <t>Установка системы учета для технологического присоединения энергопринимающих устройств Заявителя (Назаретян А.Х.) по адресу: Ростовская область, Мясниковский район, с. Крым, ул. 12-я линия, д. 5/б,  к.н. 61:25:0201012:285 (1 шт.)</t>
  </si>
  <si>
    <t xml:space="preserve">Установка системы учета для технологического присоединения энергопринимающих устройств Заявителя (Налбандян Г.Н.) по адресу: Ростовская область, Мясниковский район, х. Красный Крым, ул. 2-я Молодежная, д. 21,  к.н. 61:25:0030101:156 (1 шт.) </t>
  </si>
  <si>
    <t>Установка системы учета для технологического присоединения энергопринимающих устройств Заявителя (Пащенко Е.В.) по адресу: Ростовская область, Мясниковский район, х. Ленинаван, ул. Шаумяна, д. 25/б,  к.н. 61:25:0030202:3502 (1 шт.)</t>
  </si>
  <si>
    <t>Установка системы учета для технологического присоединения энергопринимающих устройств Заявителя (Будагян С.Р.) по адресу: Ростовская область, Мясниковский район, с. Чалтырь, ул. Западная, д. 92,  к.н. 61:25:0101602:254 (1 шт.)</t>
  </si>
  <si>
    <t>Установка системы учета для технологического присоединения энергопринимающих устройств Заявителя (Глобенко Д.Н.) по адресу: Ростовская область, Мясниковский район, х. Красный Крым,  к.н. 61:25:0600401:13201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</si>
  <si>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Мясниковский район, х. Недвиговка, ул. Ченцова, д. 7, к.н. 61:25:0070101:4203 (1 шт.)</t>
  </si>
  <si>
    <t>Установка системы учета для технологического присоединения заявителя ИП Сарибекян Аветик Володяевич по адресу: Ростовская область, Неклиновский район, с. Самбек, ул. Береговая, д. 2-г, к.н. 61:26:0020101:1181 (1шт.)</t>
  </si>
  <si>
    <t>Установка системы учета для технологического присоединения Заявителя (ИП Касьянов А.В.) по адресу: Ростовская область, Мясниковский район, х. Ленинакан, ул. Торговый проспект, д. 15, к.н. 61:25:0600401:14709. (1шт.)</t>
  </si>
  <si>
    <t>Установка системы учета для технологического присоединения Заявителя (ИП Сахаджиян Н.Г.) по адресу: Ростовская область, Мясниковский район, с. Чалтырь</t>
  </si>
  <si>
    <t>Установка системы учета для технологического присоединения Заявителя (Парфинюк Н.П.) по адресу: Ростовская область, Мясниковский район, х. Ленинакан, ул. Торговый проспект, д. 1/а, к.н. 61:25:0600401:16518. (1шт.)</t>
  </si>
  <si>
    <t>Установка системы учета для технологического присоединения энергопринимающих устройств Заявителя (ИП Мовсесян А.Б.) по адресу: Ростовская область, Мясниковский район, с. Чалтырь, ул. Гагарина, д. 40, к.н. 61:25:0101222:134 (1 шт.)</t>
  </si>
  <si>
    <t>Строительство системы учета для технологического присоединения энергопринимающих устройств Заявителей: ИП Годагарян А.Ф., Михалко И.В., ИП Малаян Р.Г., в Матвеево Курганском районе Ростовской области</t>
  </si>
  <si>
    <t>Строительство системы учета для технологического присоединения энергопринимающих устройств Заявителей: Назаров Н.В., Цуркану М.В., в Матвеево Курганском районе Ростовской области</t>
  </si>
  <si>
    <t>Строительство системы учета для технологического присоединения энергопринимающих устройств Заявителей: Администрация Малокирсановского сельского поселения, ИП Темирханова Е.С, Лаврухин С.Н., в Матвеево Курганском районе Ростовской области</t>
  </si>
  <si>
    <t>Строительство системы учета для технологического присоединения энергопринимающих устройств Заявителей: Иващенко В.С., в Матвеево Курганском районе Ростовской области</t>
  </si>
  <si>
    <t>Строительство системы учета для технологического присоединения энергопринимающих устройств Заявителей: Местная религиозная организация православный приход храма великомученика Георгия Победоносца с. Ряженое М-Курганского района Ростовской области религиозной организации "Ростовская на Дону Епархия Русской православной церкви Московский патриархат., в Матвеево Курганском районе Ростовской области</t>
  </si>
  <si>
    <t>Установка системы учета для технологического присоединения энергопринимающих устройств Заявителя: Полякова О.А., в Матвеево Курганском районе Ростовской области (1 шт)</t>
  </si>
  <si>
    <t>Установка системы учета для технологического присоединения энергопринимающих устройств Заявителей: Новацкий Н.А., Лебедь Н.С., Ничипко Д.Н., Васина Г.П. в Матвеево Курганском районе Ростовской области (4 шт)</t>
  </si>
  <si>
    <t>Установка системы учета для технологического присоединения энергопринимающих устройств Заявителей: Администрация Матвеево-Курганского района, Беджанян Л.Г., в Матвеево Курганском районе Ростовской области – 2 шт.</t>
  </si>
  <si>
    <t>Строительство ВЛ 0,4 кВ от опоры по ВЛ 0,4 кВ №1 ТП 10/0,4 кВ №7-7 по ВЛ 10 кВ №7 ПС 110/35/10 кВ Синявская для технологического присоединения жилого дома Заявителя (Павлюк Н.И.) по адресу: Ростовская область, Мясниковский район, х. Недвиговка, ул. Молодежная, д. 20/а, к.н. №61:25:0070101:1083 (ориентировочная протяженность ЛЭП 0,18 км)</t>
  </si>
  <si>
    <t>Установка системы учета для технологического присоединения энергопринимающих устройств Заявителя: Чередников С.А., в Матвеево Курганском районе Ростовской области – 1 шт.</t>
  </si>
  <si>
    <t>Строительство ВЛ 0,4 кВ от ВЛ 0,4 кВ проектируемой по договору 
№ 61-1-19-00443791 от 07.06.2019 от РУ 0,4 кВ ТП 10/0,4 кВ №1-207 по ВЛ 10 кВ №1 ПС 110/35/10 кВ Чалтырь, для технологического присоединения нежилого помещения Заявителя: (Маноле И.И.) по адресу: Ростовская обл. Мясниковский р-н, х. Ленинаван, ул. Садовая, д 11/4 к.н. 61:25:0600401:9578 (ориентировочная протяженность ЛЭП -0,15 км)</t>
  </si>
  <si>
    <t>Строительство ВЛ 0,4 кВ от РУ 0,4 кВ ТП 10/0,4 кВ, строительство ТП 10/0,4 кВ, строительство ВЛ 10 кВ от опоры по ВЛ 10 кВ №12 ПС 110/35/10 кВ Чалтырь, для технологического присоединения магазина Заявителя: (ИП Экизян С.З.), по адресу: Мясниковский район, с. Чалтырь, ул. Туманяна, уч. 1, к.н 61:25:0101512:134 (ориентировочная протяженность ЛЭП 0,12 км; мощность силового трансформатора – 0,16 МВА)</t>
  </si>
  <si>
    <t>Строительство системы учета для технологического присоединения энергопринимающих устройств Заявителей: «Бурделя В.В., Костенко М.М., в Матвеево Курганском районе Ростовской области</t>
  </si>
  <si>
    <t>Строительство системы учета для технологического присоединения энергопринимающих устройств Заявителей: Зайцев Р.С., в Матвеево Курганском районе Ростовской области</t>
  </si>
  <si>
    <t>Строительство системы учета для технологического присоединения энергопринимающих устройств Заявителей: ИП Богомаз Ю.Ю., Сарычев Д.Ю.</t>
  </si>
  <si>
    <t>Строительство системы учета для технологического присоединения энергопринимающих устройств Заявителей: МУК «Большекирсановский сельский дом культуры» Большекирсановского сельского поселения Матвеево Курганского района, Моисеев С.Ю., в Матвеево Курганском районе Ростовской области</t>
  </si>
  <si>
    <t>Строительство системы учета для технологического присоединения энергопринимающих устройств Заявителей: ООО «Дружба», Мукиенко В.А., ИП Юн М.Ю., в Матвеево Курганском районе Ростовской области</t>
  </si>
  <si>
    <t>Строительство системы учета для технологического присоединения энергопринимающих устройств Заявителей: «Ступников Г.М., Горохова О.А., ИП Ворошнина Л.И.,в Матвеево Курганском районе Ростовской области</t>
  </si>
  <si>
    <t>Строительство системы учета для технологического присоединения энергопринимающих устройств Заявителей: ИП Кондрашов И.Л., Муниципальное бюджетное учреждение М-Курганского р-на «Центр социального обслуживания граждан пожилого возраста и инвалидов», Чуйков М.В., в Матвеево Курганском районе Ростовской области</t>
  </si>
  <si>
    <t>Установка системы учета для технологического присоединения энергопринимающих устройств Заявителей: Администрация Екатериновского сельского поселения, в Матвеево Курганском районе Ростовской области (2 шт.)</t>
  </si>
  <si>
    <t>Установка системы учета для технологического присоединения энергопринимающих устройств Заявителя: Беззубяк А.И., ИП Шиленко Е.К., в Матвеево Курганском районе Ростовской области – 2 шт</t>
  </si>
  <si>
    <t>Установка системы учета для технологического присоединения энергопринимающих устройств Заявителя: Бурделя В.Н., в Матвеево Курганском районе Ростовской области – 1 шт.</t>
  </si>
  <si>
    <t>Строительство ВЛ 0,4 кВ от РУ 0,4 кВ ТП 10/0,4 кВ, строительство ТП 10/0,4 кВ, строительство ВЛ 10 кВ от ВЛ 10 кВ №1 ПС 110/35/10 кВ Чалтырь, отпайки на ТП 10/0,4 кВ №1-38А для технологического присоединения жилых домов Заявителей: (Курбанов М.К., Гаджибаев М.Э., Алиева С.М., Габибуллаев А.И., Акопян А.Р. Шубина С.Н., Гаджифейтуллаева Б.Г., Алиева М.Г., Гаджибалаева Д.С., Масимова Э.З., Масимов К.Т.) (ориентировочная протяженность ЛЭП 1,05 км; мощность силового трансформатора – 250 кВА)</t>
  </si>
  <si>
    <t>Установка системы учета для технологического присоединения энергопринимающих устройств Заявителя: Симко А.П., в Матвеево Курганском районе Ростовской области – 1 шт.</t>
  </si>
  <si>
    <t>Установка системы учета для технологического присоединения энергопринимающих устройств Заявителя: Бугаев С.Н., в Матвеево Курганском районе Ростовской области – 1 шт.</t>
  </si>
  <si>
    <t>Строительство ВЛ 10 кВ от ВЛ 10 кВ №2 ПС 110/10 кВ «Самбек», строительство КВЛ 10 кВ от ВЛ 10 кВ №5 ПС 110/10 кВ «Самбек» для технологического присоединения очистных сооружений Заявителя: (МКУ НР «УКС»), по адресу: Ростовская область, Неклиновский район, с. Самбек, ул. Спортивная, 4, к.н. 61:58:0600015:3818 (ориентировочная протяженность ЛЭП 6,8 км)</t>
  </si>
  <si>
    <t>Строительство системы учета для технологического присоединения энергопринимающих устройств Заявителей:Головенко А.Ю., Дмитриев Ю.П., Рубан Е.Д., Чепель А.А., Близнюк Р.В., Сливина И.Г., Гежа И.В., Головнев В.Г., Земцова Е.В., Иванцов Д.Н., Ковалев В.А. в Неклиновском районе Ростовской области</t>
  </si>
  <si>
    <t>Строительство системы учета для технологического присоединения энергопринимающих устройств Заявителя Никитин Н.Н. по адресу Куйбышевский р-н, с. Куйбышево, ул. Театральная, д. 110 к. н. 61:19:0010152:25</t>
  </si>
  <si>
    <t>Строительство системы учета для технологического присоединения энергопринимающих устройств Заявителей: Сергиенко А.Ю., МБУЗ «ЦРБ» Неклиновского района, Агеенко К.Е., Кузнецов И.П., Железняк А.М., Мирошникова А.М., Клись Ю.Ю., Федорова М.К. в Неклиновском районе Ростовской области</t>
  </si>
  <si>
    <t>«Строительство системы учета для технологического присоединения энергопринимающих устройств Заявителей: Гончарова О.В., Морозов В.Н., Волченко Г.Б., Морозов Н.А., Ганжа Т.С., Пудышева А.Ю.  в Неклиновском районе Ростовской области»</t>
  </si>
  <si>
    <t>«Строительство системы учета для технологического присоединения энергопринимающих устройств Заявителей: Еговцова Л.М., Мирошникова О.И., Шевнина Е.Г., Рогачев А.В., Арутюнян А.В., Васильева И.С., Пермяков Д.А. в Мясниковском районе Ростовской области»</t>
  </si>
  <si>
    <t>«Строительство системы учета для технологического присоединения энергопринимающих устройств Заявителей: Аблиганец Э.Я., Гурин Н.А., Кашевская Д.А., Иванова Н.Г., ИП Супрунова Е.Е., Котельников Г.А.  в Неклиновском районе Ростовской области»</t>
  </si>
  <si>
    <t>Строительство системы учета для технологического присоединения энергопринимающих устройств Заявителя: Лысинский В.В. в г. Таганроге, Ростовской области</t>
  </si>
  <si>
    <t>Строительство системы учета для технологического присоединения энергопринимающих устройств Заявителя: ООО «ПраймТелеком Юг» в г.Таганроге, Ростовской области</t>
  </si>
  <si>
    <t>Строительство системы учета для технологического присоединения энергопринимающих устройств Заявителей: Долгошеева Е.Ю., Уздемиров И.В., ИП Капуста А.Д., Лаптева Т.М., Едуш А.Н., Дергачев А.Е., Галицкий С.И., Бойко А.С., Бабкина И.А., Закарая Д.Т., Соболев А.В., Сердюкова И.Н., Бадаев В.В. в Неклиновском районе Ростовской области</t>
  </si>
  <si>
    <t>Строительство системы учета для технологического присоединения энергопринимающих устройств Заявителей: ООО «ГЕРМЕС-ТЕЛЕКОМ», Гасанов А.А.О. в г.Таганроге, Ростовской области</t>
  </si>
  <si>
    <t>Строительство системы учета для технологического присоединения энергопринимающих устройств Заявителей: Ташлыкова М.В., Нелепова З.В., Ливашова О.С., Грушко Я.Г., Сементин В.И., Тарасюк Р.А. в Неклиновском районе Ростовской области</t>
  </si>
  <si>
    <t>Строительство системы учета для технологического присоединения энергопринимающих устройств Заявителей: Стуканев А.Н., Соколов Г.Ю., Конутенко К.С., Литманский С.В., Донченко Ю.Н., в г.Таганроге, Ростовской области</t>
  </si>
  <si>
    <t>Строительство системы учета для технологического присоединения энергопринимающих устройств Заявителей: Волосковец Д.С., Леухин В.П., Джамалов М.С.О., Лозован В.Н., Дедух М.А., Савченко А.С. в Неклиновском районе Ростовской области</t>
  </si>
  <si>
    <t>Строительство системы учета для технологического присоединения энергопринимающих устройств Заявителей: Кружков Т.А., Цой В.Н., Речицкий В.Д., Юрченко Г.И., Муртузалиев К.С. в Неклиновском районе Ростовской области</t>
  </si>
  <si>
    <t>Установка системы учета для технологического присоединения энергопринимающих устройств Заявителей: Мажаров С.В., Гасанов А.И., Матвеева Е.В., Гирагосян Г.К., Елатонцева Е.Н., Хошафян С.Н., Нифонтов А.В., Жмырко С.А., Федоренко В.А., Таран Д.А.  в Мясниковском районе Ростовской области (10 шт)</t>
  </si>
  <si>
    <t>Установка системы учета для технологического присоединения энергопринимающих устройств Заявителей: Назаренко И.В., Кибкало М.А., Штайнмец Р.А., Брунер В.Ю., Зиновьева М.Б., Кочарян В.А., Чебыкина Е.В. в Неклиновском районе Ростовской области (7 шт)</t>
  </si>
  <si>
    <t>Установка системы учета для технологического присоединения энергопринимающих устройств Заявителя: ИП Лыкова В.Н. в г.Таганроге, Ростовской области (1 шт)</t>
  </si>
  <si>
    <t>Строительство системы учета для технологического присоединения энергопринимающих устройств Заявителей: Итенберг Е.В., Зуев И.М., Березина Т.В., в г.Таганроге, Ростовской области</t>
  </si>
  <si>
    <t>Установка системы учета для технологического присоединения энергопринимающих устройств Заявителей: Хруленко А.А., ИП Самойлова Н.В., Олефиренко С.А., Снаговская О.Н., Петров И.А., Волошеин И.В., Гребельный А.Н., Глебов В.Е., Кистанов Е.В, Рябенко О.А., Шимаров А.Ю., Коптев А.А., Усаева Л.И., Гринжевский В.В., Усаева Л.И., Борцова И.Г., Завизион Л.А. в Неклиновском районе Ростовской области (17 шт)</t>
  </si>
  <si>
    <t>Строительство системы учета для технологического присоединения энергопринимающих устройств Заявителей: Овчарова Е.С., Гребенников А.Н., Пашкина Г.А., Чеботарева Г.А., Савчук Е.А., Зеленская Н.Я., Шмыкова Л.А. в г. Таганроге, Ростовской области</t>
  </si>
  <si>
    <t>Строительство системы учета для технологического присоединения энергопринимающих устройств Заявителя: ИП Романенко М.Б., в г. Таганроге, Ростовской области</t>
  </si>
  <si>
    <t>Установка системы учета для технологического присоединения энергопринимающих устройств Заявителей: Петраковская А.К., Хавранян А.О., Степикин В.В., Хатламаджиян Г.А., Рыжков Н.Н., Беляков В.В., Келешян К.Х., Стрельникова Т.А., Копосова Л.А., Горюнов А.А., Коновалова Ю.А., Седых С.А., Дорошенко Н.И., Кулаков А.А., Козориз Р.А., Берекчиян Х.В., Теснозуб А.А. в Мясниковском районе Ростовской области (17 шт.)</t>
  </si>
  <si>
    <t>Строительство системы учета для технологического присоединения энергопринимающих устройств Заявителей: Яновская Г.В., Малинская Н.Н., Тороп М.А., Акинина Н.А., Грищенко Т.М., в г.Таганроге, Ростовской области</t>
  </si>
  <si>
    <t>Установка системы учета для технологического присоединения энергопринимающих устройств Заявителей: Карапетян Э.С., Колянчук Т.Н., Бакаева Р.Р., Макаренко В.В., Мирзоян А.В., Крохмаленко Е.А., Немичев Н.В., Нагдалян М.О., Тикунова Е.В., Мащенко С.А., Петинская А.В., Бабиян Г.С., Сафарян А.А., Шаникова О.С., Пучков О.А., Дубинин О.П., Исраелян Э.К., Асланян Д.А., Подольский Д.О., Бабаков С. А., Солодовникова С.В., Тютюнник С.Ю., Мануйлов И.И., Арсененков С.Ю., ИП Беньяминов А.В., Песцова Г.Б., ИП Манучарян Г.А., Алексанян З.А. в Мясниковском районе Ростовской области (28 шт.)</t>
  </si>
  <si>
    <t>Установка системы учета для технологического присоединения энергопринимающих устройств Заявителя: ИП Баранников Ю.Г. в г. Таганроге, Ростовской области (1 шт)</t>
  </si>
  <si>
    <t>Установка системы учета для технологического присоединения энергопринимающих устройств Заявителя Баранов М.С. в Куйбышевском районе Ростовской области (1 шт)</t>
  </si>
  <si>
    <t>Установка системы учета для технологического присоединения энергопринимающих устройств Заявителя: Турбина Н.А. в Мясниковском районе Ростовской области (1 шт.)</t>
  </si>
  <si>
    <t>Установка системы учета для технологического присоединения энергопринимающих устройств Заявителей: ИП Кравченко С.Н. в г. Таганроге, Ростовской области (1 шт)</t>
  </si>
  <si>
    <t>Установка системы учета для технологического присоединения энергопринимающих устройств Заявителей: Пеков С.А., Атоян Р.С., Ерохина Э.В., Костюк Л.Ю., Чекрыгина М.В., Далалян Г.Э. в Мясниковском районе Ростовской области (7 шт.)</t>
  </si>
  <si>
    <t>Установка системы учета для технологического присоединения энергопринимающих устройств Заявителей: Овчаров А.В., Дивнич А.А., Едуш П.П., Потик Н.Н.  в Неклиновском районе Ростовской области (4 шт.).</t>
  </si>
  <si>
    <t>Установка системы учета для технологического присоединения энергопринимающих устройств Заявителя: ИП Абалян Д.С.  в Неклиновском районе Ростовской области (1 шт.).</t>
  </si>
  <si>
    <t>Установка системы учета для технологического присоединения энергопринимающих устройств Заявителя: ИП Диченко А.Г. в г. Таганроге, Ростовской области (1 шт)</t>
  </si>
  <si>
    <t>Установка системы учета для технологического присоединения энергопринимающих устройств Заявителей Хижняк В.С., Павлюкова С.А. в Куйбышевском районе Ростовской области (2 шт)</t>
  </si>
  <si>
    <t>Установка системы учета для технологического присоединения энергопринимающих устройств Заявителей: Ковалев В.С., Горобец В.Л., Мартиросова Ф.Л., Ткачев А.И., Русанов Д.С., Яппаров Р.И., Черняева Е.Б., Галуза А.Ю.  в Неклиновском районе Ростовской области (8 шт.).</t>
  </si>
  <si>
    <t>Установка системы учета для технологического присоединения энергопринимающих устройств Заявителей: Стулин А.Н., Айдинян А.Э., Демерджиев А.Б., Бобоев Б.Х. в Мясниковском районе Ростовской области (4 шт.)</t>
  </si>
  <si>
    <t>Установка системы учета для технологического присоединения энергопринимающих устройств Заявителей: Кошелев Р.С., Дядюра Н.А., в Матвеево Курганском районе Ростовской области – 2 шт.</t>
  </si>
  <si>
    <t>Установка системы учета для технологического присоединения энергопринимающих устройств Заявителей: Таганрогский Торговый Потребительский Кооператив   в Неклиновском районе Ростовской области (1 шт.)</t>
  </si>
  <si>
    <t>Установка системы учета для технологического присоединения энергопринимающих устройств Заявителей: Овсянникова Т.Д., Рудаков А.И.  в Неклиновском районе Ростовской области (2 шт.).</t>
  </si>
  <si>
    <t>Установка системы учета для технологического присоединения энергопринимающих устройств Заявителей: ИП Волченко А.А., Хачатрян Н.Р., Бокарев Д.С.  в Неклиновском районе Ростовской области (3 шт.).</t>
  </si>
  <si>
    <t>Установка системы учета для технологического присоединения энергопринимающих устройств Заявителей: Дзиваян М.В., Дзиваян А.А., Акопян М.А., Бурлуцкий А.А., Крохмаленко А.М., Немцова И.Ю., Панжиев А.В., Цатурян В.А., Карапетян А.С., Павлов А.С., Губанов А.Н., Налбандян С.С., Назаретян Т.А. в Мясниковском районе Ростовской области (13 шт.)</t>
  </si>
  <si>
    <t>Установка системы учета для технологического присоединения энергопринимающих устройств Заявителя: ООО «Автограф» в Мясниковском районе Ростовской области (1 шт.)</t>
  </si>
  <si>
    <t>Установка системы учета для технологического присоединения энергопринимающих устройств Заявителя Гамова Ю.В.  в г.Таганроге, Ростовской области (1 шт)</t>
  </si>
  <si>
    <t>Установка системы учета для технологического присоединения энергопринимающих устройств Заявителя: Коваленко В.С. в г. Таганроге, Ростовской области (1 шт)</t>
  </si>
  <si>
    <t>Установка системы учета для технологического присоединения энергопринимающих устройств Заявителей: Костин Н.В., Заика Л.В., Шевчук Н.П., в Матвеево Курганском районе Ростовской области – 3 шт.</t>
  </si>
  <si>
    <t>Установка системы учета для технологического присоединения энергопринимающих устройств Заявителя: Колесник Г.В. в г. Таганроге, Ростовской области (1 шт)</t>
  </si>
  <si>
    <t>Установка системы учета для технологического присоединения энергопринимающих устройств Заявителя: ИП Черватюк В.В. в г. Таганроге, Ростовской области (1 шт)</t>
  </si>
  <si>
    <t>Установка системы учета для технологического присоединения энергопринимающих устройств Заявителя: Игитян Г.П., в Матвеево Курганском районе Ростовской области – 1 шт.</t>
  </si>
  <si>
    <t>Установка системы учета для технологического присоединения энергопринимающих устройств Заявителя: ИП Казимиров И.В., в Матвеево Курганском районе Ростовской области – 1 шт.</t>
  </si>
  <si>
    <t>Установка системы учета для технологического присоединения энергопринимающих устройств Заявителя: Духанин В.М. в г. Таганроге, Ростовской области (1 шт)</t>
  </si>
  <si>
    <t>Установка системы учета для технологического присоединения энергопринимающих устройств Заявителя: ООО «Проммонтаж» в Неклиновском районе Ростовской области (1 шт.).</t>
  </si>
  <si>
    <t>Установка системы учета для технологического присоединения энергопринимающих устройств Заявителя: ИП Антипов А.А. в г. Таганроге, Ростовской области (1 шт)</t>
  </si>
  <si>
    <t>Установка системы учета для технологического присоединения энергопринимающих устройств Заявителя: Червякова Л.В., Гросс Б.Л. в Матвеево Курганском районе Ростовской области – 2 шт.</t>
  </si>
  <si>
    <t>Установка системы учета для технологического присоединения энергопринимающих устройств Заявителя: ООО «Раздолье» в Неклиновском районе Ростовской области (1 шт.).</t>
  </si>
  <si>
    <t>Установка системы учета для технологического присоединения энергопринимающих устройств Заявителей: ИП Панкова Е.В. в г. Таганроге, Ростовской области (1 шт)</t>
  </si>
  <si>
    <t>Установка системы учета для технологического присоединения энергопринимающих устройств Заявителей: Осадчий А.Н., Захарченко А.П., в Матвеево Курганском районе Ростовской области – 2 шт.</t>
  </si>
  <si>
    <t>Установка системы учета для технологического присоединения энергопринимающих устройств Заявителя: Весенин А.В. в г. Таганроге, Ростовской области (1 шт)</t>
  </si>
  <si>
    <t>Установка системы учета для технологического присоединения энергопринимающих устройств Заявителя: Прокопенко И.И. в г. Таганроге, Ростовской области (1 шт)</t>
  </si>
  <si>
    <t>Установка системы учета для технологического присоединения энергопринимающих устройств Заявителей: Анцифиров В.Н., Горшков С.Ю., в Матвеево Курганском районе Ростовской области – 2 шт</t>
  </si>
  <si>
    <t>Установка системы учета для технологического присоединения энергопринимающих устройств Заявителя: ООО «Простая кухня» в г. Таганроге, Ростовской области (1 шт)</t>
  </si>
  <si>
    <t>Установка системы учета для технологического присоединения энергопринимающих устройств Заявителя: Камнев Сергей Владимирович в г. Таганроге, Ростовской области (1 шт)</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</si>
  <si>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(1 шт) -(61-1-21-00591123)</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</si>
  <si>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(1 шт) -(61-1-21-00591621)</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</si>
  <si>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(1 шт) -(61-1-21-00592213)</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</si>
  <si>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(1 шт) -(61-1-21-00592537)</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</si>
  <si>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(1 шт) -(61-1-21-00592843)</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</si>
  <si>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(1 шт) -(61-1-21-00592845)</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</si>
  <si>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(1 шт) -(61-1-21-00593013)</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</si>
  <si>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(1 шт) -(61-1-21-00593379)</t>
  </si>
  <si>
    <t>Установка системы учета для технологического присоединения энергопринимающих устройств Заявителей: Лялькина В.А., Урецкий О.Ю., Гречишников В.В., Маноле О.П., Асцатрян Л.С., Берекчиян М.А., Щаева Д.Д., Килафян А.А., Моисеенко Э.С., Скорикова Е.С. в Мясниковском районе Ростовской области (10 шт.)</t>
  </si>
  <si>
    <t>Строительство системы учета для технологического присоединения энергопринимающих устройств Заявителей: ООО «Авиатор», Литвинова З.Г., Думич А.А. в Неклиновском районе Ростовской области</t>
  </si>
  <si>
    <t>Строительство системы учета для технологического присоединения энергопринимающих устройств Заявителя Долгополов А.М., расположенных Ростовская обл., р-н. Куйбышевский, с. Куйбышево, ул. Калинина, д. 26</t>
  </si>
  <si>
    <t>Строительство системы учета для технологического присоединения энергопринимающих устройств Заявителей: Берекчиян В.К., Скоба С.В., Солянкин А.Н., Шахмурадян Г.В., Чубаров А.М., Черанев А.С., Вавилов А.А., Лебедев С.С., Ковалев А.В., Белый А.Ю., Прокофьева Н.Э., Ушакова Ю.А. в Мясниковском районе Ростовской области</t>
  </si>
  <si>
    <t>Строительство системы учета для технологического присоединения энергопринимающих устройств Заявителей: Галицкая Л.П., Булгакова В.П, Михалев С.Г., Пучков Д.Д., Шелист И.А., Хрипунов В.В., Грачев А.И.  в Неклиновском районе Ростовской области</t>
  </si>
  <si>
    <t>Строительство системы учета для технологического присоединения энергопринимающих устройств Заявителей: Кудашева Е.А., ИП Свиридов В.П., ИП Ващенко И.А., в г.Таганроге, Ростовской области</t>
  </si>
  <si>
    <t>Строительство системы учета для технологического присоединения энергопринимающих устройств Заявителей: Семак С.В., Аветисян Г.Р., Яковлев А.В., Коробков А.А., Лисоченко О.М., Мелихова М.Е., Тороп Д.В., Маштак Р.А., Крымов О.А., Беньяминов Д.С.  в Неклиновском районе Ростовской области</t>
  </si>
  <si>
    <t>Строительство системы учета для технологического присоединения энергопринимающих устройств Заявителей: Барыкин Е.М., Путулян Л.Л., Меликян С.К., Безменов А.А., Ковтунова В.А., Новиков С.С., Ишангалиев Ф.А., Дорошенко Н.И., Габриелян А.Г., Дзиваян М.А., Мариненков А.В., Хачатрян А.М., Парибек В.В., Пусенков А.В., Изосимова А.А., Какорина А.В., Сердюк Д.С., Микоян А.А., Крупина А.В., Кукса А.А., Арзуманян Б.М., Хантимерян К.Р., Алексанян А.А., Голубева Е.А., Хараян А.Э., Максименко Е.Е., Таран Е.И., Богданова Е.А., Серов А.В., Понимаш С.А., Абовян Г.А., Секизян С.Е., Бабиев Г.К., Магирина Л.К., Колесникова М.А.  в Мясниковском районе Ростовской области» (35 шт)</t>
  </si>
  <si>
    <t>Установка системы учета для технологического присоединения энергопринимающих устройств Заявителей: Администрация Неклиновского района, Кушнаренко Г.С. в Неклиновском районе Ростовской области (4 шт.)</t>
  </si>
  <si>
    <t>Установка системы учета для технологического присоединения энергопринимающих устройств Заявителей: Баранов В.Л., Цындра Д.А., Рожков А.В. в Неклиновском районе Ростовской области (3 шт.).</t>
  </si>
  <si>
    <t>Установка системы учета для технологического присоединения энергопринимающих устройств Заявителей: Гладунова Т.В., Сорокина А.С., Братухин Д.А. в Неклиновском районе Ростовской области (3 шт.)</t>
  </si>
  <si>
    <t>Установка системы учета для технологического присоединения энергопринимающих устройств Заявителей: Коржов А.Н., Пантелеева М.А., в Неклиновском районе Ростовской области (2 шт)</t>
  </si>
  <si>
    <t>Установка системы учета для технологического присоединения энергопринимающих устройств Заявителей: Лабурцев Р.В., Татаренков А.А., ИП Черепанов О.А. в г.Таганроге, Ростовской области (3 шт)</t>
  </si>
  <si>
    <t>Установка системы учета для технологического присоединения энергопринимающих устройств Заявителей: Лещенко С.С., Глазунов А.Г., Деркачева В.В. в Неклиновском районе Ростовской области (3 шт)</t>
  </si>
  <si>
    <t>Установка системы учета для технологического присоединения энергопринимающих устройств Заявителей: ПраймТелеком ЮГ, Стеблов А.А.  в г. Таганроге, Ростовской области (2 шт)</t>
  </si>
  <si>
    <t>Установка системы учета для технологического присоединения энергопринимающих устройств Заявителей: Сыроватский В.М., Скляренко И.П., Кузнецова Т.О. в г.Таганроге, Ростовской области (3 шт)</t>
  </si>
  <si>
    <t>Установка системы учета для технологического присоединения энергопринимающих устройств Заявителей: Анохина Н.В., Кудряшов В.А. в г. Таганроге, Ростовской области (2 шт)</t>
  </si>
  <si>
    <t>Установка системы учета для технологического присоединения энергопринимающих устройств Заявителя Каркалев Н.И. в Куйбышевском районе Ростовской области (1 шт)</t>
  </si>
  <si>
    <t>Установка системы учета для технологического присоединения энергопринимающих устройств Заявителя Трушникова Н.Е. в Неклиновском районе Ростовской области (1 шт.)</t>
  </si>
  <si>
    <t>Установка системы учета для технологического присоединения энергопринимающих устройств Заявителя: ИП Бабенко Ю.И. в г. Таганроге, Ростовской области (1 шт)</t>
  </si>
  <si>
    <t>Установка системы учета для технологического присоединения энергопринимающих устройств Заявителей: Шатова И.Л., Однороб С.В., Кедыч А.В., Корбут Н.А., Латиш А., Латиш Д. Багаджиян С.В., Медведева Т.Н., Миличенко А.В., Исаков В.В., Демьянов А.О., Коновалова Т.Г., Берданова В.Н., Кузьмина Е.Ю., Арзуманян С.Г., Бадальянц С.М., Ваць М.В.  в Мясниковском районе Ростовской области (17 шт.)</t>
  </si>
  <si>
    <t>Установка системы учета для технологического присоединения энергопринимающих устройств Заявителей: Агаджанова Э.В., Биатова Е.В., ИП Коннов А. в Неклиновском районе Ростовской области (3 шт.)</t>
  </si>
  <si>
    <t>Установка системы учета для технологического присоединения энергопринимающих устройств Заявителей: Алексанян Т.А., Кочарян Г.А., Ковылин Г.Н., Бочко В.В., Семенченко С.А., Адамян М.С., Соковая К.С., Дюргерян М.К., Беленков А.П., Балабанян О.В., Васильченко Ю.О.  в Мясниковском районе Ростовской области (13 шт.)</t>
  </si>
  <si>
    <t>Установка системы учета для технологического присоединения энергопринимающих устройств Заявителей: Анненко А.И., Кивик А.А., Худолеев В.В., Прудникова О.Н., Рякина А.С., Хечоян Г.А., Харахашян И.А., Скоков А.А., Авакян Г.С., Князькова Т.В., ИП Бабахов В.А., Лапотанова Л.Ю., Клименкова О.Х., Ованесов Д.К., Насибян А.А., Садовничья З.А., Климович С.Г., Кутилина А.С., Командина Е.А., Багринцев Д.А., Бардачев А.С., ТСЖ «КП Приозерье», Хачатрян С.С., Хантимерян О.А., Грекова И.А., Хочхарян О.Х., Прокопенко А.Р., Кротова А.П., Семенченко О.В., Бахарь Е.В. в Мясниковском районе Ростовской области (30 шт.)</t>
  </si>
  <si>
    <t>Установка системы учета для технологического присоединения энергопринимающих устройств Заявителей: Волкова Н.Н., Ткаченко Е.Б., Болдякова М.Н., Киракосян А.С., Кузьменко И.Ю. в Неклиновском районе Ростовской области (5 шт.)</t>
  </si>
  <si>
    <t>Установка системы учета для технологического присоединения энергопринимающих устройств Заявителей: ИП Гукасян Х.Ф., Тугушев М.Р., Шевченко Л.А., Шевченко М.А., Багдасарян Р.Ц., Акопян А.А., Козаченко В.А., ИП Закинян Ю.Д., Микоян А.А., Мардян Н.А., Оланян С.О., Чориян Х.А., Сущенко Е.В., Пудова Ю.И., Хатламаджиян Г.А., Шклярская Я.В. в Мясниковском районе Ростовской области (17 шт.)</t>
  </si>
  <si>
    <t>Установка системы учета для технологического присоединения энергопринимающих устройств Заявителей: ИП Колупаев Г.А., Нимовец А.В., Смирнова Т.Г., Смирнова Т.Г., Федотова М.В., Ткачук Д.О., Миняйлов А.Г., Исаджанян А.З., Шарганов Н.Ю., Захаров М.Б., Минько В.В., Сухомлинов Н.Н., Филипенко Э.Г., Сулина Е.Г, Разинкова А.В., Короткова Ю.Н., Саркисян Н.Г. в Неклиновском районе Ростовской области (17 шт)</t>
  </si>
  <si>
    <t>Установка системы учета для технологического присоединения энергопринимающих устройств Заявителей: Кабалян А.К, Лаптев А.В., Харламенков А.С., Темирханова Н.К., Колотев Г.М.,  ООО «Аметис»,  Васильченко Н.А. в Неклиновском районе Ростовской области (7 шт)</t>
  </si>
  <si>
    <t>Установка системы учета для ТП энергопринимающих устройств: Кривова М.В., Шапошникова Е.В., Малородная В.И., Сычев В.Н.,Римский Е.П.</t>
  </si>
  <si>
    <t>Установка системы учета для технологического присоединения энергопринимающих устройств Заявителей: Панюхина Н.М, Помазанова Е.В., Колесников Г.Д., Данькина И.В., Кузьменко Е.Т., Хырмызы Н.Н. в Неклиновском районе Ростовской области (6 шт)</t>
  </si>
  <si>
    <t>Установка системы учета для технологического присоединения энергопринимающих устройств Заявителей: Петракова Н.Н., Козловский С.А., Лопаткин А.В., Швалева Н.А., Карауш Е.Ю., Лопатюк Г.В., ИП Архипенко В.В. в Неклиновском районе Ростовской области (7 шт)</t>
  </si>
  <si>
    <t>Установка системы учета для технологического присоединения энергопринимающих устройств Заявителей: Печерская И.С., Бабицкий О.В., ИП Порядин А.М., Мазуренко М.К., Бутина А.Я., Магомедова А.Т., Коротков П.А., Бондаренко Ю.С., Богатова О.Г.  в Неклиновском районе Ростовской области (9 шт)</t>
  </si>
  <si>
    <t>Установка системы учета для технологического присоединения энергопринимающих устройств Заявителей: Снисаренко Л.Н., ИП Ключко А.В., Петров А.О., Поважный А.А., Ефименко Д.П. в Неклиновском районе Ростовской области (5 шт)</t>
  </si>
  <si>
    <t>Установка системы учета для технологического присоединения энергопринимающих устройств Заявителей: Экизян З.Д., Мирзаян К.А., Исаков В.В., Тур О.Г., Беликов М.В., Пузина О.А., Париева Е.О., Пикуль Е.Н., Зубков А.А. в Мясниковском районе Ростовской области (9 шт.)</t>
  </si>
  <si>
    <t>Строительство системы учета для технологического присоединения энергопринимающих устройств Заявителей Забродний А.В., Диденко Л.А расположенных в Куйбышевском районе Ростовской области</t>
  </si>
  <si>
    <t>Строительство системы учета для технологического присоединения энергопринимающих устройств Заявителей Скилевая Т.Ю, Мелкумян В.З. в Куйбышевском районе Ростовской области</t>
  </si>
  <si>
    <t>Установка системы учета для технологического присоединения энергопринимающих устройств Заявителя Ульмасов Р.Е. в Куйбышевском районе Ростовской области (1 шт)</t>
  </si>
  <si>
    <t>Установка системы учета для технологического присоединения энергопринимающих устройств Заявителя Министерство транспорта Ростовской области в Куйбышевском районе Ростовской области (1 шт)</t>
  </si>
  <si>
    <t>Установка системы учета для технологического присоединения энергопринимающих устройств Заявителя Горохова Е.П. в Куйбышевском районе Ростовской области (1 шт)</t>
  </si>
  <si>
    <t>Установка системы учета для технологического присоединения энергопринимающих устройств Заявителей Матвиенко А.Н., Борцов П.В. в Куйбышевском районе Ростовской области (2 шт)</t>
  </si>
  <si>
    <t>Установка системы учета для технологического присоединения энергопринимающих устройств Заявителя Гречко Н.М. по адресу Ростовская обл., р-н. Куйбышевский, с. Куйбышево, ул. Театральная, д. 87 (1 шт)</t>
  </si>
  <si>
    <t>Установка системы учета для технологического присоединения энергопринимающих устройств Заявителя Литовченко Р.В. по адресу Ростовская обл., Куйбышевский район, х. Новая Надежда, ул. Новая, д. 29 (1шт)</t>
  </si>
  <si>
    <t>Установка системы учета для технологического присоединения энергопринимающих устройств Заявителя МУЗ «ЦРБ Куйбышевского района» по адресу Ростовская обл., Куйбышевский район, с. Куйбышево, ул. Миусская, д. 3 (1 шт)</t>
  </si>
  <si>
    <t>Установка системы учета для технологического присоединения энергопринимающих устройств Заявителя ИП Пикалов С.А. по адресу Ростовская обл., Куйбышевский район, с. Куйбышево, ул. Крутоярская, 13/1 (1 шт)</t>
  </si>
  <si>
    <t>Установка системы учета для технологического присоединения энергопринимающих устройств Заявителя Зинченко Н.В. по адресу Ростовская обл., Куйбышевский район, с. Куйбышево, ул. Пушкинская, д.17 (1шт)</t>
  </si>
  <si>
    <t>на выполнение проектной и рабочей документации
Установка системы учета для технологического присоединения энергопринимающих устройств Заявителя (Яковенко И.Л.) по адресу: Ростовская область, Куйбышевский район, с. Куйбышево, ул. Дьяковская, д. 2, к.н. 61:19:0010126:14 (1 шт.)</t>
  </si>
  <si>
    <t>Установка системы учета для технологического присоединения энергопринимающих устройств Заявителя (ПАО «Ростелеком») по адресу: Ростовская область, Куйбышевский район, с. Новиковка (1 шт.)</t>
  </si>
  <si>
    <t>Установка системы учета для технологического присоединения энергопринимающих устройств Заявителя (ПАО «Ростелеком») по адресу: Ростовская область, Куйбышевский район, с. Русское (1 шт.)</t>
  </si>
  <si>
    <t>Установка системы учета для технологического присоединения энергопринимающих устройств Заявителя Ключиков В.В. по адресу Ростовская обл., Куйбышевский район, с. Новиковка, ул. Победы, д. 28б, к.н. 61:19:0050401:683 (1шт).</t>
  </si>
  <si>
    <t>Установка системы учета для технологического присоединения энергопринимающих устройств Заявителя (Еременко А.В.) по адресу Ростовская обл., р-н. Куйбышевский, х. Новоольховский, севернее х. Новоольховский к.н: 61:19:0600005:1555 (1шт)</t>
  </si>
  <si>
    <t>Установка системы учета для технологического присоединения энергопринимающих устройств Заявителя (Еременко О.В.) по адресу Ростовская обл., р-н. Куйбышевский, с. Куйбышево, ул. Пролетарская, д.180, к.н: 61:19:0010192:10 (1шт).</t>
  </si>
  <si>
    <t>Установка системы учета для технологического присоединения энергопринимающих устройств Заявителя (Литвинов П.В.) по адресу Ростовская обл., р-н. Куйбышевский, с. Куйбышево, ул. Театральная, д. 77-в, к.н: 61:19:0010138:282 (1шт)</t>
  </si>
  <si>
    <t>Установка системы учета для технологического присоединения энергопринимающих устройств Заявителя (Пруглова В.Д.) по адресу Ростовская обл., р-н. Куйбышевский, с. Куйбышево, ул. Мало-Садовая, д. 31, к.н: 61:19:0010147:7 (1шт)</t>
  </si>
  <si>
    <t>Установка системы учета для технологического присоединения энергопринимающих устройств Заявителя (ООО «Лека») по адресу Ростовская обл., Куйбышевский р-н, х. Ясиновский, к.н: 61:19:0600002:1148 (1шт)</t>
  </si>
  <si>
    <t>Установка системы учета для технологического присоединения энергопринимающих устройств Заявителя (Орлов В.С.) по адресу Ростовская обл., Куйбышевский р-н, с. Куйбышево, ул. Свободы, д. 7, к.н: 61:19:0010153:3 (1шт)</t>
  </si>
  <si>
    <t>на выполнение проектной и рабочей документации
Установка системы учета для технологического присоединения энергопринимающих устройств Заявителя (Чернобай Г.Д.) по адресу Ростовская обл., р-н. Куйбышевский, с. Новоспасовка, ул. Северная, д. 12, к.н: 61:19:0030401:91 (1шт)</t>
  </si>
  <si>
    <t>Установка системы учета для технологического присоединения энергопринимающих устройств Заявителя (КХ «Деметра») по адресу: Ростовская область, Куйбышевский район х. Новоивановский, к.н: 61:19:0600001:112 (1 шт.)</t>
  </si>
  <si>
    <t>Установка системы учета для технологического присоединения энергопринимающих устройств Заявителя (Семенцов С.А.) по адресу: Ростовская область, Куйбышевский район, с. Куйбышево, ул. Кузьменко, д. 38, к.н. 61:19:0010137:23 (1 шт.)</t>
  </si>
  <si>
    <t>Установка системы учета для технологического присоединения энергопринимающих устройств Заявителя (Власова И.А.) по адресу: Ростовская обл., Куйбышевский р-н., с. Куйбышево, ул. Дмитриевская, д. 93, к.н: 61:19:0010109:3 (1 шт.)</t>
  </si>
  <si>
    <t>Установка системы учета для технологического присоединения энергопринимающих устройств Заявителя (Маслова Г.В.) по адресу: Ростовская обл., Куйбышевский р-н., с. Куйбышево, ул. Дмитриевская, д. 53а, к.н: 61:19:0010109:338 (1 шт.)</t>
  </si>
  <si>
    <t>Установка системы учета для технологического присоединения энергопринимающих устройств Заявителя (АО "Почта России") по адресу: Ростовская обл., Куйбышевский р-н., с. Лысогорка, ул. Кооперативная, д. 12, к.н: 61:19:0030101:810 (1 шт.)</t>
  </si>
  <si>
    <t>Установка системы учета для технологического присоединения энергопринимающих устройств Заявителя (АО "Почта России") по адресу: Ростовская обл., Куйбышевский р-н., х. Новая Надежда, ул. Советская, д. 3 (1 шт.)</t>
  </si>
  <si>
    <t>Установка системы учета для технологического присоединения энергопринимающих устройств Заявителя (АО "Почта России") по адресу: Ростовская обл., Куйбышевский р-н., х. Кринично-Лугский, ул. Молодежная, д. 28, к.н: 61:19:0000000:556 (1 шт.)</t>
  </si>
  <si>
    <t>Установка системы учета для технологического присоединения энергопринимающих устройств Заявителя: Высоцкая Н.С., Чередникова Е.Н., в Матвеево Курганском районе Ростовской области – 2 шт.</t>
  </si>
  <si>
    <t>Установка системы учета для технологического присоединения энергопринимающих устройств Заявителя: Ивлев И.И., в Матвеево Курганском районе Ростовской области – 1 шт.</t>
  </si>
  <si>
    <t>Установка системы учета для технологического присоединения энергопринимающих устройств Заявителей: Михайленко А.А., в Матвеево Курганском районе Ростовской области – 1 шт.</t>
  </si>
  <si>
    <t>Установка системы учета для технологического присоединения энергопринимающих устройств Заявителей: Русина М.В., в Матвеево Курганском районе Ростовской области – 1 шт.</t>
  </si>
  <si>
    <t>Установка системы учета для технологического присоединения энергопринимающих устройств Заявителей: Потеенок Н.А., в Матвеево Курганском районе Ростовской области – 1 шт.</t>
  </si>
  <si>
    <t xml:space="preserve">Установка системы учета для технологического присоединения энергопринимающих устройств Заявителей: Гриценко Н.А, Ткаченко А.В., в Матвеево Курганском районе Ростовской области – 2 шт. </t>
  </si>
  <si>
    <t>Установка системы учета для технологического присоединения энергопринимающих устройств Заявителя: Новичихина О.В., в Матвеево Курганском районе Ростовской области – 1 шт.</t>
  </si>
  <si>
    <t>Установка системы учета для технологического присоединения энергопринимающих устройств Заявителя: Васильева Е.А., в Матвеево Курганском районе Ростовской области – 1 шт.</t>
  </si>
  <si>
    <t>Установка системы учета для технологического присоединения энергопринимающих устройств Заявителя: ИП Григорян Р.С., в Матвеево Курганском районе Ростовской области – 1 шт.</t>
  </si>
  <si>
    <t>Установка системы учета для технологического присоединения энергопринимающих устройств Заявителя: Шленчак И.В., в Матвеево Курганском районе Ростовской области – 1 шт.</t>
  </si>
  <si>
    <t xml:space="preserve">Установка системы учета для технологического присоединения энергопринимающих устройств Заявителя: Годагарян А.Ф., в Матвеево Курганском районе Ростовской области – 1 шт. </t>
  </si>
  <si>
    <t>Установка системы учета для технологического присоединения энергопринимающих устройств Заявителя: Пащенко А.В., в Матвеево Курганском районе Ростовской области – 1 шт.</t>
  </si>
  <si>
    <t>Установка системы учета для технологического присоединения энергопринимающих устройств Заявителя: Бужинский А.И., в Матвеево Курганском районе Ростовской области – 1 шт.</t>
  </si>
  <si>
    <t xml:space="preserve">Установка системы учета для технологического присоединения энергопринимающих устройств Заявителя: Мкртчян С.К., в Матвеево Курганском районе Ростовской области – 1 шт. </t>
  </si>
  <si>
    <t xml:space="preserve">Установка системы учета для технологического присоединения энергопринимающих устройств Заявителя: Наумчук А.В., Гапоненко С.П., в Матвеево Курганском районе Ростовской области – 2 шт. </t>
  </si>
  <si>
    <t>Установка системы учета для технологического присоединения энергопринимающих устройств Заявителя: Высоцкий В.А, в Матвеево Курганском районе Ростовской области – 1 шт</t>
  </si>
  <si>
    <t xml:space="preserve">Установка системы учета для технологического присоединения энергопринимающих устройств Заявителя: Ломтева Л.В, в Матвеево Курганском районе Ростовской области – 1 шт. </t>
  </si>
  <si>
    <t>Установка системы учета для технологического присоединения энергопринимающих устройств Заявителей: Шаповалов В.А., Засоба И.И., в Матвеево Курганском районе Ростовской области – 2 шт.</t>
  </si>
  <si>
    <t>Установка системы учета для технологического присоединения энергопринимающих устройств Заявителей: Габеев Н.В., в Матвеево Курганском районе Ростовской области – 1 шт.</t>
  </si>
  <si>
    <t>Установка системы учета для технологического присоединения энергопринимающих устройств Заявителя: ИП Беджанян Л.Г., в Матвеево Курганском районе Ростовской области – 1 шт.</t>
  </si>
  <si>
    <t>Установка системы учета для технологического присоединения энергопринимающих устройств Заявителей: ИП Кривобокова Е.В., в Матвеево Курганском районе Ростовской области – 1 шт.</t>
  </si>
  <si>
    <t>Установка системы учета для технологического присоединения энергопринимающих устройств Заявителя: МУК «Центральная клубная система» Матвеево-Курганского сельского поселения., в Матвеево Курганском районе Ростовской области – 1 шт.</t>
  </si>
  <si>
    <t xml:space="preserve">Установка системы учета для технологического присоединения энергопринимающих устройств Заявителя: Антонова Е.Л., в Матвеево Курганском районе Ростовской области – 1 шт. </t>
  </si>
  <si>
    <t xml:space="preserve">Установка системы учета для технологического присоединения энергопринимающих устройств Заявителя: Иванченко К.П., в Матвеево Курганском районе Ростовской области – 1 шт. </t>
  </si>
  <si>
    <t xml:space="preserve">Установка системы учета для технологического присоединения энергопринимающих устройств Заявителей: Миненко А.Н., в Матвеево Курганском районе Ростовской области – 1 шт. </t>
  </si>
  <si>
    <t xml:space="preserve">Установка системы учета для технологического присоединения энергопринимающих устройств Заявителя: ООО «ДонСвязьКонструкция», в Матвеево Курганском районе Ростовской области – 1 шт. </t>
  </si>
  <si>
    <t xml:space="preserve">Установка системы учета для технологического присоединения энергопринимающих устройств Заявителя (Лебедь Е.А.) по адресу: Ростовская область, Матвеево-Курганский район, х. Криничный, ул. Садовая, д. 12, к.н. 61:21:011301:7 (1 шт.) </t>
  </si>
  <si>
    <t xml:space="preserve">Установка системы учета для технологического присоединения энергопринимающих устройств Заявителя (ООО «Миус-торг».) по адресу: Ростовская область, Матвеево-Курганский район, п. Подлесный, пер. Кувшинный, д. 4, к.н. 61:21:0030901:602 (1 шт.) </t>
  </si>
  <si>
    <t xml:space="preserve">Установка системы учета для технологического присоединения энергопринимающих устройств Заявителя (ИП Литвинова Я.А.) по адресу: Ростовская область, Матвеево-Курганский район, п. М-Курган, ул. Советская, д. 10, к.н. 61:21:0010152:57 (1 шт.) </t>
  </si>
  <si>
    <t>Установка системы учета для технологического присоединения энергопринимающих устройств Заявителя (Гогуев С.З.) по адресу: Ростовская область, Матвеево-Курганский район, х. Дараганов, ул. Подгорная, д. 41, к.н. 61:21:0010201:213 (1 шт.)</t>
  </si>
  <si>
    <t>Установка системы учета для технологического присоединения энергопринимающих устройств Заявителя (ИП Нарожний Г.П.) по адресу: Ростовская область, Матвеево-Курганский район, 330 м в восточном направлении от жилого дома №15 ул. Первомайская, с. Греково-Тимофеевка, к.н. 61:21:0600014:1305 (1 шт.)</t>
  </si>
  <si>
    <t>Установка системы учета для технологического присоединения энергопринимающих устройств Заявителя (ИП Мкрдумян Л.Ш.) по адресу: Ростовская область, Матвеево-Курганский район, п. Матвеев Курган, ул. Таганрогская, д. 33, к.н. 61:21:0019125:491 (1 шт.)</t>
  </si>
  <si>
    <t>Установка системы учета для технологического присоединения энергопринимающих устройств Заявителя (Пучка Н.И.) по адресу: Ростовская область, Матвеево-Курганский район, с. Новониколаевка,
 ул. Ленина, д. 92, к.н. 61:21:0050101:409 (1 шт.)</t>
  </si>
  <si>
    <t>Установка системы учета для технологического присоединения энергопринимающих устройств Заявителя (Турицын А.Д.) по адресу: Ростовская область, Матвеево-Курганский район, с. Марфинка, ул. Производственная, д. 24, к.н. 61:21:0040301:857 (1 шт.)</t>
  </si>
  <si>
    <t>Установка системы учета для технологического присоединения энергопринимающих устройств Заявителя (Сергеев А. А.) по адресу: Ростовская область, Матвеево-Курганский район, примерно в 6100м по направлению на юго-восток от ориентира п. Крынка, ул. Ветеранов,  д. 9, к.н. 61:21:0600021:450 (1 шт.)</t>
  </si>
  <si>
    <t xml:space="preserve">Установка системы учета для технологического присоединения энергопринимающих устройств Заявителя (ИП Игитян Г.П.) по адресу: Ростовская область, М-Курганский район, п. Матвеев Курган, ул. 1 Мая, д. 13, к.н.ЗУ: 61:21:0010145:65 (1 шт.)
 </t>
  </si>
  <si>
    <t>Установка системы учета для технологического присоединения энергопринимающих устройств Заявителя (ИП Нагерняк С.А.) по адресу: Ростовская область, Матвеево-Курганский район, 600м по направлению на север от ул. Степная, д. 36, х. Степанов, к.н. 61:21:0600003:3376 (1 шт.)</t>
  </si>
  <si>
    <t>Установка системы учета для технологического присоединения энергопринимающих устройств Заявителя (Шаповалова Е.А.) по адресу: Ростовская область, М-Курганский район, с. Анастасиевка, пер. Степной д. 14, к.н.: 61:21:040101:1260 (1 шт.)</t>
  </si>
  <si>
    <t>Установка системы учета для технологического присоединения энергопринимающих устройств Заявителя (ПАО «Ростелеком») по адресу: Ростовская область, М-Курганский район, х. Малоекатериновка, 47.501200.38.344100. (1 шт.)</t>
  </si>
  <si>
    <t>Установка системы учета для технологического присоединения энергопринимающих устройств Заявителя (ПАО «Ростелеком») по адресу: Ростовская область, М-Курганский район, п. Крынка, к.н 47.611423.38.793795. (1 шт.)</t>
  </si>
  <si>
    <t xml:space="preserve">Установка системы учета для технологического присоединения энергопринимающих устройств Заявителя (ПАО «Ростелеком») по адресу: Ростовская область, М-Курганский район, с. Марьевка, 47.592081.39.136356. (1 шт.) </t>
  </si>
  <si>
    <t xml:space="preserve">Установка системы учета для технологического присоединения энергопринимающих устройств Заявителя (Карташев С.А.) по адресу: Ростовская область, М-Курганский район, х. Большая Кирсановка, ул. Советская, д. 78, к.н.ЗУ: 61:21:0110101:2468 (1 шт.) </t>
  </si>
  <si>
    <t>Установка системы учета для технологического присоединения энергопринимающих устройств Заявителя (Казимиров А.П.) по адресу: Ростовская область, М-Курганский район, п. Матвеев Курган, ул. Украинская, д. 7, к.н. 61:21:0010119:125 (1 шт.)</t>
  </si>
  <si>
    <t>Установка системы учета для технологического присоединения энергопринимающих устройств Заявителя (Кудряшов Н.В.) по адресу: Ростовская область, М-Курганский район, х. Большая Кирсановка, ул. Садовая, д. 2, к.н. 61:21:0110101:412 (1 шт.)</t>
  </si>
  <si>
    <t>Установка системы учета для технологического присоединения энергопринимающих устройств Заявителя (Димитров А.В.) по адресу: Ростовская область, М-Курганский район, с. Григорьевка, ул. Советская, д. 7, к.н. 61:21:0080401:410 (1 шт.)</t>
  </si>
  <si>
    <t xml:space="preserve">Установка системы учета для технологического присоединения энергопринимающих устройств Заявителя (Иванов В.В.) по адресу: Ростовская область, М-Курганский район, х. Петрополье, ул. Пудовкина, д. 33, к.н.: 61:21:0110701:326 (1 шт.) </t>
  </si>
  <si>
    <t>Установка системы учета для технологического присоединения энергопринимающих устройств Заявителя (Пак В.Б.) по адресу: Ростовская область, М-Курганский район, п. М-Курган, ул. Интернациональная, д. 27, к.н.: 61:21:0010117:70 (1 шт.)</t>
  </si>
  <si>
    <t>Установка системы учета для технологического присоединения энергопринимающих устройств Заявителя (Воронцов В.А.) по адресу: Ростовская область, М-Курганский район, х. Демидовка, ул. Подгорная, д. 35, к.н. 61:21:0030601:83 (1 шт.)</t>
  </si>
  <si>
    <t>Установка системы учета для технологического присоединения энергопринимающих устройств Заявителя (ИП Галиченко И.И.) по адресу: Ростовская область, М-Курганский район, примерно в 30 м по направлению на восток от х. Большая Кирсановка, к.н. 61:21:0600005:982 (1 шт.)</t>
  </si>
  <si>
    <t>Установка системы учета для технологического присоединения энергопринимающих устройств Заявителя (Шереверов П.В.) по адресу: Ростовская область, М-Курганский район, п. Матвеев Курган, ул. Кирова, 
д. 66, к.н. 61:21:0010110:122 (1 шт.)</t>
  </si>
  <si>
    <t>Установка системы учета для технологического присоединения энергопринимающих устройств Заявителя (Бержанский А.А.) по адресу: Ростовская область, М-Курганский район, п. Матвеев Курган, ул. Русская,
д. 43, к.н.: 61:21:0010161:187 (1 шт.)</t>
  </si>
  <si>
    <t>Установка системы учета для технологического присоединения энергопринимающих устройств Заявителя (Михайлова И.В.) по адресу: Ростовская область, М-Курганский район, п.Матвеев Курган, ул. Полевого,
д. 19, к.н. 61:21:0010103:119 (1 шт.)</t>
  </si>
  <si>
    <t>Установка системы учета для технологического присоединения энергопринимающих устройств Заявителя (ПАО «Ростелеком») по адресу: Ростовская область, М-Курганский район, х. Лесной, примерно 10 м по направлению на юг от границы уч. 61:21:0070901:80, ул. Юбилейная 24, к.н.: 00:00:0000000 (1 шт.)</t>
  </si>
  <si>
    <t>Установка системы учета для технологического присоединения энергопринимающих устройств Заявителя (ПАО «Ростелеком») по адресу: Ростовская область, М-Курганский район, х. Иваново-Ясиновка, примерно 21 м по направлению на юго-запад от границы участка пер. Ясиновский 2, к.н.: 00:00:0000000 (1 шт.)</t>
  </si>
  <si>
    <t>Установка системы учета для технологического присоединения энергопринимающих устройств Заявителя (ПАО «Ростелеком») по адресу: Ростовская область, М-Курганский район, х. Красная Горка, примерно 20 м по направлению на восток от границы участка ул. Школьная 2А, к.н.: 00:00:0000000 (1 шт.)</t>
  </si>
  <si>
    <t>Установка системы учета для технологического присоединения энергопринимающих устройств Заявителя (Безгласный Г.В.) по адресу: Ростовская область, М-Курганский район, с. Екатериновка, ул. Пролетарская,
д. 21а, к.н.: 61:21:0060101:1543 (1 шт.)</t>
  </si>
  <si>
    <t>Установка системы учета для технологического присоединения энергопринимающих устройств Заявителя (ИП Геворгян А.Я.) по адресу: Ростовская область, М-Курганский район, п. Матвеев Курган, 
ул. Таганрогская, д. 151, к.н.: 61:21:0010142:98 (1 шт.)</t>
  </si>
  <si>
    <t>Установка системы учета для технологического присоединения энергопринимающих устройств Заявителя (ИП Ульянов В.А.) по адресу: Ростовская область, М-Курганский район, п. Матвеев Курган, 
ул. Октябрьская, д. 42, к.н.: 61:21:0010113:477 (1 шт.)</t>
  </si>
  <si>
    <t>Установка системы учета для технологического присоединения энергопринимающих устройств Заявителя (Роменская З.В.) по адресу: Ростовская область, М-Курганский район, с. Малокирсановка,
 ул. Пролетарская, д. 31, к.н.: 61:21:0080101:2068 (1 шт.)</t>
  </si>
  <si>
    <t>Установка системы учета для технологического присоединения энергопринимающих устройств Заявителя (Ткаченко В.П.) по адресу: Ростовская область, М-Курганский район, п. Матвеев Курган, ул. Советская,
д. 27, к.н.: 61:21:0010301:713 (1 шт.)</t>
  </si>
  <si>
    <t>Установка системы учета для технологического присоединения энергопринимающих устройств Заявителя (Назаров А.В.) по адресу: Ростовская область, М-Курганский район, п. М-Курган, ул. Гагарина, д. 3, к.н. 61:21:0010146:29 (1 шт.)</t>
  </si>
  <si>
    <t>Установка системы учета для технологического присоединения энергопринимающих устройств Заявителя (Лукашова А.М.) по адресу: Ростовская область, М-Курганский район, с. Авило-Успенка, 
пер. Успенский, д. 24, к.н.: 61:21:0050201:993 (1 шт.)</t>
  </si>
  <si>
    <t>Установка системы учета для технологического присоединения энергопринимающих устройств Заявителя (Мартыненко В.Д.) по адресу: Ростовская область, М-Курганский район, с. Анастасиевка, 
пер. Степной, д. 21, к.н.: 61:21:0040101:2790 (1 шт.)</t>
  </si>
  <si>
    <t>Установка системы учета для технологического присоединения энергопринимающих устройств Заявителя (Лукашова О.А.) по адресу: Ростовская область, М-Курганский район, х. Староротовка, ул. Интернациональная, д. 26, к.н.: 61:21:0010401:467 (1 шт.)</t>
  </si>
  <si>
    <t>Установка системы учета для технологического присоединения энергопринимающих устройств Заявителя (ИП Артюхова Э.В.) по адресу: Ростовская область, М-Курганский район, с. Новониколаевка, ул. Ленина, д. 54, к.н.:61:21:0050101:422 (1 шт.)</t>
  </si>
  <si>
    <t>Установка системы учета для технологического присоединения энергопринимающих устройств Заявителя (Нефедова Н.Г.) по адресу: Ростовская область, М-Курганский район, с. Анастасиевка, ул. Ленина, д. 75, к.н.: 61:21:0040101:2577 (1шт.)»</t>
  </si>
  <si>
    <t>Установка системы учета для технологического присоединения энергопринимающих устройств Заявителя (ИП Бойченко О.Н.) по адресу: Ростовская область, М-Курганский район примыкает с южной стороны к земельному участку, по адресу: п. М-Курган, ул. Донецкая д. 49, к.н. 61:21:0600001:3555 (1 шт.)</t>
  </si>
  <si>
    <t>Установка системы учета для технологического присоединения энергопринимающих устройств Заявителя (ИП Полушкин С.А.) по адресу: Ростовская область, М-Курганский район с. Авило-Успенка, ул. Кооперативная, д.47 корп. а, к.н. 61:21:0050201:479 (1 шт.)</t>
  </si>
  <si>
    <t>Установка системы учета для технологического присоединения энергопринимающих устройств Заявителя (Хараин А.Е.) по адресу: Ростовская область, М-Курганский район, п. Гвардейский, ул. Миусская, д. 17, к.н.: 61:21:0031001:125 (1шт.)</t>
  </si>
  <si>
    <t>Установка системы учета для технологического присоединения энергопринимающих устройств Заявителя (Юров А.А.) по адресу: Ростовская область, М-Курганский район п. М-Курган, ул. 1 Мая, д. 43, к.н. 61:21:0010143:115 (1 шт.)</t>
  </si>
  <si>
    <t>Установка системы учета для технологического присоединения энергопринимающих устройств Заявителя (Кошман К.А.) по адресу: Ростовская область, М-Курганский район х. Староротовка, ул. Молодежная, д. 8, кв.2 к.н. 61:21:0010401:662 (1 шт.)</t>
  </si>
  <si>
    <t>Установка системы учета для технологического присоединения энергопринимающих устройств Заявителя (Беликова Г.М.) по адресу: Ростовская область, М-Курганский район, п. Матвеев Курган, ул. Фрунзе, д. 65, к.н. 61:21:0010110:27 (1 шт.)</t>
  </si>
  <si>
    <t>Установка системы учета для технологического присоединения энергопринимающих устройств Заявителей: Ткачева Т.А., Инасаридзе В.Ш., Конивец Д.В., Новоселова Н.В., Бомбина Т.Н. в Неклиновском районе Ростовской области (5 шт.).</t>
  </si>
  <si>
    <t>Установка системы учета для технологического присоединения энергопринимающих устройств Заявителей: Трелис Е.А., Трелис Н.А.  в Неклиновском районе Ростовской области (2 шт.).</t>
  </si>
  <si>
    <t xml:space="preserve">Установка системы учета для технологического присоединения энергопринимающих устройств Заявителей: Мостовой Я.Ю., Мамченко Е.В., Зудилова Л.Ю., Руссу Л.Н. в Неклиновском районе Ростовской области 
(4 шт.). </t>
  </si>
  <si>
    <t xml:space="preserve">Установка системы учета для технологического присоединения энергопринимающих устройств Заявителей: Тарасенко И.В., Беседин Ю.П. в Неклиновском районе Ростовской области (2 шт.). </t>
  </si>
  <si>
    <t>Установка системы учета для технологического присоединения энергопринимающих устройств Заявителя: Чарыков А.В.   в Неклиновском районе Ростовской области (1 шт.).</t>
  </si>
  <si>
    <t>Установка системы учета для технологического присоединения энергопринимающих устройств Заявителя: Рудь П.С.   в Неклиновском районе Ростовской области (1 шт.).</t>
  </si>
  <si>
    <t>Установка системы учета для технологического присоединения энергопринимающих устройств Заявителя: Кравченко А.Г. в Неклиновском районе Ростовской области (1 шт.).</t>
  </si>
  <si>
    <t>Установка системы учета для технологического присоединения энергопринимающих устройств Заявителя: Николаев М.Е.   в Неклиновском районе Ростовской области (1 шт.).</t>
  </si>
  <si>
    <t>Установка системы учета для технологического присоединения энергопринимающих устройств Заявителей: Чучиян О.Т., Забежайло И.А. в Неклиновском районе Ростовской области (2 шт.).</t>
  </si>
  <si>
    <t xml:space="preserve">Установка системы учета для технологического присоединения энергопринимающих устройств Заявителя: Изотов В.В.   в Неклиновском районе Ростовской области (1 шт.). </t>
  </si>
  <si>
    <t>Установка системы учета для технологического присоединения энергопринимающих устройств Заявителей: Середин И.А., Агафонова Л.А. в Неклиновском районе Ростовской области (2 шт.).</t>
  </si>
  <si>
    <t xml:space="preserve">Установка системы учета для технологического присоединения энергопринимающих устройств Заявителей: Головань Е.Н., Боцман Д.Ф.   в Неклиновском районе Ростовской области (2 шт.). </t>
  </si>
  <si>
    <t>Установка системы учета для технологического присоединения энергопринимающих устройств Заявителей: Азизов Э.Т., Белик Л.П., Баумбах С.Р.   в Неклиновском районе Ростовской области (3 шт.).</t>
  </si>
  <si>
    <t xml:space="preserve">Установка системы учета для технологического присоединения энергопринимающих устройств Заявителя: Морозов Н.А.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</si>
  <si>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Заявителей: Пономарев Н.Д., Щербаков В.А., Гоголадзе Е.А.   в Неклиновском районе Ростовской области (3 шт.). </t>
  </si>
  <si>
    <t xml:space="preserve">Установка системы учета для технологического присоединения энергопринимающих устройств Заявителей: Кондакова Н.С., Мелехов Е.В., Харповицкий В.Г., Помысов Е.Н. в Неклиновском районе Ростовской области (4 шт.). </t>
  </si>
  <si>
    <t xml:space="preserve">Установка системы учета для технологического присоединения энергопринимающих устройств Заявителей: Конюхова Э.С., Иванов Р.В., Коник А.В., Кружков Т.А.   в Неклиновском районе Ростовской области (4 шт.). </t>
  </si>
  <si>
    <t>Установка системы учета для технологического присоединения энергопринимающих устройств Заявителя: Гахраманов Н.Г. Оглы в Неклиновском районе Ростовской области (1 шт.).</t>
  </si>
  <si>
    <t>Установка системы учета для технологического присоединения энергопринимающих устройств Заявителей: Дедуль И.А., Бош И.А.   в Неклиновском районе Ростовской области (2 шт.).</t>
  </si>
  <si>
    <t>Установка системы учета для технологического присоединения энергопринимающих устройств Заявителей: Тихоненко Д.В., Белоусова И.А.   в Неклиновском районе Ростовской области (2 шт.)</t>
  </si>
  <si>
    <t xml:space="preserve">Установка системы учета для технологического присоединения энергопринимающих устройств Заявителей: Кузьменко О.В., Саргсян Ж.С., Филиппова Е.Ю., Мамаева И.А., Самойлова И.В., Любомищенко А.Н., Кузьменко О.В.  в Неклиновском районе Ростовской области (7 шт.). </t>
  </si>
  <si>
    <t>Установка системы учета для технологического присоединения энергопринимающих устройств Заявителей: Демченко С.А., Красса С.А.  в Неклиновском районе Ростовской области (2 шт.).</t>
  </si>
  <si>
    <t>Установка системы учета для технологического присоединения энергопринимающих устройств Заявителей: Крючкова Н.И., Виноградов К.А., Ильина А.Ю., Тищенко В.В.  в Неклиновском районе Ростовской области (4 шт.).</t>
  </si>
  <si>
    <t xml:space="preserve">Установка системы учета для технологического присоединения энергопринимающих устройств Заявителей: Кульпека Н.Е., Левин А.В., Фоменко С.В., Касаткина Т.И.  в Неклиновском районе Ростовской области (4 шт.). </t>
  </si>
  <si>
    <t>Установка системы учета для технологического присоединения энергопринимающих устройств Заявителей: Низов А.В., Антюхин А.Г., Гелдаш А.Г.  в Неклиновском районе Ростовской области (3 шт.).</t>
  </si>
  <si>
    <t>Установка системы учета для технологического присоединения энергопринимающих устройств Заявителя: Дерюга Е.В.   в  Неклиновском районе Ростовской области (1 шт.).</t>
  </si>
  <si>
    <t>Установка системы учета для технологического присоединения энергопринимающих устройств Заявителей: ИП Терзян А.Е., Соловьев ИА.   в Неклиновском районе Ростовской области (2 шт.).</t>
  </si>
  <si>
    <t>Установка системы учета для технологического присоединения энергопринимающих устройств Заявителей: Синицина Е.А., Судариков С.В., Бенидзе М.А., Тороп А.В.  в Неклиновском районе Ростовской области (4шт.).</t>
  </si>
  <si>
    <t>Установка системы учета для технологического присоединения энергопринимающих устройств Заявителей: Кульпина Н.Н., Савенко О.Г., Кузнецов И.П., Демченко А.С. в Неклиновском районе Ростовской области (4 шт.)</t>
  </si>
  <si>
    <t xml:space="preserve">Установка системы учета для технологического присоединения энергопринимающих устройств Заявителей: ИП Вилонина Е.С., Муравченко А.Ю. в Неклиновском районе Ростовской области (2 шт.) </t>
  </si>
  <si>
    <t xml:space="preserve">Установка системы учета для технологического присоединения энергопринимающих устройств Заявителя: Гребенюк В.Д.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</si>
  <si>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Заявителей: Моисеенко Е.А., Жукова О.М.   в Неклиновском районе Ростовской области (2 шт.). </t>
  </si>
  <si>
    <t xml:space="preserve">Установка системы учета для технологического присоединения энергопринимающих устройств Заявителя: ООО «Базовые Минерал Технологии» в Неклиновском районе Ростовской области (1 шт.). </t>
  </si>
  <si>
    <t>Установка системы учета для технологического присоединения энергопринимающих устройств Заявителя: Бровкин А.Н. в Неклиновском районе Ростовской области (1 шт.).</t>
  </si>
  <si>
    <t>Установка системы учета для технологического присоединения энергопринимающих устройств Заявителей: ООО «ВЕСТА-А», Воскун Р.Ю.   в Неклиновском районе Ростовской области (2 шт.).</t>
  </si>
  <si>
    <t>Установка системы учета для технологического присоединения энергопринимающих устройств Заявителей: Воробьева Л.А., Воропай И.Г., Манташян Н.А., Мищенко С.Л.  в Неклиновском районе Ростовской области (4 шт.).</t>
  </si>
  <si>
    <t>Установка системы учета для технологического присоединения энергопринимающих устройств Заявителей: Дидика Е.В., Раюшкина Е.В., Савицкая Н.В., Амирханян В.С., ИП Ляшова Е.А.  в Неклиновском районе Ростовской области (5 шт.).</t>
  </si>
  <si>
    <t>Установка системы учета для технологического присоединения энергопринимающих устройств Заявителей: Клюкин М.Н., Захаров М.Б., Волженин А.Ю., Жукова И.М., Бушуева Л.М.  в Неклиновском районе Ростовской области (5 шт.).</t>
  </si>
  <si>
    <t>Установка системы учета для технологического присоединения энергопринимающих устройств Заявителя: Назарян К.М. в Неклиновском районе Ростовской области (1 шт.).</t>
  </si>
  <si>
    <t>Установка системы учета для технологического присоединения энергопринимающих устройств Заявителей: Пушенко А.В., Скрипникова Е.О., Белиба Е.А., ООО «Связь-Информ-Сервис», Алимова И.В., Михайлов В.А., Власенко Д.В.  в Неклиновском районе Ростовской области (7 шт.).</t>
  </si>
  <si>
    <t xml:space="preserve">Установка системы учета для технологического присоединения энергопринимающих устройств Заявителя (Администрация Покровского сельского поселения)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</si>
  <si>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(Администрация Синявского с.п.)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</si>
  <si>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(Бирюкова С.В.)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</si>
  <si>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(Глушко О.Ю.)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</si>
  <si>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(Голотина Л.Н.) в г. Таганрог Ростовской области (1 шт.) </t>
  </si>
  <si>
    <t xml:space="preserve">Установка системы учета для технологического присоединения энергопринимающих устройств Заявителя (Демина О.С.) в Неклиновском районе Ростовской области (1шт.) </t>
  </si>
  <si>
    <t xml:space="preserve">Установка системы учета для технологического присоединения энергопринимающих устройств Заявителя (ИП Саркисян Г.Г.)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</si>
  <si>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Заявителей: Костарева Т.А., Фоменко Н.С., Миротин В.В.  в Неклиновском районе Ростовской области (3 шт.). </t>
  </si>
  <si>
    <t xml:space="preserve">Установка системы учета для технологического присоединения энергопринимающих устройств Заявителя (Кочергин Г.Б.)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</si>
  <si>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(Курбанов Н.Т.)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</si>
  <si>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(Лысенко А.Б.) в Неклиновском районе Ростовской области (1шт.) </t>
  </si>
  <si>
    <t xml:space="preserve">Установка системы учета для технологического присоединения энергопринимающих устройств Заявителей: Мамонова Ю.Г.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</si>
  <si>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(Муха А.П.) в Неклиновском районе Ростовской области (1шт.) </t>
  </si>
  <si>
    <t xml:space="preserve">Установка системы учета для технологического присоединения энергопринимающих устройств Заявителя (Надолинская И.В.) в Неклиновском районе Ростовской области (1шт.) </t>
  </si>
  <si>
    <t xml:space="preserve">Установка системы учета для технологического присоединения энергопринимающих устройств Заявителя (Нарбеков А.А.)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</si>
  <si>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Заявителей: Руденков С.Б.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</si>
  <si>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(Семин Е.Г.) в Неклиновском районе Ростовской области (1шт.) </t>
  </si>
  <si>
    <t xml:space="preserve">Установка системы учета для технологического присоединения энергопринимающих устройств Заявителя (Сербин В.Ю.)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</si>
  <si>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(Силюкова К.В.)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</si>
  <si>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(Соснов А.А.)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</si>
  <si>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(Федянина А.Г.) в Неклиновском районе Ростовской области (1шт.) </t>
  </si>
  <si>
    <t xml:space="preserve">Установка системы учета для технологического присоединения энергопринимающих устройств Заявителя (Фомин Н.И.)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</si>
  <si>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(Мхоян С.Г.)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</si>
  <si>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(Шишкина С.Е.)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</si>
  <si>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(Шпорт Ю.А.)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</si>
  <si>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(Жилин Е.Е.)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</si>
  <si>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(Конопий С.Ю.) в Неклиновском районе Ростовской области (1 шт.) </t>
  </si>
  <si>
    <t>Установка системы учета для технологического присоединения энергопринимающих устройств Заявителя (Растегаева Е.П.) в Неклиновском районе Ростовской области (1 шт.)</t>
  </si>
  <si>
    <t xml:space="preserve">Установка системы учета для технологического присоединения энергопринимающих устройств Заявителя (Авакян Н.А.) по адресу: Ростовская область, Неклиновский район,с. Николаевка, ул. Юности, д. 14, к.н. 61:26:0110101:10012 (1 шт.) </t>
  </si>
  <si>
    <t xml:space="preserve">Установка системы учета для технологического присоединения энергопринимающих устройств Заявителя (Алленов В.Ю.) по адресу: Ростовская область, Неклиновский район, с. Новобессергеневка, ул. Морозова, д. 6-А, к.н. 61:26:0600024:2884 (1 шт.) </t>
  </si>
  <si>
    <t xml:space="preserve">Установка системы учета для технологического присоединения энергопринимающих устройств Заявителя (Архипенко А.А.)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</si>
  <si>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(Верещак А.А.) по адресу: Ростовская область, Неклиновский район, с. Боцманово, ул. Седова, д. 23, к.н. 61:26:0070801:189 (1 шт.) </t>
  </si>
  <si>
    <t xml:space="preserve">Установка системы учета для технологического присоединения энергопринимающих устройств Заявителя (Гармаш А.Б.)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</si>
  <si>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(Голощапова Е.С.)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</si>
  <si>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(Жосан В.И.) по адресу: Ростовская область, г. Таганрог, ул. Варданяна, д. 67/пер. Лавровский, д. 6, к.н. 61:58:0006027:811 (1 шт.) </t>
  </si>
  <si>
    <t xml:space="preserve">Установка системы учета для технологического присоединения энергопринимающих устройств Заявителя (ИП Батюльев С.Н.) в городе Таганрог Ростовской области (1 шт.) </t>
  </si>
  <si>
    <t xml:space="preserve">Установка системы учета для технологического присоединения энергопринимающих устройств Заявителя (Казанина И.Ф.) по адресу: Ростовская область, неклиновский район, х. Красный Десант, ул. Чкалова, д. 16, к.н. 61:26:0070101:669 (1 шт.) </t>
  </si>
  <si>
    <t xml:space="preserve">Установка системы учета для технологического присоединения энергопринимающих устройств Заявителя (Кондрашова Д.Н.) по адресу: Ростовская область, неклиновский район, с. Николаевка, ул. Гоголя, д. 34-А, к.н. 61:26:0110101:301 (1 шт.) </t>
  </si>
  <si>
    <t xml:space="preserve">Установка системы учета для технологического присоединения энергопринимающих устройств Заявителя (Кружкова Т.В.) по адресу: Ростовская область, г. Таганрог, ул. Шишкина, д. 16-б, к.н. 61:58:0006027:660 (1 шт.) </t>
  </si>
  <si>
    <t xml:space="preserve">Установка системы учета для технологического присоединения энергопринимающих устройств Заявителя (Лысенко С.А.)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</si>
  <si>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(Лысогорский В.И.) по адресу: Ростовская область, Неклиновский район, х. Русский Колодец, ул. Дзержинского, 63, к.н. 61:26:0070701:335 (1 шт.) </t>
  </si>
  <si>
    <t xml:space="preserve">Установка системы учета для технологического присоединения энергопринимающих устройств Заявителя (Макаров А.Р.) по адресу: Ростовская область, Неклиновский район,с. Николаевка, ул. Юности, д. 22, к.н. 61:26:0110101:2325 (1 шт.) </t>
  </si>
  <si>
    <t xml:space="preserve">Установка системы учета для технологического присоединения энергопринимающих устройств Заявителя (Чуприн В.В.) по адресу: Ростовская область, Неклиновский район, х. Атамановка, ул. Свободы, д. 22, к.н. 61:26:0170201:99 (1 шт.) </t>
  </si>
  <si>
    <t xml:space="preserve">Установка системы учета для технологического присоединения энергопринимающих устройств Заявителя (Антоненко С.Н.) по адресу: Ростовская область, Неклиновский район, с. Боцманово, ул. Седова, д. 24, к.н. 61:26:0070801:188 (1 шт.) </t>
  </si>
  <si>
    <t xml:space="preserve">Установка системы учета для технологического присоединения энергопринимающих устройств Заявителя (Данильченко С.А.) по адресу: Ростовская область, Неклиновский район, с. Большая Неклиновка, ул. Школьная, д. 105, к.н. 61:26:0130101:229 (1 шт.) </t>
  </si>
  <si>
    <t xml:space="preserve">Установка системы учета для технологического присоединения энергопринимающих устройств Заявителя (Казанцев Ю.С.) по адресу: Ростовская область, Неклиновский район, с. Боцманово, ул. Красного Десанта, д. 52-А, к.н. 61:26:0070801:2314 (1 шт.) </t>
  </si>
  <si>
    <t>Установка системы учета для технологического присоединения энергопринимающих устройств Заявителя (Бендеберя А.А.) по адресу: Ростовская область, Неклиновский район, с. Николаевка, ул. Юности, д. 3, к.н. 61:26:0110101:446 (1 шт.)</t>
  </si>
  <si>
    <t>Установка системы учета для технологического присоединения энергопринимающих устройств Заявителя (Бибич Л.М.) по адресу: Ростовская область, Неклиновский район, с. Петрушино, ул. Заводская, д. 1-д, к.н. 61:26:0180201:3952 (1 шт.)</t>
  </si>
  <si>
    <t>Установка системы учета для технологического присоединения энергопринимающих устройств Заявителя (Бородин С.В.) по адресу: Ростовская область, Неклиновский район, с. Николаевка, ул. Парковая, д. 91, к.н. 61:26:0110101:1105 (1 шт.)</t>
  </si>
  <si>
    <t>Установка системы учета для технологического присоединения энергопринимающих устройств Заявителя (Калинина Д.Г.) по адресу: Ростовская область, Неклиновский район, с. Покровское, ул. Маяковского, д. 20, к.н. 61:26:0050112:6 (1 шт.)</t>
  </si>
  <si>
    <t>Установка системы учета для технологического присоединения энергопринимающих устройств Заявителя (Сергеева Л.А.) по адресу: Ростовская область, Неклиновский район, х. Красный Десант, ул. Степная, д. 27, к.н. 61:26:0070101:268 (1 шт.)</t>
  </si>
  <si>
    <t>Установка системы учета для технологического присоединения энергопринимающих устройств Заявителя (Лахман Л.В.) по адресу: Ростовская область, Неклиновский р-н, х. Красный Десант, ул. Чкалова, д. 17, к.н. 61:26:0070101:684 (1 шт.)</t>
  </si>
  <si>
    <t>Установка системы учета для технологического присоединения энергопринимающих устройств Заявителя (ИП Атоян Л.С.) по адресу: Ростовская область, Неклиновский район, с. Покровское, ул. Ленина, д. 280, этаж №1, к.н. 61:26:0050124:182 (1 шт.)</t>
  </si>
  <si>
    <t>Установка системы учета для технологического присоединения энергопринимающих устройств Заявителя (ИП Дергачева Н.И.) по адресу: Ростовская область, Неклиновский район, с. Покровское, ул. Привокзальная, д. 108-Д, к.н. 61:26:0050139:226 (1 шт.)</t>
  </si>
  <si>
    <t>Установка системы учета для технологического присоединения энергопринимающих устройств Заявителя (Покашкина Л.О.) по адресу: Ростовская область, Неклиновский район, с. Новобессергеневка, ул. Горького, д. 1-е, к.н. 61:26:0180101:4715 (1 шт.)</t>
  </si>
  <si>
    <t>Установка системы учета для технологического присоединения энергопринимающих устройств Заявителя (Коваленко Н.А.) по адресу: Ростовская область, Неклиновский район, с. Покровское, пер. Горный, д. 45, к.н. 61:26:0050137:269 (1 шт.)</t>
  </si>
  <si>
    <t>Установка системы учета для технологического присоединения энергопринимающих устройств Заявителя (Кострик В.В.) по адресу: Ростовская область, Неклиновский район, с. Кошкино, ул. Береговая, д. 68-а, к.н. 61:26:0010301:15 (1 шт.)</t>
  </si>
  <si>
    <t>Установка системы учета для технологического присоединения энергопринимающих устройств Заявителя (Литвиненко Г.М.) по адресу: Ростовская область, Неклиновский район, с. Николаевка, ул. Ленина, д. 384, к.н. 61:26:0110101:6875 (1 шт.)</t>
  </si>
  <si>
    <t>Установка системы учета для технологического присоединения энергопринимающих устройств Заявителя (Меркульева Т.А.) по адресу: Ростовская область, Неклиновский район, с. Александрова Коса, ул. Набережная, д. 4-А, к.н. 61:26:0180601:1223 (1 шт.)</t>
  </si>
  <si>
    <t>Установка системы учета для технологического присоединения энергопринимающих устройств Заявителя (Лопатин А.Н.) по адресу: Ростовская область, Неклиновский район, х. Дарагановка, ул. Спортивная, д. 38, к.н. 61:26:0180701:438 (1 шт.)</t>
  </si>
  <si>
    <t>Установка системы учета для технологического присоединения энергопринимающих устройств Заявителя (Татаров М.Б.) по адресу: Ростовская область, Неклиновский район, с. Новобессергеневка, ул. Лескова, д. 30, к.н. 61:26:0600024:821 (1 шт.)</t>
  </si>
  <si>
    <t>Установка системы учета для технологического присоединения энергопринимающих устройств Заявителя (Зайцева В.А.) по адресу: Ростовская область, Неклиновский район, с. Русская Слободка, ул. Октябрьская, д. 103, к.н. 61:26:0070201:995 (1 шт.)</t>
  </si>
  <si>
    <t>Установка системы учета для технологического присоединения энергопринимающих устройств Заявителя (Савченко С.А.) по адресу: Ростовская область, Неклиновский район, с. Троицкое, ул. Новая, д. 53-А, к.н. 61:26:0010101:1380 (1 шт.)</t>
  </si>
  <si>
    <t>Установка системы учета для технологического присоединения энергопринимающих устройств Заявителя (Ерохин А.А.) по адресу: Ростовская область, Неклиновский район, с. Покровское, ул. О.Кошевого, д. 22/2, к.н. 61:26:0050137:1943 (1 шт.)</t>
  </si>
  <si>
    <t xml:space="preserve">Установка системы учета для технологического присоединения энергопринимающих устройств Заявителя (Клименко О.С.) по адресу: Ростовская область, Неклиновский район, с. Новобессергеневка, ул. Садовая, д. 71, к.н. 61:26:0180101:2120 (1 шт.) </t>
  </si>
  <si>
    <t>Установка системы учета для технологического присоединения энергопринимающих устройств Заявителя (Харитонов А.Ю.) по адресу: Ростовская область, Неклиновский район, х. Рожок, ул. Южная, д. 8, к.н. 61:26:0100401:151 (1 шт.)</t>
  </si>
  <si>
    <t>Установка системы учета для технологического присоединения энергопринимающих устройств Заявителя (ИП Григорян А.Л.) по адресу: Ростовская область, Неклиновский район, с. Николаевка, ул. Ленина, д. 309-ш, к.н. 61:26:0513501:58 (1 шт.)</t>
  </si>
  <si>
    <t>Установка системы учета для технологического присоединения энергопринимающих устройств Заявителя (Серенко П.Г.) по адресу: Ростовская область, Неклиновский район, п. Комаровка, ул. Советская, д. 1-Б, к.н. 61:26:0180301:902 (1 шт.)</t>
  </si>
  <si>
    <t>Установка системы учета для технологического присоединения энергопринимающих устройств Заявителя (Еворенко Е.Г.) по адресу: Ростовская область, Неклиновский район, с. Троицкое, ул. Кавказкая, д. 76, к.н. 61:26:0010101:1061 (1 шт.)</t>
  </si>
  <si>
    <t>Установка системы учета для технологического присоединения энергопринимающих устройств Заявителя (Лебедев Ю.И.) по адресу: Ростовская область, Неклиновский район, х. Мержаново, пер. 7-й Комсомольский, д. 8, к.н. 61:26:0060301:329 (1 шт.)</t>
  </si>
  <si>
    <t>Установка системы учета для технологического присоединения энергопринимающих устройств Заявителя (Старенко О.Ф.) по адресу: Ростовская область, Неклиновский район, с. Александрова Коса, ул. Набережная, д. 53-А, к.н. 61:26:0180601:1643 (1 шт.)</t>
  </si>
  <si>
    <t>Установка системы учета для технологического присоединения энергопринимающих устройств Заявителя (Омельчук О.Е.) по адресу: Ростовская область, Неклиновский район, с. Покровское, ул. Цветочная,       д. 31, к.н. 61:26:0050114:660 (1 шт.).</t>
  </si>
  <si>
    <t>Установка системы учета для технологического присоединения энергопринимающих устройств Заявителя (ИП Алексеенко Д.В.) по адресу: Ростовская область, Неклиновский район, с. Покровское, пер. 1-й Проезд, д. 1, к.н. 61:26:0050114:865 (1 шт.)</t>
  </si>
  <si>
    <t>Установка системы учета для технологического присоединения энергопринимающих устройств Заявителя (Карпенко О.В.) по адресу: Ростовская область, Неклиновский район, с. Золотарево, ул. Лиманная, д. 82, к.н. 61:26:0090301:25 (1 шт.)</t>
  </si>
  <si>
    <t>Установка системы учета для технологического присоединения энергопринимающих устройств Заявителя (Концевенко Д.А.) по адресу: Ростовская область, Неклиновский район, с. Лакедемоновка, ул. Зречная, д. 14, к.н. 61:26:0160101:527 (1 шт.)</t>
  </si>
  <si>
    <t>Установка системы учета для технологического присоединения энергопринимающих устройств Заявителя (Кравченко Л.В.) по адресу: Ростовская область, Неклиновский район, с. Покровское, пер. Транспортный, д. 19, к.н. 61:26:0050135:78 (1 шт.)</t>
  </si>
  <si>
    <t>Установка системы учета для технологического присоединения энергопринимающих устройств Заявителя (Буш Н.Н.) по адресу: Ростовская область, Неклиновский район, с. Вареновка, ул. Садовая, д. 20, к.н. 61:26:0040101:777 (1 шт.)</t>
  </si>
  <si>
    <t>Установка системы учета для технологического присоединения энергопринимающих устройств Заявителя (ИП Тараненко А.В.) по адресу: Ростовская область, Неклиновский район, с. Самбек, ул. Кооперативная, д. 100, к.н. 61:26:0020101:143 (1 шт.)</t>
  </si>
  <si>
    <t>Установка системы учета для технологического присоединения энергопринимающих устройств Заявителей: ИП Пудеян В.Х., ИП Иванов П.Г., в г.Таганроге Ростовской области (2 шт)</t>
  </si>
  <si>
    <t>Установка системы учета для технологического присоединения энергопринимающих устройств Заявителей: ПАО «МТС», Соколова Ю.О. в г. Таганроге, Ростовской области (2 шт)</t>
  </si>
  <si>
    <t>Установка системы учета для технологического присоединения энергопринимающих устройств Заявителей: Донченко О.Н.,   Мишекин А.А. в г. Таганроге, Ростовской области (2 шт)</t>
  </si>
  <si>
    <t>Установка системы учета для технологического присоединения энергопринимающих устройств Заявителя: ИП Шевцов А.В. в г.Таганроге, Ростовской области (1 шт)</t>
  </si>
  <si>
    <t>Установка системы учета для технологического присоединения энергопринимающих устройств Заявителей: Савин К.К. в г. Таганроге, Ростовской области (1 шт)</t>
  </si>
  <si>
    <t>Установка системы учета для технологического присоединения энергопринимающих устройств Заявителя: Мирошниченко Л.К. в г. Таганроге, Ростовской области (1 шт)</t>
  </si>
  <si>
    <t>Установка системы учета для технологического присоединения энергопринимающих устройств Заявителей: Крючек О.Б. в г. Таганроге, Ростовской области (1 шт)</t>
  </si>
  <si>
    <t>Установка системы учета для технологического присоединения энергопринимающих устройств Заявителей: ИП Пропастина Т.А. в г. Таганроге, Ростовской области (1 шт)</t>
  </si>
  <si>
    <t>Установка системы учета для технологического присоединения энергопринимающих устройств Заявителей: Шкута И.А. в г. Таганроге, Ростовской области (1 шт)</t>
  </si>
  <si>
    <t>Установка системы учета для технологического присоединения энергопринимающих устройств Заявителя: Дыба Л.Д. в г. Таганроге, Ростовской области (1 шт)</t>
  </si>
  <si>
    <t>Установка системы учета для технологического присоединения энергопринимающих устройств Заявителя: ИП Думик Ю.А. в г. Таганроге, Ростовской области (1 шт)</t>
  </si>
  <si>
    <t>Установка системы учета для технологического присоединения энергопринимающих устройств Заявителей: Давтян А.К. в г. Таганроге, Ростовской области (1 шт)</t>
  </si>
  <si>
    <t>Установка системы учета для технологического присоединения энергопринимающих устройств Заявителя: Мамченко А.Н. в г. Таганроге, Ростовской области (1 шт)</t>
  </si>
  <si>
    <t>Установка системы учета для технологического присоединения энергопринимающих устройств Заявителя: ИП Лядов К.Е. в г. Таганроге, Ростовской области (1 шт</t>
  </si>
  <si>
    <t>Установка системы учета для технологического присоединения энергопринимающих устройств Заявителя: Черняков С.В. в г. Таганроге, Ростовской области (1 шт)</t>
  </si>
  <si>
    <t>Установка системы учета для технологического присоединения энергопринимающих устройств Заявителя: Филимонов Д.В. в г. Таганроге, Ростовской области (1 шт)</t>
  </si>
  <si>
    <t>Установка системы учета для технологического присоединения энергопринимающих устройств Заявителя: Бондаренко А.А. в г. Таганроге, Ростовской области (1 шт)</t>
  </si>
  <si>
    <t>Установка системы учета для технологического присоединения энергопринимающих устройств Заявителя: ООО «СТРОЙМОНТАЖСЕРВИС-ЮГ» в г. Таганроге, Ростовской области (1 шт)</t>
  </si>
  <si>
    <t>Установка системы учета для технологического присоединения энергопринимающих устройств Заявителей: Кузьменко О.В. в г. Таганроге, Ростовской области (1 шт)</t>
  </si>
  <si>
    <t>Установка системы учета для технологического присоединения энергопринимающих устройств Заявителя: ИП Лукина К.С. в г. Таганроге, Ростовской области (1 шт)</t>
  </si>
  <si>
    <t>Установка системы учета для технологического присоединения энергопринимающих устройств Заявителя: Белый А.В. в г. Таганроге, Ростовской области (1 шт)</t>
  </si>
  <si>
    <t>Установка системы учета для технологического присоединения энергопринимающих устройств Заявителя: Андреенко Е.А. в г. Таганроге, Ростовской области (1 шт)</t>
  </si>
  <si>
    <t>Установка системы учета для технологического присоединения энергопринимающих устройств Заявителя: Пятопал Е.Е. в г. Таганроге, Ростовской области (1 шт)</t>
  </si>
  <si>
    <t>Установка системы учета для технологического присоединения энергопринимающих устройств Заявителей: Шапарчук В.П. в г. Таганроге, Ростовской области (1 шт)</t>
  </si>
  <si>
    <t>Установка системы учета для технологического присоединения энергопринимающих устройств Заявителя: Савчук М.И. в г. Таганроге, Ростовской области (1 шт)</t>
  </si>
  <si>
    <t>Установка системы учета для технологического присоединения энергопринимающих устройств Заявителя: Степаненко Д.Е. в г. Таганроге, Ростовской области (1 шт)</t>
  </si>
  <si>
    <t>Установка системы учета для технологического присоединения энергопринимающих устройств Заявителя: ООО «ПраймТелекомЮг» в г. Таганроге ул. 4-я Линия, 111, Ростовской области (1 шт)</t>
  </si>
  <si>
    <t>Установка системы учета для технологического присоединения энергопринимающих устройств Заявителя: ООО «ПраймТелекомЮг» в г. Таганроге ул. Л. Чайкиной, 42, Ростовской области (1 шт)</t>
  </si>
  <si>
    <t>Установка системы учета для технологического присоединения энергопринимающих устройств Заявителя: Морозова А.В. в г. Таганроге, Ростовской области (1 шт)</t>
  </si>
  <si>
    <t>Установка системы учета для технологического присоединения энергопринимающих устройств Заявителя: ИП Ярызько С.А. в г. Таганроге, Ростовской области (1 шт)</t>
  </si>
  <si>
    <t>Установка системы учета для технологического присоединения энергопринимающих устройств Заявителей: ИП Шумейко О.В. в г. Таганроге, Ростовской области (1 шт)</t>
  </si>
  <si>
    <t>Установка системы учета для технологического присоединения энергопринимающих устройств Заявителя: Зуев А.В. в г. Таганроге, Ростовской области (1 шт)</t>
  </si>
  <si>
    <t>Установка системы учета для технологического присоединения энергопринимающих устройств Заявителя: Синяев А.В. в г. Таганроге, Ростовской области (1 шт)</t>
  </si>
  <si>
    <t>Установка системы учета для технологического присоединения энергопринимающих устройств Заявителя: Минченко Л.В. в г. Таганроге, Ростовской области (1 шт)</t>
  </si>
  <si>
    <t>Установка системы учета для технологического присоединения энергопринимающих устройств Заявителя: Филонова Д.Б. в г. Таганроге, Ростовской области (1 шт)</t>
  </si>
  <si>
    <t>Установка системы учета для технологического присоединения энергопринимающих устройств Заявителей: Николенко С.А. в г. Таганроге, Ростовской области (1 шт)</t>
  </si>
  <si>
    <t>Установка системы учета для технологического присоединения энергопринимающих устройств Заявителей: Литвиненко М.В. в г. Таганроге, Ростовской области (1 шт)</t>
  </si>
  <si>
    <t>Установка системы учета для технологического присоединения энергопринимающих устройств Заявителей: Жиляков В.И. в г. Таганроге, Ростовской области (1 шт)</t>
  </si>
  <si>
    <t>Установка системы учета для технологического присоединения энергопринимающих устройств Заявителей: Носова И.В. в г. Таганроге, Ростовской области (1 шт)</t>
  </si>
  <si>
    <t>Установка системы учета для технологического присоединения энергопринимающих устройств Заявителей: Гончарук И.Р. в г. Таганроге, Ростовской области (1 шт)</t>
  </si>
  <si>
    <t>Установка системы учета для технологического присоединения энергопринимающих устройств Заявителя: Зыбарев А.П. в г. Таганроге, Ростовской области (1 шт)</t>
  </si>
  <si>
    <t>Установка системы учета для технологического присоединения энергопринимающих устройств Заявителя: ООО "ГЕРМЕС-ТЕЛЕКОМ" в г. Таганроге, Ростовской области (1 шт)</t>
  </si>
  <si>
    <t>Установка системы учета для технологического присоединения энергопринимающих устройств Заявителей: Лаптев И.Н. в г. Таганроге, Ростовской области (1 шт)</t>
  </si>
  <si>
    <t>Установка системы учета для технологического присоединения энергопринимающих устройств Заявителя: ООО «ЛУКОЙЛ-Югнефтепродукт» в г. Таганроге, Ростовской области (1 шт)</t>
  </si>
  <si>
    <t>Установка системы учета для технологического присоединения энергопринимающих устройств Заявителя: Яновская Анна Романовна
в г. Таганроге, Ростовской области (1 шт)</t>
  </si>
  <si>
    <t>Установка системы учета для технологического присоединения энергопринимающих устройств Заявителя: Караваев Владимир Валентинович в г. Таганроге, Ростовской области (1 шт)</t>
  </si>
  <si>
    <t>Установка системы учета для технологического присоединения энергопринимающих устройств Заявителя: Проскурин Виталий Юрьевич
в г. Таганроге, Ростовской области (1 шт)</t>
  </si>
  <si>
    <t>Установка системы учета для технологического присоединения энергопринимающих устройств Заявителя: Башмаков Михаил Станиславович
в г. Таганроге, Ростовской области (1 шт)</t>
  </si>
  <si>
    <t>Установка системы учета для технологического присоединения энергопринимающих устройств Заявителя: Индивидуальный предприниматель Думик Юрий Анатольевич в г. Таганроге, Ростовской области (1 шт)</t>
  </si>
  <si>
    <t>Установка системы учета для технологического присоединения энергопринимающих устройств Заявителей: ООО «ГЕРМЕС-ТЕЛЕКОМ», Ростовской области (1 шт)</t>
  </si>
  <si>
    <t>Установка системы учета для технологического присоединения энергопринимающих устройств Заявителей: Кубраковский Н.Н. в г.Таганроге, Ростовской области (1 шт)</t>
  </si>
  <si>
    <t>Установка системы учета для технологического присоединения энергопринимающих устройств Заявителей: Шевчук Л.Н. Ростовской области (1 шт)</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</si>
  <si>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(Договор №61-1-21-00613011 от 24.11.2021) в г. Таганрог Ростовской области (1 шт)</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</si>
  <si>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</si>
  <si>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 61-1-21-00611491 от 30.03.2022г.),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</si>
  <si>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№61-1-21-00613009 от 24.11.2021) в г. Таганрог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</si>
  <si>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№61-1-21-00614407 от 29.11.2021) в г. Таганрог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</si>
  <si>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№61-1-21-00615585 от 08.12.2021), в г. Таганроге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</si>
  <si>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№61-1-21-00615643 от 08.12.2021), в г. Таганроге Ростовской области (1 шт)</t>
  </si>
  <si>
    <t>Установка системы учета для технологического присоединения энергопринимающих устройств Заявителей: ИП Иванова В.Ю., в г. Таганроге, Ростовской области (1 шт)</t>
  </si>
  <si>
    <t>Установка системы учета для технологического присоединения энергопринимающих устройств Заявителей: Андрейченко Н.П., Ростовской области (1 шт)</t>
  </si>
  <si>
    <t>Установка системы учета для технологического присоединения энергопринимающих устройств Заявителей: Дымковская Н.Н., Ростовской области (1 шт)</t>
  </si>
  <si>
    <t>Установка системы учета для технологического присоединения энергопринимающих устройств Заявителей: Дытченков Н.П. Ростовской области (1 шт)</t>
  </si>
  <si>
    <t>Установка системы учета для технологического присоединения энергопринимающих устройств Заявителей: Запорожан А.В. в г. Таганроге, Ростовской области (1 шт)</t>
  </si>
  <si>
    <t>Установка системы учета для технологического присоединения энергопринимающих устройств Заявителей: ИП Ларина И.А., Ростовской области (1 шт)</t>
  </si>
  <si>
    <t>Установка системы учета для технологического присоединения энергопринимающих устройств Заявителей: ИП Уразгильдеев И.Ф. Ростовской области (1 шт)</t>
  </si>
  <si>
    <t>Установка системы учета для технологического присоединения энергопринимающих устройств Заявителя: Климков Дмитрий Александрович в г. Таганроге, Ростовской области (1 шт)</t>
  </si>
  <si>
    <t>Установка системы учета для технологического присоединения энергопринимающих устройств Заявителей: ПАО «Мобильные ТелеСистемы» г. Таганрог, ул. Ветренная, 45, Ростовской области (1 шт)</t>
  </si>
  <si>
    <t>Установка системы учета для технологического присоединения энергопринимающих устройств Заявителей: ПАО «Мобильные ТелеСистемы» г. Таганрог, пер. Красный, 26, Ростовской области (1 шт)</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</si>
  <si>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остановка Площадь Восстания, г. Таганрог Ростовской области (1 шт)</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</si>
  <si>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(договор №61-1-21-00588055)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</si>
  <si>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№61-1-21-00588103 от 26.07.2021 г. Таганрог Ростовской области (1 шт)</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</si>
  <si>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(договор №61-1-21-00588109)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</si>
  <si>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№61-1-21-00588111 от 26.07.2021 г. Таганрог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</si>
  <si>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№61-1-21-00588371от 26.07.2021 г. Таганрог Ростовской области (1 шт)</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</si>
  <si>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(договор №61-1-21-00588373) (1 шт)</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</si>
  <si>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(договор №61-1-21-00588375) (1 шт)</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</si>
  <si>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(договор №61-1-21-00588419) (1 шт)</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</si>
  <si>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(договор №61-1-21-00588437) (1 шт)</t>
  </si>
  <si>
    <t>Установка системы учета для технологического присоединения энергопринимающих устройств Заявителя: Антипов А.А. в г. Таганроге, Ростовской области (1 шт)</t>
  </si>
  <si>
    <t>Установка системы учета для технологического присоединения энергопринимающих устройств Заявителя: Апресян Елена Александровна в г. Таганроге, Ростовской области (1 шт)</t>
  </si>
  <si>
    <t>Установка системы учета для технологического присоединения энергопринимающих устройств Заявителя: Иванов Вадим Владимирович в г. Таганроге, Ростовской области (1 шт)</t>
  </si>
  <si>
    <t>Установка системы учета для технологического присоединения энергопринимающих устройств Заявителей: Кошарный А.И. в г. Таганроге, Ростовской области (1 шт)</t>
  </si>
  <si>
    <t>Установка системы учета для технологического присоединения энергопринимающих устройств Заявителя: Шутова В.А. в г. Таганроге, Ростовской области (1 шт)</t>
  </si>
  <si>
    <t>Установка системы учета для технологического присоединения энергопринимающих устройств Заявителей: Слюченко А.В. в г. Таганроге, Ростовской области (1 шт)</t>
  </si>
  <si>
    <t xml:space="preserve">Установка системы учета для технологического присоединения энергопринимающих устройств Заявителя (Беликов А.Е) по адресу: Ростовская область, г. Таганрог, ул. Энергетическая, д. 173, к.н. 61:58:0008072:159 (1 шт.) </t>
  </si>
  <si>
    <t>Установка системы учета для технологического присоединения энергопринимающих устройств Заявителей: Иванов В.М. в г. Таганроге, Ростовской области (1 шт)</t>
  </si>
  <si>
    <t xml:space="preserve">Установка системы учета для технологического присоединения энергопринимающих устройств Заявителя (ИП Акименко В.В.) по адресу: Ростовская область, г. Таганрог, ул. Петровская, д. 88, к.н. 61:58:0001131:9 
(1 шт.) </t>
  </si>
  <si>
    <t>Установка системы учета для технологического присоединения энергопринимающих устройств Заявителей: Манджаари К.Р. в г. Таганроге, Ростовской области (1 шт)</t>
  </si>
  <si>
    <t xml:space="preserve">Установка системы учета для технологического присоединения энергопринимающих устройств Заявителя (Швецова Г.С.) по адресу: Ростовская область, г. Таганрог, ул. Тургеневский, д. 4, к.н. 61:58:0001096:332 (1 шт.) </t>
  </si>
  <si>
    <t xml:space="preserve">Установка системы учета для технологического присоединения энергопринимающих устройств Заявителя (ООО «Южный берег» по адресу: Ростовская область, г. Таганрог, ул. Ленинградская, д. 43, к.н. 61:58:0002272:173 (1 шт.) </t>
  </si>
  <si>
    <t>Установка системы учета для технологического присоединения энергопринимающих устройств Заявителя (Запорожцев И.С.) по адресу: Ростовская область, г.Таганрог, ул. Щаденко д. 43, к.н.: 61:58:0003387:28  (1 шт.)</t>
  </si>
  <si>
    <t>Установка системы учета для технологического присоединения энергопринимающих устройств Заявителя (Колесникова В.Н.) по адресу: Ростовская область, г. Таганрог, ул. Мало-Набережная, д. 61, к.н. 61:58:0003015:225 (1 шт.)</t>
  </si>
  <si>
    <t>Установка системы учета для технологического присоединения энергопринимающих устройств Заявителя (Лагутин Д.В.) по адресу: Ростовская область, г. Таганрога,  ул. 21-й Переулок/ул. Александровская, д. 27/212, кв. 10, 11, 12 к.н.: 61:58:0002203:66 (1 шт.)</t>
  </si>
  <si>
    <t>Установка системы учета для технологического присоединения энергопринимающих устройств Заявителя (Голов М.Е.) по адресу: Ростовская область, г. Таганрог,  ул. Доменская, д.25, к.н. 61:58:0003056:42 
(1 шт.)</t>
  </si>
  <si>
    <t>Установка системы учета для технологического присоединения энергопринимающих устройств Заявителя (ИП Анцыбор И.Н.)  по адресу: Ростовская область, г. Таганрог, ул. Петровская, д. 69/ пер. Антона Глушко д.6, к.н. 61:58:0001128:0:6/1(1 шт.)</t>
  </si>
  <si>
    <t>Установка системы учета для технологического присоединения энергопринимающих устройств Заявителя (ИП Бареян Г.Р.) по адресу: Ростовская область, г. Таганрог, ул. Вишневая, д. 15-1, к.н. 61:58:0005274:3007 (1 шт.)</t>
  </si>
  <si>
    <t>Установка системы учета для технологического присоединения энергопринимающих устройств Заявителя (ИП Жидков О.М.) по адресу: Ростовская область, г. Таганрог, пер. Некрасовский, д. 9-а, (1 шт.)</t>
  </si>
  <si>
    <t>Установка системы учета для технологического присоединения энергопринимающих устройств Заявителя (Мардахаев А.З.) по адресу: Ростовская область, г. Таганрог, пер. 23-й, д. 24, к.н. 61:58:0002219:3 (1 шт.)</t>
  </si>
  <si>
    <t>Установка системы учета для технологического присоединения энергопринимающих устройств Заявителя (Сушкин Н.А.) по адресу: Ростовская область, г. Таганрог, пер. 7-й Новый, д. 100-5, к.н. 61:58:0004479:85 (1 шт.)</t>
  </si>
  <si>
    <t>Установка системы учета для технологического присоединения энергопринимающих устройств Заявителя (Миков В.М.) по адресу: Ростовская область, г. Таганрог, ул. Шмидта/пер. Добролюбовский, д. 21/1, кв. 4, к.н.61:58:0001053:216 (1 шт.)</t>
  </si>
  <si>
    <t>Установка системы учета для технологического присоединения энергопринимающих устройств Заявителя (МКУ «Благоустройство») по адресу: Ростовская область, г. Таганрог, ул. М. Жукова, д.2-б , к.н. 61:58:0000000:45625 (1 шт.)</t>
  </si>
  <si>
    <t>Установка системы учета для технологического присоединения энергопринимающих устройств Заявителя (МУП «Городское хозяйство») по адресу: Ростовская область, г. Таганрог, ул. Петровская, д. 104 (1 шт.)</t>
  </si>
  <si>
    <t>Установка системы учета для технологического присоединения энергопринимающих устройств Заявителя (Тисленко А.В.) по адресу: Ростовская область, г. Таганрог, ул. Р. Люксембург, д. 32, к.н. 61:58:0001076:160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</si>
  <si>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№61-1-21-00615693 от 08.12.2021), в г. Таганроре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</si>
  <si>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№61-1-21-00615697 от 08.12.2021), в г. Таганроге Ростовской области (1 шт)</t>
  </si>
  <si>
    <t>Установка системы учета для технологического присоединения энергопринимающих устройств Заявителя (ИП Андреев А.М..) по адресу: Ростовская область, г. Таганрог, пер. 7-й Новый, д.83-1, к.н. 61:58:0004447:48 (1 шт.)</t>
  </si>
  <si>
    <t>Установка системы учета для технологического присоединения энергопринимающих устройств Заявителя (ИП Андреев А.М..) по адресу: Ростовская область, г. Таганрог, Поляковское шоссе, д.15-д, к.н. 61:58:0002500:279 (1 шт.)</t>
  </si>
  <si>
    <t>Установка системы учета для технологического присоединения энергопринимающих устройств Заявителя (ИП Шелестов Н.Ю.) по адресу: Ростовская область, г. Таганрог, пер. 1-й Новый, д.8, к.н. 61:58:0004469:59 (1 шт.)</t>
  </si>
  <si>
    <t>Установка системы учета для технологического присоединения энергопринимающих устройств Заявителя (Лисовенко С.А.) по адресу: Ростовская область, г. Таганрог, пер. 7-й Мариупольский, д.18, к.н. 61:58:0005219:11 (1 шт.)</t>
  </si>
  <si>
    <t>Установка системы учета для технологического присоединения энергопринимающих устройств Заявителя Мирзоева Е.С. в г.Таганроге, Ростовской области, ул. Вокзальная/Садовая, д. 39/2, к.н. 61:58:0004230:53
 (1 шт)</t>
  </si>
  <si>
    <t>Установка системы учета для технологического присоединения энергопринимающих устройств Заявителя (Морозов Г.А.) по адресу: Ростовская область, г. Таганрог, шс. Мариупольское, 15/а, к.н. 61:58:0005270:2836 (1 шт.)</t>
  </si>
  <si>
    <t>Установка системы учета для технологического присоединения энергопринимающих устройств Заявителя (Сычева Г.М..) по адресу: Ростовская область, г. Таганрог, ул. Дачная, д.134, к.н. 61:58:0004459:23 (1 шт.)</t>
  </si>
  <si>
    <t>Установка системы учета для технологического присоединения энергопринимающих устройств Заявителя (Чепурнова Е.В.) по адресу: Ростовская область, г. Таганрог, ул. Щаденко, д. 19-б к.н. 61:58:0003388:341 (1 шт.)</t>
  </si>
  <si>
    <t>Установка системы учета для технологического присоединения энергопринимающих устройств Заявителя (Колчина А.В.) по адресу: Ростовская область, г. Таганрог, ул. Р. Люксембург, д.264-а, к.н. 61:58:0005006:72 (1 шт.)</t>
  </si>
  <si>
    <t>Установка системы учета для технологического присоединения энергопринимающих устройств Заявителя (Скалиух А.П.) по адресу: Ростовская область, г. Таганрог, ул. 3-я Линия, д.169, к.н. 61:58:0004182:33 (1 шт.)</t>
  </si>
  <si>
    <t>Установка системы учета для технологического присоединения энергопринимающих устройств Заявителя (Архипенко А.А..) по адресу: Ростовская область, г. Таганрог, ул. Чехова, д. 121, к.н. 61:58:0001138:205 (1 шт.)</t>
  </si>
  <si>
    <t>Установка системы учета для технологического присоединения энергопринимающих устройств Заявителя (Севиян В.Х.) по адресу: Ростовская область, г. Таганрог, ул. Чехова, к.н. 61:58:0002316:285 (1 шт.)</t>
  </si>
  <si>
    <t xml:space="preserve">Установка системы учета для технологического присоединения энергопринимающих устройств Заявителя (Гуров А.Б.) по адресу: Ростовская область, г. Таганрог, ул. Больничная, д.13 (1 шт.) </t>
  </si>
  <si>
    <t>Установка системы учета для технологического присоединения энергопринимающих устройств Заявителя (Савинова Н.Г.) по адресу: Ростовская область, г. Таганрог, ул. Ватутина, д.2-б, к.н: 61:58:0005011:52 
(1 шт.)</t>
  </si>
  <si>
    <t>Установка системы учета для технологического присоединения энергопринимающих устройств Заявителя (Черная М.Д.) по адресу: Ростовская область, г. Таганрог, ул. Шевченко, д.36-в, к.н: 61:58:0001019:3
 (1 шт.)</t>
  </si>
  <si>
    <t>Установка системы учета для технологического присоединения энергопринимающих устройств Заявителя (ИП Албатова Е.Н.) по адресу: Ростовская область, г. Таганрог, ул. Морозова, д.11, к.н.: 61:58:0003279:1225 (1 шт.)</t>
  </si>
  <si>
    <t>Установка системы учета для технологического присоединения энергопринимающих устройств Заявителя (Халилов Т.В.о) по адресу: Ростовская область, г. Таганрог, ул. М. Жукова, д.2-б, к.н: 61:58:0004349:2253 (1 шт.)</t>
  </si>
  <si>
    <t>Установка системы учета для технологического присоединения энергопринимающих устройств Заявителя (Имамвердиев Э.М.о.) по адресу: Ростовская область, г. Таганрог, ул. Ломоносова, д.55, помещение №46а,63, 63а, 66-68, 70, 71, 73-76, 86, к.н. 61:58:0005138:1165 (1 шт.)</t>
  </si>
  <si>
    <t>Установка системы учета для технологического присоединения энергопринимающих устройств Заявителя (Быкадоров А.А.) по адресу: Ростовская область, г. Таганрог, пер. Каркасный, д. 9 а, к.н 61:58:0000000:8926 (1 шт.)</t>
  </si>
  <si>
    <t>Установка системы учета для технологического присоединения энергопринимающих устройств Заявителя (ИП Марков И.В.)  по адресу: Ростовская область, г. Таганрог, ул. Театральная, д. 43, к.н 61:58:0005278:8 
(1 шт.)</t>
  </si>
  <si>
    <t>Установка системы учета для технологического присоединения энергопринимающих устройств Заявителя (ИП Ткаченко П.В.) по адресу: Ростовская область, г. Таганрог, ул. С. Шило, д.167-3, 61:58:0005011:680
 (1 шт.)</t>
  </si>
  <si>
    <t>Установка системы учета для технологического присоединения энергопринимающих устройств Заявителя (ИП Самохвалов Д.В.)  по адресу: Ростовская область, г. Таганрог, пл. Северная, д. 3-2, к.н. 61:58:0002234:252 (1 шт.)</t>
  </si>
  <si>
    <t>Установка системы учета для технологического присоединения энергопринимающих устройств Заявителя (Кудашева Е.А.)  по адресу: Ростовская область, г. Таганрог, пер. 4-й Новый, к.н. 61:58:0004036:84 
(1 шт.)</t>
  </si>
  <si>
    <t>Установка системы учета для технологического присоединения энергопринимающих устройств Заявителя (Ларина И.А.) по адресу: Ростовская область, г. Таганрог, ул. Морозова, д.25, к.н. 61:58:0003484:003:3-428-7/А:1/58828 (1 шт.)</t>
  </si>
  <si>
    <t>Установка системы учета для технологического присоединения энергопринимающих устройств Заявителя (Автономная некоммерческая организация по предоставлению социально-культурных услуг «Луч Надежды» по адресу: Ростовская область, г. Таганрог, ул. Дзержинского, д.171-2 (1 шт.)</t>
  </si>
  <si>
    <t>Установка системы учета для технологического присоединения энергопринимающих устройств Заявителя (Ткаченко П.В.) по адресу: Ростовская область, г. Таганрог, ул. Петровская, д.109, к.н. 61:58:0003007:319 (1 шт.)</t>
  </si>
  <si>
    <t>Установка системы учета для технологического присоединения энергопринимающих устройств Заявителя (Хачунц Г.С.)  по адресу: Ростовская область, г. Таганрог, ул. Ленина, д. 195, к.н 61:58:0003181:9
 (1 шт.)</t>
  </si>
  <si>
    <t>Установка системы учета для технологического присоединения энергопринимающих устройств Заявителя (Закаморный В.А.) по адресу: Ростовская область, г. Таганрог, Мариупольское шоссе, д.39-1, ДНТ «Мир», уч. 16, к.н.: 61-61-42/056/2012-166 (1 шт.)</t>
  </si>
  <si>
    <t>Установка системы учета для технологического присоединения энергопринимающих устройств Заявителя (ИП Кравченко А.Г.) по адресу: Ростовская область, г. Таганрог, ул. Московская, 17, корпус А (1 шт.)</t>
  </si>
  <si>
    <t>Установка системы учета для технологического присоединения энергопринимающих устройств Заявителя (ИП Кузнецов В.А.) по адресу: Ростовская область, г. Таганрог, ул. Театральная, 18 (1 шт.)</t>
  </si>
  <si>
    <t>Установка системы учета для технологического присоединения энергопринимающих устройств Заявителя (Кафтанов А.Г.) по адресу: Ростовская область, г. Таганрог, Северо-Западное шоссе, д.3, СНТ «Дачное-2», уч. 375, к.н.: 61:58:0006028:445 (1 шт.)</t>
  </si>
  <si>
    <t>Установка системы учета для технологического присоединения энергопринимающих устройств Заявителя (ИП Лядов К.Е.) по адресу: Ростовская область, г. Таганрог, ул. Урицкого, д. 29, к.н.: 61:58:0003404:25
 (1 шт.)</t>
  </si>
  <si>
    <t>Установка системы учета для технологического присоединения энергопринимающих устройств Заявителя (Крючек М.И.) по адресу: Ростовская область, г. Таганрог, ул. 4-я Линия, д. 2/а, к.н.: 61:58:0000000:14555  (1 шт.)</t>
  </si>
  <si>
    <t>Установка системы учета для технологического присоединения энергопринимающих устройств Заявителя (Овчаренко И.А.) по адресу: Ростовская область, г. Таганрог, ул. Транспортная, д.11, к.н.: 61:58:0002306:168 (1 шт.)</t>
  </si>
  <si>
    <t>Установка системы учета для технологического присоединения энергопринимающих устройств Заявителя (ООО «Промкомплекс «Волна») по адресу: Ростовская область, г. Таганрог, ул. С. Лазо, д.1-3, к.н.: 61:58:0003438:2145 (1 шт.)</t>
  </si>
  <si>
    <t>Установка системы учета для технологического присоединения энергопринимающих устройств Заявителя (ПАО «Вымпел-Коммуникации») по адресу: Ростовская область, г. Таганрог, ул. Шаумяна, д.20-1 (1 шт.)</t>
  </si>
  <si>
    <t>Установка системы учета для технологического присоединения энергопринимающих устройств Заявителя (Рыбченков А.Н.)» по адресу: Ростовская область, г. Таганрог, ул. Поселковая, 57 г, к.н.: 61:58:0004202:73
(1 шт.)</t>
  </si>
  <si>
    <t>Установка системы учета для технологического присоединения энергопринимающих устройств Заявителя (Дереберя И.М.) по адресу: Ростовская область, г. Таганрог, переулок 9-й, д. 20, к.н.: 61:58:0002089:4
 (1 шт.)</t>
  </si>
  <si>
    <t xml:space="preserve">Установка системы учета для технологического присоединения энергопринимающих устройств Заявителя (ИП Лысенко А.Ю.) по адресу: Ростовская область, г. Таганрог, ул. Чехова, д. 98, к.н. 61:58:0001124:560
 (1 шт.) </t>
  </si>
  <si>
    <t>Установка системы учета для технологического присоединения энергопринимающих устройств Заявителя (ИП Печеный А.А.) по адресу: Ростовская область, г. Таганрог, ул. Мариупольское шоссе, д 53-а, к.н. 61:58:0005303:35 (1 шт.)</t>
  </si>
  <si>
    <t>Установка системы учета для технологического присоединения энергопринимающих устройств Заявителя (Карпенко Р.А.) по адресу: Ростовская область, г. Таганрог, ул. 3-я Линия, д. 215, к.н. 61:58:0004180:19 (1 шт.)</t>
  </si>
  <si>
    <t>Установка системы учета для технологического присоединения энергопринимающих устройств Заявителя (ИП Васильева Т.А.) по адресу: Ростовская область, г. Таганрог, ул. Петровская, 66-б, к.н.: 61:58:0001096:27 (1 шт.)</t>
  </si>
  <si>
    <t>Установка системы учета для технологического присоединения энергопринимающих устройств Заявителя (ИП Ивашин А.Э..) по адресу: Ростовская область, г. Таганрог, Николаевское шоссе, СНТ «Радуга», аллея 13, уч.47 (1 шт.)</t>
  </si>
  <si>
    <t xml:space="preserve">Установка системы учета для технологического присоединения энергопринимающих устройств Заявителя (ООО «СК Эверест») по адресу: Ростовская область, г. Таганрог, ул. Морозова, д. 11, ком. 66, 68, 69, 70, 71, 71а, 73, к.н.: 61:58:0003279:1229 (1 шт.) </t>
  </si>
  <si>
    <t>Установка системы учета для технологического присоединения энергопринимающих устройств Заявителя (Чиркова Н.В.) по адресу: Ростовская область, г. Таганрог, Мариупольское шоссе, д.12, СНТ «Зеленхоз», уч. №17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</si>
  <si>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 61-1-21-00610887 от 05.04.2022), Ростовской области (1 шт)</t>
  </si>
  <si>
    <t>Установка системы учета для технологического присоединения энергопринимающих устройств Заявителя (Беликова О.И.) адресу: Ростовская область, г. Таганрог, ул. Дзержинского, 105, кв.1 (1 шт.)</t>
  </si>
  <si>
    <t>Установка системы учета для технологического присоединения энергопринимающих устройств Заявителя (ИП Манджаари К. Р.) адресу: Ростовская область, г. Таганрог, ул. Александровская, 120-а (1 шт.)</t>
  </si>
  <si>
    <t>Установка системы учета для технологического присоединения энергопринимающих устройств Заявителя (ИП Петросян Р.А.) по адресу: Ростовская область, г. Таганрог, ст. Таганрог-1, ул. Москатова, д. 2-А, 11 км. пк 7 (1 шт.)</t>
  </si>
  <si>
    <t>Установка системы учета для технологического присоединения энергопринимающих устройств Заявителя (ИП Руссель Ю.И.) по адресу: Ростовская область, г. Таганрог, пер. Спартаковский, д. 16/ул. Октябрьская, д. 18, к.н. 61:58:0003001:466 (1 шт.)</t>
  </si>
  <si>
    <t>Установка системы учета для технологического присоединения энергопринимающих устройств Заявителя (Кулик Л.Ф.) по адресу: Ростовская область, г. Таганрог, ул. Бакинская, к.н. 61:58:0004523::1007       (1 шт.)</t>
  </si>
  <si>
    <t>Установка системы учета для технологического присоединения энергопринимающих устройств Заявителя (Курилов Ю.М.) адресу: Ростовская область, г. Таганрог, ул. Энгельса, 53 (1 шт.)</t>
  </si>
  <si>
    <t>Установка системы учета для технологического присоединения энергопринимающих устройств Заявителя (Савченко Л.Е.) адресу: Ростовская область, г. Таганрог, ул. Петровская, д. 113, к.н. 61:58:0003007:327 (1 шт.</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</si>
  <si>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(Договор № 61-1-22-00640119 от 19.04.2022), Ростовской области (1 шт)</t>
  </si>
  <si>
    <t>Установка системы учета для технологического присоединения энергопринимающих устройств Заявителя (Сирота Е.Б.) адресу: Ростовская область, г. Таганрог, ул. Чехова, 324-б (1 шт.)</t>
  </si>
  <si>
    <t>Установка системы учета для технологического присоединения энергопринимающих устройств Заявителя (Скоморохова Е.В.) адресу: Ростовская область, г. Таганрог, ул. Чехова, 17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</si>
  <si>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 61-1-22-00643819 от 27.04.2022), Ростовской области г. Таганрог (1 шт)</t>
  </si>
  <si>
    <t>Установка системы учета для технологического присоединения энергопринимающих устройств Заявителя (ИП Саркисян А.В.) адресу: Ростовская область, г. Таганрог, Николаевское шоссе, 7-а (1 шт.)</t>
  </si>
  <si>
    <t>Установка системы учета для технологического присоединения энергопринимающих устройств Заявителя (ИП Греченко Е.Е.) адресу: Ростовская область, г. Таганрог, г. Таганрог, ул. Седова, д.7, к.н. 61:58:0002418:204 (1 шт.)</t>
  </si>
  <si>
    <t>Установка системы учета для технологического присоединения энергопринимающих устройств Заявителя (Рожкова И.Ю.) адресу: Ростовская область, г. Таганрог, пер. 5-й Новый, д. 112, к.н 61:58:0004522:510 (1 шт.)</t>
  </si>
  <si>
    <t>Установка системы учета для технологического присоединения энергопринимающих устройств Заявителя (Айрапетян Л.Ц.) адресу: Ростовская область, г. Таганрог, пр. 4-й Линейный, д. 52, к.н.: 61:58:0 41 92:12:4-192-12/Г:1/43698 (1 шт.)</t>
  </si>
  <si>
    <t>Установка системы учета для технологического присоединения энергопринимающих устройств Заявителя (Болмат С.Е.) адресу: Ростовская область, г. Таганрог, пер. 6-й Новый, к.н. 61:58:0004479:93 (1 шт.)</t>
  </si>
  <si>
    <t>Установка системы учета для технологического присоединения энергопринимающих устройств Заявителя (Горбанев А.А.) адресу: Ростовская область, г. Таганрог, ул. Дачная, к.н. 61:58:0004217:304 (1 шт.)</t>
  </si>
  <si>
    <t>Установка системы учета для технологического присоединения энергопринимающих устройств Заявителя (Горбанев А.А.) адресу: Ростовская область, г. Таганрог, ул. Дачная, к.н. 61:58:0004217:305 (1 шт.)</t>
  </si>
  <si>
    <t>Установка системы учета для технологического присоединения энергопринимающих устройств Заявителя (ИП Исаков Г.Д.) адресу: Ростовская область, г. Таганрог, пер. 7-й  Новый, д. 100, к.н. 61:58:4451:478 ( 1 шт.)</t>
  </si>
  <si>
    <t>Установка системы учета для технологического присоединения энергопринимающих устройств Заявителя (ИП Морозова Е.П.) адресу: Ростовская область, г. Таганрог, ул. Фрунзе, д. 62, корп. 1, кв.3, к.н. 61:58:0001130:563 ( 1 шт.)</t>
  </si>
  <si>
    <t>Установка системы учета для технологического присоединения энергопринимающих устройств Заявителя (Лавриненко И.Р.) адресу: Ростовская область, г. Таганрог, ул. Бакинская, д. 85а, к.н. 61:58:0004522:255 ( 1 шт.)</t>
  </si>
  <si>
    <t>Установка системы учета для технологического присоединения энергопринимающих устройств Заявителя (ООО «Донские рестораны») адресу: Ростовская область, г. Таганрог, г. Таганрог, ул. Р. Люксембург, д. 12, к.н. 61:58:0001061:236 ( 1 шт.)</t>
  </si>
  <si>
    <t xml:space="preserve"> Установка системы учета для технологического присоединения энергопринимающих устройств Заявителя (Куликова Н.Г.) по адресу: Ростовская область, г. Таганрог, ул. Толбухина, д.5-1 (1 шт.)</t>
  </si>
  <si>
    <t>Установка системы учета для технологического присоединения энергопринимающих устройств Заявителя (Акопджанян А.С.) по адресу: Ростовская область, г. Таганрог, ул. Бакинская, к.н. 61:58:0004523:1035 (1 шт.)</t>
  </si>
  <si>
    <t>Установка системы учета для технологического присоединения энергопринимающих устройств Заявителя (Цыбина Т.И.) по адресу: Ростовская область, г. Таганрог, ул. П.Е. Осипенко, д. 53, к.н. 61:58:0003277:1212 (1 шт.)</t>
  </si>
  <si>
    <t>Установка системы учета для технологического присоединения энергопринимающих устройств Заявителя (ИП Рындин А.В.) по адресу: Ростовская область, г. Таганрог, ул. Транспортная, д. 61, к.н. 61:58:0005259:574 (1 шт.)</t>
  </si>
  <si>
    <t>Установка системы учета для технологического присоединения энергопринимающих устройств Заявителя (ООО «Синара – Городские Транспортные Решения Таганрог») по адресу: Ростовская область, г. Таганрог, ул. Дзержинского, д. 74, к.н. 61:58:0003121:421 (1 шт.)</t>
  </si>
  <si>
    <t>Установка системы учета для технологического присоединения энергопринимающих устройств Заявителя (Корнильев В.В.) по адресу: Ростовская область, г. Таганрог, ул. Нахимова, д. 33, к.н. 61:58:0002291:160 (1 шт.)</t>
  </si>
  <si>
    <t>Установка системы учета для технологического присоединения энергопринимающих устройств Заявителя (Куликов А.Д.) по адресу: Ростовская область, г. Таганрог, ул. Ленина, д. 191-б, к.н. 61:58:0003181:41 (1 шт.)</t>
  </si>
  <si>
    <t>Установка системы учета для технологического присоединения энергопринимающих устройств Заявителей: Титаренко В.С., Ветров В.С., Бабиян Н.К., Журкина И.В., Саргсян Д.В., Шубин Э.В. в Мясниковском районе Ростовской области (6 шт.)</t>
  </si>
  <si>
    <t xml:space="preserve">Установка системы учета для технологического присоединения энергопринимающих устройств Заявителей: Дурнев Д.Д., Вартеванян С.Г., Скороход В.В., Аветисян М.С., Лыскин В.Ф., Цыганкова О.А. в Мясниковском районе Ростовской области (6 шт.) </t>
  </si>
  <si>
    <t xml:space="preserve">Установка системы учета для технологического присоединения энергопринимающих устройств Заявителя: Узунян К.В. в Мясниковском районе Ростовской области (1 шт.) </t>
  </si>
  <si>
    <t>Установка системы учета для технологического присоединения энергопринимающих устройств Заявителей: Кашкин Е.В., Налбандян Г.К., Гирагосов М.А. в Мясниковском районе Ростовской области (3 шт.)</t>
  </si>
  <si>
    <t xml:space="preserve">Установка системы учета для технологического присоединения энергопринимающих устройств Заявителей: Лысенко А.Ф., Хавранян О.А., Забирюченко М.А., Бердечников Ю.И., Ордян О.Р., Гульянц Н.А.  в Мясниковском районе Ростовской области (6 шт.) </t>
  </si>
  <si>
    <t xml:space="preserve">Установка системы учета для технологического присоединения энергопринимающих устройств Заявителей: Аветисов К.С., Порожнякова О.О., Петрушенко В.С., Воротынцева О.В., Администрация Калининского сельского поселения в Мясниковском районе Ростовской области (5 шт.) </t>
  </si>
  <si>
    <t xml:space="preserve">Установка системы учета для технологического присоединения энергопринимающих устройств Заявителей: Молодова И.А., Тарасян М.А., Баткалова Л.А. в Мясниковском районе Ростовской области (3 шт.) </t>
  </si>
  <si>
    <t>Установка системы учета для технологического присоединения энергопринимающих устройств Заявителей: Пантюхин С.А., Шкаброва Л.И., Порожнякова Е.В., Однороб С.В. в Мясниковском районе Ростовской области (5 шт.)</t>
  </si>
  <si>
    <t>Установка системы учета для технологического присоединения энергопринимающих устройств Заявителей: Веткина Д.А., Заиченко О.С., Мнацаканян Д.А., Гарпеников Г.Г., в Мясниковском районе Ростовской области (4 шт.)</t>
  </si>
  <si>
    <t>Установка системы учета для технологического присоединения энергопринимающих устройств Заявителей: Хоруженко Е.А., Бабиян М.Ф., Пчельникова И.А., Атоян А.С., Гайбарян А.А., Ялтырян А.Б.  в Мясниковском районе Ростовской области (7 шт.)</t>
  </si>
  <si>
    <t>Установка системы учета для технологического присоединения энергопринимающих устройств Заявителей: Дулин А.Ф., Читахян Х.К., Раков А.В., Свиридов В.Г., Петренко М.С., Чуваков В.М. в Мясниковском районе Ростовской области (6 шт.)</t>
  </si>
  <si>
    <t xml:space="preserve">Установка системы учета для технологического присоединения энергопринимающих устройств Заявителей: Карташов М.С., Хрхрян Л.В., Попов А.П., Яковлева Т.Н., Поркшеян Б.О., Дзреян В.Н. в Мясниковском районе Ростовской области (6 шт.) </t>
  </si>
  <si>
    <t xml:space="preserve">Установка системы учета для технологического присоединения энергопринимающих устройств Заявителей: Аршакян С.А., ИП Григорян С.Р., Арутюнян Л.В., Козлов И.В., Бакалова Э.А. в Мясниковском районе Ростовской области (5 шт.) </t>
  </si>
  <si>
    <t xml:space="preserve">Установка системы учета для технологического присоединения энергопринимающих устройств Заявителей: Журавлева М.Р., Ткаченко И.Н., Межевикин И.Н., Кононенко Т.М., Цыздоев А.Х., Торпуджиян Т.А. в Мясниковском районе Ростовской области (6 шт.) </t>
  </si>
  <si>
    <t>Установка системы учета для технологического присоединения энергопринимающих устройств Заявителей: Орленко В.А., Серов А.Н., Овечко А.Г. в Мясниковском районе Ростовской области (3 шт.)</t>
  </si>
  <si>
    <t xml:space="preserve">Установка системы учета для технологического присоединения энергопринимающих устройств Заявителей: Кравченко М.М., Валеев В.Р., Хочкиян М.Х., Даглдиян Г.Г., ПАО «МТС» в Мясниковском районе Ростовской области (5 шт.) </t>
  </si>
  <si>
    <t xml:space="preserve">Установка системы учета для технологического присоединения энергопринимающих устройств Заявителей: Ревуцкий Д.А., Головин М.И., Казарян Р.О., Мелконян М.К., Фурсов В.И., Кузнецов В.В. в Мясниковском районе Ростовской области (6 шт.) </t>
  </si>
  <si>
    <t xml:space="preserve">Установка системы учета для технологического присоединения энергопринимающих устройств Заявителей: Габриелян Л.В., Тур Е.А., Гичунцева М.М, Мазниченко Е.Ю., Дорошенко Н.И., Дорошенко А.В. в Мясниковском районе Ростовской области (6 шт.) </t>
  </si>
  <si>
    <t xml:space="preserve">Установка системы учета для технологического присоединения энергопринимающих устройств Заявителей: Иванова А.А., Кондрашин А.И., Кононенко Е.Н., Ломова В.В., Палий В.В., Чуваков В.М. в Мясниковском районе Ростовской области (6 шт.) </t>
  </si>
  <si>
    <t xml:space="preserve">Установка системы учета для технологического присоединения энергопринимающих устройств Заявителя: Терновой Д.В. в Мясниковском районе Ростовской области (1 шт.) </t>
  </si>
  <si>
    <t>Установка системы учета для технологического присоединения энергопринимающих устройств Заявителей: Фролова Н.А., Новикова А.К., Шахман А.В., Поплутин И.Ю., Куликова С.Р., Хазизян А.К. в Мясниковском районе Ростовской области (6 шт.)</t>
  </si>
  <si>
    <t>Установка системы учета для технологического присоединения энергопринимающих устройств Заявителей: Азарян А.А., Збраилова С.А., Вартанян В.Г., Бодахян К.В., Додохян Х.А., Момотов С.А., Бордачев А.М. в Мясниковском районе Ростовской области (7 шт.)</t>
  </si>
  <si>
    <t>Установка системы учета для технологического присоединения энергопринимающих устройств Заявителей: Мещеряков А.А., Минаков Н.А. в Мясниковском районе Ростовской области (2 шт.)</t>
  </si>
  <si>
    <t>Установка системы учета для технологического присоединения энергопринимающих устройств Заявителей: Абрамов В.В. в Мясниковском районе Ростовской области (1 шт.)</t>
  </si>
  <si>
    <t>Установка системы учета для технологического присоединения энергопринимающих устройств Заявителей: Аскеров С.М., Бойченко Д.В., Гуляева Е.Б., Бахлян М.М., Бабаев Л.И., Нозина Г.П., Гаврилова О.А., Даниленко Д.В. в Мясниковском районе Ростовской области (8 шт.)</t>
  </si>
  <si>
    <t>Установка системы учета для технологического присоединения энергопринимающих устройств Заявителей: Жаравина О.С., Шахбазян Г.А. в Мясниковском районе Ростовской области (2 шт.)</t>
  </si>
  <si>
    <t>Установка системы учета для технологического присоединения энергопринимающих устройств Заявителей: Куривчак И.И., Гуликян Л.Н., Килафян Н.А., Лысов С.К., Московой Д.А., Мясникова Ж.Г., Пайлеванян А.С., Лаптева С.Н., Пантюхова Е.О., Люльчук О.Н. в Мясниковском районе Ростовской области (10 шт.)</t>
  </si>
  <si>
    <t xml:space="preserve">Установка системы учета для технологического присоединения энергопринимающих устройств Заявителей: Мелохаян В.О., Саргсян Р.А., Ганоцкая Ю.В., Власов Х.А., Канарская Е.В. в Мясниковском районе Ростовской области (5 шт.) </t>
  </si>
  <si>
    <t>Установка системы учета для технологического присоединения энергопринимающих устройств Заявителей: Стамболян А.С., Акопян С.Ю. в Мясниковском районе Ростовской области (2 шт.)</t>
  </si>
  <si>
    <t xml:space="preserve">Установка системы учета для технологического присоединения энергопринимающих устройств Заявителя: Абгарян С.Р. в х. Красный Крым, ул. 2-я Молодежная, д. 14/а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</si>
  <si>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Амбарцумян А.А. в х. Красный Крым, ул. Юбилейная, д. 27/б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</si>
  <si>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Асцатрян М.С. в с. Чалтырь, ул. Крестьянская, д. 3/а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</si>
  <si>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Ачарян Р.Л. в с. Чалтырь, ул. Шаумяна, д. 122/б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</si>
  <si>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Бабиян Л.К. в с. Крым, ул. 2-я линия, д. 27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</si>
  <si>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Багдасаров Р.С. в с. Большие Салы, ул. Заводская, д. 16/д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</si>
  <si>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Барнагян С.Х. в с. Чалтырь, ул. 5-я линия, д. 48/б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</si>
  <si>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Волченко А.А. в х. Красный Крым, ул. Шаумяна, д. 14/б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</si>
  <si>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Герасименко Г.И. в х. Ленинаван, ул. Мира, д. 18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</si>
  <si>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Горпинченко С.В. в х. Ленинакан, ул. Дачная, д. 2/а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</si>
  <si>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Гуликян С.С. в х. Ленинаван, ул. Орджоникидзе, д. 8/д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</si>
  <si>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ИП Люльчук О.Н. в х. Ленинаван Мясниковского района Ростовской области (1 шт.) </t>
  </si>
  <si>
    <t xml:space="preserve">Установка системы учета для технологического присоединения энергопринимающих устройств Заявителя: Киракосян Е.Ф. в х. Калинин, ул. П.Д. Тер-Акоповой, д. 24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</si>
  <si>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Коваленко В.В. в с. Крым, ул. Пролетарская, д. 23/а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</si>
  <si>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Крячко С.А. в х. Ленинаван, ул. Ладожская, д. 13/34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</si>
  <si>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Кузнецова Л.Н. в х. Ленинаван, ул. Орджоникидзе, д. 8/1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</si>
  <si>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Линцов А.Н. в х. Ленинаван, ул. Суворова, д. 86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</si>
  <si>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Листопадов А.В. в х. Ленинаван, ул. Мясникяна, д. 31/а Мясниковского района Ростовской области. </t>
  </si>
  <si>
    <t xml:space="preserve">Установка системы учета для технологического присоединения энергопринимающих устройств Заявителя: Листопадов А.В. в х. Ленинаван Мясниковского района Ростовской области. </t>
  </si>
  <si>
    <t xml:space="preserve">Установка системы учета для технологического присоединения энергопринимающих устройств Заявителя: Мартынова О.В. в х. Мокрый Чалтырь, ул. Ленина, д. 14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</si>
  <si>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Наврузова М.В. в х. Ленинаван, ул. Центральная, д. 11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</si>
  <si>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Носова Н.С. в х. Ленинакан, ул. Васильковая, д. 15/а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</si>
  <si>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Заявителей: Оганесян В.С., Жамкочян К.М., Магомедагаева М.С., Тютюник А.Е., Игнатович А.В., Рашидов А.Г., Оланян Е.Г., в Мясниковском районе Ростовской области (7 шт.) </t>
  </si>
  <si>
    <t xml:space="preserve">Установка системы учета для технологического присоединения энергопринимающих устройств Заявителя: Осипова Л.Н. в с. Чалтырь, ул. Патканяна, д. 109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</si>
  <si>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Позднякова Л.А. в с. Крым, ул. Маршала Жукова, д. 3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</si>
  <si>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Полянский Д.А. в х. Красный Крым, ул. Юбилейная, д. 27/в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</si>
  <si>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Ролдугин А.В. в х. Калинин, ул. Соборная, д. 6/а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</si>
  <si>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Сардарян В.С. в с. Чалтырь, ул. Тащияна, д. 86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</si>
  <si>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Семенова Е.К. в х. Ленинакан, ул. Дачная, д. 8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</si>
  <si>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Согомонян А.А. в х. Ленинаван, ул. Дружбы, д. 19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</si>
  <si>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Стрельцов С.П. в х. Красный Крым, ул. Юбилейная, д. 27/а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</si>
  <si>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Тихонов В.В. в х. Недвиговка, ул. Набережная, д. 79/а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</si>
  <si>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Тонян М.Л. в с. Чалтырь, ул. Октябрьская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</si>
  <si>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ИП Галай А.Г. в х. Ленинакан, ул. Торговый проспект, д. 6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</si>
  <si>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Казарян А.В. в х. Калинин, ул. 1-я Кольцевая, д. 1/а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</si>
  <si>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Топчанов Л.Г. в с. Крым, ул. 6-я линия, д. 13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</si>
  <si>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Чолий О.И. в х. Ленинакан, ул. Суворова, д. 101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</si>
  <si>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Шагинов А.Л. в с. Чалтырь, ул. Урожайная, д. 28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</si>
  <si>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Шкробот А.Ю. в х. Красный Крым, ул. Пушкинская, д. 14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</si>
  <si>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Явруян А.А. в х. Ленинаван, ул. Орджоникидзе, д. 35/в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</si>
  <si>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Якина Н.Н. в х. Калинин, ул. Донская, д. 15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</si>
  <si>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(Абдуллаев Т.Р.) по адресу: Ростовская область, Мясниковский район, х. Ленинаван, ул. Абовяна, д. 7/в, к.н. 61:25:0030202:3140 (1 шт.) </t>
  </si>
  <si>
    <t xml:space="preserve">Установка системы учета для технологического присоединения энергопринимающих устройств Заявителя (Администрация Мясниковского района) по адресу: Ростовская область, Мясниковский район, с. Чалтырь, ул. 3-я линия, д. 48, к.н. 61:25:0000000:319 (1 шт.) </t>
  </si>
  <si>
    <t>Установка системы учета для технологического присоединения энергопринимающих устройств Заявителя: Айрапетян Н.Б. в с. Крым  ул. Григора Бабияна, д. 22 Мясниковского района Ростовской области – 1 шт.</t>
  </si>
  <si>
    <t xml:space="preserve">Установка системы учета для технологического присоединения энергопринимающих устройств Заявителя (Арутюнян Г.А.) по адресу: Ростовская область, Мясниковский район, с. Чалтырь, ул. Шагиняна, д. 89/2, к.н. 61:25:0600601:1364 (1 шт.) </t>
  </si>
  <si>
    <t xml:space="preserve">Установка системы учета для технологического присоединения энергопринимающих устройств Заявителя (Ачарян А.М.) по адресу: Ростовская область, Мясниковский район, с. Чалтырь, ул. Комсомольская, д. 15/б, к.н. 61:25:0101323:0071 (1 шт.) </t>
  </si>
  <si>
    <t xml:space="preserve">Установка системы учета для технологического присоединения энергопринимающих устройств Заявителя (Ачарян М.С.) по адресу: Ростовская область, Мясниковский район, с. Чалтырь, ул. Тащияна, д. 68/25, к.н. 61:25:0600601:1373 (1 шт.) </t>
  </si>
  <si>
    <t xml:space="preserve">Установка системы учета для технологического присоединения энергопринимающих устройств Заявителя: Волоха К.А. в с. Чалтырь,  ул. Мясникяна, д. 62/б Мясниковского района Ростовской области – 1 шт. </t>
  </si>
  <si>
    <t>Установка системы учета для технологического присоединения энергопринимающих устройств Заявителя: Гайбарян Л.А. в с. Крым,  ул. Маршала Жукова, д. 20 Мясниковского района Ростовской области – 1 шт.</t>
  </si>
  <si>
    <t xml:space="preserve">Установка системы учета для технологического присоединения энергопринимающих устройств Заявителя: Джемилия Г.Н. в с. Большие Салы ул. Красноармейская, д. 12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</si>
  <si>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(Дудина Н.А.) по адресу: Ростовская область, Мясниковский район, с. Чалтырь, ул. Западная, д. 141/а, к.н. 61:25:0101608:322 (1 шт.) </t>
  </si>
  <si>
    <t xml:space="preserve">Установка системы учета для технологического присоединения энергопринимающих устройств Заявителя: ИП Баграмян В.Е. в с. Чалтырь ул. Красноармейская, д. 82/б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</si>
  <si>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(ИП Григорян С.А.) по адресу: Ростовская область, Мясниковский район, с. Большие Салы, земли СПК (колхоз) «Колос», к.н. 61:25:0000000:6126 (1 шт.) </t>
  </si>
  <si>
    <t xml:space="preserve">Установка системы учета для технологического присоединения энергопринимающих устройств Заявителя (Кадиров Т.А.) по адресу: Ростовская область, Мясниковский район, х. Калинин, ул. Донская, д. 18, к.н. 61:25:0050101:1634 (1 шт.) </t>
  </si>
  <si>
    <t xml:space="preserve">Установка системы учета для технологического присоединения энергопринимающих устройств Заявителя (Козлова Л.Н.) по адресу: Ростовская область, Мясниковский район, с. Крым, ул. 25-я линия, д. 7, к.н. 61:25:0201027:65 (1 шт.) </t>
  </si>
  <si>
    <t>Установка системы учета для технологического присоединения энергопринимающих устройств Заявителя: Косенко И.А. в х. Ленинакан ул. Лукашина, д. 16/б Мясниковского района Ростовской области – 1 шт.</t>
  </si>
  <si>
    <t xml:space="preserve">Установка системы учета для технологического присоединения энергопринимающих устройств Заявителя (Кудрин Р.В.) по адресу: Ростовская область, Мясниковский район, х. Калинин, ул. 50 лет Победы, д. 45, к.н. 61:25:0050101:1323 (1 шт.) </t>
  </si>
  <si>
    <t xml:space="preserve">Установка системы учета для технологического присоединения энергопринимающих устройств Заявителя (Майкоглуян М.А.) по адресу: Ростовская область, Мясниковский район, с. Чалтырь, ул. Шаумяна, д. 55/а, к.н. 61:25:0101110:0002 (1 шт.) </t>
  </si>
  <si>
    <t xml:space="preserve">Установка системы учета для технологического присоединения энергопринимающих устройств Заявителя (Мелексетян К.С.) по адресу: Ростовская область, Мясниковский район, с. Крым, ул. Мясникяна, д. 6, к.н. 61:25:0201013:66 (1 шт.) </t>
  </si>
  <si>
    <t xml:space="preserve">Установка системы учета для технологического присоединения энергопринимающих устройств Заявителя (Мурадян А.Э.) по адресу: Ростовская область, Мясниковский район, с. Крым, ул. 10-я линия, д. 36/а, к.н. 61:25:0201003:0019 (1 шт.) </t>
  </si>
  <si>
    <t xml:space="preserve">Установка системы учета для технологического присоединения энергопринимающих устройств Заявителя (Никиша А.С.) по адресу: Ростовская область, Мясниковский район, х. Хапры, ул. Первомайская, д. 63/а, к.н. 61:25:0070201:2611 (1 шт.) </t>
  </si>
  <si>
    <t xml:space="preserve">Установка системы учета для технологического присоединения энергопринимающих устройств Заявителя (Оганисян Ж.С.) по адресу: Ростовская область, Мясниковский район, х. Ленинаван, ул. Таганрогская, д. 60, к.н. 61:25:0600401:5928 (1 шт.) </t>
  </si>
  <si>
    <t xml:space="preserve">Установка системы учета для технологического присоединения энергопринимающих устройств Заявителя: Пантелеева З.И. в с. Большие Салы  ул. 2-я Заводская, д. 9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</si>
  <si>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(Рябинин В.И.) по адресу: Ростовская область, Мясниковский район, х. Ленинакан, ул. Ростовская, д. 16/1, к.н. 61:25:0030301:1343 (1 шт.) </t>
  </si>
  <si>
    <t xml:space="preserve">Установка системы учета для технологического присоединения энергопринимающих устройств Заявителя (Саакян А.М.) по адресу: Ростовская область, Мясниковский район, с. Чалтырь, ул. Красноармейская, д. 11/а, к.н. 61:25:0000000:154 (1 шт.) </t>
  </si>
  <si>
    <t xml:space="preserve">Установка системы учета для технологического присоединения энергопринимающих устройств Заявителя (Саркисова С.А.) по адресу: Ростовская область, Мясниковский район, с. Крым, ул. Первомайская, д. 11/г, к.н. 61:25:0201016:413 (1 шт.) </t>
  </si>
  <si>
    <t xml:space="preserve">Установка системы учета для технологического присоединения энергопринимающих устройств Заявителя: Саркисьян Р.С. в с. Чалтырь  ул. Мец-Чорвах, д. 1/б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</si>
  <si>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(Серопян А.А.) по адресу: Ростовская область, Мясниковский район, х. Ленинаван, ул. Таганрогская, д. 68, к.н. 61:25:0600401:5912 (1 шт.) </t>
  </si>
  <si>
    <t xml:space="preserve">Установка системы учета для технологического присоединения энергопринимающих устройств Заявителя (Стрельникова Т.В.) по адресу: Ростовская область, Мясниковский район, с. Чалтырь, ул. Кристостуряна, д. 17, к.н. 61:25:0101422:33 (1 шт.) </t>
  </si>
  <si>
    <t>Установка системы учета для технологического присоединения энергопринимающих устройств Заявителя: Толохян И.Г. в с. Чалтырь ул. Красноармейская, д. 26/а Мясниковского района Ростовской области – 1 шт.</t>
  </si>
  <si>
    <t xml:space="preserve">Установка системы учета для технологического присоединения энергопринимающих устройств Заявителя (Хаишбашян М.С.) по адресу: Ростовская область, Мясниковский район, х. Красный Крым, ул. Туманяна, д. 20, к.н. 61:25:0030101:2380 (1 шт.) </t>
  </si>
  <si>
    <t xml:space="preserve">Установка системы учета для технологического присоединения энергопринимающих устройств Заявителя (Хачатурян Г.В.) по адресу: Ростовская область, Мясниковский район, с. Чалтырь, ул. Шагиняна, д. 73, к.н. 61:25:0600601:1827 (1 шт.) </t>
  </si>
  <si>
    <t xml:space="preserve">Установка системы учета для технологического присоединения энергопринимающих устройств Заявителя: Чебанян А.К. в с. Большие Салы, ул. Ленина, д. 5/з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</si>
  <si>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Шалунц А.А. в с. Чалтырь ул. Тащияна, д. 30 Мясниковского района Ростовской области – 1 шт. </t>
  </si>
  <si>
    <t xml:space="preserve">Установка системы учета для технологического присоединения энергопринимающих устройств Заявителя (Ярославцева О.А.) по адресу: Ростовская область, Мясниковский район, с. Крым, ул. Октябрьская, д. 32/в, к.н. 61:25:0201009:291 (1 шт.) </t>
  </si>
  <si>
    <t>Установка системы учета для технологического присоединения энергопринимающих устройств Заявителя (Егонян С.М.) по адресу: Ростовская область, Мясниковский район, с. Большие Салы, ул. Чапчахова, д. 8, к.н. 61:25:0040101:6167 (1 шт.)</t>
  </si>
  <si>
    <t>Установка системы учета для технологического присоединения энергопринимающих устройств Заявителя (Магдесян Т.И.) по адресу: Ростовская область, Мясниковский район, с. Чалтырь, ул. 50 лет Победы, д. 86, к.н. 61:25:0600601:1152 (1 шт.)</t>
  </si>
  <si>
    <t xml:space="preserve">Установка системы учета для технологического присоединения энергопринимающих устройств Заявителя (Марченко М.Н.) по адресу: Ростовская область, Мясниковский район, х. Ленинаван, ул. С. Хатламаджияна, д. 18, к.н. 61:25:0030202:856 (1 шт.) </t>
  </si>
  <si>
    <t>Установка системы учета для технологического присоединения энергопринимающих устройств Заявителя (Омельченко Е.Б.) по адресу: Ростовская область, Мясниковский район, х. Красный Крым, ул. Братьев Баян, д. 23, к.н. 61:25:0030101:86 (1 шт.)</t>
  </si>
  <si>
    <t>Установка системы учета для технологического присоединения энергопринимающих устройств Заявителя (Тихомиров И.Г.) по адресу: Ростовская область, Мясниковский район, х. Красный Крым, ул. Лермонтовская, д. 30, к.н. 61:25:0600401:17043 (1 шт.)</t>
  </si>
  <si>
    <t>Установка системы учета для технологического присоединения энергопринимающих устройств Заявителя (Трахачева Л.А.) по адресу: Ростовская область, Мясниковский район, х. Красный Крым, ул. Сатхинская, д. 3, к.н. 61:25:0600401:17268 (1 шт.)</t>
  </si>
  <si>
    <t>Установка системы учета для технологического присоединения энергопринимающих устройств Заявителя (Харитонов А.Е.) по адресу: Ростовская область, Мясниковский район, х. Ленинаван, ул. Мясникяна, д. 3, к.н. 61:25:0030202:1519 (1 шт.)</t>
  </si>
  <si>
    <t>Установка системы учета для технологического присоединения энергопринимающих устройств Заявителя (Амбарцумян Л.В.) по адресу: Ростовская область, Мясниковский район, х. Веселый, ул. Красноармейская, д. 18, к.н. 61:25:0060101:493 (1 шт.)</t>
  </si>
  <si>
    <t>Установка системы учета для технологического присоединения энергопринимающих устройств Заявителя (Барлаухян А.Р.) по адресу: Ростовская область, Мясниковский район, с. Крым, ул. Советская, д. 62, к.н. 61:25:0201018:206 (1 шт.)</t>
  </si>
  <si>
    <t>Установка системы учета для технологического присоединения энергопринимающих устройств Заявителя (ИП Дорогобедов Е.В.) по адресу: Ростовская область, Мясниковский район, х. Ленинакан, ул. Суворова, д. 115, к.н. 61:25:0600401:15398 (1 шт.)</t>
  </si>
  <si>
    <t>Установка системы учета для технологического присоединения энергопринимающих устройств Заявителя (Куценко Д.В.) по адресу: Ростовская область, Мясниковский район, х. Красный Крым, ул. Пшеничная, д. 6/а, к.н. 61:25:0600401:18677 (1 шт.)</t>
  </si>
  <si>
    <t>Установка системы учета для технологического присоединения энергопринимающих устройств Заявителя (Саргсян Г.М.) по адресу: Ростовская область, Мясниковский район, с. Крым, ул. Шаумяна, д. 59/а, к.н. 61:25:0201003:97 (1 шт.)</t>
  </si>
  <si>
    <t>Установка системы учета для технологического присоединения энергопринимающих устройств Заявителя (Толстых М.Б.) по адресу: Ростовская область, Мясниковский район, х. Красный Крым, ул. Туманяна, д. 5/а, к.н. 61:25:0030101:2388 (1 шт.)</t>
  </si>
  <si>
    <t>Установка системы учета для технологического присоединения энергопринимающих устройств Заявителя (Чибичян М.Б.) по адресу: Ростовская область, Мясниковский район, с. Чалтырь, ул. Трудовая, д. 4/а, к.н. 61:25:0101428:14 (1 шт.)</t>
  </si>
  <si>
    <t>Установка системы учета для технологического присоединения энергопринимающих устройств Заявителя (Шатверова Л.Ш.) по адресу: Ростовская область, Мясниковский район, х. Ленинаван, аллея Центральная, д. 31, к.н. 61:25:0600401:7230 (1 шт.)</t>
  </si>
  <si>
    <t>Установка системы учета для технологического присоединения энергопринимающих устройств Заявителя (Шульга Н.Д.) по адресу: Ростовская область, Мясниковский район, х. Ленинаван, ул. Таганрогская, д. 62, к.н. 61:25:0600401:5927 (1 шт.)</t>
  </si>
  <si>
    <t>Установка системы учета для технологического присоединения энергопринимающих устройств Заявителя (Баронян А.А.) по адресу: Ростовская область, Мясниковский район, с. Большие Салы, ул. Середкина, д. 2/а, к.н. 61:25:0040101:5425 (1 шт.)</t>
  </si>
  <si>
    <t>Установка системы учета для технологического присоединения энергопринимающих устройств Заявителя (Головацкая И.М.) по адресу: Ростовская область, Мясниковский район, х. Красный Крым, ул. Турмалиновая, д. 3, к.н. 61:25:0600401:4900 (1 шт.)</t>
  </si>
  <si>
    <t>Установка системы учета для технологического присоединения энергопринимающих устройств Заявителя (Рамазян В.Н.) по адресу: Ростовская область, Мясниковский район, с. Крым, ул. Шаумяна, д. 80, к.н. 61:25:0201008:44 (1 шт.)</t>
  </si>
  <si>
    <t>Установка системы учета для технологического присоединения энергопринимающих устройств Заявителя (Багрян В.Р.) по адресу: Ростовская область, Мясниковский район, с. Большие Салы, ул. Красноармейская, к.н. 61:25:0040101:6086 (1 шт.)</t>
  </si>
  <si>
    <t>Установка системы учета для технологического присоединения энергопринимающих устройств Заявителя (Байтяков А.П.) по адресу: Ростовская область, Мясниковский район, с. Чалтырь, ул. Патканяна, д. 132/а, к.н. 61:25:0600601:1903 (1 шт.)</t>
  </si>
  <si>
    <t>Установка системы учета для технологического присоединения энергопринимающих устройств Заявителя (Гукасян М.Ф.) по адресу: Ростовская область, Мясниковский район, с. Большие Салы, ул. 1-я Ленинская, д. 35/а, к.н. 61:25:0040101:6178 (1 шт.)</t>
  </si>
  <si>
    <t xml:space="preserve">Установка системы учета для технологического присоединения энергопринимающих устройств Заявителя (Джинибалаян Х.К.) по адресу: Ростовская область, Мясниковский район, с. Крым, ул. Пролетарская, д. 11/а, к.н. 61:25:0201024:546 (1 шт.) </t>
  </si>
  <si>
    <t>Установка системы учета для технологического присоединения энергопринимающих устройств Заявителя (Пешекерян О.А.) по адресу: Ростовская область, Мясниковский район, с. Чалтырь, ул. Ростовская, д. 9, к.н. 61:25:0101215:17 (1 шт.)</t>
  </si>
  <si>
    <t xml:space="preserve">Установка системы учета для технологического присоединения энергопринимающих устройств Заявителя (Саблин К.О.) по адресу: Ростовская область, Мясниковский район, х. Калинин, ул. Садовая, д. 27, к.н. 61:25:0050101:1808 (1 шт.) </t>
  </si>
  <si>
    <t>Установка системы учета для технологического присоединения энергопринимающих устройств Заявителя (Явруян Г.А.) по адресу: Ростовская область, Мясниковский район, х. Ленинаван, ул. Абовяна, д. 7/1, к.н. 61:25:0030202:4969 (1 шт.)</t>
  </si>
  <si>
    <t>Установка системы учета для технологического присоединения энергопринимающих устройств Заявителей: Ваць М.В., Фоменко Т.М., Батряк М.А., Устименко Е.Д., Минасян Г.К., Зубкова И.А., Тамаев Р.В., Булгурян Х.А., Шмакова В.В., Федоренко А.А., Гончаров С.П., Молоткина Д.А., Афонченков А.И., Павлова И.В., Колычева А.А., Гончарова А.С., Журкина И.В., Давтян Э.Р., Гайбарян С.С., Жилин В.П., Беликов М.В., Синянская Д.А.  в Мясниковском районе Ростовской области (25 шт.)</t>
  </si>
  <si>
    <t>Установка системы учета для технологического присоединения энергопринимающих устройств Заявителей: Хулаян В.К., Саркисян Г.О., Буракова К.А., Гизгизян М.М., Ширинян Д.Д., Харченко К.В., Женина Е.М., Кутулян С.А., Клюева Т.А., Руссова О.И., Осадченко Н.Т., Седченко А.С., Зубачёв Ю.Д, Мушихина Л.А.  в Мясниковском районе Ростовской области (14 шт.)</t>
  </si>
  <si>
    <t>Установка системы учета для технологического присоединения энергопринимающих устройств Заявителей: Саркисян С.А. в Мясниковском районе Ростовской области (1 шт.)</t>
  </si>
  <si>
    <t>Установка системы учета для технологического присоединения энергопринимающих устройств Заявителя: МКУ «Дом культуры Чалтырского сельского поселения» в Мясниковском районе Ростовской области (1 шт.)</t>
  </si>
  <si>
    <t>Установка системы учета для технологического присоединения энергопринимающих устройств Заявителей: Налгиров В.О., Хаспекян И.В., Пикулик П.В., Мосоян А., Чистяков С.Д., Карпоян А.С.  в Мясниковском районе Ростовской области (6 шт.)</t>
  </si>
  <si>
    <t>Установка системы учета для технологического присоединения энергопринимающих устройств Заявителей: Трегубенко А.А., Демченко А.С., Чарыков Р.В. в Неклиновском районе Ростовской области (3 шт.).</t>
  </si>
  <si>
    <t>Установка системы учета для технологического присоединения энергопринимающих устройств Заявителей: Терещенко О.В., Курузян М.Т., Комиссарова Т.Н., Соболевская О.Ю., Десна В.Б., Нижниковский А.П. в Неклиновском районе Ростовской области (6 шт.).</t>
  </si>
  <si>
    <t>Установка системы учета для технологического присоединения энергопринимающих устройств Заявителей: Шерасова А.В., Спасов В.Ф., Фролова Ю.В., Рогова С.А., Зубкова А.А. в Неклиновском районе Ростовской области (5 шт.).</t>
  </si>
  <si>
    <t>Установка системы учета для технологического присоединения энергопринимающих устройств Заявителей: МУП «Водоканал Неклиновского района», Письменный С.И., Дроботенко М.И., Боборыкин А.А., Токарев А.А., Шелист А.И., Шелист Л.А, Шелист Г.И, Церюта Т.В., Дегтярева С.А.  в Неклиновском районе Ростовской области (10 шт.)</t>
  </si>
  <si>
    <t>Установка системы учета для технологического присоединения энергопринимающих устройств Заявителей: ИП Плахоткин С.А., Шевченко М.И., Троянкин А.Б., Рязанова И.С.  в Неклиновском районе Ростовской области (4 шт.)</t>
  </si>
  <si>
    <t>Установка системы учета для технологического присоединения энергопринимающих устройств Заявителей: Терский А.А., Серебрякова Г.В. в Неклиновском районе Ростовской области 
(2 шт.).</t>
  </si>
  <si>
    <t>Установка системы учета для технологического присоединения энергопринимающих устройств Заявителей: Демиденко В.Ю., Надолинская В.С., Слепченко Е.С., Яковлева И.А.   в Неклиновском районе Ростовской области (4 шт.).</t>
  </si>
  <si>
    <t>Установка системы учета для технологического присоединения энергопринимающих устройств Заявителей: Минасова В.Ф., Панкратьева Е.С., Андрианова Е.А.   в Неклиновском районе Ростовской области (3 шт.).</t>
  </si>
  <si>
    <t>Установка системы учета для технологического присоединения энергопринимающих устройств Заявителей: Костенко В.В., Пукало Р.Г., Титарева О.В.  в Неклиновском районе Ростовской области (3 шт.).</t>
  </si>
  <si>
    <t xml:space="preserve">Установка системы учета для технологического присоединения энергопринимающих устройств Заявителя: Осипова Е.А. в Неклиновском районе Ростовской области (1 шт.). </t>
  </si>
  <si>
    <t>Установка системы учета для технологического присоединения энергопринимающих устройств Заявителей: Емельянова И.В., Агафонова С.Л., Малышев В.А., Чернобай С.А., Мацарская К.В., Комарова Е.Л., Набиев Наби Шамстан Оглы, Костюченко Е.А., Афанасьев В.С.   в Неклиновском районе Ростовской области (9 шт.).</t>
  </si>
  <si>
    <t>Установка системы учета для технологического присоединения энергопринимающих устройств Заявителей: Бабичев А.В., Нога К.В.   в Неклиновском районе Ростовской области (2 шт.).</t>
  </si>
  <si>
    <t>Установка системы учета для технологического присоединения энергопринимающих устройств Заявителей: Белова Ю.А., Гладкая Ю.А.   в Неклиновском районе Ростовской области (2 шт.).</t>
  </si>
  <si>
    <t xml:space="preserve">Установка системы учета для технологического присоединения энергопринимающих устройств Заявителей: Бурых С.В., Морозов В.В., Васильченко В.В.   в Неклиновском районе Ростовской области (3 шт.). </t>
  </si>
  <si>
    <t xml:space="preserve">Установка системы учета для технологического присоединения энергопринимающих устройств Заявителей: Исаджанян А.З., Половинко К.В., Блинков Р.Г. в Неклиновском районе Ростовской области (3 шт.). </t>
  </si>
  <si>
    <t xml:space="preserve">Установка системы учета для технологического присоединения энергопринимающих устройств Заявителей: Кадобкин А.С., Голикова М.Д., Молотов Р.В., Домашевский Д.А. в Неклиновском районе Ростовской области (4 шт.). </t>
  </si>
  <si>
    <t>Установка системы учета для технологического присоединения энергопринимающих устройств Заявителей: ФКУ «Управление автомобильной магистрали Москва – Волгоград Федерального дорожного агенсва», Малородная В.И., Куценко В.Н.  в Неклиновском районе Ростовской области (3 шт.).</t>
  </si>
  <si>
    <t>Установка системы учета для технологического присоединения энергопринимающих устройств Заявителей: Нигогосова К.В., Ефремов С.Н., Скляренко А.А.    в Неклиновском районе Ростовской области (3 шт.).</t>
  </si>
  <si>
    <t>Установка системы учета для технологического присоединения энергопринимающих устройств Заявителей: Марьянченко В.Н., Федоренко О.А., Шахназарян Г.Р., Кожухова М.Е., Челнокова А.И., Василенко А.В., Гронцев А.В.   в Неклиновском районе Ростовской области (7 шт.).</t>
  </si>
  <si>
    <t>Установка системы учета для технологического присоединения энергопринимающих устройств Заявителей: Кретов В.П., Полоусов И.В., Хорольский И.В.  в Неклиновском районе Ростовской области (3 шт.).</t>
  </si>
  <si>
    <t>Установка системы учета для технологического присоединения энергопринимающих устройств Заявителей: Камардина Е.В., Добронравов Н.Ю., Блюдов С.Е.  в Неклиновском районе Ростовской области (3 шт.).</t>
  </si>
  <si>
    <t>Установка системы учета для технологического присоединения энергопринимающих устройств Заявителя: Воронова Ю.В. в Неклиновском районе Ростовской области (1 шт.).</t>
  </si>
  <si>
    <t xml:space="preserve">Установка системы учета для технологического присоединения энергопринимающих устройств Заявителей: Канюшник М.А., Жулина Е.И., Яковлев А.Н., Дышловая Т.Ю., Кривошапко В.В.  в Неклиновском районе Ростовской области (5 шт.). </t>
  </si>
  <si>
    <t xml:space="preserve">Установка системы учета для технологического присоединения энергопринимающих устройств Заявителя: Мамченко Е.С.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</si>
  <si>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Заявителей: Кокенко В.В., Исаджанян Ю.А.   в Неклиновском районе Ростовской области (2 шт.). </t>
  </si>
  <si>
    <t>Установка системы учета для технологического присоединения энергопринимающих устройств Заявителей: Миргородский В.В., Мирзебалаев М.А., Егоров А.В., Тарасенко Н.В., Рубанов К.А.  в Неклиновском районе Ростовской области (5 шт.).</t>
  </si>
  <si>
    <t>Установка системы учета для технологического присоединения энергопринимающих устройств Заявителей: Акопян С.А., Пашаев И.И.О., Пискунова В.Н., Шкодич А.Г., Федорова Л.Б., Тодоров П.А., Савенок И.И. в Неклиновском районе Ростовской области (7 шт.)</t>
  </si>
  <si>
    <t xml:space="preserve">Установка системы учета для технологического присоединения энергопринимающих устройств Заявителей: Омельченко С.Ю., Гаврилов А.А., Марченко С.Н. в Неклиновском районе Ростовской области (3 шт.) </t>
  </si>
  <si>
    <t xml:space="preserve">Установка системы учета для технологического присоединения энергопринимающих устройств Заявителей: Никифоров В.Г., Азизов Э.Т. в Неклиновском районе Ростовской области (2 шт.) </t>
  </si>
  <si>
    <t>Установка системы учета для технологического присоединения энергопринимающих устройств Заявителей: ФКУ «Управление автомобильной магистрали Москва-Волгоград Федерального дорожного агентства», Олейник А.А., Путивцева С.В., Соколова Е.Ю., Лопаткин А.В., ИП Горбанева К.Д., Дорошина Е.Г., Шелестова Л.В., Печенкин И.В.  в Неклиновском районе Ростовской области (9 шт.).</t>
  </si>
  <si>
    <t xml:space="preserve">Установка системы учета для технологического присоединения энергопринимающих устройств Заявителей: Ливенцева А.А., Горобченко Е.Е., ИП Попов Г.А.   в Неклиновском районе Ростовской области (3 шт.). </t>
  </si>
  <si>
    <t xml:space="preserve">Установка системы учета для технологического присоединения энергопринимающих устройств Заявителей: Зобнев Н.В., Бова Л.П., Левин М.Е. в Неклиновском районе Ростовской области (3 шт.). </t>
  </si>
  <si>
    <t>Установка системы учета для технологического присоединения энергопринимающих устройств Заявителей: Булгакова Н.А., Задорожняя Л.А., Калиниченко Д.А.  в Неклиновском районе Ростовской области (3 шт.).</t>
  </si>
  <si>
    <t>Установка системы учета для технологического присоединения энергопринимающих устройств Заявителей: Минасова А.М., Рахубовская Е.И., Сушкин Д.А., Коханюк Т.Н., Самолюк Л.А.  в Неклиновском районе Ростовской области (5 шт.).</t>
  </si>
  <si>
    <t>Установка системы учета для технологического присоединения энергопринимающих устройств Заявителей: Куцых О.В., Копайгора З.Н., Назлуян С.Б.  в Неклиновском районе Ростовской области (3 шт.)</t>
  </si>
  <si>
    <t>Установка системы учета для технологического присоединения энергопринимающих устройств Заявителей: Мартыненко В.С., Баенко Г.А.   в Неклиновском районе Ростовской области (2 шт.).</t>
  </si>
  <si>
    <t xml:space="preserve">Установка системы учета для технологического присоединения энергопринимающих устройств Заявителя (Лаптева Л.И.)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</si>
  <si>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Заявителей: Лучин А.С., Кривошапка Н.И., Шуманов Н.М., Бойко А.Г., Парамонова Р.А.  в Неклиновском районе Ростовской области (5 шт.). </t>
  </si>
  <si>
    <t>Установка системы учета для технологического присоединения энергопринимающих устройств Заявителя (ПАО "МТС") в Неклиновском районе Ростовской области (1 шт)</t>
  </si>
  <si>
    <t xml:space="preserve">Установка системы учета для технологического присоединения энергопринимающих устройств Заявителя (Скворцов В.Ю.) в Неклиновском районе Ростовской области (1шт.) </t>
  </si>
  <si>
    <t xml:space="preserve">Установка системы учета для технологического присоединения энергопринимающих устройств Заявителя (Ламах А.А.) в Неклиновском районе Ростовской области (1 шт.) </t>
  </si>
  <si>
    <t>Установка системы учета для технологического присоединения энергопринимающих устройств Заявителя (Бондарев Д.Ю.) в Неклиновском районе Ростовской области (1 шт.)</t>
  </si>
  <si>
    <t xml:space="preserve">Установка системы учета для технологического присоединения энергопринимающих устройств Заявителя (Администрация Неклиновского района)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</si>
  <si>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(Логинова М.В.) в Неклиновском районе Ростовской области (1 шт.) </t>
  </si>
  <si>
    <t xml:space="preserve">Установка системы учета для технологического присоединения энергопринимающих устройств Заявителя (ООО "Радиус") по адресу: Ростовская область, Неклиновский район, п. Дмитриадовка (1 шт.) </t>
  </si>
  <si>
    <t xml:space="preserve">Установка системы учета для технологического присоединения энергопринимающих устройств Заявителя (Сулина Е.Г.) по адресу: Ростовская область, Неклиновский район, с. Новобессергеневка, к.н. 61:26:0600024:4575 (1 шт.) </t>
  </si>
  <si>
    <t xml:space="preserve">Установка системы учета для технологического присоединения энергопринимающих устройств Заявителя (Хетагуров Э.И.) по адресу: Ростовская область, Неклиновский район, с. Покровское, ул. Полевая, д. 47, к.н. 61:26:0050114:699 (1 шт.) </t>
  </si>
  <si>
    <t xml:space="preserve">Установка системы учета для технологического присоединения энергопринимающих устройств Заявителя (МБУЗ «ЦРБ» НР РО) по адресу: Ростовская область, Неклиновский район, х. Рожок, ул. П.Е.Приходько, д. 23-б, к.н. 61:26:0100401:2180 (1 шт.) </t>
  </si>
  <si>
    <t xml:space="preserve">Установка системы учета для технологического присоединения энергопринимающих устройств Заявителя (МБУЗ «ЦРБ» НР РО) по адресу: Ростовская область, Неклиновский район, х. Мержаново, пер. Комсомольский 9-й, д. 8-а, к.н. 61:26:0060301:2174 (1 шт.) </t>
  </si>
  <si>
    <t xml:space="preserve">Установка системы учета для технологического присоединения энергопринимающих устройств Заявителя (МБУЗ «ЦРБ» НР РО) по адресу: Ростовская область, Неклиновский район, с. Малофедоровка, ул. Лиманная, д. 8-б, к.н. 61:26:0160201:780 (1 шт.) </t>
  </si>
  <si>
    <t xml:space="preserve">Установка системы учета для технологического присоединения энергопринимающих устройств Заявителя (МБУЗ «ЦРБ» НР РО) по адресу: Ростовская область, Неклиновский район, с. Новобессергеневка, ул. Ленина, д. 60 а, к.н. 61:26:0180101:300 (1 шт.) </t>
  </si>
  <si>
    <t xml:space="preserve">Установка системы учета для технологического присоединения энергопринимающих устройств Заявителя (Юнко Е.Н.) по адресу: Ростовская область, Неклиновский район,с. Весело-Вознесенко, ул. Пограничная, д. 40-В, к.н. 61:26:0100101:5087 (1 шт.) </t>
  </si>
  <si>
    <t>Установка системы учета для технологического присоединения энергопринимающих устройств Заявителя (Бондаренко В.В.) по адресу: Ростовская область, Неклиновский район, х. Веселый, ул. Первомайская, д. 17, к.н. 61:26:0070901:502 (1 шт.)</t>
  </si>
  <si>
    <t>Установка системы учета для технологического присоединения энергопринимающих устройств Заявителя (Гасинец Л.В.) по адресу: Ростовская область, Неклиновский район, х. Седых, ул. Центральная, д. 30-Б, к.н. 61:26:0181101:647 (1 шт.)</t>
  </si>
  <si>
    <t>Установка системы учета для технологического присоединения энергопринимающих устройств Заявителя (Кирпичев А.А.) по адресу: Ростовская область, Неклиновский р-н, с. Вареновка, ул. Партизанская, д. 2-в, к.н. 61:26:0502201:121 (1 шт.)</t>
  </si>
  <si>
    <t>Установка системы учета для технологического присоединения энергопринимающих устройств Заявителя (Богуш И.Н.) по адресу: Ростовская область, Неклиновский район, с. Николаевка, ул. Лермонтова, д. 78, к.н. 61:26:0110101:7408 (1 шт.)</t>
  </si>
  <si>
    <t>Установка системы учета для технологического присоединения энергопринимающих устройств Заявителя (Кирпичева Л.А.) по адресу: Ростовская область, Неклиновский район, с. Вареновка, ул. Партизанская, д. 2-в, к.н. 61:26:0502201:121 (1 шт.)</t>
  </si>
  <si>
    <t>Установка системы учета для технологического присоединения энергопринимающих устройств Заявителя (Назарян С.В.) по адресу: Ростовская область, Неклиновский район, с. Николаевка, ул. Парковая, д. 1-а, к.н. 61:26:0110101:9493 (1 шт.)</t>
  </si>
  <si>
    <t>Установка системы учета для технологического присоединения энергопринимающих устройств Заявителя (Ковалевская Т.А.) по адресу: Ростовская область, Неклиновский район, ст. Морская, ул. Ленина, д. 1/2-р, к.н. 61:26:0120301:177 (1 шт.)</t>
  </si>
  <si>
    <t>Установка системы учета для технологического присоединения энергопринимающих устройств Заявителя (Чалов А.В.) по адресу: Ростовская область, Неклиновский район, с. Весело-Вознесенка, к.н. 61:26:0600018:1687 (1 шт.)</t>
  </si>
  <si>
    <t>Установка системы учета для технологического присоединения энергопринимающих устройств Заявителя (ИП Юрьев А.И.) по адресу: Ростовская область, Неклиновский район, х. Копани, ул. Металлургическая, д. 32, пом. 1-24, 25-29, к.н. 61:26:0200701:304 (1 шт.)</t>
  </si>
  <si>
    <t>Строительство ВЛ 0,4 кВ от РУ 0,4 кВ ТП 10/0,4 кВ, строительство ТП 10/0,4 кВ, строительство ВЛ 10 кВ от ВЛ 10 кВ №13 ПС 110/35/10 кВ Чалтырь, для технологического присоединения склада Заявителя: (Хантимерян Д.А.), по адресу: Мясниковский район, с. Крым, ул. Промышленная, д. 36, к.н 61:25:0600201:1129 (ориентировочная протяженность ЛЭП 0,03 км; мощность силового трансформатора – 0,16 МВА)</t>
  </si>
  <si>
    <t>Строительство ВЛ 0,4 кВ от ВЛ 0,4 кВ №2 КТП 10/0,4 кВ №522 ВЛ 10 кВ №1/3 ПС 110/35/10 кВ «Троицкая-1» для технологического присоединения жилого дома Заявителя (Нечаев П.В.) по адресу: Ростовская область, Неклиновский район, с. Николаевка, СНТ «Коммунальник», д. 26, к.н. 61:26:513701:88 (ориентировочная протяженность ЛЭП 0,510 км)</t>
  </si>
  <si>
    <t>Строительство ВЛ 0,4 кВ от РУ 0,4 кВ КТП 10/0,4 кВ №522 ВЛ 10 кВ №1/3 ПС 110/35/10 кВ «Троицкая-1» для технологического присоединения жилого дома Заявителя (Прус Г.Ф.) по адресу: Ростовская область, Неклиновский район, с. Николаевка, ДНТ «Коммунальник», д. 207, к.н. 61:26:0513701:108 (ориентировочная протяженность ЛЭП 0,410 км)</t>
  </si>
  <si>
    <t>Обеспечение коммерческим учетом электрической энергии (мощности) в точке поставки и установки шкафа 0,4 кВ по присоединению спальных домиков Яровой О.А. и Колесниковой Н.С., расположенных по адресам: Ростовская область, г. Волгодонск, ул. Отдыха, д.3, кадастровыми номерами земельных участков 61:48:0020101:1273 и 61:48:0020101:1394</t>
  </si>
  <si>
    <t>Обеспечение коммерческим учетом электрической энергии (мощности) в точке поставки и установка шкафа 0,4 кВ по присоединению жилого дома Брагиной С.А., расположенного по адресу: Ростовская область, Волгодонской район, х. Мокросоленый, пер. Мирный, д.4а, к.н. 61:08:0010201:1290</t>
  </si>
  <si>
    <t xml:space="preserve">Обеспечение коммерческим учетом электрической энергии (мощности) в точке поставки и установка шкафа 0,4 кВ по присоединению дошкольной образовательной организации на 80 мест  Администрации Волгодонского района, расположенной по адресу: Ростовская область, Волгодонской район, х. Лагутники, ул. Степная, д. 1а, кадастровый номер земельного участка: 61:08:0000000:3423
</t>
  </si>
  <si>
    <t>Установка коммерческого учета электрической энергии (мощности) в точке поставки и установка шкафа 0,4 кВ по присоединению кафе ИП Строевой О.В., расположенного по адресу: Ростовская область, Волгодонской район, станица Романовская, ул. Ленина, д. 46, кадастровый номер земельного участка 61:08:0070106:24</t>
  </si>
  <si>
    <t>Установка  коммерческого учета  электрической энергии (мощности) в точке поставки и установка шкафа 0,4 кВ по присоединению жилого дома Помещенко О.А., расположенного по адресу: Ростовская область, Волгодонской район, станица Романовская, пер. Котова, д. 6а, кадастровый номер земельного участка 61:08:070129:840</t>
  </si>
  <si>
    <t>Установка коммерческого учета электрической энергии (мощности) в точке поставки и установка шкафа 0,4 кВ по присоединению спального дома Поповой Г.А., расположенного по адресу: Ростовская область, г. Волгодонск, ул. Отдыха, д. 5а, кадастровый номер земельного участка 61:48:0020101:1376</t>
  </si>
  <si>
    <t>Установка прибора коммерческого учета электрической энергии (мощности) в точке поставки для присоединения индивидуального жилого дома Абрамовой Н.Г., расположенного по адресу: Ростовская область, Волгодонской район, станица Романовская, ул. Одесская, д.13, кадастровый номер земельного участка: 61:08:0600601:3843</t>
  </si>
  <si>
    <t>Установка прибора коммерческого учета электрической энергии (мощности) в точке поставки для присоединения аптеки ИП Смольникова В.М., расположенной по адресу: Ростовская область, Волгодонской район, х. Потапов, ул. Комсомольская, д.36Б, кадастровый номер земельного участка: 61:08:0040110:1207</t>
  </si>
  <si>
    <t>Установка прибора коммерческого учета электрической энергии (мощности) в точке поставки для присоединения вагончика Большовой Г.И., расположенного по адресу: Ростовская область, г. Волгодонск, ул. Отдыха, д.3, к.н.з.у: 61:48:0020101:1272</t>
  </si>
  <si>
    <t>Установка прибора коммерческого учета электрической энергии (мощности) в точке поставки для присоединения складского здания ИП Демьянец Е.В., расположенного по адресу: Ростовская область, Волгодонской район, станица Романовская, ул. Соловьевых, д. 33, к.н.з.у.: 61:08:0070104:764</t>
  </si>
  <si>
    <t xml:space="preserve"> Установка прибора коммерческого учета электрической энергии (мощности) в точке поставки для присоединения индивидуального жилого дома Котелевской Г.Л., расположенного по адресу: Ростовская область, Волгодонской район, станица Романовская, ул. 75 лет Победы, д. 37, к.н.з.у.: 61:08:0600601:4594</t>
  </si>
  <si>
    <t>Установка прибора коммерческого учета электрической энергии (мощности) в точке поставки для присоединения индивидуального жилого дома Гречка О.Н., расположенного по адресу: Ростовская область, Волгодонской район, станица Романовская, ул. 75 лет Победы, д. 67, к.н.з.у.: 61:08:0600601:4623</t>
  </si>
  <si>
    <t xml:space="preserve">Установка прибора коммерческого учета электрической энергии (мощности) в точке поставки для присоединения садового дома Потогина Д.Ю., расположенного по адресу: Ростовская область, г. Волгодонск, ул. Отдыха, д. 39в42, к.н.з.у. 61:48:0020101:1582   
</t>
  </si>
  <si>
    <t>Установка прибора коммерческого учета электрической энергии (мощности) в точке поставки для присоединения магазина ИП Азаренковой Н.В., расположенного по адресу: Ростовская область, Волгодонской район, п. Краснодонский, ул. Школьная, д. 28, к.н.з.у.: 61:08:0060302:510</t>
  </si>
  <si>
    <t>Установка прибора коммерческого учета электрической энергии (мощности) в точке поставки для присоединения жилого дома Антиповой В.М., расположенного по адресу: Ростовская область, Цимлянский район, станица Красноярская, ул. Спортивная, д.3, к.н.з.у.: 61:41:0020128:74</t>
  </si>
  <si>
    <t>Установка прибора коммерческого учета электрической энергии (мощности) в точке поставки для присоединения жилого дома Загорского Е.А., расположенного по адресу: Ростовская область, Морозовский район, х. Великанов, ул. Великанова, д.35а, кадастровый номер земельного участка: 61:24:0110301:191</t>
  </si>
  <si>
    <t>Обеспечение коммерческим учетом электрической энергии (мощности) в точке поставки и установка шкафа 0,4 кВ по присоединению БС 2759  ООО "Т2 Мобайл" расположенной по адресу: РО, Цимлянский район, п. Дубравный, ул. Бушева, д.8, к.н. 61:41:0030404:294</t>
  </si>
  <si>
    <t>Установка коммерческого учета электрической энергии (мощности) в точке поставки и установка шкафа 0,4 кВ по присоединению жилого дома Влезко В.С., расположенного по адресу: Ростовская область, Цимлянский район, станица Красноярская, ул. Кумшацкая, д. 5а, Кадастровый номер земельного участка 61:41:0020117:63</t>
  </si>
  <si>
    <t>Установка коммерческого учета электрической энергии (мощности) в точке поставки и установка шкафа 0,4 кВ по присоединению скважины ИП главы К(Ф)Х Васильева А.А., расположенной по адресу:  Ростовская область, Цимлянский район, станица Камышевская, севернее станицы Камышевская, кадастровый номер земельного участка 61:41:0000000:19300</t>
  </si>
  <si>
    <t>Обеспечение коммерческим учетом электрической энергии (мощности) в точке поставки и установка шкафа 0,4 кВ по присоединению квартиры Голопяткиной Е.В., расположенной по адресу: Ростовская область, Цимлянский район, п. Сосенки, ул. Центральная, д. 1, кв./оф. 2, кадастровый номер земельного участка 61:41:030301:0063</t>
  </si>
  <si>
    <t>Установка коммерческого учета электрической энергии (мощности) в точке поставки и установка шкафа 0,4 кВ по присоединению модульного ФАП МБУЗ «ЦРБ» Морозовского района Ростовской области, расположенного по адресу: Ростовская область, Морозовский район, х. Великанов, ул. Великанова, д. 43, кадастровый номер земельного участка: 61:24:0110301:32</t>
  </si>
  <si>
    <t>Установка прибора коммерческого учета электрической энергии (мощности) в точке поставки по присоединению жилого дома Суровцевой А.Ф., расположенного по адресу: Ростовская область, Цимлянский район, х. Лозной, ул. Грушевая, д.31, кадастровый номер земельного участка 61:41:0600011:1165</t>
  </si>
  <si>
    <t>Установка прибора коммерческого учета электрической энергии (мощности) в точке поставки для присоединения жилого дома Томинец О.В., расположенного по адресу: Ростовская область, Цимлянский район, станица Красноярская, ул. Спортивная, д. 2б, корп. 3, к.н.з.у. 61:41:0020128:266</t>
  </si>
  <si>
    <t xml:space="preserve">Установка прибора коммерческого учета электрической энергии (мощности) в точке поставки для присоединения квартиры Чернышковой Е.М., расположенной по адресу: Ростовская область, Цимлянский район, п. Синий Курган, ул. Донская, д. 9, кв./оф. 1, к.н.з.у. 61:41:0040501:27 </t>
  </si>
  <si>
    <t>Установка прибора коммерческого учета электрической энергии (мощности) в точке поставки для присоединения жилого дома Скобина Н.С., расположенного по адресу: Ростовская область, Цимлянский район, х. Карнауховский, ул. Центральная, д. 10, к.н.з.у. 61:41:0060203:9</t>
  </si>
  <si>
    <t>Установка прибора коммерческого учета электрической энергии (мощности) в точке поставки для присоединения производственного здания/помещения ИП Джабирова М.А., расположенного по адресу: Ростовская область, Цимлянский район, станица Красноярская, ул. Победы, д. 110-г, к.н.з.у.: 61:41:0020108:171</t>
  </si>
  <si>
    <t>Установка прибора коммерческого учета электрической энергии (мощности) в точке поставки для присоединения жилого дома Доморощиной О.Г., расположенного по адресу: Ростовская область, Цимлянский район, станица Красноярская, ул. Социалистическая, д. 45а, к.н.з.у.: 61:41:0020125:229</t>
  </si>
  <si>
    <t>Установка прибора коммерческого учета электрической энергии (мощности) в точке поставки для присоединения жилого дома Журавлева А.И., расположенного по адресу: Ростовская область, Цимлянский район, х. Лозной, пер. Молодежный, д. 9, к.н.з.у.: 61:41:0030103:8</t>
  </si>
  <si>
    <t>Установка прибора коммерческого учета электрической энергии (мощности) в точке поставки для присоединения жилого дома Недельковича Р.П., расположенного по адресу: Ростовская область, Цимлянский район, станица Красноярская, ул. Заречная, д. 89в, к.н.з.у.: 61:41:0020126:131</t>
  </si>
  <si>
    <t>Установка прибора коммерческого учета электрической энергии (мощности) в точке поставки для присоединения жилого дома Пономарева А.И., расположенного по адресу: Ростовская область, Цимлянский район, станица Хорошевская, ул. Центральная, д. 37, к.н.з.у.: 61:41:0020202:68</t>
  </si>
  <si>
    <t>Установка прибора коммерческого учета электрической энергии (мощности) в точке поставки для присоединения жилого дома ООО «Приволье», расположенного по адресу: Ростовская область, Цимлянский район, п. Дубравный, ул. Красноярская, д. 20, к.н.з.у.: 61:41:0030401:219</t>
  </si>
  <si>
    <t>Установка прибора коммерческого учета электрической энергии (мощности) в точке поставки для присоединения жилого дома Коваль Е.В., расположенного по адресу: Ростовская область, Цимлянский район, станица Камышевская, ул. Донская, д. 19, к.н.з.у.: 61:41:0040108:27</t>
  </si>
  <si>
    <t>Установка прибора коммерческого учета электрической энергии (мощности) в точке поставки для присоединения объекта сельскохозяйственного производства ИП Алпатова С.В., расположенного по адресу: Ростовская область, Цимлянский район, в границах СПК «к-з им. Карла Маркса» МТФ-5, к.н.з.у.: 61:41:0600011:1037</t>
  </si>
  <si>
    <t>Установка прибора коммерческого учета электрической энергии (мощности) в точке поставки для присоединения жилого дома Курбановой Э.М-С., расположенного по адресу: Ростовская область, Цимлянский район, х. Черкасский, к.н.о.н.: 61:41:0600001:687</t>
  </si>
  <si>
    <t>Установка прибора коммерческого учета электрической энергии (мощности) в точке поставки для присоединения жилого дома Зарубина В.В., расположенного по адресу: Ростовская область, Цимлянский район, п. Синий Курган, Лозновское сельское поселение, на север на расстоянии 15-20 м от ЗУ с к.н. 61:41:0040501:375, к.н.з.у.: 61:41:0040501:420</t>
  </si>
  <si>
    <t>Установка прибора коммерческого учета электрической энергии (мощности) в точке поставки для присоединения модульного здания Администрации Саркеловского сельского поселения, расположенного по адресу: Ростовская область, Цимлянский район, п. Саркел,  ул. Винзаводская, д. 3-а, к.н.з.у.: 61:41:0011106:250</t>
  </si>
  <si>
    <t>Обеспечение коммерческим учетом электрической энергии (мощности) в точке поставки и установка шкафа 0,4 кВ по присоединению жилого дома Елисеева О.И., расположенного по адресу: Ростовская область, Мартыновский район, х. Малая Мартыновка, ул. Олимпийская, д. 1А, к.н. 61:20:0100201:3255</t>
  </si>
  <si>
    <t xml:space="preserve">Обеспечение коммерческим учетом электрической энергии (мощности) в точке поставки и установка шкафа 0,4 кВ по присоединению жилого дома Прудового И.В., расположенного по адресу: Ростовская область, Мартыновский район, х. Кривой Лиман, ул. Советская, д. 30, к.н. 61:20:0080401:953   
</t>
  </si>
  <si>
    <t>Установка коммерческого учета электрической энергии (мощности) в точке поставки и установка шкафа 0,4 кВ по присоединению жилого дома Воробьевой Л.Г., расположенного по адресу: Ростовская область, Мартыновский район, х. Новоселовка, пер. Мостовой, д. 11, кадастровый номер земельного участка 61:20:0070101:1216 (1 шт)</t>
  </si>
  <si>
    <t>Установка коммерческого учета электрической энергии (мощности) в точке поставки и установка шкафа 0,4 кВ по присоединению шкафа управления уличным освещением автомобильной дороги Министерства транспорта Ростовской области, расположенного по адресу: Ростовская область, Мартыновский район, х. Ильинов, х. Пробуждение – х. Ильинов – ст. Кутейниковская, кадастровый номер земельного участка 61:20:0000000:556</t>
  </si>
  <si>
    <t>Установка коммерческого учета электрической энергии (мощности) в точке поставки и установка шкафа 0,4 кВ по присоединению нежилого здания Аникиной Ю.В., расположенного по адресу: Ростовская область, Мартыновского район, п. Типчаковый, ул. Ленина, д. 19, кадастровый номер земельного участка 61:20:0080901:816</t>
  </si>
  <si>
    <t>Установка прибора коммерческого учета электрической энергии (мощности) в точке поставки по присоединению нежилого здания Мурадовой Д.С., расположенного по адресу: Ростовская область, Мартыновский район, х. Малоорловский, пер. Промышленный, д.15/1, кадастровый номер земельного участка 61:20:0060101:5259</t>
  </si>
  <si>
    <t>Установка прибора коммерческого учета электрической энергии (мощности) в точке поставки для присоединения жилого помещения Кушнира П.Ю., расположенного по адресу: Ростовская область, Мартыновский район, п. Речной, ул. Набережная, д.9, кв. 1, кадастровый номер земельного участка: 61:35:0050701:261</t>
  </si>
  <si>
    <t>Установка прибора коммерческого учета электрической энергии (мощности) в точке поставки для присоединения квартиры Ступина В.В., расположенной по адресу: Ростовская область, Мартыновский район, п. Речной, ул. Набережная, д.9, кв./оф. 2, к.н.з.у: 61:35:050701:18</t>
  </si>
  <si>
    <t>Обеспечение коммерческим учетом электрической энергии (мощности) в точке поставки и установка шкафа 0,4 кВ по присоединению квартиры Юрина П.В., расположенной по адресу: Ростовская область, Мартыновского район, х. Ильинов, ул. Молодежная, д. 15, кв./оф. 1, кадастровый номер земельного участка: 61:20:0040101:4001</t>
  </si>
  <si>
    <t>Установка прибора коммерческого учета электрической энергии (мощности) в точке поставки для присоединения квартиры Скороваровой Т.Н., расположенной по адресу: Ростовская область, Мартыновский район, п. Речной, ул. Набережная, д.11, кв./оф. 1, кадастровый номер земельного участка: 61:35:0050701:47</t>
  </si>
  <si>
    <t>Установка прибора коммерческого учета электрической энергии (мощности) в точке поставки для присоединения квартиры Житина П.А., расположенной по адресу: Ростовская область, Мартыновский район, п. Речной, ул. Набережная, д.1, кв. 2, кадастровый номер земельного участка: 61:35:0050701:287</t>
  </si>
  <si>
    <t>Установка прибора коммерческого учета электрической энергии (мощности) в точке поставки для присоединения квартиры Житиной О.И., расположенной по адресу: Ростовская область, Мартыновский район, п. Речной, ул. Набережная, д. 3, кв.1,  к.н.з.у: 61:35:50701:8</t>
  </si>
  <si>
    <t>Установка прибора коммерческого учета электрической энергии (мощности) в точке поставки для присоединения жилого дома Мамедова У.П., расположенного по адресу: Ростовская область, Мартыновский район, х. Арбузов, ул. Ковалева, д.8а, к.н.з.у.: 61:20:0080201:2628</t>
  </si>
  <si>
    <t>Установка прибора коммерческого учета электрической энергии (мощности) в точке поставки для присоединения жилого дома Иванченко С.В., расположенного по адресу: Ростовская область, Мартыновский район, х. Арбузов, ул. Краснопартизанская, д. 28а, к.н.з.у.: 61:20:0080201:2648</t>
  </si>
  <si>
    <t>Установка прибора коммерческого учета электрической энергии (мощности) в точке поставки для присоединения столовой ИП главы К(Ф)Х Химичева Ю.Н., расположенной по адресу: Ростовская область, Мартыновский район, х. Малая Мартыновка, ул. Административная, д. 8, к.н.з.у.: 61:20:0100201:515</t>
  </si>
  <si>
    <t>Установка прибора коммерческого учета электрической энергии (мощности) в точке поставки для присоединения жилого помещения Торосян Г.С., расположенного по адресу: Ростовская область, Мартыновский район, п. Речной, ул. Молодежная, д. 3, кв./оф. 1, к.н.з.у.: 61:35:0050701:258</t>
  </si>
  <si>
    <t>Установка прибора коммерческого учета электрической энергии (мощности) в точке поставки для присоединения помещения Таштанова Х.М., расположенного по адресу: Ростовская область, Мартыновский район, слобода Большая Орловка, ул. Революционная, д. 1а, к.н.з.у.: 61:20:0020101:103</t>
  </si>
  <si>
    <t>Установка прибора коммерческого учета электрической энергии (мощности) в точке поставки для присоединения нежилого помещения ИП Лещенко Н.П., расположенного по адресу: Ростовская область, Мартыновский район, слобода Большая Орловка, ул. Дорожная, д. 2/1-г, к.н.з.у.: 61:20:0020101:12977</t>
  </si>
  <si>
    <t>Установка прибора коммерческого учета электрической энергии (мощности) в точке поставки для присоединения жилого дома Булатовой М.Ю., расположенного по адресу: Ростовская область, Мартыновский район, х. Комаров, ул. Набережная, д. 74, к.н.з.у.: 61:20:0050101:3818</t>
  </si>
  <si>
    <t>Обеспечение коммерческим учетом электрической энергии (мощности) в точке поставки и установка шкафа 0,4 кВ по присоединению складских объектов  ИП главы К(Ф)Х Паныч Ю.В., расположенных по адресу: Ростовская область, Мартыновского район, х. Ильинов, ул. Ленина, д. 50, кадастровый номер земельного участка: 61:20:0040101:3852</t>
  </si>
  <si>
    <t>Установка прибора коммерческого учета электрической энергии (мощности) в точке поставки для присоединения жилого дома Бирюкова В.И., расположенного по адресу: Ростовская область, Константиновский район, х. Старозолотовский, ул. Донских казаков, д.10а, кадастровый номер земельного участка: 61:17:020501:0115</t>
  </si>
  <si>
    <t>Установка прибора коммерческого учета электрической энергии (мощности) в точке поставки для присоединения сторожки ООО «Костины Горы», расположенной по адресу: Ростовская область, Константиновский район, х. Старозолотовский, к.н.з.у.: 61:17:0600010:4007</t>
  </si>
  <si>
    <t>Установка прибора коммерческого учета электрической энергии (мощности) в точке поставки для присоединения жилого дома Вифлянцевой А.А., расположенного по адресу: Ростовская область, Константиновский район, станица Николаевская, ул. Коммунистическая, д. 46а, к.н.з.у.: 61:17:0050101:6648</t>
  </si>
  <si>
    <t>Установка прибора коммерческого учета электрической энергии (мощности) в точке поставки для присоединения жилого дома Мальковой Л.И., расположенного по адресу: Ростовская область, Константиновский район, х. Старозолотовский, ул. Атаманная, д. 6-а, к.н.з.у.: 61:17:0020501:287</t>
  </si>
  <si>
    <t xml:space="preserve">Установка прибора коммерческого учета электрической энергии (мощности) в точке поставки для присоединения квартиры Шовиковой О.В., расположенной по адресу: Ростовская область, Константиновский район, х. Ведерников, ул. Лесная, д. 43, кв. 2, к.н.з.у.: 61:17:0010501:122 </t>
  </si>
  <si>
    <t>Установка прибора коммерческого учета электрической энергии (мощности) в точке поставки для присоединения жилого дома Топилиной И.В., расположенного по адресу: Ростовская область, Константиновский район, станица Богоявленская, ул. Центральная,  д. 18, к.н.з.у.: 61:17:0030101:2544</t>
  </si>
  <si>
    <t>Установка прибора коммерческого учета электрической энергии (мощности) в точке поставки для присоединения садового домика Мамонова А.В., расположенного по адресу: Ростовская область, Константиновский район, х. Ведерников, садоводческое товарищество «Виноградарь», к.н.з.у.: 61:17:0500401:39</t>
  </si>
  <si>
    <t>Установка прибора коммерческого учета электрической энергии (мощности) в точке поставки для присоединения жилого дома Абашина А.Д., расположенного по адресу: Ростовская область, Константиновский район, п. Хрящевский, ул. Восточная, д. 1, к.н.з.у.: 61:17:0020601:0266</t>
  </si>
  <si>
    <t>Установка прибора коммерческого учета электрической энергии (мощности) в точке поставки для присоединения жилого дома Карпова В.И., расположенного по адресу: Ростовская область, Константиновский район, станица Мариинская, ул. Набережная, д. 119, к.н.з.у.: 61:17:050301:0367</t>
  </si>
  <si>
    <t>Установка прибора коммерческого учета электрической энергии (мощности) в точке поставки для присоединения жилого дома ООО «Костины Горы»., расположенного по адресу: Ростовская область, Константиновский район, х. Старозолотовский, ул. Донских казаков, д. 33, к.н.з.у.: 61:17:0020501:43</t>
  </si>
  <si>
    <t>Установка прибора коммерческого учета электрической энергии (мощности) в точке поставки для присоединения жилого дома Гордеевой Л.М., расположенного по адресу: Ростовская область, Константиновский район, станица Николаевская, ул. Ленина, д.9, кадастровый номер земельного участка: 61:17:0050101:6566</t>
  </si>
  <si>
    <t>Установка прибора коммерческого учета электрической энергии (мощности) в точке поставки для присоединения общественной территории у здания Администрации Николаевского сельского поселения, расположенной по адресу: Ростовская область, Константиновский район, станица Николаевская, ул. Центральная, д. 23, к.н.з.у.: 61:17:00501011:6896</t>
  </si>
  <si>
    <t>Установка прибора коммерческого учета электрической энергии (мощности) в точке поставки для присоединения жилого дома Бондаренко С.С., расположенного по адресу: Ростовская область, Константиновский район, х. Вифлянцев, ул. Заречная, д. 39, к.н.з.у.: 61:17:0070301:261</t>
  </si>
  <si>
    <t>Установка коммерческого учета электрической энергии (мощности)  в точке поставки и установка шкафа 0,4 кВ по присоединению жилого дома Логвинова В.А., расположенного по адресу: Ростовская область, Константиновский район, х. Трофимов, ул. Степная, д.22, кадастровый номер земельного участка 61:17:0061001:133</t>
  </si>
  <si>
    <t>Установка прибора коммерческого учета электрической энергии (мощности) в точке поставки для присоединения жилого дома Леонова А.А., расположенного по адресу: Ростовская область, Константиновский район, х. Гапкин, ул. Зеленая, д. 14, к.н.з.у.: 61:17:0040101:0481</t>
  </si>
  <si>
    <t>Установка прибора коммерческого учета электрической энергии (мощности) в точке поставки для присоединения жилого дома Вифлянцева С.Н., расположенного по адресу: Ростовская область, Константиновский район, станица Николаевская, ул. 8 Марта, д. 20, к.н.з.у.: 61:17:0050101:1374</t>
  </si>
  <si>
    <t>Установка прибора коммерческого учета электрической энергии (мощности) в точке поставки для присоединения жилого дома Лебеденко В.П., расположенного по адресу: Ростовская область, Константиновский район, х. Авилов, ул. Молодежная, д. 18, к.н.з.у.: 61:17:0020101:892</t>
  </si>
  <si>
    <t>Установка коммерческого учета электрической энергии (мощности) в точке поставки и установка шкафа 0,4 кВ по присоединению жилого дома Орловской А.В., расположенного по адресу: Ростовская область, Ремонтненский район, с. Подгорное, ул. Ленина, д.49, кадастровый номер земельного участка 61:32:127:1:52:36:49:0</t>
  </si>
  <si>
    <t>Установка прибора коммерческого учета электрической энергии (мощности) в точке поставки для присоединения жилого дома Абдуллаева М.М., расположенного по адресу: Ростовская область, Ремонтненский район, с. Валуевка, ул. Горяинова, д.88, кадастровый номер земельного участка: 61:32:0020101:238</t>
  </si>
  <si>
    <t>Установка прибора коммерческого учета электрической энергии (мощности) в точке поставки для присоединения специализированных складов ИП главы К(Ф)Х Исагаджиева М.А., расположенных по адресу: Ростовская область, Ремонтненский район, п. Денисовский, ул. Садовая, д.15а, кадастровый номер земельного участка: 61:32:0030101:1669</t>
  </si>
  <si>
    <t>Установка прибора коммерческого учета электрической энергии (мощности) в точке поставки для присоединения жилого дома Косенко В.И., расположенного по адресу: Ростовская область, Ремонтненский район, с. Первомайское, ул. Октябрьская, д.62, кадастровый номер земельного участка: 61:32:0080102:2465</t>
  </si>
  <si>
    <t>Установка  коммерческого учета электрической энергии (мощности) в точке поставки и установка шкафа 0,4 кВ по присоединению жилого дома Лысенко С.И., расположенного по адресу: Ростовская область, Ремонтненский район, с. Большое Ремонтное, ул. Заречная, д.29, кадастровый номер земельного участка 61:32:0040101:14 (1шт)</t>
  </si>
  <si>
    <t>Установка коммерческого учета электрической энергии (мощности) в точке поставки и установка шкафа 0,4 кВ по присоединению жилого дома Моргунова П.М, расположенного по адресу: Ростовская область, Ремонтненский район, с. Киевка, ул. Октябрьская, д.15, кадастровый номер земельного участка 61:32:0050101:931</t>
  </si>
  <si>
    <t>Установка прибора коммерческого учета электрической энергии (мощности) в точке поставки для присоединения жилого дома Ануфриенко Я.В., расположенного по адресу: Ростовская область, Ремонтненский район, с. Богородское, ул. Болдырева, д. 2а, к.н.з.у.: 61:32:0040201:223</t>
  </si>
  <si>
    <t>Установка прибора коммерческого учета электрической энергии (мощности) в точке поставки для присоединения жилого дома Гасанова И.М., расположенного по адресу: Ростовская область, Ремонтненский район, п. Новопривольный, ул. Степная, д. 4, к.н.з.у.: 61:32:0100201:11</t>
  </si>
  <si>
    <t>Установка прибора коммерческого учета электрической энергии (мощности) в точке поставки для присоединения жилого дома Богачева А.В., расположенного по адресу: Ростовская область, Ремонтненский район, с. Подгорное, ул. Аэродромная, д. 15, к.н.з.у.: 61:32:0090101:173</t>
  </si>
  <si>
    <t>Установка прибора коммерческого учета электрической энергии (мощности) в точке поставки для присоединения жилого дома Босенко О.Ю., расположенного по адресу: Ростовская область, Ремонтненский район, с. Киевка, ул. Ленинская, д. 72, к.н.з.у.: 61:32:0050101:226</t>
  </si>
  <si>
    <t>Установка прибора коммерческого учета электрической энергии (мощности) в точке поставки для присоединения жилого дома Дьякона Н.Д., расположенного по адресу: Ростовская область, Ремонтненский район, с. Киевка, ул. Шолохова, д. 41, к.н.з.у.: 61:32:050101:0022</t>
  </si>
  <si>
    <t>Установка прибора коммерческого учета электрической энергии (мощности) в точке поставки для присоединения жилого дома Луговенко Т.Ю., расположенного по адресу: Ростовская область, Ремонтненский район, с. Подгорное, ул. Комсомольская, д. 22, к.н.з.у.: 61:32:0090101:1731</t>
  </si>
  <si>
    <t>Установка прибора коммерческого учета электрической энергии (мощности) в точке поставки для присоединения квартиры Смирновой М.А., расположенной по адресу: Ростовская область, Ремонтненский район, п. Новопривольный, ул. Лермонтова, д. 18, кв. 1, к.н.з.у.: 61:32:0100201:78</t>
  </si>
  <si>
    <t>Установка коммерческого учета электрической энергии (мощности) в точке поставки и установка шкафа 0,4 кВ по присоединению кошары Главы К(Ф)Х Булатова М-Р.М., расположенной по адресу: Ростовская область, Ремонтненский район, Подгорненское сельское поселение примерно в 7 км по направлению на северо-восток от с. Подгорное от ориентира 41 отарный участок, расположенного в границах участка, ж/т 13, кадастровый номер земельного участка 61:32:0000000:2312  (1 шт)</t>
  </si>
  <si>
    <t>Установка  коммерческого учета электрической энергии (мощности) в точке поставки и установка шкафа 0,4 кВ по присоединению жилого дома Лозового А.В., расположенного по адресу: Ростовская область, Заветинский район, с. Федосеевка, ул. Пограничная, д. 16, к.н. 61:11:0070101:556 (1 шт)</t>
  </si>
  <si>
    <t>Установка коммерческого учета электрической энергии (мощности) в точке поставки и установка шкафа 0,4 кВ по присоединению квартиры в жилом доме Сотниковой Е.В., расположенной по адресу: Ростовская область, Заветинский район, х. Фомин, ул. Молодежная, д. 7, кв. 1, кадастровый номер земельного участка 61:11:0080101:1360</t>
  </si>
  <si>
    <t>Установка коммерческого учета электрической энергии (мощности) в точке поставки и установка шкафа 0,4 кВ по присоединению жилого дома Арсакаевой Х.Р., расположенного по адресу: Ростовская область, Заветинский район, х. Фомин, ул. Школьная, д. 32, кадастровый номер земельного участка 61:11:0080101:1232</t>
  </si>
  <si>
    <t>Установка коммерческого учета электрической энергии (мощности) в точке поставки и установка шкафа 0,4 кВ по присоединению нежилого здания ИП главы К(Ф)Х Середы Ф.Г., расположенного по адресу: Ростовская область, Заветинский район, с. Заветное, ул. Социалистическая, д.25а, кадастровый номер земельного участка 61:11:0010101:9705</t>
  </si>
  <si>
    <t>Установка прибора коммерческого учета электрической энергии (мощности) в точке поставки для присоединения квартиры Сидоришиной Н.В., расположенной по адресу: Ростовская область, Заветинский район, х. Фомин, ул. Быкадорова, д.13, кв. 1, кадастровый номер объекта: 61:61:14/202/2008:525</t>
  </si>
  <si>
    <t>Установка прибора коммерческого учета электрической энергии (мощности) в точке поставки для присоединения жилого дома Джалиева А.М., расположенного по адресу: Ростовская область, Заветинский район, п. Спорная, проезд Ковыльный, д.21, кадастровый номер объекта: 61:11:09:0000:2084/А:0/6551</t>
  </si>
  <si>
    <t>Установка прибора коммерческого учета электрической энергии (мощности) в точке поставки для присоединения жилого дома Магомедшарипова М.М., расположенного по адресу: Ростовская область, Заветинский район, с. Тюльпаны, проезд. Солнечный, д. 7,  к.н.з.у.: 61:11:0600012:532</t>
  </si>
  <si>
    <t>Установка прибора коммерческого учета электрической энергии (мощности) в точке поставки для присоединения жилого дома Карапетяна А.Е., расположенного по адресу: Ростовская область, Заветинский район, с. Кичкино, проезд Степной, д. 19, к.н.з.у.: 61:11:0600010:621</t>
  </si>
  <si>
    <t>Установка прибора коммерческого учета электрической энергии (мощности) в точке поставки для присоединения квартиры Жуковой С.А., расположенной по адресу: Ростовская область, Заветинский район, с. Тюльпаны, пер. Центральный, д. 4, кв. 1, к.н.з.у.: 61:11:0040101:66</t>
  </si>
  <si>
    <t>Установка прибора коммерческого учета электрической энергии (мощности) в точке поставки для присоединения квартиры Шамсадовой Х.А., расположенной по адресу: Ростовская область, Заветинский район, с. Кичкино, ул. Солнечная, д. 17, кв. 2, к.н.з.у.: 61:11:030101:3</t>
  </si>
  <si>
    <t>Установка прибора коммерческого учета электрической энергии (мощности) в точке поставки для присоединения столярного цеха ИП главы К(Ф)Х Годуева Р.С., расположенного по адресу: Ростовская область, Заветинский район, х. Никольский, ул. Кольцевая, д. 71, к.н.з.у.: 61:11:0050101:1499</t>
  </si>
  <si>
    <t>Установка прибора коммерческого учета электрической энергии (мощности) в точке поставки для присоединения жилого дома Бахмадова С.М., расположенного по адресу: Ростовская область, Заветинского район, п. Спорная, ул. Дружбы, д. 1, к.н.з.у.: 61:11:0050301:10</t>
  </si>
  <si>
    <t>Установка прибора коммерческого учета электрической энергии (мощности) в точке поставки для присоединения квартиры в жилом доме Мовлатова Х.Х., расположенной по адресу: Ростовская область, Заветинский район, х. Фрунзе, ул. Шоссейная, д. 3, кв. 2, к.н.з.у.: 61:11:0050401:101</t>
  </si>
  <si>
    <t>Установка прибора коммерческого учета электрической энергии (мощности) в точке поставки для присоединения нежилого помещения ИП Гнатюк Н.Б., расположенного по адресу: Ростовская область, Дубовский район, станица Жуковская, ул. Краснопартизанская,  д. 31а, к.н.з.у.: 61:09:0030101:2872</t>
  </si>
  <si>
    <t>Установка прибора коммерческого учета электрической энергии (мощности) в точке поставки для присоединения квартиры в жилом доме Муртазалиевой П.А., расположенной по адресу: Ростовская область, Дубовский район, станица Эркетиновская, ул. Первомайская, д. 2, кв. 2, к.н.з.у. 61:09:0080601:0:194</t>
  </si>
  <si>
    <t>Установка прибора коммерческого учета электрической энергии (мощности) в точке поставки для присоединения жилого дома Шутовой М.И., расположенного по адресу: Ростовская область, Дубовский район, х. Харсеев, ул. Крайняя, д. 16, к.н.з.у.: 61:09:0030401:131</t>
  </si>
  <si>
    <t>Установка прибора коммерческого учета электрической энергии (мощности) в точке поставки для присоединения квартиры Васильченко С.Е., расположенной по адресу: Ростовская область, Дубовский район, станица Баклановская, ул. Майская, д. 9, кв. 1, к.н.з.у.: 61:09:0060301:65</t>
  </si>
  <si>
    <t>Установка прибора коммерческого учета электрической энергии (мощности) в точке поставки для присоединения жилого дома Гущиной С.В., расположенного по адресу: Ростовская область, Дубовский район, х. Овчинников, пер. Восточный, д. 10, к.н.з.у.: 61:09:0030201:299</t>
  </si>
  <si>
    <t>Обеспечение коммерческим учетом электрической энергии (мощности) в точке поставки и установка шкафа 0,4 кВ по присоединению жилого дома Абрамян С.К., расположенного по адресу: Ростовская область, Зимовниковский район, х. Ленинский, ул. Мира, д.123, к.н. 61:13:0130601:445»</t>
  </si>
  <si>
    <t>Обеспечение коммерческим учетом электрической энергии (мощности) в точке поставки и установка шкафа 0,22 кВ по присоединению жилого дома Грицына А.Я., расположенного по адресу: Ростовская область, Зимовниковский район, х. Хуторской, ул. Школьная, д. 21, к.н. 61:13:060103:0029</t>
  </si>
  <si>
    <t>Установка прибора коммерческого учета электрической энергии (мощности) в точке поставки по присоединению жилого дома Искендерова Э.М.О., расположенного по адресу: Ростовская область, Зимовниковский район, с/п Верхнесеребряковское, вблизи х. Петухов, кадастровый номер земельного участка 61:13:0600001:2688</t>
  </si>
  <si>
    <t>Установка прибора коммерческого учета электрической энергии (мощности) в точке поставки для присоединения жилого дома Брылева А.С., расположенного по адресу: Ростовская область, Зимовниковский район, п. Зимовники, пер. Клубный, д. 15, к.н.з.у.: 61:13:0010336:125</t>
  </si>
  <si>
    <t>Установка прибора коммерческого учета электрической энергии (мощности) в точке поставки для присоединения жилого дома Бурова Н.С., расположенного по адресу: Ростовская область, Волгодонской район, станица Каргальская, ул. Набережная, д. 13А, к.н.з.у.: 61:08:0040501:308</t>
  </si>
  <si>
    <t>Установка прибора коммерческого учета электрической энергии (мощности) в точке поставки для присоединения жилого дома Бойко И.В., расположенного по адресу: Ростовская область, Волгодонской район, станица Романовская, ул. Почтовая, д. 1, к.н.з.у.: 61:08:0070111:454</t>
  </si>
  <si>
    <t>Установка прибора коммерческого учета электрической энергии (мощности) в точке поставки для присоединения жилого дома Горбачева Н.А., расположенного по адресу: Ростовская область, Цимлянский район, станица Красноярская, ул. 60 лет Октября, д. 4, к.н.з.у.: 61:41:0020128:43</t>
  </si>
  <si>
    <t>Установка прибора коммерческого учета электрической энергии (мощности) в точке поставки для присоединения базовой станции ПАО «Ростелеком», расположенной по адресу: Ростовская область, Морозовский район, станица Чертковская</t>
  </si>
  <si>
    <t>Обеспечение коммерческим учетом электрической энергии (мощности) в точке поставки и установка шкафа 0,4 кВ по присоединению жилого дома Коновалова А.Н., расположенного по адресу: Ростовская область, Цимлянский район, п. Саркел, пер. Полевой, д. 5, к.н. 61:41:0011105:85</t>
  </si>
  <si>
    <t>Установка прибора коммерческого учета электрической энергии (мощности) в точке поставки для присоединения жилого дома Попова А.П., расположенного по адресу: Ростовская область, Цимлянский район, х. Лозной, пер. Победы, д. 55а, к.н.з.у.: 61:41:0030112:198</t>
  </si>
  <si>
    <t>Установка прибора коммерческого учета электрической энергии (мощности) в точке поставки для присоединения жилого дома Медянниковой Л.Н., расположенного по адресу: Ростовская область, Цимлянский район, п. Дубравный, ул. Красноярская, д. 15, к.н.з.у.: 61:41:0030401:216</t>
  </si>
  <si>
    <t>Установка прибора коммерческого учета электрической энергии (мощности) в точке поставки для присоединения жилого дома Герасименко Л.Т., расположенного по адресу: Ростовская область, Цимлянский район, станица Новоцимлянская, ул. Театральная, д. 11, к.н.з.у.: 61:41:0070112:12</t>
  </si>
  <si>
    <t>Установка прибора коммерческого учета электрической энергии (мощности) в точке поставки для присоединения жилого дома Захарова Д.В., расположенного по адресу: Ростовская область, Цимлянский район, х. Ремизов, ул. Веселая, д. 15, к.н.з.у.: 61:41:070305:0002</t>
  </si>
  <si>
    <t>Установка прибора коммерческого учета электрической энергии (мощности) в точке поставки для присоединения жилого дома Самокишева И.И., расположенного по адресу: Ростовская область, Цимлянский район, станица Красноярская, пер. Красноармейский, д. 7б, к.н.з.у.: 61:41:0020118:109</t>
  </si>
  <si>
    <t>Установка прибора коммерческого учета электрической энергии (мощности) в точке поставки для присоединения жилого дома Листратенко Р.С., расположенного по адресу: Ростовская область, Цимлянский район, станица Новоцимлянская, ул. Советская, д. 1/15,  к.н.з.у.: 61:41:0070115:8</t>
  </si>
  <si>
    <t>Установка прибора коммерческого учета электрической энергии (мощности) в точке поставки для присоединения жилого дома Биктимировой Н.В., расположенного по адресу: Ростовская область, Цимлянский район, станица Красноярская, ул. Набережная, д. 80а, к.н.з.у.: 61:41:0020113:601</t>
  </si>
  <si>
    <t>Установка прибора коммерческого учета электрической энергии (мощности) в точке поставки для присоединения жилого дома Харланова А.А., расположенного по адресу: Ростовская область, Цимлянский район, станица Красноярская, пер. Кооперативный, д. 15, к.н.з.у.: 61:41:0020124:4</t>
  </si>
  <si>
    <t>Установка прибора коммерческого учета электрической энергии (мощности) в точке поставки для присоединения квартиры Бабаян А.А., расположенной по адресу: Ростовская область, Константиновский район, х. Костино-Горский, ул. Молодежная, д. 10, кв. 1, к.н.з.у.: 61:17:0020201:602</t>
  </si>
  <si>
    <t>Установка прибора коммерческого учета электрической энергии (мощности) в точке поставки для присоединения жилого дома Гляненко Т.Н., расположенного по адресу: Ростовская область, Константиновский район, х. Крюков, ул. Школьная, д. 12, к.н.з.у.: 61:17:0060701:143</t>
  </si>
  <si>
    <t>Установка прибора коммерческого учета электрической энергии (мощности) в точке поставки для присоединения жилого дома Хабибулиной Л.В., расположенного по адресу: Ростовская область, Константиновский район, станица Николаевская, ул. Центральная, д. 36, к.н.з.у.: 61:17:050101:1029</t>
  </si>
  <si>
    <t>Установка коммерческого учета электрической энергии (мощности) в точке поставки и установка шкафа 0,4 кВ по присоединению жилого дома Зайцева В.Н., расположенного по адресу: Ростовская область, Константиновский район, х. Старая Станица, ул. Заречная, д. 20, кадастровый номер земельного участка 61:17:0050501:513</t>
  </si>
  <si>
    <t>Установка коммерческого учета электрической энергии (мощности)  в точке поставки и установка шкафа 0,4 кВ по присоединению жилого дома Гусейновой И.А., расположенного по адресу: Ростовская область, Константиновский район, станица Николаевская, ул. Крупской, д.69, кадастровый номер земельного участка 61:17:0050101:2033</t>
  </si>
  <si>
    <t>Установка прибора коммерческого учета электрической энергии (мощности) в точке поставки для присоединения жилого дома Адуевой В.Д., расположенного по адресу: Ростовская область, Константиновский район, х. Кастырский, ул. Степная, д. 8, к.н.з.у.: 61:17:0030301:397</t>
  </si>
  <si>
    <t>Установка прибора коммерческого учета электрической энергии (мощности) в точке поставки для присоединения помещения гостиницы №2 АО «Азово-Донская нерудная компания», расположенного по адресу: Ростовская область, Константиновский район, х. Верхнепотапов, ул. Молодежная, д. 5, к.н.з.у.: 61:17:060401:0150</t>
  </si>
  <si>
    <t>Установка прибора коммерческого учета электрической энергии (мощности) в точке поставки для присоединения жилого дома Борисенко И.В., расположенного по адресу: Ростовская область, Константиновский район, станица Николаевская, ул. Крупской, д. 6, к.н.з.у.: 61:17:0050101:2023</t>
  </si>
  <si>
    <t>Установка прибора коммерческого учета электрической энергии (мощности) в точке поставки для присоединения жилого дома СПК колхоза имени Николенко, расположенного по адресу: Ростовская область, Ремонтненский район, северо-западнее х. Вольный на расстоянии 13-14 км, к.н.з.у.: 61:32:0000000:2375</t>
  </si>
  <si>
    <t>Установка прибора коммерческого учета электрической энергии (мощности) в точке поставки для присоединения квартиры Махашева Л.М., расположенной по адресу: Ростовская область, Ремонтненский район, с. Валуевка, ул. Горяинова, д. 15, кв. 2, к.н.з.у.: 61:32:0020101:311</t>
  </si>
  <si>
    <t>Установка прибора коммерческого учета электрической энергии (мощности) в точке поставки для присоединения базовой станции/оборудования сотовой связи АО «Первая Башенная Компания», расположенной по адресу: Ростовская область, Зимовниковский район, х. Камышев, ул. Центральная, в 60 метрах от дома №15, номер кадастрового квартала: 61:13:0050108</t>
  </si>
  <si>
    <t>Строительство участка ВЛИ-0,4 кВ от опоры №4/2 ВЛ-0,4 кВ №1 КТП 7191 ВЛ 10 кВ №24 ПС 110 кВ КГУ и установка прибора коммерческого учета электрической энергии (мощности) в точке поставки для присоединения жилого дома Семибратова Я.Н., расположенного по адресу: Ростовская область, Константиновский район, х. Ведерников,  пер. 2-й Переулок, д. 13Б, к.н.з.у. 61:17:0010602:574 (ориентировочная протяженность ЛЭП 0,027 км)</t>
  </si>
  <si>
    <t>Строительство участка ВЛЗ-10 кВ от вновь установленной опоры в пролете опор № 93-94 ВЛ-10кВ № 11 ПС 35/10кВ Николаевская, с установкой ТП-10/0,4 кВ, строительство ВЛИ-0,4 кВ от РУ-0,4 кВ вновь установленной ТП-10/0,4 кВ,  с установкой шкафов 0,4 кВ, и обеспечение коммерческим учетом электрической энергии (мощности) в точках поставки по присоединению жилых домов Заикина С.Н., Кунакова С.В. и Чеснокова П.М. расположенных по адресам: Ростовская область,  Константиновский район, станица Николаевская, ул. Центральная, д. 89, д. 83, д. 104, в границах кадастрового квартала: 61:17:0050101 (количество приборов учета – 3 шт., ориентировочная протяженность ЛЭП 0,241 км, ориентировочная мощность трансформатора 63 кВА)</t>
  </si>
  <si>
    <t>Строительство участка ВЛИ-0,4 кВ от вновь установленной опоры вновь построенной ВЛИ-0,4 кВ от вновь установленной ТП-10/0,4 кВ по ВЛ-10 кВ №11 ПС 35/10 кВ Николаевская (по договорам от 30.11.2020 №61-1-20-00547795, от 30.11.2020 № 61-1-20-00547801, от 30.11.2020 №61-1-20-00547471) для присоединения жилого дома Иванова С.С., расположенного по адресу: Ростовская область, Константиновский район, станица Николаевская, ул. Центральная, д.93, к.н.з.у. 61:17:0050101:2287 (ориентировочная протяженность ЛЭП 0,054 км)</t>
  </si>
  <si>
    <t>Строительство ВЛИ-0,4 кВ от РУ-0,4 кВ КТП-4222/25 кВА ВЛ-10кВ №6 ПС 35/10 кВ Киевская, с установкой прибора коммерческого учета электрической энергии (мощности) в точке поставки и шкафа 0,4 кВ для присоединения жилого дома Курбанова М.М., расположенного по адресу: Ростовская область, Ремонтненский район, с. Киевка, кадастровый номер земельного участка 61:32:0600003:833 (ориентировочная протяженность ЛЭП 0,06 км)</t>
  </si>
  <si>
    <t>Обеспечение коммерческим учетом электрической энергии (мощности) в точке поставки и установка шкафа 0,4 кВ по присоединению магазина смешанных товаров ООО «Альфа», расположенного по адресу: Ростовская область, Волгодонской район, п. Победа, ул. Кооперативная, д. 1а, к.н. 61:08:0060104:87</t>
  </si>
  <si>
    <t>Установка прибора коммерческого учета электрической энергии (мощности) в точке поставки для присоединения наружного освещения (светодиодные светильники) и фоторадарного комплекса измерения скорости транспортных средств «Кордон-М»2 Министерства транспорта Ростовской области., расположенного по адресу: Ростовская область, Волгодонской район, от границы Мартыновского района (на северо-запад от п. Краснодонский=2 км). Конец – в 3 км на северо-запад от Волгодонска, к.н.з.у: 61:08:0000000:0:69</t>
  </si>
  <si>
    <t>Установка прибора коммерческого учета электрической энергии (мощности) в точке поставки для присоединения индивидуального жилого дома Трымбаковой В.И., расположенного по адресу: Ростовская область, Волгодонской район, станица Романовская, ул. 75 лет Победы, д. 51, к.н.з.у.: 61:08:0600601:4608</t>
  </si>
  <si>
    <t>Установка прибора коммерческого учета электрической энергии (мощности) в точке поставки для присоединения жилого дома Косогова С.И., расположенного по адресу: Ростовская область,Волгодонской район, станица Романовская, ул. 75 лет Победы, д. 29, к.н.з.у.: 61:08:0600601:4586</t>
  </si>
  <si>
    <t>Установка прибора коммерческого учета электрической энергии (мощности) в точке поставки для присоединения индивидуального жилого дома Нидзеева Г.Б., расположенного по адресу: Ростовская область, Волгодонской район, станица Романовская, ул. 75 лет Победы, д. 73, к.н.з.у.: 61:08:0600601:4629</t>
  </si>
  <si>
    <t>Установка прибора коммерческого учета электрической энергии (мощности) в точке поставки для присоединения индивидуального жилого дома Бардыкова А.П., расположенного по адресу: Ростовская область,  Волгодонской район, станица Романовская, ул. 75 лет Победы, д. 35, к.н.з.у.: 61:08:0600601:4592</t>
  </si>
  <si>
    <t>Установка прибора коммерческого учета электрической энергии (мощности) в точке поставки для присоединения садового дома Егоровой Ж.А., расположенного по адресу: Ростовская область, г. Волгодонск, ул. Отдыха, д. 39в24, к.н.з.у.: 61:48:0020101:1863</t>
  </si>
  <si>
    <t>Установка прибора коммерческого учета электрической энергии (мощности) в точке поставки для присоединения жилого дома Павловской Т.А., расположенного по адресу: Ростовская область, Волгодонской район, станица Романовская, пер. Изумрудный, д. 12, к.н.з.у.: 61:08:0070114:542</t>
  </si>
  <si>
    <t>Установка прибора коммерческого учета электрической энергии (мощности) в точке поставки для присоединения жилого дома Лосевой А.В., расположенного по адресу: Ростовская область, Волгодонской район, х. Лагутники, пер. Юбилейный, д. 10, к.н.з.у.: 61:08:0070202:87</t>
  </si>
  <si>
    <t>Установка прибора коммерческого учета электрической энергии (мощности) в точке поставки для присоединения жилого дома Криницыной М.В., расположенного по адресу: Ростовская область, Волгодонской район, станица Романовская, пер. Чкаловский, д. 6, к.н.з.у.: 61:08:0070121:86</t>
  </si>
  <si>
    <t>Установка коммерческого учета электрической энергии (мощности) в точке поставки и установка шкафа 0,4 кВ по присоединению хозяйственной постройки Ни Л.П., расположенной по адресу: Ростовская область, Волгодонской район, х. Потапов, примерно 3634 м по направлению на восток от х. Потапов, кадастровый номер земельного участка 61:08:0601501:306</t>
  </si>
  <si>
    <t>Установка прибора коммерческого учета электрической энергии (мощности) в точке поставки для присоединения жилого дома Ахадова Д.Ш.О, расположенного по адресу: Ростовская область, Волгодонской район, станица Романовская, пер. Колхозный, д. 49, к.н.з.у.: 61:08:0070131:72</t>
  </si>
  <si>
    <t>Установка прибора коммерческого учета электрической энергии (мощности) в точке поставки для присоединения индивидуального жилого дома Пушинской О.А., расположенного по адресу: Ростовская область, Волгодонской район, станица Романовская, ул. Луговая, д. 5, к.н.з.у.: 61:08:0070107:933</t>
  </si>
  <si>
    <t>Установка прибора коммерческого учета электрической энергии (мощности) в точке поставки для присоединения жилого дома Крюкова Д.В., расположенного по адресу: Ростовская область, Волгодонской район, х. Парамонов, ул. Гагарина, д. 21А, к.н.з.у. 61:08:0070301:1008</t>
  </si>
  <si>
    <t>Установка прибора коммерческого учета электрической энергии (мощности) в точке поставки для присоединения индивидуального жилого дома Горелова А.В., расположенного по адресу: Ростовская область,  Волгодонской район, станица Романовская, ул. 75 лет Победы, д. 47, к.н.з.у.: 61:08:0600601:4604</t>
  </si>
  <si>
    <t>Установка прибора коммерческого учета электрической энергии (мощности) в точке поставки для присоединения индивидуального жилого дома Олексий А.Г., расположенного по адресу: Ростовская область, Волгодонской район, станица Романовская, ул. 75 лет Победы, д. 31, к.н.з.у.: 61:08:0600601:5195</t>
  </si>
  <si>
    <t xml:space="preserve">Строительство участка ВЛИ-0,4 кВ от вновь установленной опоры вновь построенной ВЛИ-0,4 кВ (по договорам ТП №61-1-20-00521217 от 28.07.2020г, №61-1-20-00521557 от 29.07.2020г, №61-1-20-00522991 от 29.07.2020г,  №61-1-20-00521253 от 29.07.2020г, №61-1-20-00521227 от 13.08.2020г, №61-1-20-00520401 от 13.08.2020г) от вновь установленной ТП-6/0,4 кВ по ВЛ-6 кВ №1 ПС 35/6 кВ Романовская (по договорам ТП №61-1-19-00441801 от 13.05.2019г и №61-1-19-00437609 от 15.05.2019г), с установкой шкафа 0,4 кВ, и  обеспечение коммерческим учетом электрической энергии (мощности) в точке поставки по присоединению спального домика Сливнициной О.Ю., расположенного по адресу: Ростовская обл., г. Волгодонск, ул. Отдыха, д. 3, кадастровый номер земельного участка. 61:48:0020101:1254 (ориентировочная протяженность ЛЭП 0,03 км)
</t>
  </si>
  <si>
    <t>Строительство участка ВЛИ-04 кВ от вновь установленной опоры вновь построенной ВЛИ-0,4 кВ (по договорам ТП №61-1-20-00521217 от 28.07.2020г., №61-1-20-00521557 от 29.07.2020г., №61-1-20-00522991 от 29.07.2020г., №61-1-20-00521253 от 29.07.2020г) от вновь установленной ТП-6/0,4 кВ по ВЛ-6 кВ №1 ПС 35/6 кВ Романовская (по договорам ТП №61-1-19-00441801 от 13.05.2019г и №61-1-19-00437609 от 15.05.2029г), с установкой шкафов 0,4 кВ и обеспечение коммерческим учетом электрической энергии (мощности) в точках поставки по присоединению дачного домика Сержанова Н.В. и нежилого строения Бернград О.Ю., расположенных по адресам: Ростовская область, г. Волгодонск, ул. Отдыха ,д.3, кадастровыми номерами земельных участков 61:48:0020101:1352 и 61:48:0020101:1473 (ориентировочная протяженность ЛЭП 0,04 км)</t>
  </si>
  <si>
    <t>Строительство участка ВЛИ-0,4 кВ от вновь установленной опоры вновь построенной ВЛИ-0,4 кВ (по договору ТП №61-1-20-00512889 от 27.05.2020г) от вновь установленной ТП-6/0,4 кВ по ВЛ-6 кВ №1 ПС 35/6 кВ Романовская (по договорам ТП №61-1-19-00441801 от 13.05.2019г и №61-1-19-00437609 от 15.05.2019г), с установкой шкафов 0,4 кВ, и обеспечение коммерческим учетом электрической энергии (мощности) в точках поставки по присоединению спальных домиков Васильева В.В., Кривохижы Ю.В. и Савина А.И., вагончика Большовой Г.В., расположенных по адресам: Ростовская обл., г. Волгодонск, ул. Отдыха, д. 3, кадастровыми номерами земельных участков. 61:48:0020101:1395, 61:48:0020101:1340, 61:48:0020101:1248 и 61:48:0020101:1272 (ориентировочная протяженность ЛЭП 0,17 км)</t>
  </si>
  <si>
    <t>Установка прибора коммерческого учета электрической энергии (мощности) в точке поставки для присоединения модульного фельдшерско-акушерского пункта Администрации Цимлянского района., расположенного по адресу: Ростовская область, Цимлянский район, х. Черкасский, ул. Школьная, д. 2а, к.н.з.у.: 61:41:0050301:880</t>
  </si>
  <si>
    <t>Строительство участка ВЛИ-0,4 кВ от опоры №17 ВЛ 0,4 кВ №1 КТП 7004 ВЛ 10 кВ №15 ПС 110 кВ Константиновская и установка прибора коммерческого учета электрической энергии (мощности) в точке поставки для присоединения фельдшерского здравпункта МБУЗ «Центральная районная больница Константиновского района Ростовской области», расположенного по адресу: РО, Константиновский район, х. Костино-Горский, ул. Казачья, д. 12А, к.н.з.у. 61:17:0020201:598 (ориентировочная протяженность ЛЭП 0,021 км)</t>
  </si>
  <si>
    <t>Установка прибора коммерческого учета электрической энергии (мощности) в точке поставки для присоединения торгового павильона ООО «Костины Горы», расположенного по адресу: Ростовская область, Константиновский район, х. Старозолотовский, ул. Ермолова, д. 2-б, к.н.з.у.: 61:17:0600010:3686</t>
  </si>
  <si>
    <t>Установка прибора коммерческого учета электрической энергии (мощности) в точке поставки для присоединения жилого дома Репкина С.Ф., расположенного по адресу: Ростовская область, Ремонтненский район, с. Киевка, ул. Братьев Дьяченко, д. 4, к.н.о.: 61:32:0050101:1119, к.н.з.у.: 61:32:0050101:329</t>
  </si>
  <si>
    <t>Установка прибора коммерческого учета электрической энергии (мощности) в точке поставки для присоединения жилого дома Зуева В.О., расположенного по адресу: Ростовская область, Мартыновский район, х. Засальский, ул. Буденного, д. 48, к.н.з.у.: 61:20:0080301:240</t>
  </si>
  <si>
    <t>Строительство участка ВЛИ-0,4 кВ от опоры №2/1 ВЛИ-0,4 кВ №3 КТП-3138/160 кВА по ВЛ-10 кВ №7 ПС 35/10 кВ Андреевская, с установкой шкафа 0,4 кВ, и  обеспечение коммерческим учетом электрической энергии (мощности) в точке поставки по присоединению жилого дома Актемирова Д.Д., расположенного по адресу: Ростовская область, Дубовский район, станица Андреевская, ул. Степная, д. 8, кадастровый номер земельного участка 61:09:0080101:591 (ориентировочная протяженность ЛЭП 0,025 км)</t>
  </si>
  <si>
    <t>Строительство участка ВЛИ-0,4 кВ от опоры №25 ВЛ-0,4 кВ №1 КТП-3086 ВЛ-10 кВ №3 ПС 110 кВ Дубовская и установка прибора коммерческого учета электрической энергии (мощности) в точке поставки для присоединения жилого помещения Дубягина Е.В., расположенного по адресу: Ростовская область, Дубовский район, х. Моисеев, пер. Набережный, д. 1б, кадастровый номер земельного участка 61:09:0010401:185 (ориентировочная протяженность ЛЭП 0,065 км)</t>
  </si>
  <si>
    <t>Установка прибора коммерческого учета электрической энергии (мощности) в точке поставки для присоединения жилого дома Алиева Ч.А., расположенного по адресу: Ростовская область, Дубовский район, х. Кут-Кудинов, ул. Раздольная, д. 38, к.н.з.у.: 61:09:0080301:170</t>
  </si>
  <si>
    <t>Установка прибора коммерческого учета электрической энергии (мощности) в точке поставки для присоединения жилого дома Дурдиева Х.С., расположенного по адресу: Ростовская область, Дубовский район, х. Семичный, ул. Мира, д. 17, к.н.о.: 61:09:0020101:993</t>
  </si>
  <si>
    <t>Установка прибора коммерческого учета электрической энергии (мощности) в точке поставки для присоединения жилого помещения Бахаева И.М., расположенного по адресу: Ростовская область, Дубовский район, х. Присальский, ул. Победы, д. 15, кв. 2, к.н.з.у.: 61:09:0070101:1690</t>
  </si>
  <si>
    <t>Установка прибора коммерческого учета электрической энергии (мощности) в точке поставки для присоединения базовой станции ПАО «Ростелеком», расположенной по адресу: Ростовская область, Дубовский район, х. Овчинников</t>
  </si>
  <si>
    <t>Установка прибора коммерческого учета электрической энергии (мощности) в точке поставки для присоединения базовой станции ПАО «Ростелеком», расположенной по адресу: Ростовская область, Дубовский район, станица Подгорненская</t>
  </si>
  <si>
    <t>Установка коммерческого учета электрической энергии (мощности) в точке поставки и установка шкафа 0,4 кВ по присоединению жилого дома Поляковой И.Н., расположенного по адресу: Ростовская область, Волгодонской район, станица Романовская, ул. Ленина, д. 133, кадастровый номер земельного участка 61:08:0070131:36</t>
  </si>
  <si>
    <t>Установка прибора коммерческого учета электрической энергии (мощности) в точке поставки для присоединения малоэтажной жилой застройки Плотниковой Е.В., расположенной по адресу: Ростовская область, Волгодонской район, станица Романовская, ул. Тюхова, д.69а, кадастровый номер земельного участка: 61:08:0070122:468</t>
  </si>
  <si>
    <t>Установка прибора коммерческого учета электрической энергии (мощности) в точке поставки для присоединения жилого дома Кузнецова А.С., расположенного по адресу: Ростовская область, Волгодонской район, станица Романовская, ул. Одесская,  д. 29, к.н.з.у.: 61:08:0600601:3854</t>
  </si>
  <si>
    <t>Установка прибора коммерческого учета электрической энергии (мощности) в точке поставки для присоединения малоэтажной жилой застройки Кравцова Р.Ю., расположенной по адресу: Ростовская область, Волгодонской район, х. Рябичев, ул. Лермонтова, д.8, кадастровый номер земельного участка: 61:08:0030101:169</t>
  </si>
  <si>
    <t>Установка прибора коммерческого учета электрической энергии (мощности) в точке поставки для присоединения индивидуального жилого дома Лукашева А.А., расположенного по адресу: Ростовская область, Волгодонской район, станица Романовская, ул. Забазновой, д. 5А, к.н.з.у.: 61:08:0070113:359</t>
  </si>
  <si>
    <t>Установка прибора коммерческого учета электрической энергии (мощности) в точке поставки для присоединения индивидуального жилого дома Панкратова П.Н., расположенного по адресу: Ростовская область, Волгодонской район, станица Романовская, ул. 75 лет Победы, д. 27, к.н.з.у.: 61:08:0600601:4584</t>
  </si>
  <si>
    <t>Установка прибора коммерческого учета электрической энергии (мощности) в точке поставки для присоединения жилого дома Зубкова А.П., расположенного по адресу: Ростовская область, Волгодонской район, станица Романовская, ул. 75 лет Победы, д. 49, к.н.з.у.: 61:08:0600601:4606</t>
  </si>
  <si>
    <t>Установка прибора коммерческого учета электрической энергии (мощности) в точке поставки для присоединения садового дома Рыжеволова В.В., расположенного по адресу: Ростовская область, г. Волгодонск, ул. Отдыха, д. 39в22, к.н.з.у.: 61:48:0020101:1864</t>
  </si>
  <si>
    <t>Установка прибора коммерческого учета электрической энергии (мощности) в точке поставки для присоединения индивидуального жилого дома Ким Р.И., расположенного по адресу: Ростовская область, Волгодонской район, станица Романовская, ул. 75 лет Победы, д. 81, к.н.з.у.: 61:08:0600601:4637</t>
  </si>
  <si>
    <t>Установка прибора коммерческого учета электрической энергии (мощности) в точке поставки для присоединения жилого дома Адильгереева А.А., расположенного по адресу: Ростовская область, Волгодонской район, станица Романовская, ул. Соловьевых, д. 57, к.н.з.у.: 61:08:0070121:55</t>
  </si>
  <si>
    <t>Строительство участка ВЛИ-0,4 кВ от опоры №8 ВЛ 0,4 кВ №2 КТП-7205 ВЛ 10 кВ №6 ПС 35/10 кВ Почтовская и установка прибора коммерческого учета электрической энергии (мощности) в точке поставки для присоединения здания телятника №1 ИП Степанова П.В. главы К(Ф)Х, расположенного по адресу: РО, Константиновский район, к.н.з.у.: 61:17:0600001:423 (ориентировочная протяженность ЛЭП 0,513 км)</t>
  </si>
  <si>
    <t>Установка прибора коммерческого учета электрической энергии (мощности) в точке поставки для присоединения жилого дома Делинской Т.Е., расположенного по адресу: Ростовская область, Константиновский район, станица Николаевская, ул. Победы, д.63, к.н.з.у: 61:17:0050101:2164</t>
  </si>
  <si>
    <t>Установка прибора коммерческого учета электрической энергии (мощности) в точке поставки для присоединения жилого дома Вольваки А.В., расположенного по адресу: Ростовская область, Константиновский район, х. Ведерников, ул. Октябрьская, д. 18, к.н.з.у.: 61:17:0010502:17</t>
  </si>
  <si>
    <t>Установка прибора коммерческого учета электрической энергии (мощности) в точке поставки для присоединения жилого дома Харитонова А.В., расположенного по адресу: Ростовская область, Константиновский район, станица Николаевская, ул. Победы, д. 28, к.н.з.у.: 61:17:0050101:2130</t>
  </si>
  <si>
    <t>Установка прибора коммерческого учета электрической энергии (мощности) в точке поставки для присоединения жилого дома Харитонова И.В., расположенного по адресу: Ростовская область, Константиновский район, х. Старая Станица, ул. Донская, д. 19, к.н.з.у.: 61:17:0050501:152</t>
  </si>
  <si>
    <t>Установка прибора коммерческого учета электрической энергии (мощности) в точке поставки для присоединения жилого дома Леоновой Л.А., расположенного по адресу: Ростовская область, Константиновский район, х. Гапкин, ул. Вишневая, д. 4, к.н.з.у.: 61:17:0040101:623</t>
  </si>
  <si>
    <t>Установка прибора коммерческого учета электрической энергии (мощности) в точке поставки для присоединения жилого дома Попова А.А., расположенного по адресу: Ростовская область, Константиновский район, х. Вифлянцев, ул. Октябрьская, д. 17, к.н.з.у.: 61:17:070301:0039</t>
  </si>
  <si>
    <t>Установка прибора коммерческого учета электрической энергии (мощности) в точке поставки для присоединения жилого дома Житникова В.В., расположенного по адресу: Ростовская область, Константиновский район, станица Николаевская, ул. 8 Марта, д. 54, к.н.з.у.: 61:17:0050101:1271</t>
  </si>
  <si>
    <t>Установка прибора коммерческого учета электрической энергии (мощности) в точке поставки для присоединения жилого дома Костромина А.В., расположенного по адресу: Ростовская область, Константиновский район, станица Николаевская, ул. 8 Марта, д. 16, к.н.з.у.: 61:17:0050101:1229</t>
  </si>
  <si>
    <t>Установка  коммерческого учета электрической энергии (мощности) в точке поставки и установка шкафа 0,4 кВ по присоединению столовой ООО «Стычное», расположенной по адресу: Ростовская область, Константиновский район, п. Отноженский, ул. Вербная, д. 50, кадастровый номер земельного участка 61:17:0070801:104</t>
  </si>
  <si>
    <t>Установка прибора коммерческого учета электрической энергии (мощности) в точке поставки для присоединения жилого дома Григоренко Е.Н., расположенного по адресу: Ростовская область, Зимовниковский район, х. Марченков, ул. Солнечная, д.13, кадастровый номер земельного участка: 61:13:0130703:15</t>
  </si>
  <si>
    <t>Установка прибора коммерческого учета электрической энергии (мощности) в точке поставки для присоединения жилого дома Финагеева В.В., расположенного по адресу: Ростовская область, Зимовниковский район, х. Савоськин, ул. Степная, д. 5, к.н. объекта 61-61-17/031/2007-499, к.н.з.у.: 61:13:110101:0002</t>
  </si>
  <si>
    <t>Установка прибора коммерческого учета электрической энергии (мощности) в точке поставки для присоединения жилого дома Коробкина Ю.Н., расположенного по адресу: Ростовская область, Зимовниковский район, х. Озерский, ул. Приозерная, д. 17, к.н.з.у.: 61:13:0020501:9</t>
  </si>
  <si>
    <t>Установка прибора коммерческого учета электрической энергии (мощности) в точке поставки для присоединения жилого дома Ильязова А.З., расположенного по адресу: Ростовская область, Зимовниковский район, 400 м. по направлению на восток от х. Ленинский, к.н.з.у.: 61:13:0600008:1403</t>
  </si>
  <si>
    <t>Установка прибора коммерческого учета электрической энергии (мощности) в точке поставки для присоединения жилого дома Дарминовой В.Г., расположенного по адресу: Ростовская область, Зимовниковский район, х. Савоськин, ул. Центральная, д. 39, к.н.з.у.: 61:13:0110103:4:107</t>
  </si>
  <si>
    <t>Обеспечение коммерческим учетом электрической энергии (мощности) в точке поставки по присоединению жилого дома Никифоровой Е.Г., расположенного по адресу: Ростовская область, х. Малоорловский , ул.Степная,д.7, к.н. 61:20:0060101:2104</t>
  </si>
  <si>
    <t>Установка коммерческого учета электрической энергии (мощности) в точке поставки и установка шкафа 0,4 кВ по присоединению жилого дома Гасановой Ю.И., расположенного по адресу: Ростовская область, Мартыновский район, х. Новоселовка, ул. Краснопартизанская, д. 28а, кадастровый номер земельного участка 61:20:0070101:3196</t>
  </si>
  <si>
    <t>Установка коммерческого учета электрической энергии (мощности) в точке поставки и установка шкафа 0,4 кВ по присоединению жилого дома Король А.В., расположенного по адресу: Ростовская область, Мартыновский район, х. Кривой Лиман, ул. Набережная, д. 12, кадастровый номер земельного участка 61:20:0080401:910</t>
  </si>
  <si>
    <t>Установка коммерческого учета электрической энергии (мощности) в точке поставки и установка шкафа 0,4 кВ по присоединению скважины для полива огорода Куповцовой Н.В., расположенной по адресу: Ростовская область, Мартыновский район, х. Долгий, ул. Клубная, д.26, кадастровый номер земельного участка 61:20:0060301:2130</t>
  </si>
  <si>
    <t>Установка прибора коммерческого учета электрической энергии (мощности) в точке поставки для присоединения жилого дома Гаврилицы Г.В., расположенного по адресу: Ростовская область, Дубовский район, х. Лопатин, ул. Луговая, д. 4, к.н.о.: 61:09:0120301:47</t>
  </si>
  <si>
    <t>Установка прибора коммерческого учета электрической энергии (мощности) в точке поставки для присоединения квартиры Абубакаровой М.И., расположенной по адресу: Ростовская область, Заветинский район, х. Фрунзе, ул. Центральная, д. 4, кв. 1, к.н.з.у.: 61:11:0050401:109</t>
  </si>
  <si>
    <t>Установка прибора коммерческого учета электрической энергии (мощности) в точке поставки для присоединения жилого дома Мисина А.В., расположенного по адресу: Ростовская область, Волгодонской район, станица Романовская, ул. 50 лет Победы, д. 23, к.н.з.у.: 61:08:0070106:69</t>
  </si>
  <si>
    <t>Установка коммерческого учета электрической энергии (мощности) в точке поставки и установка шкафа 0,4 кВ по присоединению магазина продовольственных товаров «Галина» ИП Хомякова Г.И., расположенного по адресу: Ростовская область, Волгодонской район, станица Романовская, ул. Соловьевых, д. 92А, кадастровый номер земельного участка 61:08:0070129:0049</t>
  </si>
  <si>
    <t>Установка прибора коммерческого учета электрической энергии (мощности) в точке поставки для присоединения жилого дома Истоминой М.В., расположенного по адресу: Ростовская область, Волгодонской район, станица Романовская, ул. Тюхова, д. 75, к.н.з.у.: 61:08:0070129:122</t>
  </si>
  <si>
    <t>Установка (Обеспечение) коммерческим учетом электрической энергии (мощности) в точке поставки и установка шкафов 0,4 кВ по присоединению жилых домов Кулягина Е.И., расположенных по адресам: Ростовская область, Волгодонской район, станица Романовская, ул. Одесская, д. 31, кадастровый номер земельного участка 61:08:0600601:4738 и ул. Одесская, д. 31А, кадастровый номер земельного участка 61:08:0600601:4737</t>
  </si>
  <si>
    <t>Установка прибора коммерческого учета электрической энергии (мощности) в точке поставки для присоединения жилого дома Букаренко Н.Н., расположенного по адресу: Ростовская область, Константиновский район, х. Почтовый, ул. Молодежная, д. 52, к.н.з.у.: 61:17:0060101:217</t>
  </si>
  <si>
    <t>Установка прибора коммерческого учета электрической энергии (мощности) в точке поставки для присоединения жилого дома Омелиянчук С.В., расположенного по адресу: Ростовская область, Константиновский район, г. Константиновск, ул. Лесная, д. 61-б,  к.н.з.у.: 61:17:0010401:67</t>
  </si>
  <si>
    <t>Установка прибора коммерческого учета электрической энергии (мощности) в точке поставки для присоединения жилого дома Гордеевой Н.С., расположенного по адресу: Ростовская область, Константиновский район, станица Николаевская, ул. Победы, д. 20 «а», к.н.з.у.: 61:17:0050101:5953</t>
  </si>
  <si>
    <t>Установка коммерческого учета электрической энергии (мощности) в точке поставки и установка шкафа 0,4 кВ по присоединению садового домика Онищенко О.В., расположенного по адресу: Ростовская область, Константиновский район, х. Старозолотовский, ул. Ермолова, д.7-а, кадастровый номер земельного участка 61:17:0020501:55</t>
  </si>
  <si>
    <t>Установка прибора коммерческого учета электрической энергии (мощности) в точке поставки для присоединения жилого дома Свистова А.Н., расположенного по адресу: Ростовская область, Константиновский район, х. Верхнепотапов, ул. Школьная, д. 9, к.н.з.у.: 61:17:0060401:317</t>
  </si>
  <si>
    <t>Установка прибора коммерческого учета электрической энергии (мощности) в точке поставки для присоединения квартиры Яковлевой С.Н., расположенной по адресу: Ростовская область, Константиновский район, х. Нижнежуравский, ул. Мира, д. 7, кв. 2, к.н.з.у.: 61:17:0020401:478</t>
  </si>
  <si>
    <t>Установка прибора коммерческого учета электрической энергии (мощности) в точке поставки для присоединения жилого дома Борзило О.И., расположенного по адресу: Ростовская область, Константиновский район, станица Николаевская, ул. Комсомольская, д.24,  к.н.з.у.: 61:17:0050101:1897</t>
  </si>
  <si>
    <t>Установка прибора коммерческого учета электрической энергии (мощности) в точке поставки для присоединения нежилого здания ИП Коваленко С.А., расположенного по адресу: Ростовская область, Зимовниковский район, х. Верхоломов, в 700 м северо-восточнее улицы Молодежная, к.н.о.: 61:13:0600002:126, к.н.з.у.: 61:13:0600002:140</t>
  </si>
  <si>
    <t>Установка прибора коммерческого учета электрической энергии (мощности) в точке поставки для присоединения жилого дома Зупаровой Ш.Я., расположенного по адресу: Ростовская область, Зимовниковский район, х. Ленинский, ул. Мира, д. 6А, к.н.з.у.: 61:13:0130602:83</t>
  </si>
  <si>
    <t>Установка прибора коммерческого учета электрической энергии (мощности) в точке поставки для присоединения нежилого здания ИП глава К(Ф)Х Бундуки М.И., расположенного по адресу: Ростовская область, Мартыновский район, слобода Большая Мартыновка, мкр. Подстанция, д. 8, к.н.з.у.: 61:20:001010101:24073</t>
  </si>
  <si>
    <t>Установка прибора коммерческого учета электрической энергии (мощности) в точке поставки для присоединения квартиры Дордюк Н.В., расположенной по адресу: Ростовская область, Мартыновский район, х. Лесной, ул. Клубная, д. 5, кв./оф. 1,к.н.з.у.: 61:20:0060401:1875</t>
  </si>
  <si>
    <t>Установка коммерческого учета электрической энергии (мощности) в точке поставки и установка шкафа 0,4 кВ по присоединению здания детского сада МБОУ ДС Теремок п. Зеленолугский, расположенного по адресу: Ростовская область, Мартыновский район, п. Зеленолугский, ул. Молодежная, д. 15, кадастровый номер земельного участка 61:20:0020401:674</t>
  </si>
  <si>
    <t>Установка прибора коммерческого учета электрической энергии (мощности) в точке поставки для присоединения магазина ИП Романенко В.А., расположенного по адресу: Ростовская область, Мартыновский район, слобода Большая Орловка, ул. Революционная, д. 57, к.н.з.у.: 61:20:0020101:7608</t>
  </si>
  <si>
    <t>Установка прибора коммерческого учета электрической энергии (мощности) в точке поставки для присоединения жилого помещения Касаткина А.Ю., расположенного по адресу: Ростовская область, Мартыновский район, х. Денисов, ул. Механизаторов, д. 8, к.н.з.у.: 61:20:0060201:3445</t>
  </si>
  <si>
    <t>Установка прибора коммерческого учета электрической энергии (мощности) в точке поставки для присоединения объекта общественного питания ИП Сейфатова М.Р., расположенного по адресу: Ростовская область, Мартыновский район, слобода Большая Орловка, ул. Дорожная, д. 1к, к.н.з.у.: 61:20:0020101:13612</t>
  </si>
  <si>
    <t>Установка коммерческого учета электрической энергии (мощности) в точке поставки и установка шкафа 0,4 кВ по присоединению нежилого здания ИП Украинцевой И.А., расположенного по адресу: Ростовская область, Мартыновский район, слобода Большая Орловка, ул. Дорожная, д. 18-б, кадастровый номер земельного участка 61:20:0020101:13031</t>
  </si>
  <si>
    <t>Установка прибора коммерческого учета электрической энергии (мощности) в точке поставки для присоединения строительной площадки Царевского В.А., расположенной по адресу: Ростовская область, Мартыновский район, п. Речной, ул. Молодежная, д. 11Б, к.н.з.у.: 61:35:0050701:305</t>
  </si>
  <si>
    <t>Установка прибора коммерческого учета электрической энергии (мощности) в точке поставки для присоединения жилого дома Цыганковой С.В., расположенного по адресу: Ростовская область, Мартыновский район, х. Московский, ул. Московская, д. 42, к.н.з.у.: 61:20:0070601:1083</t>
  </si>
  <si>
    <t>Установка прибора коммерческого учета электрической энергии (мощности) в точке поставки для присоединения жилого дома Сулиевой В.А., расположенного по адресу: Ростовская область, Мартыновский район, х. Денисов, ул. Центральная, д. 46а, к.н.з.у.: 61:20:0060201:3490</t>
  </si>
  <si>
    <t>Установка прибора коммерческого учета электрической энергии (мощности) в точке поставки для присоединения жилого дома Иванченко Л.И., расположенного по адресу: Ростовская область, Дубовский район, станица Жуковская, ул. Ленина, д. 15, к.н.з.у.: 61:09:0030101:1913</t>
  </si>
  <si>
    <t>Установка прибора коммерческого учета электрической энергии (мощности) в точке поставки для присоединения нежилого помещения ИП Акопяна А.Л., расположенного по адресу: Ростовская область, Дубовский район, х. Семичный, ул. Луговая, д.1а, к.н.з.у.: 61:09:0020101:1962</t>
  </si>
  <si>
    <t>Установка прибора коммерческого учета электрической энергии (мощности) в точке поставки для присоединения жилого дома Мотева В.Ф., расположенного по адресу: Ростовская область, Ремонтненский район, с. Первомайское, ул. Богданова, д. 139, к.н.о.: 61:32:0080102:2436, к.н.з.у.: 61:32:0080102:84</t>
  </si>
  <si>
    <t>Установка прибора коммерческого учета электрической энергии (мощности) в точке поставки для присоединения жилого дома Сикоренко А.М., расположенного по адресу: Ростовская область, Ремонтненский район, с. Первомайское, ул. Октябрьская, д. 78, к.н.о. 61:32:0080102:1837, к.н.з.у.: 61:32:0080102:317</t>
  </si>
  <si>
    <t>Установка прибора коммерческого учета электрической энергии (мощности) в точке поставки для присоединения жилого дома Бережного С.И., расположенного по адресу: Ростовская область, Ремонтненский район, с. Первомайское, ул. Богданова, д. 39, к.н.з.у.: 61:32:0080102:26</t>
  </si>
  <si>
    <t>Установка прибора коммерческого учета электрической энергии (мощности) в точке поставки для присоединения части здания магазина №16 ИП Абдуллаева Р.З., расположенного по адресу: Ростовская область, Ремонтненский район, с. Валуевка, ул. 40 лет Победы, д. 68Б, к.н.о.: 61:32:0020101:1396, к.н.з.у.: 61:32:0020101:408</t>
  </si>
  <si>
    <t>Установка прибора коммерческого учета электрической энергии (мощности) в точке поставки для присоединения нежилого помещения (магазина) ИП Дульгиер Е.В., расположенного по адресу: Ростовская область, Цимлянский район, станица Красноярская, ул. Победы, д. 112, к.н.з.у.: 61:41:0020115:3</t>
  </si>
  <si>
    <t>Установка коммерческого учета электрической энергии (мощности) в точке поставки и установка шкафа 0,4 кВ по присоединению части жилого дома Заничковского С.И., расположенного по адресу: Ростовская область, Цимлянский район, п. Сосенки, ул. Центральная, д. 1, кв./оф. 1, кадастровый номер земельного участка 61:41:030301:0062</t>
  </si>
  <si>
    <t>Установка прибора коммерческого учета электрической энергии (мощности) в точке поставки для присоединения жилого дома Щербакова Л.И., расположенного по адресу: Ростовская область, Цимлянский район, х. Крутой, пер. Кривой, д. 20, к.н.з.у.: 61:41:0020310:23</t>
  </si>
  <si>
    <t>Установка прибора коммерческого учета электрической энергии (мощности) в точке поставки для присоединения жилого дома Рочевой И.В., расположенного по адресу: Ростовская область, Цимлянский район, п. Дубравный, пер. Дружбы, д. 22, к.н.з.у.: 61:41:0030405:50</t>
  </si>
  <si>
    <t>Обеспечение коммерческим учетом электрической энергии (мощности) в точке поставки и установки шкафа 0,4 кВ по присоединению спального домика Поляковой Т.В., расположенного по адресу: Ростовская обл., г. Волгодонск, ул. Отдыха, кадастровый номер земельного участка: 61:48:0020101:1587</t>
  </si>
  <si>
    <t>Обеспечение коммерческим учетом электрической энергии (мощности) в точке поставки и установка шкафа 0,4 кВ по присоединению спального домика Глушенок А.Н., расположенного по адресу: Ростовская область, г. Волгодонск, ул. Отдыха, д. 67, к.н. 61:48:0020101:1222</t>
  </si>
  <si>
    <t>Обеспечение коммерческим учетом электрической энергии (мощности) в точке поставки и установка шкафа 0,4 кВ по присоединению спального домика Квасковой М.Ф., расположенного по адресу: Ростовская область, г. Волгодонск, ул. Отдыха, д.5а, к.н. 61:48:0020101:1381</t>
  </si>
  <si>
    <t>Строительство участка ВЛИ-0,4 кВ от вновь установленной опоры вновь построенной ВЛИ-0,4 кВ (по договорам ТП №61-20-00520889 от 27.05.2020г, №61-20-00521217 от 28.07.2020г, №61-20-00521557 от 28.07.2020г, №61-20-00521253 от 29.07.2020г, №61-20-00522991 от 29.07.2020г) от вновь установленной ТП-6/0,4 кВ по ВЛ-6 кВ №1 ПС 35/6 кВ Романовская (по договорам ТП №61-1-19-00441801 от 13.05.2029г и №61-1-19-00437609 от 15.05.2019) ,с установкой шкафа 0,4 кВ, и обеспечение коммерческим учетом электрической энергии (мощности) в точках поставки по присоединению спального домика Будко О.Г., расположенного по адресу: Ростовская обл., г. Волгодонск, ул. Отдыха, д.3, кадастровый номер земельного участка 61:48:0020101:1274 (ориентировочная протяженность ЛЭП 0,07 км)</t>
  </si>
  <si>
    <t>Обеспечение коммерческим учетом электрической энергии (мощности) в точке поставки и установка шкафа 0,4 кВ по присоединению спального домика Полякова С.Л., расположенного по адресу: Ростовская обл., г. Волгодонск, ул. Отдыха, д. 3, кадастровый номер земельного участка: 61:48:0020101:1341</t>
  </si>
  <si>
    <t>Установка прибора коммерческого учета электрической энергии (мощности) в точке поставки для присоединения индивидуального жилого дома Александрова А.Г., расположенного по адресу: Ростовская область, Волгодонской район, х. Мокросоленый, ул. Кооперативная, д.33, кадастровый номер земельного участка: 61:08:0010201:1469</t>
  </si>
  <si>
    <t>Установка прибора коммерческого учета электрической энергии (мощности) в точке поставки для присоединения нежилого помещения ИП Шевчука А.П., расположенного по адресу: Ростовская область, Волгодонской район, станица Дубенцовская, пер. Совхозный, д.22, кадастровый номер земельного участка: 61:08:0020104:380</t>
  </si>
  <si>
    <t>Установка коммерческого учета электрической энергии (мощности) в точке поставки и установка шкафа 0,4 кВ по присоединению жилого дома Щепелева А.В.., расположенного по адресу: Ростовская область, Волгодонской район, х. Калинин, ул. Школьная, д.33, кадастровый номер земельного участка 61:08:040402:0001</t>
  </si>
  <si>
    <t>Установка прибора коммерческого учета электрической энергии (мощности) в точке поставки для присоединения помещения Когай А.С., расположенного по адресу: РО, Волгодонской район, станица Романовская, ул. 40 лет Победы, д. 12, комн. 12,13,14,15,20,25, к.н.з.у. 61:08:0070109:553</t>
  </si>
  <si>
    <t>Установка прибора коммерческого учета электрической энергии (мощности) в точке поставки для присоединения жилого дома Бражкиной Т.С., расположенного по адресу: Ростовская область, Константиновский район, станица Николаевская, ул. Ленина, д. 6, к.н.з.у.: 61:17:0050101:2074</t>
  </si>
  <si>
    <t>Установка прибора коммерческого учета электрической энергии (мощности) в точке поставки для присоединения склада ИП главы К(Ф)Х Дьяконова А.Н., расположенного по адресу: Ростовская область, Константиновский район, ориентир ТОО «Знамя», бригада I,поле III (х. Почтовый), к.н.з.у.: 61:17:0600002:1114</t>
  </si>
  <si>
    <t>Установка прибора коммерческого учета электрической энергии (мощности) в точке поставки для присоединения квартиры Польникова С.Н., расположенной по адресу: Ростовская область, Константиновский район, х. Кастырский, ул. Солнечная, д. 24, кв. 1, к.н.з.у.: 61:17:0030301:376</t>
  </si>
  <si>
    <t>Установка прибора коммерческого учета электрической энергии (мощности) в точке поставки для присоединения торгового павильона «Айболит-2» ИП Губачева А.В., расположенного по адресу: Ростовская область, Константиновский район, станица Николаевская, ул. Коммунистическая, д. 4, к.н.з.у.: 61:17:0050101:1412</t>
  </si>
  <si>
    <t>Установка прибора коммерческого учета электрической энергии (мощности) в точке поставки для присоединения жилого дома Гатиловой И.В., расположенного по адресу: Ростовская область, Константиновский район, х. Ведерников, ул. Донская, д. 4, к.н.з.у.: 61:17:0010602:51</t>
  </si>
  <si>
    <t>Установка прибора коммерческого учета электрической энергии (мощности) в точке поставки для присоединения здания административно-бытового корпуса, спортивной площадки ИП Божкова С.В., расположенного по адресу: Ростовская область, Константиновский район, г. Константиновск, ул. Прибрежная, д.21-а, кадастровый номер земельного участка: 61:17:0600017:566</t>
  </si>
  <si>
    <t>Установка прибора коммерческого учета электрической энергии (мощности) в точке поставки для присоединения жилого дома Родионовой Л.И., расположенного по адресу: Ростовская область, Константиновский район, станица Николаевская, ул. Буденного, д.55, кадастровый номер земельного участка: 61:17:0050101:6439</t>
  </si>
  <si>
    <t>Установка коммерческого учета электрической энергии (мощности)  в точке поставки и установка шкафа 0,4 кВ по присоединению жилого дома Жеребкова Д.Н., расположенного по адресу: Ростовская область, Константиновский район, станица Николаевская, ул. Ермакова, д.74, кадастровый номер земельного участка 61:17:0050101:1621</t>
  </si>
  <si>
    <t>Установка прибора коммерческого учета электрической энергии (мощности) в точке поставки для присоединения жилого дома Рамалдановой Э.М., расположенного по адресу: Ростовская область, Константиновский район, станица Николаевская, ул. Кирова, д. 36, к.н.з.у.: 61:17:0050101:560</t>
  </si>
  <si>
    <t>Установка коммерческого учета электрической энергии (мощности) в точке поставки и установка шкафа 0,4 кВ по присоединению жилого дома Епихова С.Ф., расположенного по адресу: Ростовская область, Константиновский район, станица Николаевская, ул. 9 Января, д. 15, кадастровый номер земельного участка 61:17:0050101:1300</t>
  </si>
  <si>
    <t>Установка прибора коммерческого учета электрической энергии (мощности) в точке поставки для присоединения площадки для хранения сельскохозяйственной продукции ИП Коваль Т.И., расположенной по адресу: Ростовская область, Константиновский район, Константиновское городское поселение, 0,55 км восточнее х. Ведерников,  к.н.з.у.: 61:17:0600017:574</t>
  </si>
  <si>
    <t>Установка прибора коммерческого учета электрической энергии (мощности) в точке поставки для присоединения садового домика Трофимова А.Ю., расположенного по адресу: Ростовская область, Константиновский район, х. Ведерников, к.н.з.у.: 61:17:0600017:551</t>
  </si>
  <si>
    <t>Установка прибора коммерческого учета электрической энергии (мощности) в точке поставки для присоединения жилого дома ООО «Костины Горы»., расположенного по адресу: Ростовская область, Константиновский район, х. Старозолотовский, ул. Ермолова, д. 6-а, к.н.з.у.: 61:17:0020501:139</t>
  </si>
  <si>
    <t>Установка прибора коммерческого учета электрической энергии (мощности) в точке поставки для присоединения квартиры Яфитовой С.М., расположенной по адресу: Ростовская область, Зимовниковский район, х. Крылов, ул. Крылова, д. 8, кв. 3, к.н.з.у.: 61:13:0050401:17</t>
  </si>
  <si>
    <t>Установка прибора коммерческого учета электрической энергии (мощности) в точке поставки для присоединения жилого дома Главы К(Ф)Х Щикальцовой Н.Н., расположенного по адресу: Ростовская область, Зимовниковский район, вблизи х. Пенчуков, к.н.з.у.: 61:13:0600007:1473</t>
  </si>
  <si>
    <t>Установка прибора коммерческого учета электрической энергии (мощности) в точке поставки для присоединения жилого помещения главы К(Ф)Х Линника А.П, расположенного по адресу: Ростовская область, Зимовниковский район, х. Новолодин, животноводческая точка 2, к.н.з.у.: 61:13:0600006:924</t>
  </si>
  <si>
    <t>Установка прибора коммерческого учета электрической энергии (мощности) в точке поставки для присоединения квартиры Кирьяк Д.В., расположенной по адресу: Ростовская область, Зимовниковский район, х. Погорелов, ул. Стадионная, д. 1, кв./оф. 1, к.н.з.у.: 61:13:0050504:10</t>
  </si>
  <si>
    <t>Обеспечение коммерческим учетом электрической энергии (мощности) в точке поставки и установка шкафа 0,4 кВ по присоединению жилого дома Мартыненко А.В., расположенного по адресу: Ростовская область, Зимовниковский район, Ленинское сельское поселение, в близи х. Пенчуков, кадастровый номер земельного участка: 61:130:0600007:12</t>
  </si>
  <si>
    <t>Обеспечение коммерческим учетом электрической энергии (мощности) в точке поставки и установка шкафа 0,4 кВ по присоединению БС 2706 ООО «Т2 Мобайл», расположенной по адресу: Ростовская область, Зимовниковский район, х. Мокрый Гашун, ул. Молодежная, д. 2А, кадастровый номер земельного участка 61:13:0600014,ЗУ1</t>
  </si>
  <si>
    <t>Установка коммерческого учета электрической энергии (мощности) в точке поставки и установка шкафа 0,22 кВ по присоединению квартиры Кнышук О.Н., расположенной по адресу: Ростовская область, Зимовниковский район, п. Зимовники, ул. Майора Рязанцева, д. 8, кв. 3, кадастровый номер земельного участка 61:13:0010336:96</t>
  </si>
  <si>
    <t>Установка прибора коммерческого учета электрической энергии (мощности) в точке поставки для присоединения квартиры Жидкова В.А., расположенной по адресу: Ростовская область, Зимовниковский район, х. Савоськин, ул. Центральная, д. 84, кв. 2, к.н.з.у.: 61:13:110107:0036</t>
  </si>
  <si>
    <t>Установка прибора коммерческого учета электрической энергии (мощности) в точке поставки для присоединения жилого дома Кульбаева Г.И., расположенного по адресу: Ростовская область, Зимовниковский район, х. Петухов, ул. Еременко, д. 77А, к.н.з.у.: 61:13:0020602:7</t>
  </si>
  <si>
    <t>Установка прибора коммерческого учета электрической энергии (мощности) в точке поставки для присоединения жилого дома Усманова Ф.Я., расположенного по адресу: Ростовская область, Зимовниковский район, х. Ленинский, ул. Мира, д. 68,к.н.з.у.: 61:13:0130603:345</t>
  </si>
  <si>
    <t>Установка прибора коммерческого учета электрической энергии (мощности) в точке поставки для присоединения жилого дома Фаталиева А.М., расположенного по адресу: Ростовская область, Зимовниковский район, вблизи х. Николаевский, к.н.з.у.: 61:13:0000000:9281</t>
  </si>
  <si>
    <t>Установка прибора коммерческого учета электрической энергии (мощности) в точке поставки для присоединения подсобного помещения Гаджибагомедова И.А., расположенного по адресу: Ростовская область, Зимовниковский район, х. Плотников, ул. Береговая, д. 11А, к.н.з.у.: 61:13:0040104:249</t>
  </si>
  <si>
    <t>Установка прибора коммерческого учета электрической энергии (мощности) в точке поставки для присоединения жилого дома Тесленко Е.П., расположенного по адресу: Ростовская область, Зимовниковский район, х. Нижнекуберский, ул. Луговая, д.25,  к.н.з.у: 61:13:0090201:53</t>
  </si>
  <si>
    <t>Установка прибора коммерческого учета электрической энергии (мощности) в точке поставки для присоединения бригадного домика ИП Чернышова Е.В., расположенного по адресу: Ростовская область, Зимовниковский район, 5 км на восток от х. Курячий, кадастровый номер объекта: 61:13:0000000:8603</t>
  </si>
  <si>
    <t>Установка  коммерческого учета электрической энергии (мощности) в точке поставки и установка шкафа 0,4 кВ по присоединению квартиры Шарова А.А., расположенной по адресу: Ростовская область, Зимовниковский район, х. Савоськин, ул. Кирова, д. 18, кв. 1, кадастровый номер земельного участка 61:13:0110108:18</t>
  </si>
  <si>
    <t>Установка прибора коммерческого учета электрической энергии (мощности) в точке поставки для присоединения квартиры Никифорова И.А., расположенной по адресу: Ростовская область, Мартыновский район, х. Комаров, ул. Школьная, д. 42, кв. 2, к.н.з.у.: 61:20:0050101:3766</t>
  </si>
  <si>
    <t>Установка прибора коммерческого учета электрической энергии (мощности) в точке поставки для присоединения жилого дома Зайцевой В.М., расположенного по адресу: Ростовская область, Мартыновский район, п. Новомартыновский, ул. Думенко, д. 9-а, к.н.з.у.: 61:20:0080101:1442</t>
  </si>
  <si>
    <t>Установка прибора коммерческого учета электрической энергии (мощности) в точке поставки для присоединения нежилого помещения ООО «Альянс», расположенного по адресу: Ростовская область, Мартыновский район, х. Кривой Лиман, ул. Набережная, д. 52, кадастровый номер объекта: 61:20:0080401:1215, к.н.з.у. 61:20:0080401:2209</t>
  </si>
  <si>
    <t>Установка прибора коммерческого учета электрической энергии (мощности) в точке поставки для присоединения жилого дома Дадонова П.И., расположенного по адресу: Ростовская область, Дубовский район, х. Овчинников, ул. Весенняя, д. 3, к.н.з.у.: 61:09:030201:0337</t>
  </si>
  <si>
    <t>Строительство участка ВЛ-10 кВ от опоры №2/9 ВЛ-10 кВ №2 ПС 110 кВ Богородская,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базовой станции/оборудования сотовой связи ООО «Вымпел-Коммуникации», расположенной по адресу: Ростовская область, Ремонтненский район, Калининское сельское поселение, на северо-восток от села Богородское, к.н.з.у.: 61:32:0600009:4067 (ориентировочная протяженность ЛЭП 0,026 км, ориентировочная мощность трансформатора 0,025 МВА)</t>
  </si>
  <si>
    <t>Установка прибора коммерческого учета электрической энергии (мощности) в точке поставки для присоединения жилого дома Кондратьева В.С., расположенного по адресу: Ростовская область, Цимлянский район, станица Лозновская, ул. Ильменьская, д. 11Б, к.н.з.у.: 61:41:0040204:546</t>
  </si>
  <si>
    <t>Установка прибора коммерческого учета электрической энергии (мощности) в точке поставки для присоединения квартиры Мороза Е.В., расположенной по адресу: Ростовская область, Цимлянский район, п. Саркел, ул. Комсомольская, д. 35, кв./оф. 2, к.н.з.у.: 61:41:0011104:30</t>
  </si>
  <si>
    <t>Установка прибора коммерческого учета электрической энергии (мощности) в точке поставки для присоединения жилого дома Сапрыкиной Л.Н., расположенного по адресу: Ростовская область, Цимлянский район, х. Лозной, пер. Лесной, д. 48,к.н.з.у.: 61:41:0030103:55</t>
  </si>
  <si>
    <t>Установка прибора коммерческого учета электрической энергии (мощности) в точке поставки для присоединения жилого дома Чеснокова Е.А., расположенного по адресу: Ростовская область, Цимлянский район, станица Красноярская, пер. Первомайский, д. 7, к.н.з.у.: 61:41:0020118:94</t>
  </si>
  <si>
    <t>Установка прибора коммерческого учета электрической энергии (мощности) в точке поставки для присоединения жилого помещения Педановой В.Н., расположенного по адресу: Ростовская область, Цимлянский район, станица Красноярская, ул. Набережная, д. 159А, кв./оф. 1, к.н.з.у.: 61:41:0020117:315</t>
  </si>
  <si>
    <t>Установка прибора коммерческого учета электрической энергии (мощности) в точке поставки для присоединения жилого дома Томинец О.В., расположенного по адресу: Ростовская область, Цимлянский район, станица Красноярская, ул. Спортивная, д. 2Б, строение 2, к.н.з.у.: 61:41:0020128:262</t>
  </si>
  <si>
    <t>Установка прибора коммерческого учета электрической энергии (мощности) в точке поставки для присоединения жилого дома Лазаренко В.Н., расположенного по адресу: Ростовская область, Цимлянский район, п. Дубравный, пер. Дружбы, д. 14, к.н.з.у.: 61:41:0030405:47</t>
  </si>
  <si>
    <t>Установка прибора коммерческого учета электрической энергии (мощности) в точке поставки для присоединения жилого дома Грозы Ю.И., расположенного по адресу: Ростовская область, Цимлянский район, п. Сосенки, ул. Новая, д. 10, к.н.з.у.: 61:41:0030302:56</t>
  </si>
  <si>
    <t>Установка прибора коммерческого учета электрической энергии (мощности) в точке поставки для присоединения базовой станции ПАО «Ростелеком», расположенной по адресу: Ростовская область, Цимлянский район, станица Терновская</t>
  </si>
  <si>
    <t>Установка прибора коммерческого учета электрической энергии (мощности) в точке поставки для присоединения базовой станции/оборудования сотовой связи ООО «ТехноСтройГрупп», расположенной по адресу: Ростовская область, Цимлянский район, станица Красноярская, ул. Набережная, на расстоянии 10 м на юго-восток от земельного участка с кадастровым номером 61:41:0020113:115</t>
  </si>
  <si>
    <t>Установка прибора коммерческого учета электрической энергии (мощности) в точке поставки для присоединения индивидуального жилого дома Позова Л.С., расположенного по адресу: Ростовская область, Цимлянский район, станица Красноярская, пер. Рабочий, д. 6, к.н.з.у.: 61:41:0020126:129</t>
  </si>
  <si>
    <t>Установка прибора коммерческого учета электрической энергии (мощности) в точке поставки для присоединения жилого дома Непринцева В.А., расположенного по адресу: Ростовская область, Цимлянский район, станица Калининская, ул. Вербная, д. 13, к.н.з.у.: 61:41:0060109:28</t>
  </si>
  <si>
    <t>Строительство участка ВЛИ-0,4 кВ от опоры №12 ВЛ-0,4 кВ №4 КТП-1687 ВЛ-10 кВ №5 ПС 35 кВ Лозновская и установка прибора коммерческого учета электрической энергии (мощности) в точке поставки для присоединения жилого дома Кандаурова Г.И., расположенного по адресу: Ростовская область, Цимлянский район, п. Дубравный, ул. Лесхозная,  д. 62, кадастровый номер земельного участка 61:41:0030403:46 (ориентировочная протяженность ЛЭП 0,32 км)</t>
  </si>
  <si>
    <t>Строительство участка ВЛИ-0,4 кВ от опоры №4 ВЛ-0,4 кВ №2 КТП-1349/100 кВА ВЛ-10кВ №5 ПС 110/10 кВ Искра, с установкой шкафа 0,4 кВ, и  обеспечение коммерческим учетом электрической энергии (мощности) в точке поставки по присоединению жилого дома Козловского И.А., расположенного по адресу: Ростовская область, Цимлянский район, станица Кумшацкая, ул. Набережная,  д. 53, кадастровый номер земельного участка 61:41:0050501:35 (ориентировочная протяженность ЛЭП 0,38 км)</t>
  </si>
  <si>
    <t>Строительство ВЛИ-0,4 кВ от РУ-0,4 кВ КТП-1387/250 кВА по ВЛ-10 кВ №3 ПС 35/10 кВ Лозновская, с установкой шкафа 0,4 кВ, и  обеспечение коммерческим учетом электрической энергии (мощности) в точке поставки по присоединению жилого дома Грищенко Е.С., расположенного по адресу: Ростовская область, Цимлянский район, х. Лозной, ул. Аббясева, д. 38, кадастровый номер земельного участка 61:41:0030114:28 (ориентировочная протяженность ЛЭП 0,68 км)</t>
  </si>
  <si>
    <t>Установка прибора коммерческого учета электрической энергии (мощности) в точке поставки для присоединения жилого дома Алексеева В.А., расположенного по адресу: Ростовская область, Волгодонской район, станица Романовская, ул. Жемчужная, д. 34/2, к.н.з.у.: 61:08:0070114:1023</t>
  </si>
  <si>
    <t>Установка прибора коммерческого учета электрической энергии (мощности) в точке поставки для присоединения жилого дома Баджах О.В., расположенного по адресу: Ростовская область, Волгодонской район, станица Романовская, пер. Чкаловский, д.94, к.н.з.у.: 61:08:0070125:425</t>
  </si>
  <si>
    <t>Установка прибора коммерческого учета электрической энергии (мощности) в точке поставки для присоединения жилого дома Басацкого А.В., расположенного по адресу: Ростовская область, Волгодонской район, станица Романовская, ул. Одесская, д.21, к.н.з.у.: 61:08:0600601:3847</t>
  </si>
  <si>
    <t>Установка прибора коммерческого учета электрической энергии (мощности) в точке поставки для присоединения малоэтажной жилой застройки Бессарабова С.В., расположенной по адресу: Ростовская область, г. Волгодонск, ул. Отдыха, д.39в39, к.н.з.у.: 61:48:0020101:1556</t>
  </si>
  <si>
    <t>Установка прибора коммерческого учета электрической энергии (мощности) в точке поставки для присоединения жилого дома Болдырева А.В., расположенного по адресу: Ростовская область, Волгодонской район, станица Большовская, ул. Ясина, д. 15А, к.н.з.у.: 61:08:0030202:89</t>
  </si>
  <si>
    <t>Установка прибора коммерческого учета электрической энергии (мощности) в точке поставки для присоединения дома молитвы Религиозной организации Объединения церквей евангельских христиан-Баптистов Ростовской области и республики Калмыкия, расположенного по адресу: Ростовская область, Волгодонской район, х. Рябичев, пер. Калинин, д. 1-в, к.н.з.у.: 61:08:0000000:216</t>
  </si>
  <si>
    <t>Установка прибора коммерческого учета электрической энергии (мощности) в точке поставки для присоединения жилого дома Зуфарова Р.Н., расположенного по адресу: Ростовская область, Волгодонской район, станица Романовская, пер. Ясина, д. 4а, к.н.з.у.: 61:08:0070130:755</t>
  </si>
  <si>
    <t>Установка прибора коммерческого учета электрической энергии (мощности) в точке поставки для присоединения малоэтажной жилой застройки Калугина В.В., расположенной по адресу: Ростовская область, г. Волгодонск, ул. Отдыха, д. 39в12, к.н.з.у.: 61:48:0020101:1571</t>
  </si>
  <si>
    <t>Установка прибора коммерческого учета электрической энергии (мощности) в точке поставки для присоединения жилого дома Кашенцевой Л.В., расположенного по адресу: Ростовская область, г.  Волгодонск, СНТ Машиностроитель, д. 74 др, к.н.з.у.: 61:48:0020704:532</t>
  </si>
  <si>
    <t>Установка прибора коммерческого учета электрической энергии (мощности) в точке поставки для присоединения индивидуального жилого дома Кошельниковой Е.Ю., расположенного по адресу: Ростовская обл., р-н. Волгодонской, х. Лагутники, ул. Молодежная, д. 35б, кадастровый номер земельного участка: 61:08:0070206:118</t>
  </si>
  <si>
    <t>Установка прибора коммерческого учета электрической энергии (мощности) в точке поставки для присоединения жилого дома Крымского И.А., расположенного по адресу: Ростовская область, г. Волгодонск, ул. Отдыха, д. 39в14, к.н.з.у.: 61:48:0020101:1570</t>
  </si>
  <si>
    <t>Установка прибора коммерческого учета электрической энергии (мощности) в точке поставки для присоединения жилого дома Курцина И.Ю., расположенного по адресу: Ростовская область, Волгодонской район, станица Романовская, ул. Тюхова, д. 100, к.н.з.у.: 61:08:070128:0141</t>
  </si>
  <si>
    <t>Установка прибора коммерческого учета электрической энергии (мощности) в точке поставки для присоединения квартиры Назарченко С.Ф., расположенной по адресу: Ростовская область, Волгодонской район, х. Потапов, ул. Комсомольская, д.100, кв. 1, к.н.з.у.: 61:08:0040104:108</t>
  </si>
  <si>
    <t>Установка прибора коммерческого учета электрической энергии (мощности) в точке поставки для присоединения индивидуального жилого дома Настенко И.В., расположенного по адресу: Ростовская область, Волгодонской район, станица Романовская, ул. 75 лет Победы, д. 75, к.н.з.у.: 61:08:0600601:4631</t>
  </si>
  <si>
    <t>Установка прибора коммерческого учета электрической энергии (мощности) в точке поставки для присоединения малоэтажной жилой застройки Палкина Д.В., расположенной по адресу: Ростовская область, Волгодонской район, станица Романовская, ул. Лесная, д.30, к.н.з.у.: 61:08:0070114:202</t>
  </si>
  <si>
    <t>Установка прибора коммерческого учета электрической энергии (мощности) в точке поставки для присоединения жилого дома Рожкова С.В., расположенного по адресу: Ростовская область, Волгодонской район, станица Романовская, ул. Чибисова, д.66А, к.н.з.у.: 61:08:0070123:401</t>
  </si>
  <si>
    <t>Установка прибора коммерческого учета электрической энергии (мощности) в точке поставки для присоединения жилого дома Самсанидзе С.Б., расположенного по адресу: Ростовская область, Волгодонской район, станица Романовская, ул. Шмутовой, д. 2В, к.н.з.у.: 61:08:0070130:751</t>
  </si>
  <si>
    <t>Установка прибора коммерческого учета электрической энергии (мощности) в точке поставки для присоединения индивидуального жилого дома Сарнавского В.И., расположенного по адресу: Ростовская область, Волгодонской район, станица Романовская,  ул. Береговая, д.15, к.н.з.у.: 61:08:0070104:722</t>
  </si>
  <si>
    <t>Установка прибора коммерческого учета электрической энергии (мощности) в точке поставки для присоединения садового домика Сацкого С.Е., расположенного по адресу: Ростовская область, г. Волгодонск, ул. Отдыха, д. 3, к.н.з.у.: 61:48:0020101:1286</t>
  </si>
  <si>
    <t>Установка прибора коммерческого учета электрической энергии (мощности) в точке поставки для присоединения индивидуального жилого дома Шахзадаева А.Р., расположенного по адресу: Ростовская область, Волгодонской район, п. Донской, ул. Центральная, д. 7, к.н.з.у.: 61:08:0060201:159</t>
  </si>
  <si>
    <t>Установка прибора коммерческого учета электрической энергии (мощности) в точке поставки для присоединения базовой станции ПАО «Ростелеком», расположенной по адресу: Ростовская область, Константиновский район, х. Верхнепотапов</t>
  </si>
  <si>
    <t>Установка прибора коммерческого учета электрической энергии (мощности) в точке поставки для присоединения базовой станции ПАО «Ростелеком», расположенной по адресу: Ростовская область, Константиновский район, х. Белянский</t>
  </si>
  <si>
    <t>Установка прибора коммерческого учета электрической энергии (мощности) в точке поставки для присоединения базовой станции ПАО «Ростелеком», расположенной по адресу: Ростовская область, Константиновский район, х. Ермилов</t>
  </si>
  <si>
    <t>Установка прибора коммерческого учета электрической энергии (мощности) в точке поставки для присоединения базовой станции ПАО «Ростелеком», расположенной по адресу: Ростовская область, Константиновский район, х. Крюков</t>
  </si>
  <si>
    <t>Установка прибора коммерческого учета электрической энергии (мощности) в точке поставки для присоединения жилого дома Мостового С.В., расположенного по адресу: Ростовская область, Константиновский район, станица Богоявленская, ул. Парковая, д. 17, к.н.з.у.: 61:17:0030101:694</t>
  </si>
  <si>
    <t>Установка прибора коммерческого учета электрической энергии (мощности) в точке поставки для присоединения зерносклада ИП главы К(Ф)Х Морозова А.В., расположенного по адресу: Ростовская область, Константиновский район, в 300 м южнее х. Кременской, к.н.з.у.: 61:17:0600002:1877</t>
  </si>
  <si>
    <t>Установка прибора коммерческого учета электрической энергии (мощности) в точке поставки для присоединения жилого дома Спинко А.Е., расположенного по адресу: Ростовская область, Константиновский район, станица Николаевская, ул. Ленина, д. 12, к.н.з.у.: 61:17:0050101:2058»</t>
  </si>
  <si>
    <t>Установка прибора коммерческого учета электрической энергии (мощности) в точке поставки для присоединения квартиры Лисициной Т.Н., расположенной по адресу: Ростовская область, Константиновский район, станица Богоявленская, ул. Парковая, д. 5, к.н.з.у.: 61:17:0030101:1324</t>
  </si>
  <si>
    <t>Установка прибора коммерческого учета электрической энергии (мощности) в точке поставки для присоединения жилого дома Афанасьевой Т.Е., расположенного по адресу: Ростовская область, Константиновский район, станица Николаевская, ул. Гагарина, д. 67, к.н.з.у.: 61:17:0050101:1506</t>
  </si>
  <si>
    <t>Установка прибора коммерческого учета электрической энергии (мощности) в точке поставки для присоединения жилого дома Стародубцевой А.Н., расположенного по адресу: Ростовская область, Константиновский район, х. Ведерников, ул. Октябрьская, д. 22, к.н.з.у.: 61:17:0010502:1</t>
  </si>
  <si>
    <t>Установка прибора коммерческого учета электрической энергии (мощности) в точке поставки для присоединения жилого дома Роскошного А.В., расположенного по адресу: Ростовская область, Константиновский район, станица Мариинская, ул. Набережная, д. 33-а, к.н.з.у.: 61:17:0050301:455</t>
  </si>
  <si>
    <t>Установка прибора коммерческого учета электрической энергии (мощности) в точке поставки для присоединения жилого дома Мерзуна И.С., расположенного по адресу: Ростовская область, Константиновский район, станица Николаевская, ул. 9 Января, д. 11, к.н.з.у.: 61:17:0050101:6893</t>
  </si>
  <si>
    <t xml:space="preserve">Установка прибора коммерческого учета электрической энергии (мощности) в точке поставки для присоединения нежилого здания Ждановой Т.С., расположенного по адресу: Ростовская область, Зимовниковский район, п. Зимовники, ул. Магистральная, д. 65А, к.н. 61:13:0010125:114 </t>
  </si>
  <si>
    <t>Установка прибора коммерческого учета электрической энергии (мощности) в точке поставки для присоединения квартиры Даибовой А.Х., расположенной по адресу: Ростовская область, Зимовниковский район, х. Хуторской, ул. Рабочая, д. 30, кв. 2, к.н.з.у.: 61:13:0060106:319</t>
  </si>
  <si>
    <t>Обеспечение коммерческим учетом электрической энергии (мощности) в точке поставки и установка шкафа 0,4 кВ по присоединению базы ИП Брылева А.С., расположенной по адресу: Ростовская область, Зимовниковский район, Савоськинское сельское поселение, вблизи х. Савоськин, кадастровый номер земельного участка 61:13:0600017:1423</t>
  </si>
  <si>
    <t>Установка прибора коммерческого учета электрической энергии (мощности) в точке поставки для присоединения жилого дома Салпиева Х.К., расположенного по адресу: Ростовская область, Зимовниковский район, х. Петухов, ул. Еременко, д. 33, к.н.з.у.: 61:13:020601:0013</t>
  </si>
  <si>
    <t>Установка  коммерческого учета электрической энергии (мощности) в точке поставки и установка шкафа 0,4 кВ по присоединению жилого дома Ржевского И.И., расположенного по адресу: Ростовская область, Зимовниковский район, станица Кутейниковская, ул. Восточная, д. 2А, кадастровый номер земельного участка 61:13:070101:0100</t>
  </si>
  <si>
    <t>Обеспечение коммерческим учетом электрической энергии (мощности) в точке поставки и установка шкафа 0,4 кВ по присоединению здания магазина Разаковой П.А., расположенного по адресу: Ростовская область, Зимовниковский район, х. Глубокий, ул. Южная, д. 8А, кадастровый номер земельного участка: 61:13:0040403:61</t>
  </si>
  <si>
    <t>Установка  коммерческого учета электрической энергии (мощности) в точке поставки и установка шкафа 0,4 кВ по присоединению квартиры Воронцовой Г.А., расположенной по адресу: Ростовская область, Зимовниковский район, х. Хуторской, ул. Спортивная, д. 5, кв. 2, кадастровый номер земельного участка 61:13:0060103:20</t>
  </si>
  <si>
    <t>Установка прибора коммерческого учета электрической энергии (мощности) в точке поставки для присоединения квартиры Городничего А.Е., расположенной по адресу: Ростовская область, Зимовниковский район, х. Хуторской, ул. Магистральная, д. 1, кв. 1, к.н.з.у.: 61:13:0060106:76</t>
  </si>
  <si>
    <t>Установка прибора коммерческого учета электрической энергии (мощности) в точке поставки для присоединения нежилого здания ИП главы К(Ф)Х Ромашенко А.В., расположенного по адресу: Ростовская область, Мартыновский район, х. Комаров, участок находится примерно в 1,3 км по направлению на юг от ориентира х. Комаров, кадастровый номер земельного участка: 61:20:0600014:917</t>
  </si>
  <si>
    <t>Установка прибора коммерческого учета электрической энергии (мощности) в точке поставки для присоединения здания Кузьмич Е.В., расположенного по адресу: Ростовская область, Мартыновский район, станица Большая Орловка, ул. Базарная, д. 2-а, к.н.з.у.: 61:20:0020101:13037</t>
  </si>
  <si>
    <t>Установка прибора коммерческого учета электрической энергии (мощности) в точке поставки для присоединения жилого дома Абдулкеримовой Р.С., расположенной по адресу:Ростовская обл., Дубовский район, станица Андреевская, ул. Восточная,  д. 47, к.н.з.у.: 61:09:0600011:186</t>
  </si>
  <si>
    <t>Установка прибора коммерческого учета электрической энергии (мощности) в точке поставки для присоединения жилого дома Кузнецова А.В., расположенного по адресу: Ростовская область, Дубовский район, х. Присальский, ул. Молодежная д. 9, к.н.з.у.: 61:09:070101:0200</t>
  </si>
  <si>
    <t>Установка прибора коммерческого учета электрической энергии (мощности) в точке поставки для присоединения квартиры Павловой Г.П., расположенной по адресу: Ростовская обл., р-н. Дубовский, х. Овчинников, ул. Зеленая, д. 5/1, к.н.о.: 61:09:030201:0000:886</t>
  </si>
  <si>
    <t>Установка прибора коммерческого учета электрической энергии (мощности) в точке поставки для присоединения квартиры Маркова В.И., расположенной по адресу: Ростовская область, Дубовский район, х. Присальский, ул. Молодежная,  д. 6,  кв. 2, к.н.з.у.: 61:09:0070101:2044</t>
  </si>
  <si>
    <t>Установка прибора коммерческого учета электрической энергии (мощности) в точке поставки для присоединения жилого дома Ядрец А.Н., расположенного по адресу: Ростовская область, Ремонтненский район, с. Подгорное, ул. Пушкинская, д. 34, к.н.о.: 61:32:0090101:1551, к.н.з.у.: 61:32:0090101:327</t>
  </si>
  <si>
    <t>Установка прибора коммерческого учета электрической энергии (мощности) в точке поставки для присоединения квартиры Филькина А.С., расположенной по адресу: Ростовская область, Ремонтненский район, х. Раздольный, ул. Центральная, д. 13, кв.1, к.н.з.у.: 61:32:0050201:51</t>
  </si>
  <si>
    <t>Установка прибора коммерческого учета электрической энергии (мощности) в точке поставки для присоединения квартиры Магомедгаджиева М.М., расположенной по адресу: Ростовская область, Ремонтненский район, п. Новопривольный, ул. Лермонтова, д. 16, кв. 1, к.н.о. 61:32:0100201:904, к.н.з.у.: 61:32:0100201:76</t>
  </si>
  <si>
    <t>Установка прибора коммерческого учета электрической энергии (мощности) в точке поставки для присоединения жилого дома Савченко Д.А., расположенного по адресу: Ростовская область, Ремонтненский район, с. Киевка, ул. Ленинская, д. 25, к.н.о.: 61:32:0050101:1241, к.н.з.у.: 61:32:0050101:175</t>
  </si>
  <si>
    <t>Установка прибора коммерческого учета электрической энергии (мощности) в точке поставки для присоединения жилого дома Пшеничного А.В., расположенного по адресу: Ростовская область, Ремонтненский район, с. Подгорное, ул. Набережная, д. 17, к.н.о.: 61:32:0090101:233:19, к.н.з.у.: 61:32:0090101:233</t>
  </si>
  <si>
    <t>Установка прибора коммерческого учёта электрической энергии (мощности) в точке поставки для присоединения квартиры Лемешко В.А., расположенного по адресу:Ростовская область,Ремонтненский район, х.Раздольный,ул.Центральная,д.15, кв.2; к.з.н.у.:61:32:0050201:127</t>
  </si>
  <si>
    <t>Установка прибора коммерческого учёта электрической энергии (мощности) в точке поставки для присоединения нежилого помещения АО "Почта России", расположенного по адресу:Ростовская область,Ремонтненский район, с.Подгорное,ул.Советская,д.48, к.з.н.у.:61:32:0090101:1494:</t>
  </si>
  <si>
    <t>Установка прибора коммерческого учета электрической энергии (мощности) в точке поставки для присоединения жилого дома Рарова В.В., расположенного по адресу: Ростовская область, Ремонтненский район, с. Подгорное, ул. Набережная, д. 13А, к.н.о.: 61:32:0090101:1539, к.н.з.у.: 61:32:0090101:235</t>
  </si>
  <si>
    <t>Установка прибора коммерческого учета электрической энергии (мощности) в точке поставки для присоединения квартиры Орловского В.М., расположенной по адресу: Ростовская область, Ремонтненский район, с. Подгорное, ул. Молодежная, д. 7, кв. 1, к.н.о.: 61:32:0090101:0:9/2, к.н.з.у.: 61:32:0090101:201</t>
  </si>
  <si>
    <t>Установка прибора коммерческого учета электрической энергии (мощности) в точке поставки для присоединения жилого дома Абрамцева Ф.Ф., расположенного по адресу: Ростовская область, Ремонтненский район, с. Подгорное, ул. Пушкинская, д. 23, к.н.о.: 61:32:127:1:319:93:А, к.н.з.у.: 61:32:127:1:319</t>
  </si>
  <si>
    <t>Установка прибора коммерческого учета электрической энергии (мощности) в точке поставки для присоединения жилого дома Абрамцевой Л.И., расположенного по адресу: Ростовская область, Ремонтненский район, с. Подгорное, ул. Пушкинская, д. 16, к.н.о.: 61:32:0090101:1533, к.н.з.у.: 61:32:0090101:335</t>
  </si>
  <si>
    <t>Установка прибора коммерческого учета электрической энергии (мощности) в точке поставки для присоединения жилого дома Орловского А.В., расположенного по адресу: Ростовская область, Ремонтненский район, с. Подгорное, ул. Ленина, д. 48, к.н.о.: 61:32:0090101:777, к.н.з.у.: 61:32:0090101:51</t>
  </si>
  <si>
    <t>Установка прибора коммерческого учета электрической энергии (мощности) в точке поставки для присоединения жилого дома Коскина И.А., расположенного по адресу: Ростовская область, Ремонтненский район, с. Первомайское, ул. Октябрьская, д. 10, к.н.з.о.: 61:32:124:2:350:135А, к.н.з.у.: 61:32:124:2:350</t>
  </si>
  <si>
    <t>Установка прибора коммерческого учета электрической энергии (мощности) в точке поставки для присоединения жилого дома Косенко А.Н., расположенного по адресу: Ростовская область, Ремонтненский район, с. Первомайское, ул. Богданова, д. 45, к.н.о.: 61:32:0080102:1983, к.н.з.у.: 61:32:0080102:29</t>
  </si>
  <si>
    <t>Установка прибора коммерческого учета электрической энергии (мощности) в точке поставки для присоединения жилого дома Инбулаева А.В., расположенного по адресу: Ростовская область, Ремонтненский район, с. Подгорное, ул. Южная, д. 27, к.н.о.: 61:32:0090101:1036, к.н.з.у.: 61:32:0090101:374</t>
  </si>
  <si>
    <t>Установка прибора коммерческого учета электрической энергии (мощности) в точке поставки для присоединения жилого дома Москалёва П.С., расположенного по адресу: Ростовская область, Ремонтненский район, с. Подгорное, ул. Комсомольская, д. 28, к.н.о.: 61:32:0090101:1531, к.н.з.у.: 61:32:0090101:99</t>
  </si>
  <si>
    <t>Установка прибора коммерческого учета электрической энергии (мощности) в точке поставки для присоединения жилого дома Ищенко В.А., расположенного по адресу: Ростовская область,  Цимлянский район, х. Рынок-Каргальский, ул. Полевая, д. 15, к.н.з.у.: 61:41:0040401:11</t>
  </si>
  <si>
    <t>Установка прибора коммерческого учета электрической энергии (мощности) в точке поставки для присоединения жилого дома Потехиной Г.К., расположенного по адресу: Ростовская область, Цимлянский район, х. Рынок-Каргальский, ул. Полевая, д. 6, к.н.з.у.: 61:41:0040401:7</t>
  </si>
  <si>
    <t>Установка прибора коммерческого учета электрической энергии (мощности) в точке поставки для присоединения малоэтажной жилой застройки (индивидуального жилого дома/садового/дачного дома) Следневой О.О., расположенной по адресу: Ростовская область, Цимлянский район, станица Красноярская, ул. 60 лет Октября, д. 2Г, к.н.з.у.: 61:41:0020128:541</t>
  </si>
  <si>
    <t>Установка прибора коммерческого учета электрической энергии (мощности) в точке поставки для присоединения малоэтажной жилой застройки (индивидуального жилого дома/садового/дачного дома) Следневой О.О., расположенной по адресу: Ростовская область, Цимлянский район, станица Красноярская, ул. 60 лет Октября, д. 2В, к.н.з.у.: 61:41:0020128:540</t>
  </si>
  <si>
    <t>Установка прибора коммерческого учета электрической энергии (мощности) в точке поставки для присоединения малоэтажной жилой застройки (индивидуального жилого дома/садового/дачного дома) Следневой О.О., расположенного по адресу: Ростовская область, Цимлянский район, х. Лозной, ул. Абрикосовая, д. 2Б, к.н.з.у.: 61:41:0600011:2013</t>
  </si>
  <si>
    <t>Установка прибора коммерческого учета электрической энергии (мощности) в точке поставки для присоединения жилого дома Маркиной Н.А., расположенного по адресу: Ростовская область, Цимлянский район, станица Калининская, ул. Вербная, д. 23в, к.н.з.у.: 61:41:0060109:364"</t>
  </si>
  <si>
    <t>Установка прибора коммерческого учета электрической энергии (мощности) в точке поставки для присоединения малоэтажной жилой застройки (индивидуального жилого дома/садового/дачного дома) Величко Н.И., расположенной по адресу: Ростовская область, Цимлянский район, станица Калининская, ул. Центральная, д. 71, к.н.о.н.: 61:41:0060103:53:177"</t>
  </si>
  <si>
    <t>Установка прибора коммерческого учета электрической энергии (мощности) в точке поставки для присоединения жилого дома Матвеева Ю.Н., расположенного по адресу: Ростовская область, Цимлянский район, станица Красноярская, ул. Победы, д.4, кадастровый номер объекта: 61:41:0020101:4</t>
  </si>
  <si>
    <t>Установка прибора коммерческого учета электрической энергии (мощности) в точке поставки для присоединения склада ИП главы К(Ф)Х Магомедшарипова М.М., расположенного по адресу: Ростовская область, Заветинский район, с. Тюльпаны, ул. Магистральная, д. 22, к.н.о.: 61:11:0600012:551</t>
  </si>
  <si>
    <t>Установка прибора коммерческого учета электрической энергии (мощности) в точке поставки для присоединения административного здания ИП главы К(Ф)Х Аникеева В.А., расположенного по адресу: Ростовская область, Заветинский район, х. Крылов, ул. Степная, д. 3а, к.н.о.: 61:11:0090201:294</t>
  </si>
  <si>
    <t>Установка прибора коммерческого учета электрической энергии (мощности) в точке поставки для присоединения зернохранилища СПК «Родина», расположенного по адресу: Ростовская область, Заветинский район, с. Заветное, ул. Социалистическая, д. 23-а, к.н.з.у.: 61:11:0010101:10047</t>
  </si>
  <si>
    <t>Установка прибора коммерческого учета электрической энергии (мощности) в точке поставки для присоединения артезианской скважины Администрации Заветинского района Ростовской области, расположенной по адресу: Ростовская область, Заветинский район, х. Савдя,  ул. Буденновская, д. 52-а, к.н.з.у. 61:11:0600011:1332</t>
  </si>
  <si>
    <t>Установка приборов коммерческого учета электрической энергии (мощности) в точках поставки для присоединения жилого дома Дадаевой Х.Х., расположенного по адресу: Ростовская область, Заветинский район, с. Кичкино, ул. Речная, д. 16, к.н.о.: 61:11:0030101:1357</t>
  </si>
  <si>
    <t>Установка прибора коммерческого учета электрической энергии (мощности) в точке поставки для присоединения квартиры Лисицкого Ю.В., расположенной по адресу: Ростовская область, Заветинский район, х. Фомин, ул. Быкадорова, д. 11, кв. 1, к.н.з.у.: 61:11:080101:0770</t>
  </si>
  <si>
    <t>Установка приборов коммерческого учета электрической энергии (мощности) в точках поставки для присоединения квартиры Ивахненко Л.Г., расположенной по адресу: Ростовская область, Заветинский район, с. Тюльпаны, ул. Магистральная, д. 6, кв. 2, к.н.з.у.: 61:61:14/017/2009:320</t>
  </si>
  <si>
    <t>Установка прибора коммерческого учета электрической энергии (мощности) в точке поставки для присоединения индивидуального жилого дома Щебелева С.Н., расположенного по адресу: Ростовская область, Волгодонской район, станица Романовская, ул. 75 лет Победы, д. 38, к.н.з.у.: 61:08:0600601:4595</t>
  </si>
  <si>
    <t>Установка прибора коммерческого учета электрической энергии (мощности) в точке поставки для присоединения садового дома Малышевой Л.А., расположенного по адресу: Ростовская область, г. Волгодонск, ул. Отдыха, д. 3, к.н.з.у.: 61:48:0020101:1275</t>
  </si>
  <si>
    <t>Установка прибора коммерческого учета электрической энергии (мощности) в точке поставки для присоединения малоэтажной жилой застройки (индивидуального жилого дома/садового/дачного дома) Петрова М.А., расположенной по адресу: Ростовская область, г. Волгодонск, СНТ «Машиностроитель», д. 517 ндр, к.н.з.у.: 61:48:0020702:422</t>
  </si>
  <si>
    <t>Установка прибора коммерческого учета электрической энергии (мощности) в точке поставки для присоединения малоэтажной жилой застройки Стремедловской А.В., расположенной по адресу: Ростовская область, г. Волгодонск, СНТ Машиностроитель, №521 ндр, к.н.з.у.: 61:48:0020702:426</t>
  </si>
  <si>
    <t>Установка  коммерческого учета электрической энергии (мощности) в точке поставки и установка шкафа 0,4 кВ по присоединению жилого дома Чабанова Ю.А., расположенного по адресу: Ростовская область, Волгодонской район, х. Погожев, ул. Школьная, д. 2и, кадастровый номер объекта 61:08:0070401:209:402</t>
  </si>
  <si>
    <t>Установка прибора коммерческого учета электрической энергии (мощности) в точке поставки для присоединения индивидуального жилого дома Сотниковой В.П., расположенного по адресу: Ростовская область, Волгодонской район, станица Романовская, ул. 75 лет Победы, д.33, к.н.з.у.: 61:08:0600601:4590</t>
  </si>
  <si>
    <t>Установка прибора коммерческого учета электрической энергии (мощности) в точке поставки для присоединения объектов наружного освещения ИП Усова А.А., расположенных по адресу: Ростовская область, г. Волгодонск, ул. Отдыха, к.н.з.у.: 61:48:0020101:1542</t>
  </si>
  <si>
    <t>Установка прибора коммерческого учета электрической энергии (мощности) в точке поставки для присоединения индивидуального жилого дома Меркулова Д.С., расположенного по адресу: Ростовская область, Волгодонской район, станица Романовская, ул. 75 лет Победы, д. 41, к.н.з.у.: 61:08:0600601:4598</t>
  </si>
  <si>
    <t>Установка прибора коммерческого учета электрической энергии (мощности) в точке поставки для присоединения здания спального домика АО «Почта России», расположенного по адресу: Ростовская область, г. Волгодонск, ул. Отдыха, д. 1, к.н.з.у.: 61:48:0020101:1</t>
  </si>
  <si>
    <t>Установка прибора коммерческого учета электрической энергии (мощности) в точке поставки для присоединения здание физической культуры и спорта Родник, расположенного по адресу: Ростовская обл., Волгодонской р-н, х.Морозов, пер.Почтовый, д.19а., к.н.з.у.: 61:08:0020203:558</t>
  </si>
  <si>
    <t>Установка прибора коммерческого учета электрической энергии (мощности) в точке поставки для присоединения дачного дома Мацнева В.С., расположенного по адресу: Ростовская область, г. Волгодонск, ул. Отдыха, д. 39в6, к.н.з.у.: 61:48:0020101:1527</t>
  </si>
  <si>
    <t>Установка прибора коммерческого учета электрической энергии (мощности) в точке поставки для присоединения квартиры Решетняк В.И., расположенной по адресу: Ростовская область, Волгодонской район, х. Семенкин, ул. Центральная, д. 12, кв. 1, к.н.з.у.: 61:08:0070502:5</t>
  </si>
  <si>
    <t>Установка прибора коммерческого учета электрической энергии (мощности) в точке поставки для присоединения индивидуального жилого дома Видановой Е.В., расположенного по адресу: Ростовская область, Волгодонской район, станица Романовская, ул. 75 лет Победы, д. 40, к.н.з.у.: 61:08:0600601:4597</t>
  </si>
  <si>
    <t>Установка прибора коммерческого учета электрической энергии (мощности) в точке поставки для присоединения индивидуального жилого дома Колесникова А.А., расположенного по адресу: Ростовская область, Волгодонской район, станица Романовская, ул. 75 лет Победы, д. 44, к.н.з.у.: 61:08:0600601:4601</t>
  </si>
  <si>
    <t>Установка прибора коммерческого учета электрической энергии (мощности) в точке поставки для присоединения производственного здания ИП Буренок В.А., расположенного по адресу: Ростовская область, г. Волгодонск, ул. Промышленная, д. 3, к.н.з.у.: 61:48:0080104:35</t>
  </si>
  <si>
    <t>Установка прибора коммерческого учета электрической энергии (мощности) в точке поставки для присоединения малоэтажной жилой застройки Апанасенко А.В., расположенной по адресу: Ростовская область, Волгодонской район, станица Романовская, ул. Язева, д. 19, к.н.з.у.: 61:08:0600601:3830</t>
  </si>
  <si>
    <t>Установка прибора коммерческого учета электрической энергии (мощности) в точке поставки для присоединения склада и подвала ООО «Надежда»., расположенных по адресу: Ростовская область, Константиновский район, х. Упраздно-Кагальницкий, ул. Солнечная, д. 5, к.н.з.у.: 61:17:0030401:436 и д. 5-а, к.н.з.у.: 61:17:0030401:437</t>
  </si>
  <si>
    <t>Установка прибора коммерческого учета электрической энергии (мощности) в точке поставки для присоединения здания телятника-профилактория ИП главы К(Ф)Х Забуруннова В.П., расположенного по адресу: Ростовская область, Константиновский район, х. Кременской, 230 м юго-восточнее х. Кременской, к.н.з.у.: 61:17:0600002:1874</t>
  </si>
  <si>
    <t>Установка прибора коммерческого учета электрической энергии (мощности) в точке поставки для присоединения нежилого помещения АО "Почта России", расположенного по адресу: 347470, Ростовская область, Зимовниковский район, ст-ца Кутейниковская, ул. Школьная, д. 30, комнаты 21,22</t>
  </si>
  <si>
    <t>Установка прибора коммерческого учета электрической энергии (мощности) в точке поставки для присоединения базы ИП Романовской Т.Ю., расположенной по адресу: Ростовская область, Зимовниковский район, 100 метров на восток от сл. Верхнесеребряковка, к.н.з.у.: 61:13:0600001:2628</t>
  </si>
  <si>
    <t>Установка прибора коммерческого учета электрической энергии (мощности) в точке поставки для присоединения автомобильной мойки ИП Умарова Э.Т., расположенной по адресу: Ростовская область, Зимовниковский район, х. Гашун, ул. Магистральная, д. 1Б, к.н.з.у.: 61:13:000000:9527</t>
  </si>
  <si>
    <t>Установка прибора коммерческого учета электрической энергии (мощности) в точке поставки для присоединения квартиры Медной Н.А., расположенной по адресу: Ростовская область, Зимовниковский район, х. Савоськин, ул. Кирова, д. 47, кв. 2, к.н.з.у.: 61:13:110106:0042</t>
  </si>
  <si>
    <t>Установка прибора коммерческого учета электрической энергии (мощности) в точке поставки для присоединения жилого дома Сакаевой А.А., расположенного по адресу: Ростовская область, Зимовниковский район, х. Грушевка, ул. Центральная, д. 45, к.н.з.у.: 61:13:0000000:9232</t>
  </si>
  <si>
    <t>Установка прибора коммерческого учета электрической энергии (мощности) в точке поставки и монтаж ответвления от ВЛ к вводу для присоединения рыбцеха ИП Нагибина С.П., расположенного по адресу: Ростовская область, Дубовский район, станица Жуковская, ул. Молодежная, д. 2а, к.н.з.у.: 61:09:0030101:2582</t>
  </si>
  <si>
    <t>Установка приборов коммерческого учета электрической энергии (мощности) в точках поставки для присоединения жилого дома Биннатова С.А.о., расположенного по адресу: Ростовская область, Дубовский район, станица Жуковская, ул. Степная, д. 4, к.н.з.у.: 61:09:140092008:194</t>
  </si>
  <si>
    <t>Реконструкция участка ВЛИ-0,4 кВ от опоры №1/3 до опоры №1/9 ВЛ-0,4 кВ №1 КТП-3458 ВЛ-10 кВ №2  ПС 35 кВ Комиссаровская и установка прибора коммерческого учета электрической энергии (мощности) в точке поставки для присоединения жилого помещения Ульяновой Т.Г., расположенного по адресу: Ростовская область, Дубовский район, х. Сиротский, ул. Молодежная, д. 28, кв. 1, к.н.з.у. 61:09:0090101:1813 (ориентировочная протяженность ЛЭП 0,21 км)</t>
  </si>
  <si>
    <t xml:space="preserve">Строительство ВЛИ-0,4кВ от РУ-0,4кВ КТП-3074/63кВА ВЛ-10кВ №19 ПС 110/35/10кВ Дубовская, с установкой шкафа 0,4кВ, и обеспечение коммерческим учетом электрической энергии (мощности) в точке поставки по присоединению жилого помещения КФХ Багамаева И.О., расположенного по адресу: Ростовская область, Дубовский район, х. Новогашунский, установлено относительно ориентира в границах КК 60 00 09 Веселовского сельского поселения, 7,5км на восток от х. Новогашунский, расположенного в границах участка, кадастровый номер земельного участка: 61:09:060009:92 (ориентировочная протяженность ЛЭП 0,42км) </t>
  </si>
  <si>
    <t>Строительство участка ВЛ-10 кВ от опоры №9/4 ВЛ-10 кВ №9 ПС 35 кВ Железнодорожная,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нежилого помещения ИП Гребенкина К.Ю., расположенного по адресу: Ростовская область, Дубовский район, с. Дубовское, ул. Первомайская, д. 1а, к.н.з.у. 61:09:0110847:70 (ориентировочная протяженность ЛЭП 0,02 км, ориентировочная мощность трансформатора 25 кВА)</t>
  </si>
  <si>
    <t>Строительство участка ВЛИ-0,4 кВ от опоры №1 ВЛ 0,4 кВ №1 КТП 3419 ВЛ 10 кВ №24 ПС 110 кВ Жуковская и установка прибора коммерческого учета электрической энергии (мощности) в точке поставки для присоединения объекта сельскохозяйственного производства ООО «Дары Дона», расположенного по адресу: Ростовская область, Дубовский район, Жуковское сельское поселение, в границах кадастрового квартала 61:09:0600002, к.н.з.у. 61:09:0600002:1670 (ориентировочная протяженность ЛЭП 0,12 км)</t>
  </si>
  <si>
    <t>Строительство участка ВЛ-10 кВ от опоры №114 ВЛ-10 кВ №3 ПС 110 кВ Дубовская,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нежилого помещения ИП Костенко А.И., расположенного по адресу: Ростовская область, Дубовский район, х. Романов, Романовское сельское поселение в границах кадастрового квартала 61:09:0600005, к.н.з.у. 61:09:0600005:1634 (ориентировочная протяженность ЛЭП 0,05 км, ориентировочная мощность трансформатора 25 кВА)</t>
  </si>
  <si>
    <t>Строительство участка ВЛ-10 кВ от опоры №116 ВЛ 10 кВ №20 ПС 110 кВ ВдПТФ,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объекта крестьянского (фермерского) хозяйства ИП Лавреновой О.А., расположенного по адресу: Ростовская область, Дубовский район, к.н.з.у.: 61:09:0600004:1729 (ориентировочная протяженность ЛЭП 0,025 км, ориентировочная мощность трансформатора 0,16 МВА)</t>
  </si>
  <si>
    <t>Строительство участка ВЛ-10 кВ от опоры №7/12 ВЛ-10 кВ №7 ПС 110/10 кВ Вербовая, с установкой ТП-10/0,4 кВ, и строительство ВЛИ-0,4 кВ от РУ-0,4 кВ вновь установленной ТП-10/0,4 кВ, с установкой прибора коммерческого учета электрической энергии (мощности) в точке поставки и шкафа 0,4 кВ, для присоединения кошары ИП главы К(Ф)Х Рамазанова М.И., расположенной по адресу: Ростовская область, Дубовский район, х. Вербовый Лог, в 4,0 км на юго-запад от х. Вербовый Лог, контур №303, к.н.з.у. 61:09:0600003:599 (ориентировочная протяженность ЛЭП 0,06 км, ориентировочная мощность трансформатора 25 кВА)</t>
  </si>
  <si>
    <t>Установка прибора коммерческого учета электрической энергии (мощности) в точке поставки для присоединения ПТО бригады 1 ИП главы К(Ф)Х Нетребина В.Ю., расположенного по адресу: Ростовская область, Ремонтненский район, п. Привольный, ул. Тюльпанная, д. 19, к.н.о.: 61:32:0600001:4327, к.н.з.у.: 61:32:0600001:4405</t>
  </si>
  <si>
    <t>Установка прибора коммерческого учета электрической энергии (мощности) в точке поставки для присоединения городской среды Администрации Кичкинского сельского поселения, расположенной по адресу: Ростовская область, Заветинский район, с. Кичкино, ул. Школьная, д. 12-б, к.н.з.у.: 61:11:0030101:1799</t>
  </si>
  <si>
    <t>Установка прибора коммерческого учета электрической энергии (мощности) в точке поставки для присоединения жилого дома Яндаровой З.А., расположенного по адресу: Ростовская обл., р-н. Заветинский, х. Фомин, ул. Школьная, д. 99, кадастровый номер объекта 61:11:0080101:1363</t>
  </si>
  <si>
    <t>Установка прибора коммерческого учета электрической энергии (мощности) в точке поставки для присоединения малоэтажной жилой застройки Шукалюк Е.В., расположенной по адресу: Ростовская область, г. Волгодонск, СНТ «Машиностроитель» улица 6-я линия участок 49А, к.н.з.у.: 61:48:0020704:501</t>
  </si>
  <si>
    <t>Строительство участка ВЛИ-0,4 кВ от опоры №1/7 ВЛИ-0,4 кВ №2 КТП 8530 ВЛ 6 кВ №14 ПС 35 кВ Романовская и установка прибора коммерческого учета электрической энергии (мощности) в точке поставки для присоединения жилого дома Шумилова А.В., расположенного по адресу: Ростовская область, Волгодонской район, станица Романовская, ул. Забазновой, д. 8, к.н.з.у. 61:08:0070112:449 (ориентировочная протяженность ЛЭП 0,035 км)</t>
  </si>
  <si>
    <t>Строительство участка ВЛИ-0,4 кВ от опоры №11 ВЛ 0,4 кВ №1 КТП 8163 ВЛ 10 кВ №9 ПС 35 кВ Донская и установка прибора коммерческого учета электрической энергии (мощности) в точке поставки для присоединения малоэтажной жилой застройки Хан А.К., расположенной по адресу: Ростовская область, Волгодонской район, п. Мичуринский, ул. Молодежная, д. 4а, к.н.з.у. 61:08:0601101:462 (ориентировочная протяженность ЛЭП 0,025 км)</t>
  </si>
  <si>
    <t>Строительство участка ВЛИ-0,4 кВ от опоры №1/5 ВЛ-0,4 кВ №3 КТП-8452/250 кВА ВЛ-6 кВ №1 ПС 35/6 кВ Романовская, с установкой шкафа 0,4 кВ, и  обеспечение коммерческим учетом электрической энергии (мощности) в точке поставки по присоединению блокированного жилого дома Тамилина К.Ф., расположенного по адресу: Ростовская область, Волгодонской район, х. Погожев, ул. Гладкова, д. 37, кадастровый номер земельного участка 61:08:0600601:4707 (ориентировочная протяженность ЛЭП 0,13 км)</t>
  </si>
  <si>
    <t>Строительство участка ВЛИ-0,4 кВ от вновь установленной опоры вновь построенного участка ВЛИ-0,4 кВ от опоры №2 ВЛ-0,4 кВ №1 КТП-8576/250 кВА ВЛ-6 кВ №6 ПС 35/6 КВ Потаповская (по договору ТП №61-1-19-00487433 от 10.12.2019г), с установкой шкафа 0,4 кВ, и обеспечение коммерческим учетом электрической энергии (мощности) в точке поставки по присоеддинению жилого дома Меркуловой Т.В., расположенного по адресу: Ростовская область, Волгодонской район, х. Степной, ул. Комсомольская, д.1, кадастровый номер земельного участка 61:08:0040702:524 (ориентировочная протяженность ЛЭП 0,09 км)</t>
  </si>
  <si>
    <t>Строительство участка ВЛИ-0,4 кВ от опоры №1/28 ВЛИ-0,4 кВ №2 КТП-8461 ВЛ 6 кВ №11 ПС 35 Шлюзовая и установка прибора коммерческого учета электрической энергии (мощности) в точке поставки для присоединения блока 2 Малкина С.А., расположенного по адресу: Ростовская область, Волгодонской район, х. Парамонов, ул. Березовая, д. 11, к.н.з.у. 61:08:0600601:5197 (ориентировочная протяженность ЛЭП 0,03 км)</t>
  </si>
  <si>
    <t xml:space="preserve">Строительство участка ВЛИ-0,4 кВ от опоры №1/14 ВЛ 0,4 кВ №1 КТП-8560/100 кВА ВЛ-6 кВ №1 ПС 35/10 кВ НС-12, с установкой шкафа 0,4 кВ, и  обеспечение коммерческим учетом электрической энергии (мощности) в точке поставки по присоединению жилого дома Куликовой С.А., расположенного по адресу: Ростовская область, Волгодонской район, Станица Романовская, снт. Юбилейное, кадастровый номер земельного участка: 61:08:0601901:1304 (ориентировочная протяженность ЛЭП 0,06 км)
</t>
  </si>
  <si>
    <t>Строительство участка ВЛИ-0,4 кВ от опоры №1 ВЛ 0,4 кВ №3 КТП 8105 ВЛ 10 кВ №4 ПС 35 кВ Виноградная и установка прибора коммерческого учета электрической энергии (мощности) в точке поставки для присоединения склада ИП Кравчука В.В., расположенного по адресу: Ростовская область, Волгодонской район, п. Виноградный, 100 м. севернее дома №12 ул. Юбилейная, к.н.з.у. 61:08:0000000:3817 (ориентировочная протяженность ЛЭП 0,12 км)</t>
  </si>
  <si>
    <t>Строительство участка ВЛИ-0,4 кВ от вновь установленной опоры вновь построенного участка ВЛИ-0,4 кВ от опоры №1 ВЛИ-0,4 кВ №1 КТП-8608 ВЛ-6 кВ №14 ПС 35 кВ Романовская (по договору ТП №61-1-20-00515733 от 30.06.2020г.) и установка прибора коммерческого учета электрической энергии (мощности) в точке поставки для присоединения индивидуального жилого дома Балабановой Е.А., расположенного по адресу: Ростовская область, Волгодонской район, станица Романовская, ул. 75 лет Победы, д. 83, к.н.з.у.: 61:08:0600601:4639 (ориентировочная протяженность ЛЭП 0,022 км)</t>
  </si>
  <si>
    <t>Установка коммерческого учета электрической энергии (мощности) в точке поставки и установка шкафа 0,4 кВ по присоединению дачного домика Банькина Д.С., расположенного по адресу: Ростовская область, Волгодонской район, сдт. Юбилейное, кадастровый номер земельного участка 61:08:0601901:1002</t>
  </si>
  <si>
    <t>Установка прибора коммерческого учета электрической энергии (мощности) в точке поставки для присоединения объекта туристической отрасли Белобородовой Л.С., расположенного по адресу: Ростовская область, г. Волгодонск, ул. Отдыха, д. 3, к.н.з.у.: 61:48:0020101:1263</t>
  </si>
  <si>
    <t>Установка прибора коммерческого учета электрической энергии (мощности) в точке поставки для присоединения объекта туристической отрасли Дорощак В.Б., расположенного по адресу: Ростовская область, г. Волгодонск, ул. Отдыха, д. 3, к.н.з.у.: 61:48:0020101:1256</t>
  </si>
  <si>
    <t>Установка прибора коммерческого учета электрической энергии (мощности) в точке поставки для присоединения объекта туристической отрасли Дорощак Т.А., расположенного по адресу: Ростовская область, г. Волгодонск, ул. Отдыха, д. 3, к.н.з.у.: 61:48:0020101:1290</t>
  </si>
  <si>
    <t>Установка прибора коммерческого учета электрической энергии (мощности) в точке поставки для присоединения нежилой застройки ИП Хохловой А.И., расположенной по адресу: Ростовская область, г. Волгодонск, ул. Отдыха, д. 5а, к.н.з.у.: 61:48:0020101:1386</t>
  </si>
  <si>
    <t>Установка прибора коммерческого учета электрической энергии (мощности) в точке поставки для присоединения жилого дома Лызова А.С., расположенного по адресу: Ростовская область, Волгодонской район, станица Романовская, пер. Котова, д. 65, к.н.з.у.: 61:08:0070127:30</t>
  </si>
  <si>
    <t>Установка прибора коммерческого учета электрической энергии (мощности) в точке поставки для присоединения дачного дома Пальмер М.В., расположенного по адресу: Ростовская область, г. Волгодонск, Садоводство «Машиностроитель» уч. 491 ндр, к.н.з.у.: 61:48:0020702:28</t>
  </si>
  <si>
    <t>Обеспечение коммерческим учетом электрической энергии (мощности) в точке поставки и установка шкафа 0,4 кВ по присоединению спального домика Новоселова Д.С., расположенного по адресу: Ростовская область,г. Волгодонск, ул. Отдыха, кадастровый номер земельного участка: 61:48:0020101:1429</t>
  </si>
  <si>
    <t>Установка прибора коммерческого учета электрической энергии (мощности) в точке поставки для присоединения жилого дома Семакиной Ж.Ю., расположенного по адресу: Ростовская область, Волгодонской район, х. Погожев, ул. Гладкова, д. 2, к.н.з.у.: 61:08:0070401:766</t>
  </si>
  <si>
    <t>Установка прибора коммерческого учета электрической энергии (мощности) в точке поставки для присоединения жилого дома Скобелевой Т.А., расположенного по адресу: Ростовская область, Волгодонской район, станица Романовская, ул. Одесская, д. 9, к.н.з.у.: 61:08:0600601:3841</t>
  </si>
  <si>
    <t>Установка прибора коммерческого учета электрической энергии (мощности) в точке поставки для присоединения строительной площадки Стремедловского П.А., расположенной по адресу: Ростовская область, г. Волгодонск, СНТ «Машиностроитель», ул. 39-я линия, д. 190, к.н.з.у.: 61:48:0020703:211</t>
  </si>
  <si>
    <t>Установка прибора коммерческого учета электрической энергии (мощности) в точке поставки для присоединения малоэтажной жилой застройки (Индивидуального жилого дома/Садового/Дачного дома) Удачиной И.Л., расположенной по адресу: Ростовская область, г. Волгодонск, СНТ «Машиностроитель», участок №563 «а» НДР, к.н.з.у.: 61:48:0020702:446</t>
  </si>
  <si>
    <t>Установка прибора коммерческого учета электрической энергии (мощности) в точке поставки для присоединения жилого дома Украинской К.С., расположенного по адресу: Ростовская область, Волгодонской район, станица Романовская, пер. Октябрьский, д. 97, к.н.з.у.: 61:08:0070117:611</t>
  </si>
  <si>
    <t>Строительство участка ВЛИ-0,4 кВ от опоры №25 ВЛ 0,4 кВ №2 КТП 7401 ВЛ 10 кВ №11 ПС 35 кВ Николаевская и установка прибора коммерческого учета электрической энергии (мощности) в точке поставки для присоединения жилого дома Погорелова А.Г., расположенного по адресу: Ростовская область, Константиновский район, станица Николаевская, ул. Победы, д. 62, к.н.з.у. 61:17:0050101:2163 (ориентировочная протяженность ЛЭП 0,02 км)</t>
  </si>
  <si>
    <t>Строительство участка ВЛИ-0,4 кВ от опоры №1/3 ВЛ-0,4 кВ №1 КТП 7132 ВЛ-10 кВ №21 ПС 110 кВ КГУ и установка прибора коммерческого учета электрической энергии (мощности) в точке поставки для присоединения квартиры Черкасова А.Г, расположенной по адресу: Ростовская область, Константиновский район, х. Камышный, ул. Новая, д.11, кв.2, к.н.з.у. 61:17:0030201:42 (ориентировочная протяженность ЛЭП 0,035 км)</t>
  </si>
  <si>
    <t>Строительство участка ВЛИ-0,4 кВ от опоры №7 ВЛИ 0,4 кВ №2 КТП 7027 ВЛ 10 кВ №24 ПС 110 кВ КГУ и установка прибора коммерческого учета электрической энергии (мощности) в точке поставки для присоединения жилого дома Авраамова Д.С., расположенного по адресу: Ростовская область, Константиновский район, х. Ведерников, ул. Казачья, д. 2-б, к.н.з.у. 61:17:0010603:193 (ориентировочная протяженность ЛЭП 0,038 км)</t>
  </si>
  <si>
    <t>Строительство участка ВЛИ-0,4 кВ от опоры №2 ВЛ 0,4 кВ №1 КТП 7055 ВЛ 10 кВ №1 ПС 35 кВ Почтовская и установка прибора коммерческого учета электрической энергии (мощности) в точке поставки для присоединения ангара ООО «Вега»., расположенного по адресу: Ростовская область, Константиновский район, х. Кременской, ориентир ТОО «Знамя», к.н.з.у. 61:17:0600002:2286 (ориентировочная протяженность ЛЭП 0,1 км)</t>
  </si>
  <si>
    <t>Строительство участка ВЛИ-0,4 кВ от опоры №8 ВЛ-0,4 кВ №2 КТП 7402 ВЛ 10 кВ №11 ПС 35 кВ Николаевская и установка прибора коммерческого учета электрической энергии (мощности) в точке поставки для присоединения индивидуального жилого дома Вифлянцева Е.Н., расположенного по адресу: Ростовская область, Константиновский район, станица Николаевская, ул. Крупской, д. 56, к.н.з.у. 61:17:0050101:2019 (ориентировочная протяженность ЛЭП 0,017 км)</t>
  </si>
  <si>
    <t>Строительство участка ВЛИ-0,4 кВ от вновь установленной опоры вновь построенной ВЛИ-0,4 кВ от вновь установленной ТП-10/0,4 кВ по ВЛ-10 кВ №11 ПС 35/10 кВ Николаевская (по договору ТП №61-1-20-00508293 от 10.04.2020г), с установкой шкафа 0,4 кВ, и  обеспечение коммерческим учетом электрической энергии (мощности) в точке поставки по присоединению жилого дома Журавлевой О.М., расположенного по адресу: Ростовская область, Константиновский район, станица Николаевская,  ул. Карла Маркса, д. 78,  кадастровый номер земельного участка 61:17:0050101:1695 (ориентировочная протяженность ЛЭП 0,095 км)</t>
  </si>
  <si>
    <t>Строительство участка ВЛИ-0,4 кВ от опоры №1/19 ВЛ-0,4 кВ №2 КТП-7392/400 кВА ВЛ-10 кВ №4 ПС 35/10 кВ Николаевская, с установкой шкафа 0,4 кВ, и  обеспечение коммерческим учетом электрической энергии (мощности) в точке поставки по присоединению жилого дома Клименко Е.А., расположенного по адресу: Ростовская область, Константиновский район, станица Николаевская, ул. Фридриха Энгельса, д. 8,  кадастровый номер земельного участка 61:17:0050101:203 (ориентировочная протяженность ЛЭП 0,08 км)</t>
  </si>
  <si>
    <t>Строительство ВЛИ-0,4 кВ от РУ-0,4 кВ КТП 7169 ВЛ 10 кВ №5 ПС 35 кВ Савельевская и установка прибора коммерческого учета электрической энергии (мощности) в точке поставки для присоединения здания склада ИП главы К(Ф)Х Кондакова Ю.В., расположенного по адресу: Ростовская область, Константиновский район, х. Гапкин, к.н.з.у. 61:17:0600008:2198 (ориентировочная протяженность ЛЭП 0,031 км)</t>
  </si>
  <si>
    <t>Строительство участка ВЛИ-0,4 кВ от опоры №13 ВЛ-0,4 кВ №1 КТП-7424 ВЛ-10 кВ №11 ПС 35 кВ Николаевская и установка прибора коммерческого учета электрической энергии (мощности) в точке поставки для присоединения жилого дома Кротова Н.А., расположенного по адресу: Ростовская область, Константиновский район, станица Николаевская, ул. Победы, д. 88, кадастровый номер земельного участка 61:17:050101:2187 (ориентировочная протяженность ЛЭП 0,03 км)</t>
  </si>
  <si>
    <t>Строительство участка ВЛИ-0,4 кВ от опоры №1/2 ВЛИ-0,4 кВ №1 КТП-7215/100 кВА ВЛ-10кВ №24 ПС 110/35/10 кВ КГУ, с установкой шкафа 0,4 кВ, и  обеспечение коммерческим учетом электрической энергии (мощности) в точке поставки по присоединению домика временного пребывания ИП Фалько А.А., расположенного по адресу: Ростовская область, Константиновский район, г. Константиновск, ул. Правобережная, д. 23Г, кадастровый номер земельного участка 61:17:0600017:581 (ориентировочная протяженность ЛЭП 0,065 км)</t>
  </si>
  <si>
    <t>Установка прибора коммерческого учета электрической энергии (мощности) в точке поставки для присоединения индивидуального жилого дома Рыжкиной В.В., расположенного по адресу: Ростовская область, Константиновский район, станица Николаевская, ул. Степана Разина, д. 11, к.н.з.у.: 61:17:0050101:211</t>
  </si>
  <si>
    <t>Установка прибора коммерческого учета электрической энергии (мощности) в точке поставки для присоединения жилого дома Окара А.В., расположенного по адресу: Ростовская область, Константиновский район, х. Старая Станица, ул. Заречная, д. 12а, к.н.з.у.: 61:17:0050501:510</t>
  </si>
  <si>
    <t>Установка прибора коммерческого учета электрической энергии (мощности) в точке поставки для присоединения жилого дома Масловой Н.В., расположенного по адресу: Ростовская область, Константиновский район, ст. Николаевская, ул. Победы, д. 92, к.н.з.у.: 61:17:0050101:5900</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</si>
  <si>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Крецу Е.С., расположенного по адресу: Ростовская область, Константиновский район, х. Трофимов, пер. Ильинский, д. 2а, к.н.о.: 61:17:0061001:2</t>
  </si>
  <si>
    <t>Установка прибора коммерческого учета электрической энергии (мощности) в точке поставки для присоединения жилого дома Сергиенко В.Н., расположенного по адресу: Ростовская область, Константиновский район, станица Николаевская, ул. Центральная, д. 71, к.н.з.у.: 61:17:0050101:96</t>
  </si>
  <si>
    <t>Установка прибора коммерческого учета электрической энергии (мощности) в точке поставки для нежилого помещения АО «Почта России», расположенного по адресу: Ростовская область, Константиновский район, х. Ведерников, ул. Центральная, д. 7, к.н.з.у.: 61:17:0010501:204</t>
  </si>
  <si>
    <t>Установка прибора коммерческого учета электрической энергии (мощности) в точке поставки для присоединения административного/офисного здания АО «Почта России», расположенного по адресу: Ростовская область, Константиновский район, станица Николаевская, ул. Центральная, д. 27, к.н.о.н.: 61:17:0050101:6255</t>
  </si>
  <si>
    <t>Установка прибора коммерческого учета электрической энергии (мощности) в точке поставки для присоединения квартиры Глушко В.А., расположенной по адресу: Ростовская область, Зимовниковский район, х. Савоськин, ул. Набережная, д. 31, кв. 2, к.н.з.у.: 61:13:0110111:26</t>
  </si>
  <si>
    <t>Установка прибора коммерческого учета электрической энергии (мощности) в точке поставки для присоединения жилого дома Андрющенко В.С., расположенного по адресу: Ростовская область, Зимовниковский район, х. Савоськин, ул. Центральная, д. 69А, к.н.з.у.: 61:13:0110104:93</t>
  </si>
  <si>
    <t>Установка прибора коммерческого учета электрической энергии (мощности) в точке поставки для присоединения квартиры Калашникова М.В., расположенной по адресу: Ростовская область, Зимовниковский район, х. Хуторской, ул. Школьная, д. 24, кв. 1, к.н.з.у.: 61:13:0060103:48</t>
  </si>
  <si>
    <t>Установка прибора коммерческого учета электрической энергии (мощности) в точке поставки для присоединения квартиры Науменко М.О., расположенного по адресу: 347463 Российская Федерация, Ростовская обл., р-н. Зимовниковский, п. Лагунный, ул. Макарчука, д. 45, кв./оф. 1, кадастровый номер земельного участка: 61:13:0080103:32</t>
  </si>
  <si>
    <t>Установка прибора коммерческого учета электрической энергии (мощности) в точке поставки для присоединения нежилого помещения АО «Почта России», расположенного по адресу: Ростовская область, Мартыновский район, х. Кривой Лиман, ул. Школьная, д. 38, к.н.з.у.: 61:20:0080401:1266</t>
  </si>
  <si>
    <t>Установка прибора коммерческого учета электрической энергии (мощности) в точке поставки для присоединения нежилого помещения АО «Почта России», расположенного по адресу: Ростовская область, Мартыновский район, х. Ильинов, ул. Школьная, д. 15в, к.н.з.у.: 61:20:0040101:2505</t>
  </si>
  <si>
    <t>Установка прибора коммерческого учета электрической энергии (мощности) в точке поставки для присоединения нежилого помещения АО «Почта России», расположенного по адресу: Ростовская область, Мартыновский район, п. Новоберезовка, ул. Школьная, д. 20, кв. 2, к.н.о.: 61:20:0090101:910</t>
  </si>
  <si>
    <t>Установка прибора коммерческого учета электрической энергии (мощности) в точке поставки и монтаж ответвлений от ВЛ к вводу для присоединения базовой станции/оборудования сотовой связи ПАО "Ростелеком"расположенного по адресу: Ростовская область, Мартыновский район, 40 м севернее участка с кадастровым номером 61:20:0070601:201</t>
  </si>
  <si>
    <t>Установка прибора коммерческого учета электрической энергии (мощности) в точке поставки и монтаж ответвления от ВЛ к вводу для присоединения базовой станции сотовой связи №001127 ООО «Т2 Мобайл»., расположенной по адресу: Ростовская область, Мартыновский район, слобода Большая Орловка, пер. Лиманский, к.н.з.у.: 61:20:0020101</t>
  </si>
  <si>
    <t>Установка прибора коммерческого учета электрической энергии (мощности) в точке поставки для присоединения здания ремонтной станции ИП главы К(Ф)Х Медведева Д.К., расположенного по адресу: Ростовская область, Мартыновский район, п. Крутоярский, ул. Центральная, д. 28Г, к.н.з.у.: 61:20:0090401:2191</t>
  </si>
  <si>
    <t>Установка прибора коммерческого учета электрической энергии (мощности) в точке поставки для присоединения хозяйственной постройки Шевченко Н.П., расположенной по адресу: Ростовская область, Мартыновский район, х. Арбузов, ул. Сальская, д. 5в, к.н.з.у.: 61:20:0080201:3052</t>
  </si>
  <si>
    <t>Установка прибора коммерческого учета электрической энергии (мощности) в точке поставки для присоединения закусочной Зандарова К.У., расположенной по адресу: Ростовская область, Мартыновский район, слобода Большая Орловка, ул. Советская, д. 18б, к.н.з.у.: 61:20:0020101:13629</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</si>
  <si>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помещения Ивановой  И.В., расположенного по адресу: Ростовская область, Дубовский район, х. Романов, пер. Школьный, д. 4, кв. 2, к.н.о.: 61:09:0010101:218</t>
  </si>
  <si>
    <t>Строительство участка ВЛИ-0,4 кВ от опоры №1 ВЛ-0,4 кВ №3 КТП-3480 ВЛ-10 кВ №7 ПС 35 кВ Семичная и установка приборов коммерческого учета электрической энергии (мощности) в точках поставки для присоединения жилого помещения Никитенко Е.С. и квартиры Виноградова А.Ю, расположенных по адресу: РО, Дубовский район, х. Семичный, к.н.з.у. 61:09:0020101:503 и к.н.з.у. 61:09:0020101:1940 (ориентировочная протяженность ЛЭП 0,425 км, количество приборов учета  - 2 шт.)</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</si>
  <si>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Евсеевой О.И., расположенного по адресу: Ростовская область, Ремонтненский район, с. Валуевка, ул. Горяинова, д. 64, к.н.о.: 61:32:0020101:1327 (1 шт)</t>
  </si>
  <si>
    <t>Строительство участка ВЛИ-0,4 кВ от опоры №14 ВЛ 0,4 кВ №2 КТП-4242 ВЛ 10 кВ №17 ПС 35 кВ Киевская и установка прибора коммерческого учета электрической энергии (мощности) в точке поставки для присоединения жилого дома Лобачевой М.В., расположенного по адресу: Ростовская область, Ремонтненский район, с. Киевка, ул. Ленинская, д. 57, к.н.з.у. 61:32:005101:1396 (ориентировочная протяженность ЛЭП 0,03 км)</t>
  </si>
  <si>
    <t>Строительство участка ВЛИ-0,4 кВ от опоры №10 ВЛ-0,4 кВ №1 КТП-4192 ВЛ-10 кВ №6 ПС 35 кВ Подгоренская и установка прибора коммерческого учета электрической энергии (мощности) в точке поставки для присоединения квартиры Елисеенко Ю.В., расположенной по адресу: Ростовская область, Ремонтненский район, х. Цветной, ул. Центральная, д.19, кв./оф. 1, кадастровый номер объекта: 61:32:0090301:0:1/1 (ориентировочная протяженность ЛЭП 0,44 км)</t>
  </si>
  <si>
    <t>Строительство ВЛИ-0,4 кВ от РУ-0,4 кВ вновь устанавливаемой ТП-10/0,4 кВ, установка ТП 10/0,4 кВ от опоры №145 ВЛ-10 кВ №7 ПС 35 кВ Валуевская и установка прибора коммерческого учета электрической энергии (мощности) в точке поставки для присоединения зернового склада ИП главы К(Ф)Х Клевина Д.В., расположенного по адресу: Ростовская область, Ремонтненский район, примерно в 4-5 км по направлению на восток от с. Валуевка, кадастровый номер объекта: 61:32:0000000:2504 (ориентировочная протяженность ЛЭП 0,06 км, ориентировочная мощность трансформатора 0,025 МВА)</t>
  </si>
  <si>
    <t>Строительство ВЛИ-0,4 кВ от РУ-0,4 кВ КТП 4012 ВЛ 10 кВ №6 ПС 110 кВ Ремонтненская и установка прибора коммерческого учета электрической энергии (мощности) в точке поставки для присоединения навеса ИП Ильенко М.М., расположенного по адресу: Ростовская область, Ремонтненский район, Ремонтненское сельское поселение, пастбище – в 5 км на восток от с. Ремонтного, 61 отарные участки по балке «Песчаная», к.н.з.у. 61:32:0600006:2843 (ориентировочная протяженность ЛЭП 0,17 км)</t>
  </si>
  <si>
    <t>Строительство ВЛИ-0,4 кВ от РУ-0,4 кВ КТП 4408 ВЛ-10 кВ №8 ПС 35 кВ Кормовая и установка прибора коммерческого учета электрической энергии (мощности) в точке поставки для присоединения полевого стана ИП Литовкиной Л.Ф., расположенного по адресу: Ростовская область, Ремонтненский район, Кормовское сельское поселение, V поле второго полевого севооборота в 6,3 км на северо-восток от с. Кормовое и I поле первого севооборота в 8,3 км на северо-восток от с. Кормовое, к.н.з.у. 61:32:0600012:3390 (ориентировочная протяженность ЛЭП 0,46 км)</t>
  </si>
  <si>
    <t xml:space="preserve">Строительство участка ВЛ-10 кВ от опоры №5/30 ВЛ-10 кВ №13ПС 110/35/10 кВ Заветинская, с установкой ТП-10/0,4 кВ, строительство ВЛИ-0,4 кВ от РУ-0,4 кВ вновь установленной ТП-10/0,4 кВ, с установкой шкафа 0,4 кВ, и обеспечение коммерческим учетом электрической энергии (мощности) в точках поставки по присоединению кашары ИП главы К(Ф)Х Мадаевой Т.С., расположенной по адресу: Ростовская область, Заветинский район, с. Заветное, проезд Северный, д.4, к.н. 61:11:0010101:8869 (ориентировочная протяженность ЛЭП 0,019 км, ориентировочная мощность трансформатора 25 кВА)
</t>
  </si>
  <si>
    <t>Строительство участка ВЛ-10 кВ от опоры №2/1 ВЛ-10 кВ №6 ПС 35/10 кВ Кичкинская, с установкой ТП-10/0,4 кВ, строительство ВЛИ-0,4 кВ от РУ-0,4 кВ вновь установленной ТП-10/0,4 кВ,  с установкой шкафа 0,4 кВ, и обеспечение коммерческим учетом электрической энергии (мощности) в точке поставки по присоединению нежилого здания ИП главы К(Ф)Х Магомедовой Н.О., расположенного по адресу: Ростовская область, Заветинский район, Кичкинское сельское поселение, кадастровый номер земельного участка 61:11:0600010:449 (ориентировочная протяженность ЛЭП 0,025 км, ориентировочная мощность трансформатора 25 кВА)</t>
  </si>
  <si>
    <t xml:space="preserve">Строительство участка ВЛИ-0,4 кВ от опоры №3 ВЛ 0,4 кВ №1КТП-5023/25 кВА ВЛ-10 кВ №13 ПС 110/35/10 кВ Заветинская, с установкой шкафа 0,4 кВ, и обеспечение коммерческим учетом электрической энергии (мощности) в точке поставки по присоединению кошары Курбанова Т.Г., расположенной по адресу: Ростовская область, Заветинский район, с. Заветное, проезд. Северный, д. 6, кадастровый номер земельного участка: 61:11:0010101:7343 (ориентировочная протяженность ЛЭП 0,05 км)
</t>
  </si>
  <si>
    <t>Строительство участка ВЛ-10 кВ от опоры №2/224 ВЛ-10 кВ №2 ПС 35 кВ Киселевская,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нежилого здания ИП главы К(Ф)Х Гусейнова А.Н., расположенного по адресу: Ростовская область, Заветинский район, с. Киселевка, к.н.з.у.: 61:11:0600002:1656 (ориентировочная протяженность ЛЭП 0,02 км, ориентировочная мощность трансформатора 0,025 МВА)</t>
  </si>
  <si>
    <t>Строительство ВЛИ-0,4 кВ от РУ-0,4 кВ КТП 5478 ВЛ 10 кВ №13 ПС 110 кВ Заветинская и установка прибора коммерческого учета электрической энергии (мощности) в точке поставки для присоединения квартиры Бондаренко Д.В., расположенной по адресу: Ростовская область, Заветинский район, с. Заветное, проезд Восточный, д. 1, кв. 1, к.н.з.у. 61:11:0600005:885 (ориентировочная протяженность ЛЭП 0,058 км)</t>
  </si>
  <si>
    <t>Установка прибора коммерческого учета электрической энергии (мощности) в точке поставки для присоединения сети уличного освещения Администрации Красноярского сельского поселения, расположенного по адресу: Ростовская область, Цимлянский район, станица Красноярская, западнее земельного участка с к.н.: 61:41:0020126:140 (по улице Полевая), к.н.з.у.: 61:41:0020127:1167</t>
  </si>
  <si>
    <t>Обеспечение коммерческим учетом электрической энергии (мощности) в точке поставки и установка шкафа 0,4 кВ по присоединению БС 1618  ООО "Т2 Мобайл" расположенной по адресу: РО, Цимлянский район, х. Лозной, ул. Советская, к.н. 61:41:0030104:100</t>
  </si>
  <si>
    <t>Установка прибора коммерческого учета электрической энергии (мощности) в точке поставки для присоединения базовой станции ООО «Т2 Мобайл», расположенной по адресу: Ростовская область, Цимлянский район, станица Лозновская, ул. Центральная, д. 30б, кадастровый номер земельного участка: 61:41:0040205:444</t>
  </si>
  <si>
    <t>Установка прибора коммерческого учета электрической энергии (мощности) в точке поставки для присоединения жилого дома Беридзе Н.Ш., расположенного по адресу: Ростовская область, Цимлянский район, станица Красноярская, пер. Речной, д. 6, к.н.о.: 61:41:0020126:597, к.н.з.у.: 61:41:0020126:146</t>
  </si>
  <si>
    <t>Установка прибора коммерческого учета электрической энергии (мощности) в точке поставки для присоединения жилого дома Рыбакова С.В., расположенного по адресу: Ростовская область, Цимлянский район, х. Лозной, пер. Победы, д. 31, к.н.з.у.: 61:41:0030111:86</t>
  </si>
  <si>
    <t>Установка прибора коммерческого учета электрической энергии (мощности) в точке поставки для присоединения жилого дома Клоченок А.П., расположенного по адресу: Ростовская область, Цимлянский район, п.Дубравный, ул.Красноярская, д. 7/3, к.н.з.у.: 61:41:0030401:210</t>
  </si>
  <si>
    <t>Установка прибора коммерческого учета электрической энергии (мощности) в точке поставки для присоединения жилого дома Андреева С.А., расположенного по адресу: Ростовская область, Цимлянский район, х. Лозной, пер. Лесной, д. 13, корп. а, к.н.з.у.: 61:41:0030103:317</t>
  </si>
  <si>
    <t>Установка прибора коммерческого учета электрической энергии (мощности) в точке поставки для присоединения жилого дома Переверзевой Е.М., расположенного по адресу: Ростовская область, Цимлянский район, х. Лозной, ул. Мира, д. 16, к.н.з.у.: 61:41:0030102:17</t>
  </si>
  <si>
    <t>Установка прибора коммерческого учета электрической энергии (мощности) в точке поставки для присоединения дачного дома Борисовой К.Ю., расположенного по адресу: Ростовская область, Цимлянский район, г. Цимлянск, СОНТ "Винзавод", участок 85, к.н.з.у.: 61:41:0010402:273</t>
  </si>
  <si>
    <t>Установка прибора коммерческого учета электрической энергии (мощности) в точке поставки для присоединения жилого дома Негрей Е.В., расположенного по адресу: Ростовская область, Цимлянский район, х. Лозной, ул. Абрикосовая, д. 70, к.н.з.у.: 61:41:0600011:1076</t>
  </si>
  <si>
    <t>Установка прибора коммерческого учета электрической энергии (мощности) в точке поставки для присоединения жилого дома Домарацкой А.Н., расположенного по адресу: Ростовская область, Цимлянский район, станица Камышевская, ул. Большая Садовая, д. 21, к.н.з.у.: 61:41:040110:0012</t>
  </si>
  <si>
    <t>Установка прибора коммерческого учета электрической энергии (мощности) в точке поставки для присоединения жилого дома Войтенок С.Ф., расположенного по адресу: Ростовская область, Цимлянский район, станица Красноярская, ул. Гагарина, д. 27, к.н.з.у.: 61:41:0020122:58</t>
  </si>
  <si>
    <t>Установка прибора коммерческого учета электрической энергии (мощности) в точке поставки для присоединения жилого дома Мамонова Е.В., расположенного по адресу: Ростовская область, Цимлянский район, п. Дубравный, ул. Красноярская, д. 22, к.н.з.у.: 61:41:0030401:220</t>
  </si>
  <si>
    <t>Установка прибора коммерческого учета электрической энергии (мощности) в точке поставки для присоединения жилого дома Косиновой Л.Е., расположенного по адресу: Ростовская область, Цимлянский район, станица Красноярская, пер. Развильный, д. 3, к.н.з.у.: 61:41:0020105:1</t>
  </si>
  <si>
    <t>Строительство участка ВЛИ-0,4 кВ от опоры №24 ВЛ 0,4 кВ №1 КТП-1654 ВЛ 10 кВ №2 ПС 35 кВ ЖБИ и установка прибора коммерческого учета электрической энергии (мощности) в точке поставки для присоединения жилого дома Вислянского И.И., расположенного по адресу: Ростовская область, Цимлянский район, станица Красноярская, ул. Заречная, д. 68, к.н.з.у. 61:41:0020127:103 (ориентировочная протяженность ЛЭП 0,2 км)</t>
  </si>
  <si>
    <t>Строительство участка ВЛИ-0,4 кВ от опоры №44 ВЛ 0,4 кВ №2 КТП-1395 ВЛ 10 кВ №4 ПС 35 кВ ЖБИ и установка прибора коммерческого учета электрической энергии (мощности) в точке поставки для присоединения жилого дома Дричиц О.Н., расположенного по адресу: Ростовская область, Цимлянский район, станица Красноярская, ул. Матросова, д. 2г, к.н.з.у. 61:41:0020106:217 (ориентировочная протяженность ЛЭП 0,04 км)</t>
  </si>
  <si>
    <t>Строительство участка ВЛИ-0,4 кВ от опоры №9 ВЛ-0,4 кВ №1 КТП 1381 ВЛ 10 кВ №5 ПС 35 кВ Лозновская и установка прибора коммерческого учета электрической энергии (мощности) в точке поставки для присоединения жилого дома Элькиной С.А., расположенного по адресу: Ростовская область, Цимлянский район, п. Дубравный, пер. Дружбы, д.24, к.н.з.у. 61:41:0030405:51 (ориентировочная протяженность ЛЭП 0,27 км)</t>
  </si>
  <si>
    <t>Установка прибора коммерческого учета электрической энергии (мощности) в точке поставки для присоединения малоэтажной жилой застройки Мян В.А., расположенной по адресу: Ростовская область, Волгодонской район, станица Романовская, ул. Лесная, д. 10а, к.н.з.у.: 61:48:0070114:551</t>
  </si>
  <si>
    <t xml:space="preserve">Установка прибора коммерческого учета электрической энергии (мощности) в точке поставки для присоединения индивидуального жилого дома Городиловой С.К., расположенного по адресу: Ростовская область, Волгодонской район, станица Романовская, ул. 75 лет Победы, д. 43, к.н.з.у.: 61:08:0600601:4600
</t>
  </si>
  <si>
    <t xml:space="preserve">
Установка прибора коммерческого учета электрической энергии (мощности) в точке поставки для присоединения индивидуального жилого дома Букреевой И.И., расположенного по адресу: Ростовская область, Волгодонской район, станица Романовская, ул. 75 лет Победы, д. 63, к.н.з.у.: 61:08:0600601:4557
</t>
  </si>
  <si>
    <t>Установка прибора коммерческого учета электрической энергии (мощности) в точке поставки для присоединения жилого дома Цехановского В.В., расположенного по адресу: Ростовская область, Волгодонской район, станица Каргальская, ул. Центральная, д. 57, к.н.з.у.: 61:08:0040501:12</t>
  </si>
  <si>
    <t>Установка прибора коммерческого учета электрической энергии (мощности) в точке поставки для присоединения строительной площадки Шелудько А.Г., расположенной по адресу: Ростовская область, г. Волгодонск, СНТ Машиностроитель, д. 188 ндр, к.н.з.у.: 61:48:0000000:119</t>
  </si>
  <si>
    <t>Установка прибора коммерческого учета электрической энергии (мощности) в точке поставки для присоединения садового дома Безматьева Н.С., расположенного по адресу: Ростовская область, г. Волгодонск, ул. Отдыха, д. 39в36, к.н.з.у.: 61:48:0020101:1561</t>
  </si>
  <si>
    <t>Установка прибора коммерческого учета электрической энергии (мощности) в точке поставки для присоединения малоэтажной жилой застройки Чуприна С.М., расположенной по адресу: Ростовская область, Волгодонской район, станица Романовская, ул. Лесная, д. 23, к.н.з.у.: 61:08:0070114:30</t>
  </si>
  <si>
    <t>Установка прибора коммерческого учета электрической энергии (мощности) в точке поставки для присоединения малоэтажной жилой застройки Аникеенко Е.В., расположенной по адресу: Ростовская область, Волгодонской район, станица Романовская, ул. Мелиораторов, д. 30, к.н.з.у.: 61:08:0070111:13</t>
  </si>
  <si>
    <t>Установка прибора коммерческого учета электрической энергии (мощности) в точке поставки для присоединения объекта торговли ИП Белоиваненко В.И., расположенного по адресу: Ростовская область, Волгодонской район, х. Потапов, ул. Комсомольская, д. 40а, к.н.з.у.: 61:08:0040110:1423</t>
  </si>
  <si>
    <t>Установка прибора коммерческого учета электрической энергии (мощности) в точке поставки для присоединения жилого дома Сафронова Г.Н., расположенного по адресу: Ростовская обл, Волгодонской р-н,  ст. Романовская, ул. Береговая, д.22.,  к.н. з.у. 61:08:0070104:712 (1 шт)</t>
  </si>
  <si>
    <t>Установка прибора коммерческого учета электрической энергии (мощности) в точке поставки для присоединения жилого дома Сафронова Г.Н., расположенного по адресу: Ростовская обл, Волгодонской р-н,  ст. Романовская, ул. Береговая, д.18.,  к.н. з.у. 61:08:0070104:714 (1 шт)</t>
  </si>
  <si>
    <t>Установка прибора коммерческого учета электрической энергии (мощности) в точке поставки для присоединения жилого дома Павлова А.А., расположенного по адресу: Ростовская обл, Волгодонской р-н,  ст. Романовская, ул. Береговая, д.20., к.н. з.у. 61:08:0070104:713 (1 шт)</t>
  </si>
  <si>
    <t>Установка прибора коммерческого учета электрической энергии (мощности) в точке поставки для присоединения малоэтажной жилой застройки Преснякова А.М., расположенного по адресу: Ростовская обл, Волгодонской р-н, ст. Романовская, ул. 75 лет Победы, д.87, 61:08:0600601:4643</t>
  </si>
  <si>
    <t>Установка прибора коммерческого учета электрической энергии (мощности) в точке поставки для присоединения дошкольной образовательной организации на 80 мест Администрации Волгодонского района, расположенной по адресу: Ростовская область, Волгодонской район, х. Лагутники, ул. Степной, д. 1а, к.н.з.у.: 61:08:0000000:3423</t>
  </si>
  <si>
    <t>Установка прибора коммерческого учета электрической энергии (мощности) в точке поставки для присоединения индивидуального жилого дома Матвеева А.В., расположенного по адресу: Ростовская область, Волгодонской район, станица Романовская, ул. 75 лет Победы, д. 34, к.н.з.у. 61:08:0600601:4591</t>
  </si>
  <si>
    <t>Установка прибора коммерческого учета электрической энергии (мощности) в точке поставки для присоединения индивидуального жилого дома Кружилиной А.И., расположенного по адресу: Ростовская область, Волгодонской район, станица Романовская, ул. 75 лет Победы, д. 42, к.н.з.у.: 61:08:0600601:4599</t>
  </si>
  <si>
    <t>Установка коммерческого учета электрической энергии (мощности) в точке поставки и установка шкафа 0,4 кВ по присоединению жилого дома Битюковой Л.В., расположенного по адресу: Ростовская область, г. Волгодонск, ул. Отдыха, д. 39в2, кадастровый номер земельного участка 61:48:0020101:1525</t>
  </si>
  <si>
    <t>Установка приборов коммерческого учета электрической энергии (мощности) в точках поставки для присоединения жилых домов Яценко О.Ф. и Шамиловой А.В., расположенных по адресу: Ростовская область, Волгодонской район, х. Сухая Балка, ул. Новоселов, д.13А, к.н.з.у: 61:08:0010401:550 и д.8, к.н.з.у: 61:08:0010401:9 (количество приборов учета  - 2 шт)</t>
  </si>
  <si>
    <t>Установка прибора коммерческого учета электрической энергии (мощности) в точке поставки для присоединения жилого дома Глаубец А.С., расположенного по адресу: Ростовская область, Волгодонской район, станица Романовская, ул. 75 лет Победы, д. 53, к.н.з.у.: 61:08:0600601:4610</t>
  </si>
  <si>
    <t>Установка прибора коммерческого учета электрической энергии (мощности) в точке поставки для присоединения БС 71280 ПАО «Вымпел-Коммуникации», расположенной по адресу: Ростовская область, г. Волгодонск, ш. Цимлянское, д. 10, к.н.з.у.: 61:48:0010204:491</t>
  </si>
  <si>
    <t>Установка прибора коммерческого учета электрической энергии (мощности) в точке поставки для присоединения малоэтажной жилой застройки Галилеева А.Ю., расположенной по адресу: Ростовская обл., р-н. Волгодонской, ст. Романовская, ул. 75 лет Победы, д. 52, к.н.з.у.: 61:08:0600601:4609</t>
  </si>
  <si>
    <t>Установка прибора коммерческого учета электрической энергии (мощности) в точке поставки для присоединения объекта торговли ИП Казымова Б.В.о., расположенного по адресу: Ростовская область, х. Потапов, ул. Комсомольская, д. 49ж, к.н.з.у.: 61:08:0040106:636</t>
  </si>
  <si>
    <t>Строительство участка ВЛИ-0,4 кВ от опоры №1/14 ВЛ-0,4 кВ №1 КТП-8560/100 кВА ВЛ-6 кВ №1 ПС 35/6 кВ НС-12, с установкой шкафа 0,4 кВ, и  обеспечение коммерческим учетом электрической энергии (мощности) в точке поставки по присоединению дачного домика Денисенко Л.Н., расположенной по адресу: Ростовская область, Волгодонской район, сдт. Юбилейное, кадастровый номер земельного участка 61:08:0601901:467 (ориентировочная протяженность ЛЭП 0,035 км)</t>
  </si>
  <si>
    <t>Строительство участка ВЛИ-0,4 кВ от опоры №1/6 ВЛИ-0,4 кВ №2 КТП 8343 ВЛ 6 кВ №14 ПС 35 кВ Романовская и установка прибора коммерческого учета электрической энергии (мощности) в точке поставки для присоединения индивидуального жилого дома Васильевой М.Е., расположенного по адресу: Ростовская область, Волгодонской район, станица Романовская, ул. Язева, д. 53, к.н.з.у. 61:08:0600601:4502 (ориентировочная протяженность ЛЭП 0,03 км)</t>
  </si>
  <si>
    <t>Установка прибора коммерческого учета электрической энергии (мощности) в точке поставки для присоединения садового домика Трофимова А.Ю., расположенного по адресу: Ростовская область, Константиновский район, х. Ведерников, Константиновское городское поселение, 230 м восточнее х. Ведерников, к.н.з.у.: 61:17:0600017:839</t>
  </si>
  <si>
    <t>Установка прибора коммерческого учета электрической энергии (мощности) в точке поставки для присоединения жилого дома Кротова А.В., расположенного по адресу: Ростовская область, Константиновский район, ст. Николаевская, ул. Победы, д. 92, к.н.з.у.: 61:17:0050101:5900</t>
  </si>
  <si>
    <t>Установка прибора коммерческого учета электрической энергии (мощности) в точке поставки для присоединения индивидуального жилого дома Калининой Е.Л., расположенного по адресу: Ростовская область, Константиновский район, станица Николаевская, ул. Коммунистическая, д. 41, к.н.з.у.: 61:17:0050101:1852</t>
  </si>
  <si>
    <t>Установка прибора коммерческого учета электрической энергии (мощности) в точке поставки и монтаж ответвления от ВЛ к вводу для присоединения индивидуального жилого дома Долгалева А.В., расположенного по адресу: Ростовская область, Константиновский район, х. Кондаков, ул. Степная, д. 25, к.н.з.у.: 61:17:0070503:1</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</si>
  <si>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(индивидуального жилого дома/садового/дачного дома) Золотовой Н.В., расположенной по адресу: Ростовская область, Константиновский район, ст. Николаевская, ул. Комсомольская, д. 57, к.н.з.у.: 61:17:0050101:33</t>
  </si>
  <si>
    <t>Установка прибора коммерческого учета электрической энергии (мощности) в точке поставки для присоединения объекта сельскохозяйственного производства Крестьянского хозяйства "Коцарева", расположенного по адресу: Ростовская область, Мартыновский район, п. Новоберезовка, ул. Школьная, д.1г, к.н.з.у. 61:20:009010101:103</t>
  </si>
  <si>
    <t>Установка прибора коммерческого учета электрической энергии (мощности) в точке поставки в точке поставки и монтаж ответвления от ВЛИ к вводу для присоединения магазина ИП Мурадова Б.Н., расположенного по адресу: Ростовская область, Мартыновский район, слобода Большая Орловка, ул. Революционная д. 55, к.н.о.: 61:20:0020101:13295</t>
  </si>
  <si>
    <t>Строительство участка ВЛИ-0,4 кВ от опоры №1 ВЛ 0,4 кВ №4 КТП-6124 ВЛ 10 кВ №6 ПС 110 кВ Мартыновская и установка прибора коммерческого учета электрической энергии (мощности) в точке поставки для присоединения зерносклада КХ Тарим, расположенного по адресу: Ростовская область, Мартыновский район, х. Кривой Лиман, участок примерно в 223 по направлению на юго-запад, к.н.з.у. 61:20:0600020:2209 (ориентировочная протяженность ЛЭП 0,075 км)</t>
  </si>
  <si>
    <t>Строительство участка ВЛИ-0,4 кВ от опоры №22  ВЛ-0,4 кВ №2 КТП-6193/160 кВА ВЛ-10 кВ №6 ПС 110/35/10 кВ Мартыновская, с установкой шкафа 0,4 кВ, и  обеспечение коммерческим учетом электрической энергии (мощности) в точке поставки по присоединению теплицы Мамедова Н.А., расположенной по адресу: Ростовская область, Мартыновский район, х. Арбузов, в 40 метрах на юг от ул. Школьная, д. 78, кадастровый номер земельного участка. 61:20:0080201:2116 (ориентировочная протяженность ЛЭП 0,035 км)</t>
  </si>
  <si>
    <t>Строительство участка ВЛИ-0,4 кВ от опоры №1 ВЛ-0,4 кВ №2 КТП-6101/100 кВА ВЛ-10 кВ №6 ПС 110/35/10 кВ Мартыновская, с установкой шкафа 0,4 кВ, и  обеспечение коммерческим учетом электрической энергии (мощности) в точке поставки по присоединению скважины для полива огорода Луманова Е.И., расположенной по адресу: Ростовская область, Мартыновский район, х. Арбузов, ул. Краснопартизанская, д. 62, кадастровый номер земельного участка 61:20:0600019:1213 (ориентировочная протяженность ЛЭП 0,212 км)</t>
  </si>
  <si>
    <t>Строительство участка ВЛИ-0,4 кВ от опоры №4 ВЛ 0,4 кВ №1 КТП 6550 ВЛ 10 кВ №6 ПС 110 кВ Несмеяновская и установка прибора коммерческого учета электрической энергии (мощности) в точке поставки для присоединения гаража Леошика А.В, расположенного по адресу: Ростовская область, Мартыновский район, х. Малоорловский, ул. Почтовая, д. 2А, к.н.з.у. 61:20:0060101:5291 (ориентировочная протяженность ЛЭП 0,017 км)</t>
  </si>
  <si>
    <t>Строительство участка ВЛИ-0,4 кВ от опоры №27 ВЛ-0,4 кВ №3 КТП-6078 ВЛ-6 кВ №1 ПС 110 кВ Северный Портал и установка прибора коммерческого учета электрической энергии (мощности) в точке поставки для присоединения малоэтажной жилой застройки (Дачного дома) Киреева К.С., расположенной по адресу: Ростовская область, Мартыновский район, Рубашкинское сельское поселение, х. Пробуждение, ул. Мира, д. 2-г, кадастровый номер земельного участка 61:20:0080701:1028 (ориентировочная протяженность ЛЭП 0,062 км)</t>
  </si>
  <si>
    <t>Строительство участка ВЛИ-0,4 кВ от опоры №1/6 ВЛ-0,4 кВ №1 КТП 6500 ВЛ-6 кВ №305 ПС 110 кВ СМ-3 и установка прибора коммерческого учета электрической энергии (мощности) в точке поставки для присоединения квартиры Громова И.О., расположенной по адресу: Ростовская область, Мартыновский район, п. Речной, ул. Набережная, д. 10, кв./оф. 2, к.н.з.у. 61:35:050701:20 (ориентировочная протяженность ЛЭП 0,025 км)</t>
  </si>
  <si>
    <t>Строительство участка ВЛИ-0,4 кВ от опоры №2/8 ВЛ-0,4 кВ №1 КТП 6483 ВЛ 10 кВ №1 ПС 35 кВ Рассвет и установка прибора коммерческого учета электрической энергии (мощности) в точке поставки для присоединения навеса для стоянки транспорта Тубашева Ю.С., расположенного по адресу: Ростовская область, Мартыновский район, п. Абрикосовый, ул. Восточная, д. 12А, к.н.з.у. 61:20:0020201:1361 (ориентировочная протяженность ЛЭП 0,017 км)</t>
  </si>
  <si>
    <t xml:space="preserve">Строительство участка ВЛИ-0,4 кВ от опоры №4 ВЛ-0,4 кВ №2 КТП-6584/100 кВА ВЛ-10 кВ №12 ПС 110/35/10 кВ Комаровская, с установкой шкафа 0,4 кВ, и  обеспечение коммерческим учетом электрической энергии (мощности) в точке поставки по присоединению парка Администрации Большеорловского сельского поселения, расположенного по адресу: Ростовская область, Мартыновский район, слобода Большая Орловка, пер. Школьный, д. 21-а, кадастровый номер земельного участка. 61:20:0020101:12022 (ориентировочная протяженность ЛЭП 0,022 км)
</t>
  </si>
  <si>
    <t>Установка прибора коммерческого учета электрической энергии (мощности) в точке поставки для малоэтажной жилой застройки Кепти Г.К., расположенного по адресу: Ростовская область, Дубовский район, хутор Гуреев, ул. Заречная, д. 2 кв.2, к.н.з.у.: 61:09:0120101:1514 (1 шт)</t>
  </si>
  <si>
    <t>Установка прибора коммерческого учета электрической энергии (мощности) в точке поставки для квартиры Устарханова Р.А., расположенного по адресу: Ростовская область, Дубовский район, хутор Присальский, ул. Энергетиков, д. 5, кв. 1, к.н.з.у.: 61:09:07010100:50 (1 шт)</t>
  </si>
  <si>
    <t>Установка прибора коммерческого учета электрической энергии (мощности) в точке поставки для присоединения склада ИП главы К(Ф)Х Донченко Р.А., расположенного по адресу: Ростовская область, Ремонтненский район, с. Ремонтное, 2 км на северо-запад от с. Ремонтное, к.н.о.: 61:32:0000000:2831, к.н.з.у.: 61:32:0600006:2615</t>
  </si>
  <si>
    <t>Установка прибора коммерческого учета электрической энергии (мощности) в точке поставки для присоединения квартиры Власенко В.И., расположенной по адресу: Ростовская область, Ремонтненский район, с. Киевка, ул. Октябрьская, д. 49, кв. 1, к.н.о.: 61:32:0050101:1340, к.н.з.у.: 61:32:0050101:244</t>
  </si>
  <si>
    <t>Установка прибора коммерческого учета электрической энергии (мощности) в точке поставки и монтаж ответвления от ВЛ к вводу  для присоединения базовой сианции/оборудования сотовой связи ООО "ДонСвязьКонструкция", расположенной по адресу: Ростовская область, Ремонтненский район,с. Богородское,  8 м. западнее домовладения по ул. Гагарина  д 72.,  к.н.з.у. :61:32:0040201</t>
  </si>
  <si>
    <t>Установка прибора коммерческого учета электрической энергии (мощности) в точке поставки для присоединения наружного освещения автомобильной дороги Администрации Ремонтненского района Ростовской области, расположенного по адресу: Ростовская область, Ремонтненский район, с. Валуевка, ул. 40 лет Победы, (от домовладения №1 до домовладения №19а), к.н.з.у.: 61:32:0000000:3057</t>
  </si>
  <si>
    <t>Установка прибора коммерческого учета электрической энергии (мощности) в точке поставки и монтажа ответвления от ВЛ к вводу для присоединения МТМ ИП Главы КФХ Липаева С.И., расположенные по адресу: Ростовская область, Ремонтненский район, с. Большое Ремонтное , ул. Ленина,д. 29д,  к.н.о.:61:32:0040101:1447, к.н.з.у.: 61:32:0040101:1463</t>
  </si>
  <si>
    <t>Установка прибора коммерческого учета электрической энергии(мощности) в точке поставки и монтаж ответвления от ВЛ к вводу для присоединения гаража для грузовых автомашин ИП Главы КФХ Липаева С.И., расположенного по адресу: Ростовская область, Ремонтненский район, с. Большое Ремонтное, ул. Ленина, д. 29д, к.н.о.: 61:32:0040101:1446, к.н.з.у.: 61:32:0040101:1465</t>
  </si>
  <si>
    <t>Установка прибора коммерческого учетаэлектрической энергии мощности) в точке поставки имонтаж ответвления отВЛИк вводу для присоединения квартиры Абдуллаева И.А, расположенной по.адресу: Ростовская область, Заветинский район, с. Кичкино, ул. Солнечная, д.19, кв.lоф. 4, к.н.з.у.:61:11:0030101:1543 (1 шт)</t>
  </si>
  <si>
    <t>Установка прибора коммерческого учета электрической энергии (мощности) в точке поставки для присоединения нежилого помещения АО «Почта России», расположенного по адресу: Ростовская область, Заветинский район, с. Кичкино, ул. Школьная, д. 6а, к.н.о.: 61:11:0030101:920</t>
  </si>
  <si>
    <t>Установка прибора коммерческого учета электрической энергии (мощности) в точке поставки для присоединения административного/офисного здания АО «ПочтаРоссии», расположенного по адресу: Ростовская область, Цимлянский район, х. Лозной, ул. Мира, д.  65, к.н.з.у.: 61:41:0030110:503</t>
  </si>
  <si>
    <t>Установка прибора коммерческого учета электрической энергии (мощности) в точке поставки и монтаж ответвления от ВЛ к вводу для присоединения нежилого помещения АО «Почта России», расположенного по адресу: Ростовская область, Цимлянский район, п. Саркел, ул. Винзаводская, д. 6, кв./оф. 1,2,3, к.н.о.н.: 61:41:0011106:198</t>
  </si>
  <si>
    <t>Строительство участка ВЛИ-0,4 кВ от вновь установленной опоры вновь построенной ВЛИ-0,4 кВ от РУ-0,4 кВ вновь установленной ТП-10/0,4 кВ по ВЛ-10 кВ №5 ПС 35 кВ Лозновская (по договору №61-1-20-00502997 от 19.03.2020г) и установка прибора коммерческого учета электрической энергии (мощности) в точке поставки для присоединения жилого дома Чупалаева С.Р., расположенного по адресу: Ростовская область, Цимлянский район,  п. Сосенки, ул. Новая, д. 7, к.н.з.у. 61:41:030304:06 (ориентировочная протяженность ЛЭП 0,02 км)</t>
  </si>
  <si>
    <t>Строительство участка ВЛИ-0,4 кВ от опоры №1 ВЛ 0,4 кВ №2 КТП-1364 ВЛ 10 кВ №4 ПС 35 кВ ЖБИ и установка прибора коммерческого учета электрической энергии (мощности) в точке поставки для присоединения жилого дома Чемезовой Е.Н., расположенного по адресу: Ростовская область, Цимлянский район, станица Красноярская, пер. Цимлянский, д. 29а, к.н.з.у. 61:41:0020105:41 (ориентировочная протяженность ЛЭП 0,03 км)</t>
  </si>
  <si>
    <t>Строительство участка ВЛИ-0,4 кВ от опоры №6 ВЛ-0,4 кВ №1 КТП-1367 ВЛ-10 кВ №2 ПС 35 кВ ЖБИ и установка прибора коммерческого учета электрической энергии (мощности) в точке поставки для присоединения жилого дома Филиппова В.В., расположенного по адресу: Ростовская область, Цимлянский район, станица Красноярская, ул. Заречная, д. 86, к.н.з.у. 61:41:0020126:34 (ориентировочная протяженность ЛЭП 0,03 км)</t>
  </si>
  <si>
    <t>Строительство участка ВЛИ-0,4 кВ от опоры № 8 ВЛ-0,4 кВ №2 КТП-1600/100 кВА ВЛ-10 кВ №4 ПС 35/10 кВ Новоцимлянская, с установкой шкафа 0,4 кВ, и обеспечение коммерческим учетом электрической энергии (мощности) в точке поставки по присоединению жилого дома Фадеева С.Р., расположенного по адресу: Ростовская область, Цимлянский район, х. Богатырев, ул. Весенняя, д. 48, кадастровый номер земельного участка: 61:41:0070204:20  (ориентировочная протяженность ЛЭП 0,04 км)</t>
  </si>
  <si>
    <t>Строительство участка ВЛИ-0,4 кВ от опоры №11 ВЛ-0,4 кВ №1 КТП-1559 ВЛ-10 кВ №5 РП 10 кВ Маркинская ПС 110 кВ Черкассы и установка прибора коммерческого учета электрической энергии (мощности) в точке поставки для присоединения жилого дома Загорской Н.В., расположенного по адресу: Ростовская область, Морозовский район, х. Великанов, ул. Великанова, д. 4, кадастровый номер земельного участка 61:24:0110301:54 (ориентировочная протяженность ЛЭП 0,1 км)</t>
  </si>
  <si>
    <t>Строительство участка ВЛЗ-10 кВ от опоры №344 ВЛ-10 кВ №24 ПС 110 кВ Цимлянская,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нежилого здания (коровника) ИП Зейналова Б.С.о., расположенного по адресу: Ростовская область, Цимлянский район, 640 метров на северо-запад от жилого дома №1 по улице Степная в станице Хорошевская, к.н.з.у. 61:41:0600009:1393 (ориентировочная протяженность ЛЭП 0,19 км, ориентировочная мощность трансформатора 25 кВА, количество приборов коммерческого учета – 1 шт)</t>
  </si>
  <si>
    <t>Строительство ВЛИ-0,4 кВ от РУ-0,4 кВ вновь установленной ТП-10/0,4 кВ по ВЛ-10 кВ №5  ПС 35/10 кВ Лозновская (по договору  от 19.03.2020 №61-1-20-00502997) и установка прибора коммерческого учета электрической энергии (мощности) в точке поставки для присоединения квартиры Москвича В.Н., расположенной по адресу: Ростовская область, Цимлянский район, п. Сосенки, ул. Юбилейная, д.8, кв.1, к.н.з.у. 61:41:0030302:26 (ориентировочная протяженность ЛЭП 0,3 км)</t>
  </si>
  <si>
    <t>Строительство участка ВЛИ-0,4 кВ от опоры №4 ВЛ-0,4 кВ №3 КТП-1157 ВЛ-10 кВ №24 ПС 110 кВ Цимлянская и установка прибора коммерческого учета электрической энергии (мощности) в точке поставки для присоединения жилого дома Дементьева С.А., расположенного по адресу: Ростовская область, Цимлянский район, станица Хорошевская, ул. Морская,  д. 2-а, кадастровый номер земельного участка 61:41:0020204:228 (ориентировочная протяженность ЛЭП 0,125 км)</t>
  </si>
  <si>
    <t>Строительство участка ВЛИ-0,4 кВ от опоры №24 ВЛ 0,4 кВ №2 КТП 1555 ВЛ-10 кВ №5 ПС 110 кВ Цимлянская и установка прибора коммерческого учета электрической энергии (мощности) в точке поставки для присоединения жилого дома Перепелицы В.С., расположенного по адресу: Ростовская область, Цимлянский район, п. Саркел, ул. Нагорная, д. 1-б, к.н.з.у. 61:41:0011102:865 (ориентировочная протяженность ЛЭП 0,11 км)</t>
  </si>
  <si>
    <t>Строительство участка ВЛИ-0,4 кВ от вновь установленной опоры вновь построенной ВЛИ-0,4 кВ (по договору №61-1-20-00507769 от 20.04.2020г) от РУ-0,4 кВ вновь установленной ТП-10/0,4 кВ по ВЛ-10 кВ №5 ПС 35/10 кВ Лозновская (по договору №61-1-19-00502997 от 19.03.2020г) и установка прибора коммерческого учета электрической энергии (мощности) в точке поставки для присоединения свинарника ИП Камбур-Оглы И.Б., расположенного по адресу: Ростовская область, Цимлянский район, п. Сосенки, 30 м западнее дома №32 по ул. Центральной, к.н.з.у. 61:41:0600011:962 (ориентировочная протяженность ЛЭП 0,17 км)</t>
  </si>
  <si>
    <t>Строительство ВЛИ-0,4 кВ от РУ-0,4 кВ  КТП-1139 ВЛ-10 кВ №5 ПС 35 кВ Антоновская и установка прибора коммерческого учета электрической энергии (мощности) в точке поставки для присоединения жилого дома Небогатикова В.Н., расположенного по адресу: Ростовская область, Цимлянский район, станица Калининская,  ул. Вербная, д. 23б, к.н.з.у. 61:41:0060109:357 (ориентировочная протяженность ЛЭП 0,4 км)</t>
  </si>
  <si>
    <t>Строительство участка ВЛИ-0,4 кВ от опоры №17 ВЛ-0,4 кВ №1 КТП-1356/100 кВА ВЛ-10 кВ №2 ПС 35/10 кВ ЖБИ, с установкой шкафа 0,4 кВ, и  обеспечение коммерческим учетом электрической энергии (мощности) в точке поставки по присоединению жилого дома Капраловой С.Ф., расположенного по адресу: Ростовская область, Цимлянский район, станица Красноярская, пер. Рабочий, д. 15, кадастровый номер земельного участка 61:41:0020126:126 (ориентировочная протяженность ЛЭП 0,07 км)</t>
  </si>
  <si>
    <t>Строительство участка ВЛИ-0,4 кВ от вновь установленной опоры вновь построенной ВЛИ-0,4 кВ от РУ-0,4 кВ вновь установленной ТП-10/0,4 кВ по ВЛ-10 кВ №5 ПС 35 кВ Лозновская (по договору №61-1-20-00502997 от 19.03.2020г) и установка прибора коммерческого учета электрической энергии (мощности) в точке поставки для присоединения жилого дома Мартынова В.Т., расположенного по адресу: Ростовская область, Цимлянский район,  п. Сосенки, ул. Новая, д. 5, к.н.з.у. 61:41:030301:005 (ориентировочная протяженность ЛЭП 0,025 км)</t>
  </si>
  <si>
    <t>Строительство участка ВЛИ-0,4 кВ от вновь установленной опоры вновь построенной ВЛИ-0,4 кВ от РУ-0,4 кВ вновь установленной ТП-10/0,4 кВ по ВЛ-10 кВ №5 ПС 35 кВ Лозновская (по договору ТП №61-1-20-00502997 от 19.03.2020г.) и установка прибора коммерческого учета электрической энергии (мощности) в точке поставки для присоединения жилого дома Межерицкого А.В., расположенного по адресу: Ростовская область, Цимлянский район, п. Сосенки, ул. Новая, д. 3, к.н.з.у.: 61:41:030302:41 (ориентировочная протяженность ЛЭП 0,02 км)</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</si>
  <si>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Воблая Т.М., расположенной по адресу: Ростовская область, г. Волгодонск, ул. Отдыха, д. 39в38, к.н.з.у.: 61:48:0020101:1827</t>
  </si>
  <si>
    <t>Установка прибора коммерческого учета электрической энергии (мощности) в точке поставки для присоединения малоэтажной жилой застройки Корсунова А.В., расположенной по адресу: Ростовская область, Волгодонской район, станица Романовская, ул. 75 лет Победы, д. 54, к.н.з.у.: 61:08:0600601:4611</t>
  </si>
  <si>
    <t>Установка прибора коммерческого учета электрической энергии (мощности) в точке поставки для присоединения малоэтажной жилой застройки Кривошеина Р.С., расположенной по адресу: Ростовская область, станица Романовская, ул. Мелиораторов, д. 12, кв. 2, к.н.з.у.: 61:08:0070111:447</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</si>
  <si>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Рыкова С.Н., расположенного по адресу: Ростовская обл, Волгодонской р-н, ст. Романовская, ул. 75 лет Победы, д.85, к.н.з.у.:61:08:0600601:4641</t>
  </si>
  <si>
    <t>Строительство участка ВЛИ-0,4 кВ от опоры №1/8 ВЛИ-0,4 кВ №2 КТП 8560 ВЛ 6 кВ №1 ПС 35 кВ НС-12 и установка прибора коммерческого учета электрической энергии (мощности) в точке поставки для присоединения жилого дома Страхова О.С., расположенного по адресу: Ростовская область, Волгодонской район, х. Семенкин, кадастровый номер объекта: 61:08:0601901:1595, к.н.з.у. 61:08:0601901:1590 (ориентировочная протяженность ЛЭП 0,03 км)</t>
  </si>
  <si>
    <t>Установка прибора коммерческого учета электрической энергии (мощности) в точке поставки для присоединения жилого дома Трояновой Н.В., расположенного по адресу: Ростовская область, Волгодонской район, станица Романовская, ул. Одесская, д. 7, к.н.з.у.: 61:08:0600601:3840</t>
  </si>
  <si>
    <t>Установка прибора коммерческого учета электрической энергии (мощности) в точке поставки для присоединения малоэтажной жилой застройки Шпаковой О.Е., расположенного по адресу: Ростовская область, Волгодонской район, станица Романовская, ул. 75-лет Победы, д. 48, к.н.з.у.: 61:08:0600601:4605</t>
  </si>
  <si>
    <t>Установка прибора коммерческого учета электрической энергии (мощности) в точке поставки для присоединения административного/офисного здания АО «Почта России», расположенного по адресу: Ростовская обл., Волгодонской р-н, п. Донской, ул. Ленина, д.19, кв. 1,2,3, к.н.з.у.61:08:0060201:309</t>
  </si>
  <si>
    <t>Установка прибора коммерческого учета электрической энергии (мощности) в точке поставки для присоединения административного/офисного здания АО «Почта России», расположенного по адресу: Ростовская обл., Волгодонской р-н., п. Победа, ул. Кооперативная , д.3, кв. 7,8, к.н.з.у.61:08:0060104:15</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</si>
  <si>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Гурьев А.И., расположенного по адресу: Ростовская обл, Волгодонской р-н, ст. Романовская, ул. 70 лет Октября, д. 47а, к.н.61:08:0070112:459</t>
  </si>
  <si>
    <t>Установка прибора коммерческого учета электрической энергии (мощности) в точке поставки для присоединения садового дома Первиловой Л.Г., расположенного по адресу: Ростовская область, г.Волгодонск, ул. Отдыха, д. 37б7, к.н.з.у.: 61:48:0020101:184</t>
  </si>
  <si>
    <t>Установка прибора коммерческого учета электрической энергии (мощности) в точке поставки для присоединения садового дома Мартынюк С.В., расположенного по адресу: Ростовская область, г.Волгодонск, ул. Отдыха, д. 37а, к.н.з.у.: 61:48:0020101:1858</t>
  </si>
  <si>
    <t>Установка прибора коммерческого учета электрической энергии (мощности) в точке поставки для присоединения объекта туристической отрасли Чикина А.М., расположенного по адресу: Ростовская область, г. Волгодонск, ул. Отдыха, д. 3, к.н.з.у.: 61:48:0020101:1277</t>
  </si>
  <si>
    <t>Строительство участка ВЛ-10 кВ от опоры №74 ВЛ-10 кВ №1 ПС 35/10/6 кВ Донская, с установкой ТП-10/0,4 кВ, строительство ВЛИ-0,4 кВ от РУ-0,4 кВ вновь установленной ТП-10/0,4 кВ,  с установкой шкафа 0,4 кВ, и обеспечение коммерческим учетом электрической энергии (мощности) в точке поставки по присоединению жилого дома Айдимировой А.М., расположенного по адресу: Ростовская область, Волгодонской район, п. Краснодонский, 152 км автодороги Ольгинская-Волгодонск к.н. 61:08:0600101:670 (ориентировочная протяженность  ЛЭП 0,015 км, ориентировочная мощность трансформатора 25 кВА)</t>
  </si>
  <si>
    <t>Строительство участка ВЛИ-0,4 кВ от опоры №8 ВЛ 0,4 кВ №1 КТП 8176 ВЛ 10 кВ №1 ПС 35 кВ Донская и установка прибора коммерческого учета электрической энергии (мощности) в точке поставки для присоединения жилого дома Молчанова А.Н., расположенного по адресу: Ростовская область, Волгодонской район, п. Краснодонский, ул. Южная, д. 9Б, к.н.з.у. 61:08:0600901:293 (ориентировочная протяженность ЛЭП 0,03 км)</t>
  </si>
  <si>
    <t>Строительство участка ВЛИ-0,4 кВ от опоры №8 ВЛ 0,4 кВ №1 КТП 7202 ВЛ 10 кВ №6 ПС 35 кВ Крюковская и установка прибора коммерческого учета электрической энергии (мощности) в точке поставки для присоединения жилого дома Гляненко Н.Ю., расположенного по адресу: Ростовская область, Константиновский район, х. Трофимов, ул. Садовая, д. 2, к.н.з.у. 61:17:0061001:79 (ориентировочная протяженность ЛЭП 0,065 км)</t>
  </si>
  <si>
    <t>Строительство участка ВЛИ-0,4 кВ от опоры №15 ВЛ 0,4 кВ №2 КТП 7068 ВЛ 10 кВ №3 ПС 35 кВ Нижне-Журавская и установка прибора коммерческого учета электрической энергии (мощности) в точке поставки для присоединения жилого дома Сударкина Р.С., расположенного по адресу: Ростовская область, Константиновский район, х. Нижнежуравский, ул. Тихая, д. 1, к.н.з.у. 61:17:0020401:440 (ориентировочная протяженность ЛЭП 0,213 км)</t>
  </si>
  <si>
    <t>Строительство участка ВЛИ-0,4 кВ от опоры №19 ВЛ 0,4 кВ №2 КТП 7246 ВЛ 10 кВ №21 ПС 110 кВ КГУ и установка прибора коммерческого учета электрической энергии (мощности) в точке поставки для присоединения жилого дома Кочетовой А.И, расположенного по адресу: Ростовская область, Константиновский район, х. Камышный, ул. Дальняя, д. 12, к.н.з.у.: 61:17:0030201:324 (ориентировочная протяженность ЛЭП 0,042 км)</t>
  </si>
  <si>
    <t>Строительство участка ВЛИ-0,4 кВ от опоры №2/4 ВЛ 0,4 кВ №1 КТП 7378 ВЛ 10 кВ №11 ПС 35 кВ Мариинская и установка прибора коммерческого учета электрической энергии (мощности) в точке поставки для присоединения жилого дома Сухаревской И.А., расположенного по адресу: Ростовская область, Константиновский район, х. Горский, ул. Центральная, д. 8, к.н.з.у. 61:17:0050201:25 (ориентировочная протяженность ЛЭП 0,02 км)</t>
  </si>
  <si>
    <t>Строительство участка ВЛИ-0,4 кВ от вновь установленной опоры вновь построенной ВЛИ-0,4 кВ от вновь установленной ТП-10/0,4 кВ по ВЛ-10 кВ №4 ПС 35 кВ Николаевская (по договорам ТП №61-1-21-00558799 от 15.02.2021г, №61-1-21-00560041 от 15.02.2021г) и установка прибора коммерческого учета электрической энергии (мощности) в точке поставки для присоединения жилого дома Пятиковой А.Н., расположенного по адресу: Ростовская область, Константиновский район, станица Николаевская, ул. Ермакова, д. 5, к.н.з.у. 61:17:0050101:1594 (ориентировочная протяженность ЛЭП 0,1 км)</t>
  </si>
  <si>
    <t>Техническое перевооружение КТП 7295 ВЛ 10 кВ №15 ПС 110 кВ Константиновская, с заменой силового трансформатора, и установка прибора коммерческого учета электрической энергии (мощности) в точке поставки для присоединения сторожки ООО «Костины Горы», расположенной по адресу: Ростовская область, Константиновский район, АО «Ленинский Путь», к.н.з.у.: 61:17:0600010:781 (ориентировочная мощность трансформатора 0,16 МВА)</t>
  </si>
  <si>
    <t>Строительство участка ВЛИ-0,4 кВ от опоры №1 ВЛ 0,4 кВ №1 КТП 7067 ВЛ 10 кВ №6 ПС 35 кВ Крюковская и установка прибора коммерческого учета электрической энергии (мощности) в точке поставки для присоединения базовой станции ПАО «Ростелеком», расположенной по адресу: Ростовская область, Константиновский район, х. Трофимов, примерно 145 м по направлению на юго-запад от границы участка с кадастровым номером 61:17:0061001:68 по адресу: ул. Степная, 26, в кадастровом квартале 61:17:0061001, к.н.з.у. 61:17:0061001 (ориентировочная протяженность ЛЭП 0,105 км)</t>
  </si>
  <si>
    <t>Строительство участка ВЛИ-0,4 кВ от опоры №13 ВЛИ 0,4 кВ №1 ЗТП 7218 ВЛ 10 кВ №26 ПС 110 кВ КГУ и установка прибора коммерческого учета электрической энергии (мощности) в точке поставки для присоединения административно-бытового корпуса – нежилого помещения ИП Тычко В.Ю., расположенного по адресу: Ростовская область, Константиновский район, х. Ведерников, 0,35 км восточнее х. Ведерников, к.н.з.у. 61:17:0600017:598 (ориентировочная протяженность ЛЭП 0,14 км)</t>
  </si>
  <si>
    <t>Строительство участка ВЛЗ-10 кВ от опоры №69 ВЛ-10 кВ №15 ПС 110 кВ Константиновская,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сторожки ИП Тарелкина В.В., расположенной по адресу: Ростовская область, Константиновский район, Константиновское городское поселение, 3,0 км юго-западнее г. Константиновск, к.н.з.у. 61:17:0500101:265 (ориентировочная протяженность ЛЭП 0,048 км, ориентировочная мощность трансформатора 25 кВА)</t>
  </si>
  <si>
    <t>Строительство участка ВЛИ-0,4 кВ от опоры №3/2 ВЛ 0,4 кВ №2 КТП 7402 ВЛ 10 кВ №11 ПС 35 кВ Николаевская и установка прибора коммерческого учета электрической энергии (мощности) в точке поставки для присоединения жилого дома Байдалина А.Н., расположенного по адресу: Ростовская область, Константиновский район, станица Николаевская, ул. Победы, д. 29, к.н.з.у. 61:17:0050101:2131 (ориентировочная протяженность ЛЭП 0,02 км)</t>
  </si>
  <si>
    <t>Строительство ВЛИ-0,4 кВ от РУ-0,4 кВ КТП-7254/160 кВА ВЛ-10кВ №24 ПС 110/35/10 кВ КГУ, с установкой шкафа 0,4 кВ, и  обеспечение коммерческим учетом электрической энергии (мощности) в точке поставки по присоединению спортивной площадки ИП Сергеева О.В., расположенной по адресу: Ростовская область, Константиновский район, г. Константиновск, ул. Правобережная, д. 17-а, кадастровый номер земельного участка 61:17:0600017:555 (ориентировочная протяженность ЛЭП 0,03 км)</t>
  </si>
  <si>
    <t>Установка прибора коммерческого учета электрической энергии (мощности) в точке поставки и монтаж ответвления от ВЛ к вводу для присоединения объекта наружного освещения Министерства транспорта Ростовской области, расположенного по адресу: Ростовская область, Константиновский район, Начало объекта – на км 0+000, соответствует местоположению точки, расположенной на расстоянии 30 м в прямом направлении от оси а/д «г. Шахты – г. Цимлянск» на км 100+430. Конец объекта – в х. Гапкин, мост на км 6+466+334 (х. Савельев), к.н.з.у.: 61:17:0000000:7468</t>
  </si>
  <si>
    <t>Установка прибора коммерческого учета электрической энергии (мощности) в точке поставки для присоединения базовой станции/оборудования сотовой связи АО «Первая Башенная Компания», расположенной по адресу: Ростовская область, Зимовниковский район, п. Мокрый Гашун, ул. Парковая, участок в 35 м от дома №1, к.н.з.у.: 61:13:0090105</t>
  </si>
  <si>
    <t>Установка прибора коммерческого учета электрической энергии (мощности) в точке поставки и монтаж ответвления от ВЛ к вводу для присоединения квартиры Горькова В.В., расположенной по адресу: Ростовская область, Зимовниковский район, станица Кутейниковская, ул. Школьная, д. 19, кв. 1, к.н.з.у.: 61:13:0070102:85</t>
  </si>
  <si>
    <t>Строительство участка ВЛИ-0,4 кВ от опоры №1/15 ВЛ-0,4 кВ №1 КТП-6100/63 кВА ВЛ-10 кВ №6 ПС 110/35/10 кВ Мартыновская, с установкой шкафа 0,4 кВ, и  обеспечение коммерческим учетом электрической энергии (мощности) в точке поставки по присоединению жилого дома Махмудова М.А., расположенного по адресу: Ростовская область, Мартыновский район, х. Арбузов, ул. Краснопартизанская, д. 36а,  кадастровый номер земельного участка 61:20:0600019:1152 (ориентировочная протяженность ЛЭП 0,09 км)</t>
  </si>
  <si>
    <t>Строительство участка ВЛИ-0,4 кВ от опоры №2 ВЛ-0,4 кВ №2 КТП-6071/100 кВА ВЛ-10 кВ №12 ПС 110/35/10 кВ Мартыновская, с установкой шкафа 0,4 кВ, и  обеспечение коммерческим учетом электрической энергии (мощности) в точке поставки и установка шкафа 0,4 кВ по присоединению жилого дома Лобзенко М.Г., расположенного по адресу: Ростовская область, Мартыновский район, п. Поречье,  ул. Поречинская, д. 7-а, к.н. 61:20:0081001:835 (ориентировочная протяженность ЛЭП 0,017 км)</t>
  </si>
  <si>
    <t>Строительство участка ВЛ-10 кВ от опоры №2/48 ВЛ-10 кВ №6 ПС 110/35/10 кВ Мартыновская, с установкой ТП-10/0,4 кВ, строительство ВЛИ-0,4 кВ от РУ-0,4 кВ вновь установленной ТП-10/0,4 кВ и обеспечение коммерческим учетом электрической энергии (мощности) в точке поставки по присоединению сторожевого дома ИП Ермакова Н.Ю., расположенного по адресу: Ростовская область, Мартыновский район, х. Кривой Лиман, Рубашкинское сельское поселение, к.н. 61:20:0600020:2268 (ориентировочная протяженность ЛЭП 0,365 км, ориентировочная мощность трансформатора 25 кВА)</t>
  </si>
  <si>
    <t>Установка прибора коммерческого учета электрической энергии (мощности) в точке поставки для присоединения жилого дома Мурадова Ю.К., расположенного по адресу: Ростовская область, Мартыновский район, х. Московский, ул. Московская, д. 63, к.н.з.у.: 61:20:0070601:424</t>
  </si>
  <si>
    <t>Установка прибора коммерческого учета электрической энергии (мощности) в точке поставки для присоединения магазина №37 Большовского потребительского общества, расположенного по адресу: Ростовская область, Мартыновский район, х. Пробуждение, ул. Юбилейная, д. 55, к.н.з.у.: 61:20:60080701:220</t>
  </si>
  <si>
    <t>Установка прибора коммерческого учета электрической энергии (мощности) в точке поставки для присоединения скважины для полива огорода Лоладзе Г.М., расположенной по адресу: Ростовская область, Мартыновский район, слобода Большая Орловка, ул. Берестова, д. 109-а, к.н.з.у.: 61:20:0020101:13339</t>
  </si>
  <si>
    <t xml:space="preserve">Обеспечение коммерческим учетом электрической энергии (мощности) в точке поставки и установка шкафа 0,4 кВ по присоединению базовой станции сотовой связи БС 2683 ООО «Т2 Мобайл», расположенной по адресу: Ростовская область, Мартыновский район, п. Крутобережный, пер. Речной, д. 1б, к.н. 61:20:0020501:2925 </t>
  </si>
  <si>
    <t>Установка прибора коммерческого учета электрической энергии (мощности) в точке поставки для присоединения производственной базы ООО «Новоселовское», расположенной по адресу: Ростовская область, Мартыновский район, х. Новоселовка, ул. Кировская, д. 29, к.н.з.у.: 61:20:0070101:122</t>
  </si>
  <si>
    <t>Установка прибора коммерческого учета электрической энергии (мощности) в точке поставки для присоединения скважины для полива огорода Стаценко В.Г., расположенной по адресу: Ростовская область, Мартыновский район, слобода Большая Орловка, ул. Красноармейская, д.155, к.н.з.у. :61:20:020101:0609</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</si>
  <si>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Ивашкова Ю.А., расположенного по адресу Ростовская область, Мартыновский район, х. Несмеяновка, ул. Несмеяновская, д. 49, к.н. 61:20:0070701:1435</t>
  </si>
  <si>
    <t>Установка прибора коммерческого учета электрической энергии (мощности) в точке поставки для присоединения квартиры Умарова Х.А., расположенной по адресу: Ростовская область, Дубовский район, х. Присальский, ул. Энергетиков, д. 4, кв. 2, к.н.з.у.: 61:09:0070101:66</t>
  </si>
  <si>
    <t>Установка прибора коммерческого учета электрической энергии (мощности) в точке поставки для присоединения КТП/С 16 кВА 10/0,4 кВ ПАО «Газпром», расположенного по адресу: Ростовская область, Зимовниковский район, х. Петухов, в Зимовниковском районе Ростовской области на 24,9 км проектируемой перемыки, к.н.з.у.: 61:13:0600001:499 (количество приборов - 1 шт)</t>
  </si>
  <si>
    <t>Установка прибора коммерческого учета электрической энергии (мощности) в точке поставки и монтаж ответвления от ВЛИ к вводу для квартиры Булыгина М.И., расположенной по адресу: Ростовская область, Дубовский район, х.Присальский, ул. Степная, д.3, кв. 1, к.н.з.у.: 61:09:0070101:106</t>
  </si>
  <si>
    <t>Установка прибора коммерческого учета электрической энергии (мощности) в точке поставки и монтаж ответвления от ВЛИ к вводу для присоединения объектов жилищно-коммунального хозяйства Администрации Дубовского района Ростовской области, расположенных по адресу: Ростовская область, Дубовский район, станица Малая Лучка, в границах кадастрового квартала 61:09:0060101, к.н.з.у.: 61:09:0060101:890</t>
  </si>
  <si>
    <t>Строительство участка ВЛИ-0,4 кВ от опоры №1 ВЛ-0,4 кВ №1 КТП-3118 ВЛ 10 кВ №2 ПС 35 кВ Эркетиновская и установка прибора коммерческого учета электрической энергии (мощности) в точке поставки для присоединения жилого дома Габибуллаева М.И., расположенного по адресу: Ростовская область, Дубовский район, х. Кут-Кудинов, ул. Раздольная, д. 36, к.н.з.у. 61:09:0080301:208 (ориентировочная протяженность ЛЭП 0,23 км)</t>
  </si>
  <si>
    <t>Строительство участка ВЛИ-0,4 кВ от опоры №5 ВЛ 0,4 кВ №2 КТП 3013 ВЛ 10 кВ №7 ПС 35 кВ Семичная и установка прибора коммерческого учета электрической энергии (мощности) в точке поставки для присоединения квартиры Шабуровой Н.Н, расположенной по адресу: Ростовская область, Дубовский район, х. Семичный, ул. Октября, д. 1, кв. 2, к.н.з.у.: 61:09:0020101:1821 (ориентировочная протяженность ЛЭП 0,16 км)</t>
  </si>
  <si>
    <t>Строительство участка ВЛИ-0,4 кВ от опоры №1 ВЛ-0,4 кВ №1 КТП-3234 ВЛ-10 кВ №10 ПС 35 кВ Комиссаровская и установка прибора коммерческого учета электрической энергии (мощности) в точке поставки, с монтажом ответвления от ВЛИ к вводу, для присоединения базовой станции/оборудования сотовой связи ПАО «Ростелеком», расположенной по адресу: Ростовская область, Дубовский район, х. Советский, ул. Степная, примерно 23 м по направлению на север от границы участка, расположенного по адресу: ул. Степная, д. 16, к.н.з.у.: 61:09:0120401:001 (ориентировочная протяженность ЛЭП 0,23 км)</t>
  </si>
  <si>
    <t>Строительство участка ВЛИ-0,4 кВ от опоры №6 ВЛ-0,4 кВ №1 КТП-3086 ВЛ 10 кВ №3 ПС 110 кВ Дубовская и установка прибора коммерческого учета электрической энергии (мощности) в точке поставки для присоединения нежилой застройки (хозяйственной постройки, нежилого здания) Акопяна А.Л., расположенной по адресу: Ростовская область, Дубовский район, х. Моисеев, ул. Речная, д. 15, к.н.з.у. 61:09:0010401:39 (ориентировочная протяженность ЛЭП 0,02 км)</t>
  </si>
  <si>
    <t>Строительство участка ВЛ-10 кВ от опоры №4/15 ВЛ-10 кВ №6 ПС 35 кВ Валуевская,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заправочной ИП Исраилова Л.О., расположенной по адресу: Ростовская область, Ремонтненский район, с. Валуевка, ул. Восточная, д.30, к.н.з.у.: 61:32:0600002:4229 (ориентировочная протяженность ЛЭП 0,026 км, ориентировочная мощность трансформатора 0,025 МВА)</t>
  </si>
  <si>
    <t>Строительство участка ВЛИ-0,4 кВ от опоры №37 ВЛ 0,4 кВ №1 КТП 4333 ВЛ 10 кВ №4 ПС 35 кВ Первомайская и установка прибора коммерческого учета электрической энергии (мощности) в точке поставки для присоединения жилого дома Зинченко Е.И., расположенного по адресу: Ростовская область, Ремонтненский район, с. Первомайское, ул. Богданова, д. 3В, к.н.о.: 61/:32:38:007:2005:325, к.н.з.у. 61:32:0080102:6 (ориентировочная протяженность ЛЭП 0,054 км)</t>
  </si>
  <si>
    <t>Строительство участка ВЛИ-0,4 кВ от опоры №8 ВЛ 0,4 кВ №2 КТП 4344 ВЛ 10 кВ №3 ПС 35 кВ Подгорненская и установка прибора коммерческого учета электрической энергии (мощности) в точке поставки для присоединения навеса ИП Луговенко А.Н., расположенного по адресу: Ростовская область, Ремонтненский район, Подгорненское сельское поселение, расположен по направлению на восток от с. Подгорное, к.н.з.у. 61:32:0600004:9777 (ориентировочная протяженность ЛЭП 0,08 км)</t>
  </si>
  <si>
    <t>Установка прибора коммерческого учета электрической энергии (мощности) в точке поставки для присоединения жилого дома Отрезенко А.Д., расположенного по адресу: Ростовская область, Ремонтненский район, х. Раздольный, ул. Центральная, д. 7, к.н.з.у.: 61:32:0050201:469</t>
  </si>
  <si>
    <t>Установка прибора коммерческого учета электрической энергии (мощности) в точке поставки для присоединения жилого дома Крамаревой С.Н., расположенного по адресу: Ростовская область, Ремонтненский район, х. Раздольный, ул. Центральная, д. 11, к.н.з.у.: 61:32:0050201:118</t>
  </si>
  <si>
    <t xml:space="preserve"> Установка прибора коммерческого учета электрической энергии (мощности) в точке поставки для присоединения жилого дома Журавлева Н.С., расположенного по адресу: Ростовская область, Ремонтненский район, х. Развильный, ул. Победы, д. 3, к.н.о.: 61:32:0050201:97:12, к.н.з.у.: 61:32:0050201:97 </t>
  </si>
  <si>
    <t>Установка прибора коммерческого учета электрической энергии (мощности) в точке поставки для присоединения жилого дома Голиковой О.О., расположенного по адресу: Ростовская область, Ремонтненский район, х. Раздольный, ул. Центральная, д. 28, к.н.о.:61:32:0050201:248, к.н.з.у.: 61:32:0050201:70</t>
  </si>
  <si>
    <t>Установка прибора коммерческого учета электрической энергии (мощности) в точке поставки для присоединения жилого дома Волкодав Ю.В., расположенного по адресу: Ростовская область, Ремонтненский район, х. Раздольный, ул. Центральная, д. 9, к.н.о.: 61:32:005201:244, к.н.з.у.: 61:32:005201:52</t>
  </si>
  <si>
    <t>Строительство ВЛИ-0,4 кВ от РУ-0,4 кВ вновь устанавливаемой ТП-10/0,4 кВ, установка ТП-10/0,4 кВ от опоры №1/5 ВЛ 10 кВ №2 ПС 110 кВ Приволенская и установка шкафа коммерческого учета электрической энергии (мощности) в точке поставки для присоединения зерноочистительного комплекса ИП главы К(Ф)Х Нетребина В.Ю., расположенного по адресу: Ростовская область, Ремонтненский район, территория земель Приволенского сельского поселения, 1,5 км севернее п. Привольный, на 44 отарном участке, к.н.з.у.: 61:32:0600001:4291 (ориентировочная протяженность ЛЭП 0,006 км, ориентировочная мощность трансформатора 0,1 МВА)</t>
  </si>
  <si>
    <t>Строительство участка ВЛ-10 кВ от опоры №130 ВЛ-10 кВ №8 ПС 35/10 кВ Потапенковская, с установкой ТП-10/0,4 кВ, строительство ВЛИ-0,4 кВ от РУ-0,4 кВ вновь установленной ТП-10/0,4 кВ, с установкой шкафа 0,4 кВ, и обеспечение коммерческим учетом электрической энергии (мощности) в точках поставки по присоединению нежилого здания Осичкиной А.М., расположенного по адресу: Ростовская область, Заветинский район, х.Фомин, участок находится примерно в 1,3 км, по направлению на восток от ориентира у.Торговое, расположенного за пределами участка, адрес ориентира р-н Заветинский, х.Фомин, к.н. 61:11:0600009:349 (ориентировочная протяженность ЛЭП 0,03 км, ориентировочная мощность трансформатора 25 кВА)</t>
  </si>
  <si>
    <t>Установка прибора коммерческого учета электрической энергии (мощности) в точке поставки и монтаж ответвления от ВЛ к вводу для присоединения объекта торговли (магазин, торговый центр, прочее) ИП Бунина Р.Г., расположенного по адресу: Ростовская область, Цимлянский район, станица Красноярская, ул. Победы, д.110,   корп. в, к.н.з.у.: 61:41:0020108:57</t>
  </si>
  <si>
    <t>Установка прибора коммерческого учета электрической энергии(мощности) в точке поставки и монтаж ответвления от ВЛ к вводу для присоединения общеобразовательной организации (учреждения) Администрации Цимлянского района, расположенной по адресу: Ростовская область,  Цимлянский район, Красноярское сельское поселение, станица Красноярская, ул. Ленина, 2б, к.н.з.у.:    61:41:0020128:320</t>
  </si>
  <si>
    <t>Установка прибора коммерческого учета электрической энергии (мощности) в точке поставки для присоединения части жилого дома Лысовой Е.М., расположенной по адресу: Ростовская область, Цимлянский район, п. Саркел, ул. Набережная, д. 4, кв./оф. 2, к.н.з.у.: 61:41:0011107:64</t>
  </si>
  <si>
    <t>Установка прибора коммерческого учета электрической энергии (мощности) в точке поставки для присоединения квартиры Кучеренко С.В., расположенной по адресу: Ростовская область, Цимлянский район, п. Саркел, пер. Виноградный, д. 5, кв./оф. 6, к.н.з.у.: 61:41:0011104:0072</t>
  </si>
  <si>
    <t>Установка прибора коммерческого учета электрической энергии (мощности) в точке поставки для присоединения малоэтажной жилой застройки (индивидуального жилого дома/садового/дачного дома) Колесникова Г.В., расположенной по адресу: Ростовская область, Цимлянский район, х. Лозной, ул. Советская, д.125, к.н.з.у.: 61:41:0030110:132</t>
  </si>
  <si>
    <t xml:space="preserve"> Установка прибора коммерческого учета электрической энергии (мощности) в точке поставки для присоединения жилого дома Корченко В.В., расположенного по адресу: Ростовская область, Цимлянский район, станица Красноярская, пер. Красноармейский, д. 28, к.н.з.у. 61:41:0020118:79</t>
  </si>
  <si>
    <t>Строительство участка ВЛИ-0,4 кВ от опоры №17 ВЛ-0,4 кВ №1 КТП-1356 ВЛ-10кВ №2 ПС 35кВ ЖБИ и установка прибора коммерческого учета электрической энергии (мощности) в точке поставки для присоединения жилого дома Фрик Г.Н., расположенного по адресу: Ростовская область, Цимлянский район, станица Красноярская, пер. Рабочий, д. 4, кадастровый номер земельного участка 61:41:0020126:138 (ориентировочная протяженность ЛЭП 0,06 км)</t>
  </si>
  <si>
    <t>Строительство участка ВЛИ-0,4 кВ от опоры №6 ВЛ 0,4 кВ №2 КТП-1409 ВЛ 10 кВ №17 ПС 110 кВ Цимлянская и установка прибора коммерческого учета электрической энергии (мощности) в точке поставки для присоединения жилого дома Глобы Е.Н., расположенного по адресу: Ростовская область, Цимлянский район, станица Красноярская, ул. Степная, д. 42, к.н.з.у. 61:41:0020122:367 (ориентировочная протяженность ЛЭП 0,22 км)</t>
  </si>
  <si>
    <t>Строительство участка ВЛИ-0,4 кВ от опоры №5/3 ВЛ 0,4 кВ №1 КТП-1443 ВЛ 10 кВ №5 ПС 110 кВ Цимлянская до опоры №6/2 ВЛ 10 кВ №5 ПС 110 кВ Цимлянская с реконструкцией участка ВЛ-0,4 кВ от опоры №1/7 до опоры №5/3 ВЛ 0,4 кВ №1 КТП-1443 ВЛ 10 кВ №5 ПС 110 кВ Цимлянская и установка прибора коммерческого учета электрической энергии (мощности) в точке поставки для присоединения малоэтажной жилой застройки (индивидуального жилого дома/садового/дачного дома) Кузнецова М.А., расположенной по адресу: Ростовская область, Цимлянский район, п. Саркел, пер. Западный, д. 27б, к.н.з.у. 61:41:0011105:161(ориентировочная протяженность ЛЭП 0,12 км)</t>
  </si>
  <si>
    <t>Установка прибора коммерческого учета электрической энергии (мощности) в точке поставки для присоединения малоэтажной жилой застройки (индивидуального жилого дома/садового/дачного дома) Молчановой Д.Д., расположенной по адресу: Ростовская область, Волгодонской район, п. Краснодонский, ул. Южная, д. 9а, к.н.з.у.: 61:08:0600901:296</t>
  </si>
  <si>
    <t xml:space="preserve"> Установка прибора коммерческого учета электрической энергии (мощности) в точке поставки для присоединения малоэтажной жилой застройки Мироненко А.М., расположенной по адресу: Ростовская область, Волгодонской район, станица Романовская, пер. Октябрьский, д. 41, к.н.з.у.: 61:08:0070118:118</t>
  </si>
  <si>
    <t>Установка прибора учета для присоединения жилого дома Литвинова С.В., расположенного по адресу: Ростовская область, Октябрьский район, с/т «Электровозостроитель», 27, КН ЗУ: 61:28:0502501:365</t>
  </si>
  <si>
    <t>Строительство ВЛИ-0,4 кВ от конечной опоры ВЛИ-0,4 кВ, строящейся по договору ТП от 23.10.2020 №61-1-20-00540187 (Андреева И.В) от оп. №25 ВЛИ-0,4 кВ №2 МТП №802 ВЛ-10 кВ Красюковка ПС Ш-39 для электроснабжения двух садовых домов СТ «Электровозостроитель» (Кривцова Я.А., Московченко О.Л.) (ориентировочная протяженность ЛЭП – 0,05 км)</t>
  </si>
  <si>
    <t>Строительство ВЛИ-0,4 кВ от оп. №25 ВЛИ-0,4 кВ №2 МТП №802 ВЛ-10 кВ Красюковка ПС Ш-39 для электроснабжения садового дома Андреевой И.В. Ростовская обл., Октябрьский р-н, садоводческое товарищество «Электровозостроитель», уч. №42. (ориентировочная протяженность ЛЭП – 0,08 км)</t>
  </si>
  <si>
    <t>Строительство ВЛИ-0,4 кВ от конечной опоры ВЛИ-0,4 кВ, строящейся по договору ТП от 02.11.2020 №61-1-20-00542985 (Екименко П.И.) от оп. №26 ВЛИ-0,4 кВ №1 МТП №802 ВЛ-10 кВ Красюковка ПС Ш-39 для электроснабжения садового дома Камышовой Л.М. СТ «Электровозостроитель» (ориентировочная протяженность ЛЭП – 0,13 км)</t>
  </si>
  <si>
    <t>Строительство ВЛИ-0,4 кВ от конечной опоры ВЛИ-0,4 кВ, строящейся по договору ТП от 13.10.2020 №61-1-20-00538033 (Аветисян И.А.) от оп. №26 ВЛИ-0,4 кВ №1 МТП №802 ВЛ-10 кВ Красюковка ПС Ш-39 для электроснабжения четырех садовых домов СТ «Электровозостроитель» (ориентировочная протяженность ЛЭП – 0,13 км)</t>
  </si>
  <si>
    <t>Установка прибора учета для присоединения базовой станции/ оборудования сотовой связи ПАО «Ростелеком», расположенной по адресу: Ростовская область, Родионово-Несветайский район, х. Большой Должик»</t>
  </si>
  <si>
    <t>Установка прибора учета для присоединения базовой станции/оборудования сотовой связи ПАО «Ростелеком», расположенной по адресу: Ростовская область, Октябрьский район, п. Равнинный, КН ЗУ:  61:28:000000:00</t>
  </si>
  <si>
    <t>Установка прибора учета для присоединения базовой станции/оборудования сотовой связи ПАО «Ростелеком», расположенной по адресу: Ростовская область, Усть-Донецкий район, х. Коныгин, КН ЗУ:  61:39:000000:00</t>
  </si>
  <si>
    <t>Установка прибора учета для присоединения базовой станции/оборудования сотовой связи ПАО «Ростелеком», расположенной по адресу: Ростовская область, Усть-Донецкий район, х. Ольховский, КН ЗУ:  61:39:000000:00</t>
  </si>
  <si>
    <t>Установка прибора учета для присоединения базовой станции сотовой связи ПАО «Ростелеком», расположенной по адресу: Ростовская область, Октябрьский район, х. Ягодинка</t>
  </si>
  <si>
    <t>Установка прибора учета для присоединения базовой станции сотовой связи ПАО «Ростелеком», расположенной по адресу: Ростовская область, Октябрьский район, х. Шевченко</t>
  </si>
  <si>
    <t>Установка прибора учета для присоединения базовой станции сотовой связи ПАО «Ростелеком», расположенной по адресу: Ростовская область, Октябрьский район, х. Марьевка</t>
  </si>
  <si>
    <t>Установка прибора учета для присоединения базовой станции сотовой связи ПАО «Ростелеком», расположенной по адресу: Ростовская область, Октябрьский район, х. Калиновка</t>
  </si>
  <si>
    <t>Установка прибора учета для присоединения базовой станции/оборудования сотовой связи ПАО междугородной и международной электрической связи «Ростелеком», расположенной по адресу: Ростовская область, Красносулинский район, х. Новоровенецкий</t>
  </si>
  <si>
    <t>Строительство ВЛ 0,4 кВ от существующей оп. №8 ВЛ 0,4 кВ №2 от КТП №197 по ВЛ 6- кВ Смирнов от ПС Г-15 для присоединения домика фермера. Ростовская область, Красносулинский район, х. Коминтерн, СПК «Красный партизан» (ООО Авангард) (ориентировочная протяженность ЛЭП-0,805 км)</t>
  </si>
  <si>
    <t>Строительство ВЛИ-0,4 кВ от строящейся ТП-10/0,4 кВ по строящейся ВЛ-10 кВ от существующей оп. № 6 отпайки к КТП № 41 ВЛ-10кВ «Кирова» ПС Ш-18 для присоединения площадки водозаборных сооружений в х. Тереховский Усть-Донецкого района (МКУ «Служба заказчика») (ориентировочная протяженность ЛЭП 0,540 км, ориентировочная мощность трансформатора 40 кВА)</t>
  </si>
  <si>
    <t xml:space="preserve"> Установка прибора учета для присоединения «нежилого здания» ФГКУ «ПУ ФСБ РФ по РО» расположенной по адресу: р-н. Родионово-Несветайский, сл. Алексеево-Тузловка, ул. Садовая, д. 14 к.н.з.у. 61:33:0051001:827</t>
  </si>
  <si>
    <t>Установка прибора учета для присоединения объекта «Малоэтажная жилая застройка (Индивидуальный жилой дом/Садовый/Дачный дом)» Двужиловой С.Н., расположенного по адресу: Ростовская область, Родионово-Несветайский район, сл. Большекрепинская, ул. Новоселовская, д. 1, КН ЗУ: 61:33:0060101:370</t>
  </si>
  <si>
    <t xml:space="preserve"> Установка прибора учета для присоединения объекта торговли (магазин, торговый центр, прочее) ИП Белоусова В.А., расположенного по адресу: Ростовская область, Родионово-Несветайский район, сл. Барило-Крепинская, ул. Ленина, д. 17, КН ЗУ: 61:33:0050101:539</t>
  </si>
  <si>
    <t>Установка прибора учета для присоединения объекта Малоэтажная жилая застройка (Индивидуальный жилой дом/Садовый/Дачный дом) Мартиросян С.К., расположенной по адресу: Ростовская область,  Родионово-Несветайский район, х. Каменный Брод, ул. Курсантов РАУ,  д. 31/1, КН ЗУ: 61:33:0030501:2167</t>
  </si>
  <si>
    <t>Установка прибора учета для присоединения Базовой станции/ оборудования сотовой связи АО «ПБК», расположенной примерно в 20 м по направлению на восток от дома по адресу: Ростовская область, Родионово-Несветайский район, х. Нагорно-Тузловка, ул. Красноармейская, д. 51, в пределах кадастрового квартала 61:33:0051201, территориально расположенного в зоне Ж1</t>
  </si>
  <si>
    <t>Установка прибора учета для присоединения квартиры Титовой Н.М., расположенной по адресу: Ростовская область, Аксайский район, х. Горизонт, ул. Центральная, д. 5, кв. 2, КН ЗУ: 61:02:0030701:3</t>
  </si>
  <si>
    <t xml:space="preserve"> Строительство ВЛИ-0,4 кВ от оп. №7 ВЛИ-0,4 кВ №1 КТП №670 ВЛ-10 кВ Совхоз ПС Ш-16 для электроснабжения жилого дома Демина П.Ю. по адресу: Октябрьский р-н, п. Красногорняцкий, ул. Короткая, д.6 (ориентировочная протяженность ЛЭП – 0,08 км)</t>
  </si>
  <si>
    <t>Строительство ВЛИ-0,4 кВ от оп. №26 ВЛИ-0,4 кВ №1 МТП №802 ВЛ-10 кВ Красюковка ПС Ш-39 для электроснабжения садового дома Аветисян И.А. Ростовская обл., Октябрьский р-н, садоводческое товарищество «Электровозостроитель», уч. №124. (ориентировочная протяженность ЛЭП – 0,03 км)</t>
  </si>
  <si>
    <t>Установка прибора учета для присоединения склада запчастей ИП главы КФХ Шепилова В.А., расположенного по адресу: Ростовская область, Октябрьский район, х. Керчик-Савров, ул. Алейникова, д.9, КН ЗУ: 61:28:0050101:1655</t>
  </si>
  <si>
    <t>Установка прибора учета для присоединения малоэтажной жилой застройки Тихоновой О.Л., расположенной по адресу: Ростовская область, Октябрьский район, х. Керчик-Савров, ул. Колхозная, д. 25, КН ЗУ: 61:28:0050101:403</t>
  </si>
  <si>
    <t>Обеспечение коммерческим учетом электрической энергии (мощности) в точке поставки по присоединению объектов заявителей. Ростовская область, Октябрьский район, п. Красногорняцкий, ул. Короткая д. 2 (Лысаковский А.В.) (1 шт.)</t>
  </si>
  <si>
    <t xml:space="preserve"> Установка прибора учета для присоединения жилого дома Слепкова Е.А., расположенного по адресу: Ростовская область, Октябрьский район, ст-ца Кривянская, ул. Декабристов, д. 24а, КН ЗУ: 61:28:0040124:84</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</si>
  <si>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Червяковой А.А., расположенного по адресу: Ростовская область, Октябрьский район, садоводческое товарищество «Электровозостроитель», уч. №22, к.н.з.у.: 61:28:0502501</t>
  </si>
  <si>
    <t>Установка прибора учета для присоединения жилого дома Гришневой Н.В., расположенного по адресу: Ростовская область, Красносулинский район, х. Лихой, ул. Советская, д.29, КН ЗУ: 61:18:0070107:1</t>
  </si>
  <si>
    <t>Строительство ВЛИ-0,4 кВ от оп.5 по ВЛ 0,4кВ № 2 от МТП № 05 ВЛ-10 кВ Кутейниково ПС Н-9, для электроснабжения «Малоэтажная жилая застройка (Индивидуальный жилой дом/Садовый/Дачный дом)» Токаренко Д.Ю., Матвеева С.В., Липявкиной О.А. по адресу: р-н. Родионово-Несветайский, сл. Родионово-Несветайская, ул. Персиковая, д. 4; д.8; д.12. (ориентировочная протяженность ЛЭП – 0,235 км)</t>
  </si>
  <si>
    <t>Строительство ВЛИ 0,4 кВ от ВЛИ 0,4 кВ №1 КТП 364 ВЛ 10 кВ Жилмассив ПС Ш34 для электроснабжения объекта туристической отрасли Витковского П.В. по адресу: Усть-Донецкий район, ст. Мелиховская, КН ЗУ 61:39:600016:529 (ориентировочная протяженность ЛЭП – 0,360 км)</t>
  </si>
  <si>
    <t>Строительство ВЛИ-0,4 кВ от вновь построенной ТП 10/0,4 кВ подключенной к вновь построенной ВЛ-10кВ от ВЛ-10кВ Комплекс ПС 110/35/10 Ш-34 для присоединения вагончика ИП Лукьянова М.А. в ст. Мелиховская Усть-Донецкого района (ориентировочная протяженность ЛЭП 0,250 км, ориентировочная мощность трансформатора 25 кВА)</t>
  </si>
  <si>
    <t>Строительство ВЛИ-0,4 кВ от РУ-0,4 кВ МТП №803 ВЛ-10 кВ Красюковка ПС Ш-39 для электроснабжения одиннадцати садовых домов с/т «Электровозостроитель» (ориентировочная протяженность ЛЭП – 1,15 км)</t>
  </si>
  <si>
    <t>Строительство ВЛИ-0,4 кВ от оп. №1 ВЛ-0,4 кВ №1 КТП №474 ВЛ-6 кВ Кривянка ПС Ш-40 для электроснабжения жилого дома Азарянскова В.В. по адресу: Октябрьский р-н, ст. Кривянская, ул. Декабристов, д.91 (ориентировочная протяженность ЛЭП – 0,08 км)</t>
  </si>
  <si>
    <t xml:space="preserve"> Строительство ВЛИ-0,4 кВ от конечной опоры ВЛИ-0,4 кВ, строящейся по договору ТП №61-1-21-00555897 от 25.01.2021г с Азарянсковым В.В. от оп. №1 ВЛ-0,4 кВ №1 КТП №474 ВЛ-6 кВ Кривянка ПС Ш-40, для электроснабжения жилого дома Поповой А.А. по адресу: Октябрьский р-н, ст. Кривянская, ул. Декабристов, д.81 (ориентировочная протяженность ЛЭП – 0,24 км)</t>
  </si>
  <si>
    <t>Строительство ВЛИ-0,4 кВ от конечной опоры ВЛИ-0,4 кВ, строящейся по договору ТП от 13.10.2020 №61-1-20-00538031 от оп. №9 ВЛИ-0,4 кВ №1 МТП №802 ВЛ-10 кВ Красюковка ПС Ш-39 для электроснабжения садового дома Колесниковой Е.С. по адресу: Октябрьский р-н, садоводческое товарищество «Электровозостроитель», уч.153 (ориентировочная протяженность ЛЭП – 0,2 км)</t>
  </si>
  <si>
    <t>Строительство ВЛИ-0,4 кВ от конечной опоры ВЛИ-0,4 кВ, строящейся по договору ТП от 13.10.2020 №61-1-20-00538031 (Вербицкая Е.Н.) от оп. №9 ВЛИ-0,4 кВ №1 МТП №802 ВЛ-10 кВ Красюковка ПС Ш-39 для электроснабжения садового дома СТ «Электровозостроитель» (Самара Ю.А.) (ориентировочная протяженность ЛЭП – 0,25 км)</t>
  </si>
  <si>
    <t>Строительство ВЛИ-0,4 кВ от оп. №11 ВЛИ-0,4 кВ №1 МТП №802 ВЛ-10 кВ Красюковка ПС Ш-39 для электроснабжения трех садовых домов СТ «Электровозостроитель» (Морозова Т.В., Мартыненко С.В., Деревянченко Н.Б.) (ориентировочная протяженность ЛЭП – 0,09 км)</t>
  </si>
  <si>
    <t>Строительство ВЛИ-0,4 кВ от конечной опоры ВЛИ-0,4 кВ, строящейся по договору ТП от 10.11.2020 №61-1-20-00544433 (Морозова Т.И.) от оп. №11 ВЛИ-0,4 кВ №1 МТП №802 ВЛ-10 кВ Красюковка ПС Ш-39 для электроснабжения садового дома Акользиной О.Н. СТ «Электровозостроитель» (ориентировочная протяженность ЛЭП – 0,25 км)</t>
  </si>
  <si>
    <t>Строительство ВЛИ-0,4 кВ от оп. №58 ВЛИ-0,4 кВ №1 КТП №201 по ВЛ-6 кВ Кривянка ПС 110 кВ Ш-43 для присоединения базовой станции сотовой связи АО «Первая Башенная Компания» по адресу: Ростовская область, Октябрьский район, ст. Кривянская, ул. Кирпичная, участок в 70 м от дома №152 (ориентировочная протяженность ЛЭП-0,215 км)</t>
  </si>
  <si>
    <t>Строительство ВЛИ-0,4 кВ оп.24 по ВЛ 0,4кВ № 1 от КТП № 502 ВЛ-10 кВ Кутейниково ПС Н-9 для электроснабжения объекта «Малоэтажная жилая застройка (Индивидуальный жилой дом/Садовый/Дачный дом)» по адресу: Ростовская обл., р-н. Родионово-Несветайский, сл. Родионово-Несветайская, ул. Покрышкина, д. 11.(ориентировочная протяженность ЛЭП – 0,450 км)</t>
  </si>
  <si>
    <t>Строительство ВЛИ-0,4 кВ от ВЛ 0,4 кВ № 1 КТП 66 ВЛ 10 кВ Крымский ПС Ш14 с коммерческим учетом электрической энергии (мощности) в точке поставки для электроснабжения фермы ИП Бочтового Н.И., в х.Крымском, Усть-Донецкого р-на, (ориентировочная протяженность ЛЭП 0,2 км)</t>
  </si>
  <si>
    <t>Строительство ВЛИ 0,4 кВ от ВЛ 0,4 кВ №2 КТП 320 ВЛ 10 кВ Пухляковка ПС Ш34 для электроснабжения ВРУ-0.4кВ дачного дома Архангельского А.С. по адресу: Усть-Донецкий район, х. Пухляковский, ул. Механизаторов 35, КН ЗУ 61:39:0090103:124 (ориентировочная протяженность ЛЭП – 0,210 км)</t>
  </si>
  <si>
    <t xml:space="preserve"> Установка прибора учета для присоединения садового дома Кокошниковой Л.Л., расположенного по адресу: Ростовская область, Октябрьский район, садоводческое товарищество «Электровозостроитель», уч. 62, КН ЗУ: 61:28:0502501:287</t>
  </si>
  <si>
    <t xml:space="preserve"> Установка прибора учета для присоединения малоэтажной жилой застройки Махотенко П.В., расположенной по адресу: Ростовская область, Октябрьский район, х. Калинин, с/т «Дон» уч-к №470, КН ЗУ: 61:28:0504201:523</t>
  </si>
  <si>
    <t>Установка прибора учета для присоединения жилого дома Попова Е.В., расположенного по адресу: Ростовская область, Октябрьский район, п. Новозарянский, ул. Калинина, д.5, КН ЗУ: 61:28:100101:0010</t>
  </si>
  <si>
    <t>Обеспечение коммерческим учетом электрической энергии (мощности) в точке поставки по присоединению объекта заявителя. Российская Федерация, Ростовская обл., р-н Усть-Донецкий, ст. Раздорская, ул. Коныгинская, д. 8 (Крылов Г.В.) (1 шт.)</t>
  </si>
  <si>
    <t xml:space="preserve"> Установка прибора учета для присоединения ВРУ-0,4кВ жилого дома Алексеевой Н.И., расположенного по адресу: Ростовская область, Усть-Донецкий район, х. Апаринский, ул. Социалистическая,  д. 20, к.н.з.у: 61:39:0050101:152</t>
  </si>
  <si>
    <t>Обеспечение коммерческим учетом электрической энергии (мощности) в точке поставки по присоединению объекта заявителя. Российская Федерация, Ростовская обл., р-н Усть-Донецкий, п. Донские Зори, ул. Дачная, д. 3В (Андреещева А.Н.) (1 шт.)</t>
  </si>
  <si>
    <t>Установка прибора учета для присоединения ВРУ-0,4кВ жилого дома Левченкова С.Л., расположенного по адресу: Ростовская область, Усть-Донецкий район, х. Апаринский, ул. Степная,  д. 3, к.н.з.у.: 61:39:050101:0129</t>
  </si>
  <si>
    <t>Установка прибора учета для присоединения ВРУ-0,4кВ жилого дома Леоновой И.А., расположенного по адресу: Ростовская область, Усть-Донецкий район, п. Огиб, ул. Новая,  д. 11, к.н.з.у.: 61:39:0060601:82</t>
  </si>
  <si>
    <t>Обеспечение коммерческим учетом электрической энергии (мощности) в точке поставки по присоединению объекта заявителя. Ростовская обл., р-н Усть-Донецкий, с.т. "Горняк" №337 (Луковская Л.А.) (1 шт.)</t>
  </si>
  <si>
    <t xml:space="preserve"> Строительство ВЛИ-0,4 кВ от ВЛ 0,4 кВ № 2 КТП 14 ВЛ 10 кВ Кундрючий ПС Ш32 с коммерческим учетом электрической энергии (мощности) в точке поставки для электроснабжения нежилого здания ИП Климович В.В., в ст. Нижнекундрюченская, Усть-Донецкого р-на, (ориентировочная протяженность ЛЭП 0,065 км)</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</si>
  <si>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ВРУ-0,4 кВ жилого дома Заявителя Бурда О.А., расположенного по адресу: Ростовская область, Красносулинский район, г. Красный Сулин, ул. Виноградная, д. 63, к.н.з.у.: 61:18:0140101:17</t>
  </si>
  <si>
    <t xml:space="preserve"> Установка прибора учета для присоединения модульного ФАП Муниципального Бюджетного Учреждения Здравоохранения «Районная больница г. Красного Сулина и Красносулинского района Ростовской области», расположенного по адресу: Ростовская область, Красносулинский район, Пролетарское сельское поселение, пос. Донлесхоз, ул. Лесная, б/н, КН ЗУ: 61:18:0080202:410</t>
  </si>
  <si>
    <t>Установка прибора учета для присоединения нестационарного торгового павильона Бугрименко О.Г., расположенного по адресу: Ростовская область, Красносулинский район, х. Малое Зверево, ул. Колхозная, д. б/н</t>
  </si>
  <si>
    <t>Строительство ВЛИ-0,4 кВ от оп.22 ВЛ 0,4 кВ № 1 от ТП 10/0,4кВ № 134 по ВЛ-10кВ «Заря» ПС Н-9, для электроснабжения магазина ИП Головкова В.М.по адресу: сл. Родионово-Несветайская, ул. 30 лет Победы, д. 31В (ориентировочная протяженность ЛЭП – 0,050 км)</t>
  </si>
  <si>
    <t xml:space="preserve"> Обеспечение коммерческим учетом электрической энергии (мощности) в точке поставки по присоединению объекта заявителя. Ростовская область р-н. земельный участок находится примерно в 172 м по направлению на восток от дома № 1 по ул. Заречная, х. Новопрохоровка (Алещенко А.П.) (1 шт.)</t>
  </si>
  <si>
    <t>Строительство ВЛИ-0,4 кВ от оп.8 по ВЛ 0,4кВ № 3 от МТП № 05 ВЛ-10 кВ Кутейниково ПС Н-9, для электроснабжения «Малоэтажная жилая застройка (Индивидуальный жилой дом/Садовый/Дачный дом)» Кустарниковой Д.И. по адресу: р-н. Родионово-Несветайский, сл. Родионово-Несветайская, ул. Абрикосовая,  д. 34А, к.н.з.у. 61:33:0040123:616,,  (ориентировочная протяженность ЛЭП – 0,025 км)</t>
  </si>
  <si>
    <t>Строительство ВЛИ-0,4 кВ от оп.3 ВЛ 0,4 кВ №1 от КТП 10/0,4кВ № 512 по ВЛ-10кВ «Каменный Брод» ПС АС-12 для электроснабжения садового дома Потапченко К.А. Родионово-Несветайский р-н СНТ "Комбайностроитель", уч.№ 3-324 (ориентировочная протяженность ЛЭП – 0,045 км)</t>
  </si>
  <si>
    <t>Установка прибора учета для присоединения храма Местной религиозной организации православного Прихода храма Покрова Пресвятой Богородицы сл. Большекрепинская Родионово-Несветайского района Ростовской области Шахтинской Епархии Русской Православной Церкви (Московский патриарх), расположенного по адресу: Ростовская область, Родионово-Несветайский район, сл. Большекрепинская, ул. Стахановская, д. 17, КН ЗУ: 61:33:006101:2886</t>
  </si>
  <si>
    <t>Обеспечение коммерческим учетом электрической энергии (мощности) в точке поставки по присоединению объекта заявителя. Ростовская область, Родионово-Несветайский район, х. Веселый, ул. Центральная, д. 8 (Соколова В.В.) (1 шт.)</t>
  </si>
  <si>
    <t>Обеспечение коммерческим учетом электрической энергии (мощности) в точке поставки по присоединению объекта заявителя. Ростовская область, Родионово-Несветайский район, х. Большой Должик, ул. Октября, д. 5 (Сыроватский Н.П.) (1 шт.)</t>
  </si>
  <si>
    <t xml:space="preserve"> Обеспечение коммерческим учетом электрической энергии (мощности) в точке поставки по присоединению объекта заявителя. Ростовская область, р-н. Родионово-Несветайский, сл. Аграфеновка, участок находиться примерно в 55м по направлению на юг от ориентира земельного участка, расположенного по адресу: Ростовская область, Родионово-Несветайский район, сл. Аграфеновка, ул. Гагарина,62 (ООО «Т2 Мобайл») (1 шт.)</t>
  </si>
  <si>
    <t>Строительство ВЛИ-0,4 кВ от конечно опоры строящейся по договору ТП № 61-1-20-00531041 от 04.09.2020 с Серенко Н.А от РУ 0,4кВ КТП 10/0,4кВ № 508 по ВЛ-10кВ «КРС» ПС Н-9 для электроснабжения жилого дома Шамсиева Б.Д. Родионово-Несветайский р-н сл. Родионово-Несветайская, ул. Сосновая, д. 7А (ориентировочная протяженность ЛЭП – 0,035 км)</t>
  </si>
  <si>
    <t>Установка прибора учета для присоединения жилого дома Щербаха В.С., расположенного по адресу: Ростовская область, Родионово-Несветайский район,  сл. Большекрепинская, ул. Красноармейская,  д. 9, КН ЗУ: 61:33:0060101:1103</t>
  </si>
  <si>
    <t xml:space="preserve"> Строительство ВЛИ-0,4 кВ от оп.1 по ВЛ-0,4кВ № 1 от КТП 10/0,4кВ № 524 по ВЛ-10кВ «Память Кирова» ПС Н-9 для электроснабжения «свинарник-откормочник» ИП Саргсян С.А. по адресу: Ориентир от дороги Родионово-Несветайская-Дарьевка. участок находится примерно в 120 м от ориентира по на правлению на северо-запад (ориентировочная протяженность ЛЭП – 0,210км)</t>
  </si>
  <si>
    <t>Строительство ВЛИ-0,4 кВ оп.6 по ВЛ 0,4кВ № 1 от КТП № 512 ВЛ-10 кВ Каменный Брод ПС АС-12 для электроснабжения «Малоэтажная жилая застройка (Индивидуальный жилой дом/Садовый/Дачный дом)» по адресу: Российская Федерация, Ростовская обл., р-н. Родионово-Несветайский, х. Каменный Брод, СНТ "Комбайностроитель" участок 3-751. (ориентировочная протяженность ЛЭП – 0,335 км)</t>
  </si>
  <si>
    <t>Строительство ВЛИ-0,4 кВ от оп. №1 ВЛ-0,4 кВ №2 МТП №217 ВЛ-6 кВ Прогресс ПС Ш-41 для электроснабжения жилого дома Семеновой Е.П. по адресу: Октябрьский р-н, ст. Заплавская, ул. Ленина, д.65 (ориентировочная протяженность ЛЭП – 0,24 км)</t>
  </si>
  <si>
    <t xml:space="preserve"> Строительство ТП-10/0,4, ВЛ-10 кВ от существующей оп. №150 ВЛ 10 кВ Федоровка ПС С-5, и ВЛИ-0,4 кВ от вновь установленной ТП-10/0,4 кВ для присоединения строительной площадки, Ростовская обл, Красносулинского района, СПК «Федоровский», в 830 м на юго-запад от х. Большая Федоровка (ориентировочная протяженность ЛЭП 0,095 км, ориентировочная мощность трансформатора 25 кВА)</t>
  </si>
  <si>
    <t>Установка прибора учета для присоединения жилого дома Сафронова С.А., расположенного по адресу: Ростовская область, Красносулинский район, с. Киселево, ул. Луговая, д.17</t>
  </si>
  <si>
    <t>Установка прибора учета для присоединения нежилой застройки Сулименко И.Н., расположенной по адресу: Ростовская область, Красносулинский район, х. Садки, 150 метров на северо-восток от дома № 23 по ул. Маркина, КН ЗУ: 61:18:0090107:432</t>
  </si>
  <si>
    <t>Установка прибора учета для присоединения нежилого здания (корпуса для откорма КРС) Колесникова М.А., расположенного по адресу: Ростовская область, Красносулинский район, примерно в 90 м., по направлению на юго-восток от х. Нижняя Ковалевка, КН ЗУ: 61:18:0600001:491</t>
  </si>
  <si>
    <t>Установка прибора учета для присоединения объекта «Малоэтажная жилая застройка (Индивидуальный жилой дом/Садовый/Дачный дом)» Абрамова М.С., расположенного по адресу: Ростовская область, Родионово-Несветайский район, х. Каменный Брод, ул. Калининская,  д. 14а, КН ЗУ: 61:33:0030501:1940</t>
  </si>
  <si>
    <t>Установка прибора учета для присоединения нежилого здания (общежития) ООО «Агрокомплекс Ростовский», расположенного по адресу: Ростовская область, Родионово-Несветайский район, сл. Большекрепинская, ул. Ленина, д. 13, к.н.з.у.: 61:33:0060101:1197</t>
  </si>
  <si>
    <t>Установка прибора учета для присоединения объекта «Малоэтажная жилая застройка (Индивидуальный жилой дом/Садовый/Дачный дом)» Ермашова А.С., расположенного по адресу: Ростовская область, Родионово-Несветайский район, х. Веселый, ул. Новая, д. 26А, КН ЗУ: 61:33:0040701:1376</t>
  </si>
  <si>
    <t>Установка прибора учета для присоединения объекта «Малоэтажная жилая застройка (Индивидуальный жилой дом/Садовый/Дачный дом)» Есипенко С.И., расположенного по адресу: Ростовская область, Родионово-Несветайский район, сл. Аграфеновка, ул. Просвещения, д. 144, КН ЗУ: 61:33:0010101:353</t>
  </si>
  <si>
    <t>Установка прибора учета для присоединения объекта Малоэтажная жилая застройка (Индивидуальный жилой дом/Садовый/Дачный дом) Ивановой Ю.А., расположенного по адресу: Ростовская область,  Родионово-Несветайский район, сл. Большекрепинская, ул. Советская,  д. 10, КН ЗУ: 61:33:0060101:680</t>
  </si>
  <si>
    <t>Установка прибора учета для присоединения объекта «Малоэтажная жилая застройка (Индивидуальный жилой дом/Садовый/Дачный дом)» Коваленко А.А., расположенного по адресу: Ростовская область, Родионово-Несветайский район, сл. Аграфеновка, ул. Просвещения, д. 54, КН ЗУ: 61:33:0010101:249</t>
  </si>
  <si>
    <t>Установка прибора учета для присоединения жилого дома Лорей М.В., расположенного по адресу: Ростовская область, Родионово-Несветайский район, сл. Родионово-Несветайская, ул. Челюскина, д. 23, КН ЗУ: 61:33:0600010:3114</t>
  </si>
  <si>
    <t>Установка прибора учета для присоединения жилого дома Котовой К.А., расположенного по адресу: Ростовская область, Родионово-Несветайский район, сл. Родионово-Несветайская, ул. Абрикосовая, д. 21, КН ЗУ: 61:33:0040123:212</t>
  </si>
  <si>
    <t>Установка прибора учета для присоединения жилого дома Маркина С.Е., расположенного по адресу: Ростовская область, Родионово-Несветайский район, х. Каменный Брод, ул. Курсантов РАУ, д. 2б, КН ЗУ: 61:33:0030501:1796</t>
  </si>
  <si>
    <t>Установка прибора учета для присоединения объекта «Малоэтажная жилая застройка (Индивидуальный жилой дом/Садовый/Дачный дом)» Небыкова Н.И., расположенного по адресу: Ростовская область, Родионово-Несветайский район, сл. Кутейниково, ул. Румянова, д. 26, КН ЗУ: 61:33:0030101:435</t>
  </si>
  <si>
    <t>Установка прибора учета для присоединения жилого дома Петрова К.В,. расположенного по адресу: Ростовская область, Родионово-Несветайский район, сл. Барило-Крепинская, ул. Гончарова, д. 5, КН ЗУ: 61:33:0050101:269</t>
  </si>
  <si>
    <t>Установка прибора учета для присоединения жилого дома Рудь Д.В., расположенного по адресу: Ростовская область, Родионово-Несветайский район, сл. Родионово-Несветайская, ул. Вишневая, д. 1, КН ЗУ: 61:33:0040123:530</t>
  </si>
  <si>
    <t>Установка прибора учета для присоединения объекта «Малоэтажная жилая застройка (Индивидуальный жилой дом/Садовый/Дачный дом)» Сыроваткина А.Н., расположенного по адресу: Ростовская область, Родионово-Несветайский район, сл. Большекрепинская, ул. Октябрьская, д. 13, КН ЗУ: 61:33:0060101:733</t>
  </si>
  <si>
    <t>Установка прибора учета для присоединения объекта Малоэтажная жилая застройка (Индивидуальный жилой дом/Садовый/Дачный дом) Туроверовой В.П., расположенного по адресу: Ростовская область, Родионово-Несветайский район, х. Веселый, ул. Дачная,  д. 8, КН ЗУ: 61:33:0040701:864</t>
  </si>
  <si>
    <t xml:space="preserve"> Установка прибора учета  для присоединения жилого дома Баранова Д.В., расположенного по адресу: Ростовская область, Октябрьский район, ст-ца Заплавская, ул. Виноградная, д.1Б, к.н.з.у.: 61:28:0030101:1554</t>
  </si>
  <si>
    <t xml:space="preserve"> Установка прибора учета для присоединения объекта общественного питания ООО «АльфаТрансСервис», расположенного по адресу: Ростовская область, Октябрьский район, п. Интернациональный, ул. Харьковская, д. 55-б, КН ЗУ: 61:28:0600014:1881</t>
  </si>
  <si>
    <t xml:space="preserve"> Установка прибора учета для присоединения индивидуального жилого дома Бийц И.В., расположенного по адресу: Ростовская область, Октябрьский район, сл. Красюковская, пер. Советский 3-й, д. 3, КН ЗУ: 61:28:0070101:1781</t>
  </si>
  <si>
    <t>Установка прибора учета для присоединения жилого дома Короткой Т.Г., расположенного по адресу: Ростовская область, Октябрьский район, х. Калинин, ул. Донская, д. 14а, КН ЗУ: 61:28:0030201:1307</t>
  </si>
  <si>
    <t>Установка прибора учета для присоединения базовой станции сотовой связи ПАО «Вымпел-Коммуникации», расположенной по адресу: Ростовская область, Октябрьский район, ст-ца Кривянская, ул. Тузлова, д.50, КН ЗУ: 61:28:0040110:42</t>
  </si>
  <si>
    <t>Установка прибора учета для присоединения Малоэтажной жилой застройки (Индивидуального жилого дома/Садового/Дачного дома) Еременко М.В., расположенной по адресу: Ростовская область, Октябрьский район, х. Маркин, ул. Транспортная, д.9, КН ЗУ: 61:28:0100701:314</t>
  </si>
  <si>
    <t xml:space="preserve"> Установка прибора учета для присоединения объекта торговли (магазина, торгового центра, прочего) ИП Морозова А.А., расположенного по адресу: Ростовская область, Октябрьский район, ст-ца Кривянская, ул. Мостовая, д. 4а</t>
  </si>
  <si>
    <t>Установка прибора учета для присоединения садового дома Калашниковой А.С., расположенного по адресу: Ростовская область, Октябрьский район, садоводческое товарищество «Электровозостроитель», уч. 216, КН ЗУ: 61:28:0502501:416</t>
  </si>
  <si>
    <t>Установка прибора учета для присоединения садового дома Качаловского А.Г., расположенного по адресу: Ростовская область, Октябрьский район, с/т «Электровозостроитель», уч. 58, КН ЗУ: 61:28:0502501:297</t>
  </si>
  <si>
    <t>Установка прибора учета для присоединения жилого дома Кондратовой Л.В., расположенного по адресу: Ростовская область, Октябрьский район, садоводческое товарищество «Электровозостроитель», зем.уч. 73, КН ЗУ: 61:28:0502501:264</t>
  </si>
  <si>
    <t>Установка прибора учета для присоединения жилого дома Макарян Г.С., расположенного по адресу: Ростовская область, Красносулинский район, х. Гривенный, ул. Победы, д.43, КН ЗУ: 61:18:0100301:59</t>
  </si>
  <si>
    <t>Установка прибора учета для присоединения объектов наружного освещения Министерства транспорта Ростовской области, расположенных по адресу: Ростовская область, Октябрьский район, г. Новочеркасск – п. Багаевский на участке км 16+500, КН ЗУ: 61:28:0000000:323</t>
  </si>
  <si>
    <t>Установка прибора учета для присоединения садового дома Пильчук Л.В., расположенного по адресу: Ростовская область, Октябрьский район, с/т «Электровозостроитель», уч. №37, КН ЗУ: 61:28:0502501:344</t>
  </si>
  <si>
    <t>Обеспечение коммерческим учетом электрической энергии (мощности) в точке поставки по присоединению объектов заявителей. Ростовская область, Октябрьский район, п. Верхнегрушевский, ул. Молодежная д.13 (Ромазанов М.М.) (1 шт.)</t>
  </si>
  <si>
    <t>Установка прибора учета для присоединения жилого дома Швачка В.А., расположенного по адресу: Ростовская область, Октябрьский район, х. Калинин, ул. Донская, д.89, КН ЗУ: 61:28:0030201:621</t>
  </si>
  <si>
    <t>Установка прибора учета для присоединения жилого дома Богдановой А.С., расположенного по адресу: Ростовская область, Октябрьский район, ст-ца Кривянская, ул. Некрасова, д. 17А, КН ЗУ: 61:28:0040107:580</t>
  </si>
  <si>
    <t>Установка прибора учета для присоединения садового дома Гаврилова А.Ю., расположенного по адресу: Ростовская область, Октябрьский район, садоводческое товарищество «Электровозостроитель», уч. 119, КН ЗУ: 61:28:0502501:628</t>
  </si>
  <si>
    <t>Установка прибора учета для присоединения жилого дома Гасайниевой В.Б., расположенного по адресу: Ростовская область, Октябрьский район, ст-ца Бессергеневская, ул. Семисохина, д. 54, КН ЗУ: 61:28:0030301:419</t>
  </si>
  <si>
    <t>Установка прибора учета для присоединения колбасного цеха ИП Рубцова Д.В., расположенного по адресу: Ростовская область, Октябрьский район, п. Новоперсиановка, ул. Советская, д. 12, КН здания: 61:28:0600012:1294</t>
  </si>
  <si>
    <t>Установка прибора учета для присоединения для электроснабжения жилого дома Касимова С.А., расположенного по адресу: Ростовская область, Октябрьский район, х. Яново-Грушевский, ул. Речная, д. 3-а, КН ЗУ: 61:28:0070201:2340</t>
  </si>
  <si>
    <t>Установка прибора учета для присоединения садового дома Клейменова А.Б., расположенного по адресу: Ростовская область, Октябрьский район, с/т «Электровозостроитель», уч. №113, КН ЗУ: 61:28:0502501:641</t>
  </si>
  <si>
    <t>Установка прибора учета для присоединения жилого дома Коноплева А.К., расположенного по адресу: Ростовская область, Октябрьский район, х. Калинин, ул. Центральная, д.235, КН ЗУ: 61:28:0030201:687</t>
  </si>
  <si>
    <t>Установка прибора учета для присоединения садового дома Коноплева А.М., расположенного по адресу: Ростовская область, Октябрьский район, садоводческое товарищество «Электровозостроитель», уч. 107, КН ЗУ: 61:28:0502501:654</t>
  </si>
  <si>
    <t>Установка прибора учета для присоединения магазина ИП Лямзиной С.М., расположенного по адресу: Ростовская область, Октябрьский район, п. Персиановский, ул. Школьная, д. 39, помещение 4,5, КН ЗУ: 61:28:0110101:5878</t>
  </si>
  <si>
    <t>Установка прибора учета для присоединения садового дома Махнач Н.А., расположенного по адресу: Ростовская область, Октябрьский район, х. Калинин, садоводческое товарищество «Дон», садовый участок №58, КН ЗУ: 61:28:0504201:41</t>
  </si>
  <si>
    <t>Установка прибора учета для присоединения индивидуального жилого дома Мироненко А.И., расположенного по адресу: Ростовская область, Октябрьский район, ст-ца Кривянская, ул. Ленина, д. 129, КН ЗУ: 61:28:0040113:89</t>
  </si>
  <si>
    <t>Установка прибора учета для присоединения жилого дома Шляхтина В.А., расположенного по адресу: Ростовская область, Октябрьский район, п. Новозарянский, ул. Калинина, д.2, КН ЗУ: 61:28:0100101:146</t>
  </si>
  <si>
    <t>Установка прибора учета для присоединения малоэтажной жилой застройки Дементьевой Л.В., расположенной по адресу: Ростовская область, Октябрьский район, с/т «Электровозостроитель», уч. 60, КН ЗУ: 61:28:0502501:292</t>
  </si>
  <si>
    <t>Установка прибора учета для присоединения малоэтажной жилой застройки Комиссаровой Р.П., расположенной по адресу: Ростовская область, Октябрьский район, п. Красногорняцкий, ул. Борзик, д.11, КН ЗУ: 61:28:0090501:97</t>
  </si>
  <si>
    <t>Установка прибора учета для присоединения малоэтажной жилой застройки Киракосян И.В., расположенной по адресу: Ростовская область, Октябрьский район, садоводческое товарищество «Электровозостроитель», уч. №64, КН ЗУ: 61:28:0502501:284</t>
  </si>
  <si>
    <t>Установка прибора учета  для присоединения физкультурно-оздоровительного комплекса МБОУ СОШ №43, расположенного по адресу: Ростовская область, Октябрьский район, х. Ильичевка, ул. Заречная, д. 46а, к.н.з.у.: 61:28:0010207:178</t>
  </si>
  <si>
    <t>Установка прибора учета  для присоединения садового дома Высоцкого А.П., расположенного по адресу: Ростовская область, Октябрьский район, х. Яново-Грушевский, сад. Электровозостроитель, д.2, к.н.з.у.: 61:28:0502501:451</t>
  </si>
  <si>
    <t>Установка прибора учета для присоединения садового дома Рыбалко А.В., расположенного по адресу: Ростовская область, Октябрьский район, х. Яново-Грушевский, сад. Электровозостроитель, д. 32, к.н.з.у.: 61:28:0502501:354</t>
  </si>
  <si>
    <t>Установка прибора учета для присоединения Малоэтажной жилой застройки Хуноян Д.А., расположенной по адресу: Ростовская область, Октябрьский район, рп. Каменоломни, ул. Королевой, д. 7, КН ЗУ: 61:28:0600020:586</t>
  </si>
  <si>
    <t>Установка прибора учета для присоединения жилого дома Артемова Н.В., расположенного по адресу: Ростовская область, Октябрьский район, х. Калинин, ТСН СНТ «Дон» участок №108 А, КН ЗУ: 61:28:0030201:3481</t>
  </si>
  <si>
    <t>Установка прибора учета для присоединения жилого дома Илларионова В.П., расположенного по адресу: Ростовская область, Усть-Донецкий район, ст-ца Усть-Быстрянская, ул. Гагарина, д. 8, КН ЗУ: 61:39:0080101:1054</t>
  </si>
  <si>
    <t>Установка прибора учета для присоединения учебно-спортивного здания ПОУ Усть-Донецкого учебного центра РО ООГО "Добровольное общество содействия армии, авиации и флоту России" Ростовской области, расположенного по адресу: Ростовская область, Усть-Донецкий район, р.п. Усть-Донецкий, ул. Промышленная, д. 11, КН ЗУ: 61:39:0010106:90</t>
  </si>
  <si>
    <t>Установка прибора учета для присоединения объекта «Малоэтажная жилая застройка (Индивидуальный жилой дом/Садовый/Дачный дом)» Алексаньян Т.В., расположенного по адресу: Аксайский район, х. Горизонт, ул. Центральная, д. 14, КН ЗУ: 61:02:0600002:2392</t>
  </si>
  <si>
    <t>Обеспечение коммерческим учетом электрической энергии (мощности) в точке поставки по присоединению объектов заявителей. Ростовская область, Родионово-Несветайский район, с. Генеральское, ул. Звездова, д. 14 (Белау И.Э.) (1 шт.)</t>
  </si>
  <si>
    <t>Установка прибора учета для присоединения объекта Малоэтажная жилая застройка (Индивидуальный жилой дом/Садовый/Дачный дом) Богдан В.В., расположенного по адресу: Ростовская область, Родионово-Несветайский район, х. Октябрьский, СНТ Электромонтажник, участок 235, КН ЗУ: 61:33:00500201:431</t>
  </si>
  <si>
    <t>Установка прибора учета для присоединения коровника 4-х рядного ИП Главы КФХ Глущенко С.И., расположенного по адресу: Ростовская область, Родионово-Несветайский район, с. Плато-Ивановка, участок находится примерно 110 м на юг от земельного участка, ул. Советская, 26, КН ЗУ: 61:33:0600005:478</t>
  </si>
  <si>
    <t>Установка прибора учета для присоединения объекта «Малоэтажная жилая застройка (Индивидуальный жилой дом/Садовый/Дачный дом)» Гнилицкого С.М., расположенного по адресу: Ростовская область, Родионово-Несветайский район, х. Дарьевка, ул. Молодежная,  д. 1-З, КН ЗУ: 61:33:0020701:968</t>
  </si>
  <si>
    <t>Установка прибора учета для присоединения объекта «Малоэтажная жилая застройка (Индивидуальный жилой дом/Садовый/Дачный дом)» Ельниковой Н.А., расположенного по адресу: Ростовская область, Родионово-Несветайский район, х. Октябрьский, СНТ Электромонтажник, уч. 105а, КН ЗУ: 61:33:0500201:383</t>
  </si>
  <si>
    <t>Установка прибора учета для присоединения жилого дома Ерофеевой Т.В., расположенного по адресу: Ростовская область, Родионово-Несветайский район, х. Октябрьский, ул. Клубная,  д. 16, к.н.з.у.: 61:33:0030401:756</t>
  </si>
  <si>
    <t>Установка прибора учета  для присоединения жилого дома Желенковой В.В., расположенного по адресу: Ростовская область, Родионово-Несветайский район, х. Волошино, ул. Северная,  д. 10а, к.н.з.у.: 61:33:0070101:473</t>
  </si>
  <si>
    <t>Установка прибора учета для присоединения жилого дома Жилиной А.Л., расположенного по адресу: Ростовская область, Родионово-Несветайский район,  с. Генеральское, ул. Ворошилова,  д. 18, КН ЗУ: 61:33:0070601:318</t>
  </si>
  <si>
    <t>Установка прибора учета для присоединения объекта Малоэтажная жилая застройка (Индивидуальный жилой дом/Садовый/Дачный дом) Клокова Р.С., расположенного по адресу:  Ростовская область,  Родионово-Несветайский район, х. Глинки, ул. Степная,  д. 9, КН ЗУ: 61:33:0070401:67</t>
  </si>
  <si>
    <t>Установка прибора учета для присоединения объекта «Малоэтажная жилая застройка (Индивидуальный жилой дом/Садовый/Дачный дом)» Лукашевич А.А., расположенного по адресу: Ростовская область, Аксайский район, х. Горизонт, ул. Центральная, д. 22, КН ЗУ: 61:02:0600002:2372</t>
  </si>
  <si>
    <t>Обеспечение коммерческим учетом электрической энергии (мощности) в точке поставки по присоединению объекта заявителя. Ростовская область р-н. примерно в 50 м по направлению на север от х. Красильников (Матвеева Н.И.) (1 шт.)</t>
  </si>
  <si>
    <t>Обеспечение коммерческим учетом электрической энергии (мощности) в точке поставки по присоединению объекта заявителя. Ростовская область р-н. Родионово-Несветайский, х. Каменный Брод, ул. Курсантов РАУ, д. 6 (Мирзаханян Т.И.) (1 шт.)</t>
  </si>
  <si>
    <t>Обеспечение коммерческим учетом электрической энергии (мощности) в точке поставки по присоединению объектов заявителей. Ростовская область, Родионово-Несветайский район, с.Генеральское пер. Школьный, д. 12, (Плотников А.Г.) (1 шт.)</t>
  </si>
  <si>
    <t>Установка прибора учета для присоединения объекта Малоэтажная жилая застройка (Индивидуальный жилой дом/Садовый/Дачный дом) Симутенковой О.М., расположенного по адресу: Ростовская область, Родионово-Несветайский район, х. Гребцово, ул. Степная, д. 20А, КН ЗУ: 61:33:0030201:82</t>
  </si>
  <si>
    <t>Установка прибора учета для присоединения объекта «Малоэтажная жилая застройка (Индивидуальный жилой дом/Садовый/Дачный дом)» Шараповой О.Л., расположенного по адресу: Ростовская область, Родионово-Несветайский район, СНТ Электромонтажник, уч. 306, КН ЗУ: 61:33:0500201:137</t>
  </si>
  <si>
    <t>Установка прибора учета для присоединения «Малоэтажная жилая застройка (Индивидуальный жилой дом/Садовый/Дачный дом)» Шевченко С.В. расположенного по адресу: р-н. Родионово-Несветайский СНТ Электромонтажник участок 343 к.н.з.у. 61:33:0500201:312</t>
  </si>
  <si>
    <t>Строительство ВЛИ-0,4 кВ от оп.59 по ВЛ-0,4кВ № 1 от КТП 10/0,4кВ № 230 по ВЛ-10кВ «Кутейниково» ПС Н-9, для электроснабжения жилого дома Райз Е.В.по адресу: Ростовская обл, р-н. Родионово-Несветайский, сл. Родионово-Несветайская, ул. Папанина, д. 26, (ориентировочная протяженность ЛЭП – 0,040 км)</t>
  </si>
  <si>
    <t>Строительство ВЛИ-0,4 кВ от оп.21 по ВЛ-0,4кВ № 3 от КТП 10/0,4кВ № 71 по ВЛ-10кВ «Каменный Брод» ПС АС-12, для электроснабжения жилого дома Тимашевой К.В.по адресу: р-н. Родионово-Несветайский, х. Каменный Брод, ул. Курсантов РАУ, д. 55А, (ориентировочная протяженность ЛЭП – 0,050 км)</t>
  </si>
  <si>
    <t>Строительство ВЛИ-0,4 кВ от оп.6 по ВЛ-0,4кВ № 1 от КТП 10/0,4кВ № 135 по ВЛ-10кВ «Заря» ПС Н-9, для электроснабжения ангара главы К(Ф)Х Шалатова И.А.по адресу: Родионово-Несветайский р-н примерно в 250м по направлению на северо-восток от участка по адресу: х.Большой Должик, ул. Октября.12 (ориентировочная протяженность ЛЭП – 0,070 км)</t>
  </si>
  <si>
    <t>Установка прибора учета для присоединения жилого дома Шматкова И.Я., расположенного по адресу: Ростовская область, Октябрьский район, сл. Красюковская, ул. Делегатская, д. 76-а, КН ЗУ: 61:28:0070101:7395</t>
  </si>
  <si>
    <t>Обеспечение коммерческим учетом электрической энергии (мощности) в точке поставки по присоединению объектов заявителей. Ростовская область, Октябрьский район, х. Мокрый Лог, ул. Рослова д. 52а, ул. Рослова д. 20А (Жилин Т.О., Муниципальное образование "Мокрологское сельское поселение")</t>
  </si>
  <si>
    <t>Строительство ВЛИ-0,4 кВ от оп. №46 ВЛИ-0,4 кВ №3 КТП №206 ВЛ-6 кВ Кривянка  ПС Ш-43 для электроснабжения жилого дома Емельянова Г.А.  по адресу: Октябрьский р-н, ст. Кривянская, ул. Советская, д.183 (ориентировочная протяженность ЛЭП – 0,06 км)</t>
  </si>
  <si>
    <t xml:space="preserve"> Строительство ВЛИ-0,4 кВ от оп. №16/9 ВЛ-0,4 кВ №3 МТП №220 ВЛ-6 кВ Рыбхоз ПС Ш-41 для электроснабжения жилого дома Козлова М.И.  по адресу: Октябрьский р-н, ст. Бессергеневская, ул. Школьная, д.1-Д (ориентировочная протяженность ЛЭП – 0,15 км)</t>
  </si>
  <si>
    <t>Строительство ВЛИ-0,4 кВ от оп.№1 ВЛ-0,4кВ №1 от ЗТП 6/0,4 кВ №59 по ВЛ-6кВ Совхоз-7 ПС 35 кВ Ш-15 для электроснабжения гаража ИП Воробьева А.В. (ориентировочная протяженность ЛЭП – 0,1 км)</t>
  </si>
  <si>
    <t>Строительство ВЛИ-0,4 кВ от оп. №17 ВЛИ-0,4 кВ №2 МТП №802 ВЛ-10 кВ Красюковка ПС Ш-39 для электроснабжения малоэтажной жилой застройки Гурова С.Н. по адресу: Октябрьский р-н, садоводческое товарищество «Электровозостроитель», уч.11 (ориентировочная протяженность ЛЭП – 0,12 км)</t>
  </si>
  <si>
    <t>Строительство ВЛИ-0,4 кВ от оп. №5 ВЛИ-0,4 кВ №1 КТП №95 по ВЛ-10 Маркин-2 ПС 35 кВ Ш-27 для присоединения малоэтажной жилой застройки Стебловского И.Н. по адресу: Ростовская область, Октябрьский район, х. Маркин, пер. Луговой, д.2 (ориентировочная протяженность ЛЭП 0,12 км)</t>
  </si>
  <si>
    <t>Строительство ВЛИ 0,4 кВ от ВЛИ 0,4 кВ МТП 228 ВЛ 10 кВ Каныгин ПС 110 кВ Ш37 для электроснабжения ВРУ-0.4кВ дачного дома Ругаева В.Е. по адресу: Усть-Донецкий район, х. Коныгин, КН ЗУ 61:39:0600011:296 (ориентировочная протяженность ЛЭП – 0,085 км)</t>
  </si>
  <si>
    <t xml:space="preserve"> Установка прибора учета для присоединения объекта ВРУ-0.4кВ автомагазина ИП Горбункова А.А., расположенного по адресу: Ростовская область, Усть-Донецкий район, х. Кривая Лука, ул. Донская, д. 2-а</t>
  </si>
  <si>
    <t>Установка прибора учета для присоединения дачного домика Луговского А.Н., расположенного по адресу: Ростовская область, Красносулинский район, г. Красный Сулин, ул. Урожайная, д. 67, КН ЗУ: 61:18:0140104:20</t>
  </si>
  <si>
    <t>Установка прибора учета для присоединения жилого дома Аллахвердян Т.А., расположенного по адресу: Ростовская область, Красносулинский район, ст-ца Владимировская, ул. Мира, д.20, КН ЗУ: 61:18:0020103:64</t>
  </si>
  <si>
    <t>Установка прибора учета для присоединения малоэтажной жилой застройки Богатыревой К.Н., расположенной по адресу: Ростовская область, Красносулинский район, х. Садки, ул. Садовая, д.12, КН ЗУ: 61:18:0090105:38</t>
  </si>
  <si>
    <t>Установка прибора учета для присоединения частного домовладения Исаевой С.А., расположенного по адресу: Ростовская область, Красносулинский район, п.Донлесхоз, ул. Пионерская, б/н, к.н.з.у.: 61:18:0080201:110</t>
  </si>
  <si>
    <t>Установка прибора учета для присоединения базовой станции сотовой связи ПАО «МТС», расположенной по адресу: Ростовская область, Октябрьский район, п. Мокрый Лог, ул. Рослова, д.52а</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</si>
  <si>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базовой станции сотовой связи ПАО «МТС», расположенного по адресу: Ростовская область, Октябрьский район, х. Верхняя Кадамовка, ул. Галенко, д. 6, к.н.з.у.: 61:28:0020701:122</t>
  </si>
  <si>
    <t>Установка прибора учета для присоединения парковой зоны, расположенной по адресу: Ростовская область, Октябрьский район, п. Новоперсиановка, вблизи СДК по ул. Советская, 12,КН ЗУ: 61:28:0070801:446</t>
  </si>
  <si>
    <t>Установка прибора учета для присоединения малоэтажной жилой застройки Антипиной С.В., расположенной по адресу: Ростовская область, Октябрьский район, ст. Красюковская, пер. Школьный, д.9а, КН ЗУ: 61:28:0070101:7945</t>
  </si>
  <si>
    <t>Установка прибора учета для присоединения малоэтажной жилой застройки Арутюнян В.В., расположенной по адресу: Ростовская область, Октябрьский район, х. Маркин, ул. Транспортная, д.13-а, КН ЗУ: 61:28:0100701:2284</t>
  </si>
  <si>
    <t>Установка прибора учета для присоединения малоэтажной жилой застройки Воронина С.А., расположенной по адресу: Ростовская область, Октябрьский район, с/т «Электровозостроитель», уч. 65, КН ЗУ: 61:28:0502501:282</t>
  </si>
  <si>
    <t>Установка прибора учета для присоединения жилого дома Гень Т.А., расположенного по адресу: Ростовская область, Октябрьский район, ст-ца Бессергеневская, ул. Аксайская, д. 1А, КН ЗУ: 61:28:030301:0002</t>
  </si>
  <si>
    <t>Установка прибора учета для присоединения малоэтажной жилой застройки Жуковой Ю.Б., расположенной по адресу: Ростовская область, Октябрьский район, сл. Красюковская, пер. Западный, д.18-а, КН ЗУ: 61:28:0070101:7677</t>
  </si>
  <si>
    <t>Обеспечение коммерческим учетом электрической энергии (мощности) в точке поставки по присоединению объектов заявителей. Ростовская область, Октябрьский район, х. Калинин, ул. Центральная д. 107-В; ул. Донская д. 113-Д (Иванченко Н.А.; Ковалев В.В.)</t>
  </si>
  <si>
    <t>Установка прибора учета для присоединения малоэтажной жилой застройки Лазарева Е.А., расположенной по адресу: Ростовская область, Октябрьский район, ст-ца Кривянская, ул. Кирпичная, д.99, КН ЗУ: 61:28:0040104:52</t>
  </si>
  <si>
    <t>Установка прибора учета для присоединения жилого дома Москового Н.Н., расположенного по адресу: Ростовская область, Октябрьский район, п. Персиановский, ул. Университетская, д. 10, КН ЗУ: 61:28:0110101:1027</t>
  </si>
  <si>
    <t xml:space="preserve"> Установка прибора учета для присоединения жилого дома Панченко М.С., расположенного по адресу: Ростовская область, Октябрьский район, п. Мокрый Лог, ул. Комарова, д. 2, КН ЗУ: 61:28:0100601:8</t>
  </si>
  <si>
    <t>Установка прибора учета для присоединения садового дома Пасека О.Л., расположенного по адресу: Ростовская область, Октябрьский район, с/т «Электровозостроитель», участок №74, КН ЗУ: 61:28:0502501:261</t>
  </si>
  <si>
    <t>Установка прибора учета для присоединения жилого дома Пометун Е.А., расположенного по адресу: Ростовская область, Октябрьский район, ст-ца Бессергеневская, ул. Аксайская, д. 3, КН ЗУ: 61:28:0030301:2988</t>
  </si>
  <si>
    <t>Установка прибора учета для присоединения жилого дома Поповой О.С., расположенного по адресу: Ростовская область, Октябрьский район, сл. Красюковская, ул. Московская, д. 41, КН ЗУ: 61:28:0070101:1117</t>
  </si>
  <si>
    <t>Установка прибора учета для присоединения малоэтажной жилой застройки Салтуриной О.А., расположенной по адресу: Ростовская область, Октябрьский район, ст-ца Бессергеневская, ул. 2-я Аксайская, КН ЗУ: 61:28:0030301:3370</t>
  </si>
  <si>
    <t>Установка прибора учета для присоединения малоэтажной жилой застройки Сукачевой Н.Л., расположенной по адресу: Ростовская область, Октябрьский район, ст-ца Кривянская, ул. Большая, д.114, КН ЗУ: 61:28:0040113:1156</t>
  </si>
  <si>
    <t>Установка прибора учета для присоединения объекта торговли ИП Хачатрян В.Р., расположенного по адресу: Ростовская область, Октябрьский район, ст-ца Кривянская, ул. Мостовая, возле №204, КН ЗУ: 61:28:0060022:990</t>
  </si>
  <si>
    <t>Установка прибора учета для присоединения жилого дома Грибачева В.С., расположенного по адресу: Ростовская область, Октябрьский район, п. Красногорняцкий, пер. Школьный, д. 4, КН ЗУ: 61:28:0090501:2790</t>
  </si>
  <si>
    <t>Установка прибора учета для присоединения жилого дома Зуевой А.И., расположенного по адресу: Ростовская область, Октябрьский район, ст. Кривянская, ул. Мостовая, д. 74, КН ЗУ: 61:28:0040118:35</t>
  </si>
  <si>
    <t>Установка прибора учета для присоединения малоэтажной жилой застройки Зунникова Г.Г., расположенной по адресу: Ростовская область, Октябрьский район, п. Красногорняцкий, ул. Кудаченко, д. 6, КН ЗУ: 61:28:0600020:351</t>
  </si>
  <si>
    <t>Установка прибора учета для присоединения жилого дома Карпенко Н.Н., расположенного по адресу: Ростовская область, Октябрьский район, ст-ца Кривянская, ул. Октябрьская, д. 4А, КН ЗУ: 61:28:0040127:1394</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</si>
  <si>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садового домика Кияновой В.В., расположенного по адресу: Ростовская область, Октябрьский район, садоводческое товарищество «Электровозостроитель», уч. №72, к.н.з.у.: 61:28:0502501:266</t>
  </si>
  <si>
    <t>Установка прибора учета для присоединения жилого дома Крисько М.В., расположенного по адресу: Ростовская область, Октябрьский район, сл. Красюковская, ул. Советская, д. 101-в/1, КН ЗУ: 61:28:0070101:79</t>
  </si>
  <si>
    <t>Установка прибора учета для присоединения малоэтажной жилой застройки Кузьмина А.Н., расположенной по адресу: Ростовская область, Октябрьский район, ст-ца Кривянская, ул. Большая, д. 73Б, КН ЗУ: 61:28:0040122:984</t>
  </si>
  <si>
    <t>Установка прибора учета для присоединения малоэтажной жилой застройки Меркулова А.А., расположенной по адресу: Ростовская область, Октябрьский район, х. Калинин, ул. Донская, д. 129, КН ЗУ: 61:28:0030201:3295</t>
  </si>
  <si>
    <t>Установка  прибора  учета  для  присоединения жилого дома Мироненко Л.Ф., расположенного по адресу: Ростовская область, Октябрьский район, ст-ца Кривянская, ул. Большая, д. 73 В, КН ЗУ: 61:28:0040122:985</t>
  </si>
  <si>
    <t>Установка прибора учета для присоединения малоэтажной жилой застройки Молоковой М.Е., расположенной по адресу: Ростовская область, Октябрьский район, ст-ца Бессергеневская, ул. 2-я Аксайская, КН ЗУ: 61:28:0030301:3369</t>
  </si>
  <si>
    <t>Установка прибора учета для присоединения жилого дома Обозненко И.С., расположенного по адресу: Ростовская область, Октябрьский район, х. Красный Луч, ул. Центральная, д. 75, КН ЗУ: 61:28:0060101:220</t>
  </si>
  <si>
    <t>Установка прибора учета для присоединения жилого дома Пеленис Н.Ю., расположенного по адресу: Ростовская область, Октябрьский район, х. Ягодинка, ул. Есенина, д.15, КН ЗУ: 61:28:0060201:47</t>
  </si>
  <si>
    <t>Установка прибора учета для присоединения малоэтажной жилой застройки Петровой В.С., расположенной по адресу: Ростовская область, Октябрьский район, п. Каменоломни, ул. Пролератская, уч. 78, КН ЗУ: 61:28:0600020:225</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</si>
  <si>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садового дома Соколовой Н.Н., расположенного по адресу: Ростовская область, Октябрьский район, садоводческое товарищество «Электровозостроитель», уч. №62, к.н.з.у.: 61:28:0502501:288</t>
  </si>
  <si>
    <t xml:space="preserve"> Установка прибора учета для присоединения малоэтажной жилой застройки Хачикян С.Ш., расположенного по адресу: Ростовская область, Октябрьский район, п.Красногорняцкий, ул. Королевой, д. 3, КН ЗУ: 61:28:0600020:583</t>
  </si>
  <si>
    <t>Установка прибора учета для присоединения малоэтажной жилой застройки Хохловой Р.В., расположенного по адресу: Ростовская область, Октябрьский район, п. Красногорняцкий, ул. Парковая, д. 6, КН ЗУ: 61:28:0600020:270</t>
  </si>
  <si>
    <t>Установка прибора учета для присоединения малоэтажной жилой застройки Ятчук П.В., расположенной по адресу: Ростовская область, Октябрьский район, сл. Красюковская, ул. Набережная, д. 71а, КН ЗУ: 61:28:0070101:8207</t>
  </si>
  <si>
    <t>Установка прибора учета для присоединения малоэтажной жилой застройки Белова С.А., расположенной по адресу: Ростовская область, Октябрьский район, х. Калинин, пер. Зоологический, д.6-А, КН ЗУ: 61:28:0030201:3360</t>
  </si>
  <si>
    <t>Установка прибора учета для присоединения малоэтажной жилой застройки Венглярской Е.Ю., расположенной по адресу: Ростовская область, Октябрьский район, х. Яново-Грушевский, ул. Подгорная, д.30, КН ЗУ: 61:28:0070201:507</t>
  </si>
  <si>
    <t>Установка прибора учета для присоединения базовой станции сотовой связи ПАО «МТС», расположенного по адресу: Ростовская область, Октябрьский район, ст-ца. Кривянская, ул. Некрасова, д. 3</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</si>
  <si>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административного/офисного здания ГКУ РО «Противопожарная служба Ростовской области», расположенного по адресу: Ростовская область, Октябрьский район,  ст-ца. Заплавская, ул. Клубная, д. 20А, КН ЗУ: 61:28:0030101:4995</t>
  </si>
  <si>
    <t>Установка прибора учета для присоединения малоэтажной жилой застройки Бошняк А.В., расположенной по адресу: Ростовская область, Октябрьский район, с/т «Электровозостроитель», уч. 66, КН ЗУ: 61:28:0502501:280</t>
  </si>
  <si>
    <t>Установка прибора учета для присоединения малоэтажная жилая застройка Власенко Е.В., расположенного по адресу: Ростовская область, Октябрьский район, садоводческое товарищество «Электровозостроитель», д. 84, КН ЗУ: 61:28:0502501:239</t>
  </si>
  <si>
    <t>Установка прибора учета для присоединения жилого дома Володиной Ю.А., расположенного по адресу: Ростовская область, Октябрьский район, х. Красный Луч, ул. Центральная, д.119, КН ЗУ: 61:28:0060101:140</t>
  </si>
  <si>
    <t>Установка прибора учета для присоединения малоэтажной жилой застройки Павловой О.В., расположенного по адресу: Ростовская область, Октябрьский район, садоводческое товарищество «Электровозостроитель», д. 85, КН ЗУ: 61:28:0502501:237</t>
  </si>
  <si>
    <t xml:space="preserve"> Установка прибора учета для присоединения малоэтажной жилой застройки Панкратовой Р.Е., расположенной по адресу: Ростовская область, Октябрьский район, п. Новосветловский, ул. Мелиховская, д.13, КН ЗУ: 61:28:0090205:276</t>
  </si>
  <si>
    <t>Установка прибора учета для присоединения малоэтажной жилой застройки Путченко А.В., расположенной по адресу: Ростовская область, Октябрьский район, х. Калинин, ул. Донская, д.48, КН ЗУ: 61:28:0030201:1227</t>
  </si>
  <si>
    <t>Установка прибора учета для присоединения малоэтажной жилой застройки Рассолова Е.В., расположенного по адресу: Ростовская область, Октябрьский район, с/т «Электровозостроитель», уч. 156, КН ЗУ: 61:28:0502501:546</t>
  </si>
  <si>
    <t>Установка прибора учета для присоединения Модульного ФАП МБУЗ «Районная больница г. Красного Сулина и Красносулинского района Ростовской области», расположенного по адресу: Ростовская область, Красносулинский район, х. Гривенный, Табунщиковское сельское поселение, в 50 м на восток от земельного участка №21 по ул. Победы, КН ЗУ: 61:18:0100301:360</t>
  </si>
  <si>
    <t>Строительство участка ВЛИ-0,4 кВ от  РУ-0,4 кВ КТП – 10/0,4 кВ  № 188 по ВЛ – 10 кВ «Завод-1» ПС С-5, с установкой на границе земельного участка заявителя прибора учета для объектов дорожного хозяйства Министерства транспорта, Российская Федерация, Ростовская область, Красносулинский район, ст-ца Владимировская, автомобильная дорога г. Шахты-ст. Владимирская (до магистрали «Дон»), К.Н З.М: 61:00:0000000:870.(ориентировочная протяженность ЛЭП – 0,03 км.)</t>
  </si>
  <si>
    <t xml:space="preserve"> Установка прибора учета для присоединения жилого дома Акимовой О.А., расположенного по адресу: Ростовская область, Красносулинский район, х. Пролетарка, пер. Степной, д. 28, КН ЗУ: 61:18:0080102:1052</t>
  </si>
  <si>
    <t>Установка прибора учета для присоединения малоэтажной жилой застройки (Индивидуальный жилой дом/ Садовый/ Дачный дом) Кайсын Л.А., расположенной по адресу: Ростовская область, Красносулинский район, х. Пролетарка, пер. Мостовой, д. 1б, КН ЗУ: 61:28:0080102:1265</t>
  </si>
  <si>
    <t>Установка прибора учета для присоединения жилого дома Щедрина Н.В.. расположенной по адресу: Ростовская область, Красносулинский район, с. Киселево, ул. Нахичевань, д. 1, КН ЗУ: 61:18:0050105:57 (1 шт.)</t>
  </si>
  <si>
    <t>Строительство ВЛИ-0,4 кВ от оп.5 по ВЛ-0,4 кВ № 2 от КТП 6/0,4 кВ № 62 по ВЛ-6 кВ «Кадамовка» ПС С-6, с установкой прибора учета на границе земельного участка заявителя для жилого дома Сулименко И.А., Ростовская обл., Красносулинский район, х. Садки, пер. Первомайский, 11. (ориентировочная протяженность ЛЭП – 0,04 км.)</t>
  </si>
  <si>
    <t>Установка прибора учета для присоединения объекта «Малоэтажная жилая застройка (Индивидуальный жилой дом/ Садовый/ Дачный дом)» Дудкиной И.Н., расположенного по адресу: Ростовская область, Красносулинский район, х. Платово, пер. Орловский, д. 19</t>
  </si>
  <si>
    <t>Строительство ВЛ 0,4 кВ от крайней опоры строящейся ВЛ 0,4 кВ, по договору ТП №61-1-20-00520753 от 17.07.2020 ИП Петросян Н.Э подключенного от КТП №239 по ВЛ 6- кВ Орошение от ПС Н-8 для присоединения домика отдыха, Ростовская область, Красносулинский район, г. Красный Сулин, в районе Н-ГРЭС (Лозовой Н.В.) (ориентировочная протяженность ЛЭП-0,07 км)</t>
  </si>
  <si>
    <t>Строительство ВЛИ-0,4 кВ от ВЛ-0,4кВ №5 КТП № 265 ВЛ-10кВ «Мелиховка» ПС Ш-34 с коммерческим учетом электрической энергии (мощности) в точке поставки для электроснабжения жилого дома Тесленко Н.Н.: ул. Набережная, д. 39, ст. Мелиховская, Усть-Донецкого р-на, (ориентировочная протяженность ЛЭП 0,06 км)</t>
  </si>
  <si>
    <t>Установка прибора учета для присоединения объекта ВРУ-0.4кВ гаража Кузьминский Н.А., расположенного по адресу: Ростовская обл., р-н. Усть-Донецкий, п. Керчикский, примерно 18 метров по направлению на юг от земельного участка с к.н. 61:39:0020301:174, кадастровый номер земельного участка: 61:39:0020301:1303 (1 шт.)</t>
  </si>
  <si>
    <t>Установка прибора учета для присоединения квартиры  Костиной В.В., расположенной по адресу: Ростовская область, Усть-Донецкий район, ст-ца Мелиховская, пер. 19-й,  д. 8,  кв./оф. 1, КН ЗУ:  61:39:0020101:275</t>
  </si>
  <si>
    <t>Установка прибора учета для присоединения объекта ВРУ-0.4кВ малоэтажной жилой застройки Яхновец Д.А., расположенного по адресу: Ростовская обл., р-н. Усть-Донецкий, ст-ца. Раздорская, ул. Кошевого, д. 5, кадастровый номер земельного участка: 61:39:00830102:86</t>
  </si>
  <si>
    <t>Установка прибора учета для присоединения объекта ВРУ-0.4кВ объектов наружного освещения Муниципального бюджетного учреждения культуры "Культурный центр Раздорского сельского поселения", расположенного по адресу: Ростовская обл., р-н. Усть-Донецкий, ст-ца. Раздорская, ул. Ленина, сквер (станичный парк), кадастровый номер земельного участка: 61:39:0030102:1438 (1 шт.)</t>
  </si>
  <si>
    <t>Установка прибора учета для присоединения объекта ВРУ-0.4кВ квартиры  Вещевайловой С.Н., расположенного по адресу: Ростовская область, Усть-Донецкий район, ст. Мелиховская, пер. 20-й,  д. 6,  кв. 1</t>
  </si>
  <si>
    <t>Установка приборов учета для присоединения объектов заявителей: Волкова С.А., Волковой А.В., расположенных по адресу: Ростовская область, Родионово-Несветайский район, х. Каменный Брод, ул. Смирнова (2 шт.)</t>
  </si>
  <si>
    <t>Установка прибора учета для присоединения объекта «Малоэтажная жилая застройка (Индивидуальный жилой дом/Садовый/Дачный дом)» Дроздовой К.В., расположенного по адресу: Ростовская область, Родионово-Несветайский район, х. Юдино, ул. Лермонтова, д. 18А, КН ЗУ: 61:33:0070201:620</t>
  </si>
  <si>
    <t>Установка прибора учета для присоединения Малоэтажной жилой застройки (Индивидуальный жилой дом/Садовый/Дачный дом) Ичираули И.Н., расположенной по адресу: Ростовская область, Родионово-Несветайский район,  х. Юдино, ул. Лермонтова,  д. 10В, КН ЗУ: 61:33:0070201:189</t>
  </si>
  <si>
    <t>Установка прибора учета для освещения автомобильной дороги общего пользования Министерства транспорта Ростовской области, расположенной по адресу: Ростовская область, Родионово-Несветайский район, сл. Родионово-Несветайская, КН ЗУ: 61:33:0000000:33</t>
  </si>
  <si>
    <t>Установка прибора учета для присоединения Малоэтажной жилой застройки (Индивидуальный жилой дом/Садовый/Дачный дом) Михайленко Т.В., расположенной по адресу: Ростовская область, Родионово- Несветайский район,  х. Каменный Брод, ул. Каменка,  д. 37, КН ЗУ: 61:33:0030501:569</t>
  </si>
  <si>
    <t>Установка прибора учета для присоединения Малоэтажной жилой застройки (Индивидуальный жилой дом/Садовый/Дачный дом) Сырова В.Е., расположенной по адресу: Ростовская область, Родионово-Несветайский,  сл. Родионово-Несветайская, ул. Садовая,  д. 44, КН ЗУ: 61:33:0040123:150</t>
  </si>
  <si>
    <t>Строительство ВЛИ-0,4 кВ от ВЛИ-0,4кВ строящейся сетевой организацией по Договору ТП №61-1-20-00525035 от 13.08.2020 с Мирущенко Н.П.  от  оп.34 по ВЛ 0,4кВ № 2  КТП №214 ВЛ-10 кВ Ростовский ПС Н-9, для электроснабжения «Малоэтажная жилая застройка (Индивидуальный жилой дом/Садовый/Дачный дом)» Гомелаури Е.А. по адресу: р-н. Родионово-Несветайский, х. Веселый, ул. Новая,  д.21(ориентировочная протяженность ЛЭП – 0,04 км)</t>
  </si>
  <si>
    <t>Строительство ВЛИ-0,4 кВ от оп.25 по ВЛ-0,4кВ № 1 от КТП 10/0,4кВ № 218 по ВЛ-10кВ «Ростовский» ПС Н-9, для электроснабжения «Малоэтажная жилая застройка (Индивидуальный жилой дом/Садовый/Дачный дом)» Друпова В.И. по адресу: р-н. Родионово-Несветайский, х. Веселый, ул. Дачная, д. 1Б, (ориентировочная протяженность ЛЭП – 0,045 км)</t>
  </si>
  <si>
    <t>Строительство ВЛИ-0,4 кВ от оп.3 по ВЛ 0,4кВ № 1 от КТП № 512 ВЛ-10 кВ «Каменный Брод» ПС АС-12 для электроснабжения «Малоэтажная жилая застройка (Индивидуальный жилой дом/Садовый/Дачный дом)» Милен А.С., Золоторева А.Л. по адресу: Ростовская обл., р-н. Родионово-Несветайский, р-н. Родионово-Несветайский, СНТ "Комбайностроитель", участок 3-353,3-352 (ориентировочная протяженность ЛЭП – 0,07 км)</t>
  </si>
  <si>
    <t>Установка прибора учета для присоединения малоэтажной жилой застройки (Индивидуальный жилой дом/Садовый/Дачный дом) Кудрявцева О.Е., расположенной по адресу: Ростовская область, Родионово-Несветайский район, х. Павленков, ул. Центральная, д. 2А, КН ЗУ: 61:33:0040201:551</t>
  </si>
  <si>
    <t>Установка прибора учета для присоединения Малоэтажной жилой застройки (Индивидуальный жилой дом/Садовый/Дачный дом) Жильцова М.В., расположенной по адресу: Ростовская область, Родионово-Несветайский район, х. Греково-Балка, ул. Центральная,  д. 2"А", КН ЗУ: 61:33:0060401:631</t>
  </si>
  <si>
    <t>Установка прибора учета для присоединения Малоэтажной жилой застройки (Индивидуальный жилой дом/Садовый/Дачный дом) Крупенко Е.Н., расположенной по адресу: Ростовская область,  Родионово-Несветайский район, х. Дарьевка, ул. Центральная,  д. 47/2, КН ЗУ: 61:33:0020701:172</t>
  </si>
  <si>
    <t xml:space="preserve"> Установка прибора учета для присоединения квартиры Кишкиновой В.И., расположенной по адресу: Ростовская область, Красносулинский район, г. Красный Сулин, ул. Виноградная  д. 8, кв./оф. 3</t>
  </si>
  <si>
    <t>Установка прибора учета для присоединения жилого дома Новиковой Л.И. расположенного по адресу: Ростовская область, Красносулинский район, п. Пригородный ул. 47-й Гвардейской Стрелковой Дивизии д. 80. (1 шт.)</t>
  </si>
  <si>
    <t xml:space="preserve"> Установка прибора учета для присоединения жилого дома Тарик В.А. расположенной по адресу: Ростовская область, Красносулинский район, х. Васецкий, ул. Колхозная, д. 30, КН ЗУ: 61:18:0030202:32</t>
  </si>
  <si>
    <t>Установка прибора учета для присоединения жилого дома Иванковой Л.Ю., расположенного по адресу: Ростовская область, Красносулинский район, г. Красный Сулин, ул. Прибрежная, д. б/н, КН ЗУ: 61:53:0000351:299</t>
  </si>
  <si>
    <t>Строительство ВЛИ 0,4 кВ от ВЛ 0,4 кВ №2 КТП 321 ВЛ 10 кВ Пухляковка ПС Ш34 для электроснабжения жилого дома Тищенко О.Р. по адресу: Усть-Донецкий р-н, х. Пухляковский (ориентировочная протяженность ЛЭП – 0,13 км)</t>
  </si>
  <si>
    <t>Строительство ВЛИ-0,4 кВ от оп. №11 ВЛ-0,4 кВ №1 КТП №430 ВЛ-6 кВ Рыбхоз ПС Ш-41 для электроснабжения жилого дома Губченко О.Н., Ростовская обл., Октябрьский р-н, садоводческое товарищество «Дон», уч. №299. (ориентировочная протяженность ЛЭП – 0,05 км)</t>
  </si>
  <si>
    <t>Установка прибора учета для присоединения объектов наружного освещения, расположенного по адресу: Ростовская область, Родионово-Несветайский район, сл. Большекрепинская, автомобиьная дорога общего пользования межмуниципального значения пос.Матвеев Курган-сл.Большекрепинская- сл.Родионово-Несветайская на участках км 44+500-км 48+700, км55+700-км57+800 в Родионово-Несветайском районе, КН ЗУ 61:33:0000000:56</t>
  </si>
  <si>
    <t>Установка прибора учета для присоединения объектов наружного освещения, расположенного по адресу: Ростовская область, Родионово-Несветайский район, сл. Аграфеновка, начало объекта-место стыка с осью автомобильной дороги с.Куйбышево-сл.Алексеево-Тузловка-сл.Родионово-Несветайская, точка стыка расположена в 850 м юго-восточнее сл.Барило-Крепинская Родионово-Несветайского района Ростовской области. Конец объекта-северо-восточная окраина сл.Большекрепинская Родионово-Несветайского района Ростовской области на участке км 7+350 км 9+000 в Родионово-Несветайском районе,КН ЗУ: 61:33:0000000:0:7</t>
  </si>
  <si>
    <t>Установка прибора учета для присоединения объектов наружного освещения, расположенного по адресу: Ростовская область, Родионово-Несветайский район, с. Каршенно-Анненка, автомобильная дорога общего пользования регионального значения с. Самбек - пос. Матвеев-Курган - с. Куйбышево - г. Снежное (до границы Украины) - с. Новиковка - с. Лысогорка - с. Каршенно-Анненка на участке км 30+000 - км 31+344 в Родионово-Несветайском районе, КН ЗУ: 61:33:0000000:57</t>
  </si>
  <si>
    <t>"Установка прибора учета для присоединения Малоэтажной жилой застройки (Индивидуальный жилой дом/Садовый/Дачный дом) Семисотовой Н.Е., расположенного по адресу: Ростовская область, Родионово-Несветайский район, х. Гребцово, ул. Космонавтов, д. 7, КН ЗУ: 61:33:0030201:591"</t>
  </si>
  <si>
    <t>Установка прибора учета для присоединения объектов наружного освещения, расположенного по адресу: Ростовская область, Родионово-Несветайский район, сл. Родионово-Несветайская, участок автомобильной дороги общего пользования межмуниципального значения сл.Родионово-Несветайская-г.Новочеркасск на км 0+000-км 15+240(км0+000-км6+155) в Родионово-Несветайском районе", КН ЗУ: 61:33:0000000:115</t>
  </si>
  <si>
    <t>Установка прибора учета для присоединения объекта торговли (магазин) Янченко Н.М., расположенного по адресу: Ростовская область, Октябрьский район, ст. Бессергеневская, ул. Кооперативная, д. 23Б, КН ЗУ: 61:28:0030301:3131</t>
  </si>
  <si>
    <t>Строительство ВЛИ-0,4 кВ от оп. №16 ВЛИ-0,4 кВ №3 КТП №670 по ВЛ-10 кВ Совхоз ПС 110 кВ Ш-16 для присоединения малоэтажной жилой застройки Князяна Р.Г. по адресу: Ростовская область, Октябрьский район, п. Красногорняцкий, ул. Королевой, д. 5 (ориентировочная протяженность ЛЭП 0,06 км)</t>
  </si>
  <si>
    <t>Строительство ВЛИ-0,4 кВ от оп. №55 ВЛИ-0,4 кВ №4 КТП №54 ВЛ-6 кВ Рыбхоз ПС Ш-41 для электроснабжения жилого дома Неведровой Т.С. по адресу: Октябрьский р-н, х. Калинин, ул. Донская, д.55Б (ориентировочная протяженность ЛЭП – 0,075 км)</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</si>
  <si>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ВРУ-0,4 кВ объекта зернотока ИП Голубева Н.В., расположенного по адресу: Ростовская область, Красносулинский район, Киселевское с/п, с. Киселево. к.н.з.у.: 61:18:0600011:1304 (1 шт.)</t>
  </si>
  <si>
    <t>Установка прибора учета для присоединения жилого дома Бадина Виталия Александровича, расположенного по адресу: Ростовская область, Красносулинский район,  х. Васецкий. ул. Колхозная, д.20, кадастровый номер земельного участка: 61:18:0030202:37 (1 шт.)</t>
  </si>
  <si>
    <t>Установка прибора учета для присоединения жилого дома Гутор Марины Александровны расположенного по адресу: Ростовская область, Красносулинский район,  х.Васецкий, ул. Колхозная д.1-а,кадастровый номер земельного участка: 61:18:030203:0021 (1 шт.)</t>
  </si>
  <si>
    <t>Установка прибора учета для присоединения здания закусочной Мнацаканян Максима Мовсесовича, расположенного по адресу: Ростовская область, Красносулинский р-н, п. Тополевый, ул. Советская, д. 10-а, кадастровый номер земельного участка: нет. (1 шт.)</t>
  </si>
  <si>
    <t>Установка прибора учета для присоединения жилого дома Чекунова Владимира Александровича расположенного по адресу: Ростовская область, Красносулинский район,  х. Платово, ул. Молодежная, д.6, кадастровый номер земельного участка: 61:18:0060109:36 (1 шт.)</t>
  </si>
  <si>
    <t>Установка прибора учета для присоединения жилого дома Шангина Сергея Николаевича расположенного по адресу: Ростовская область, Красносулинский район,  х. Большая Федоровка, ул. Октябрьская д.8, кадастровый номер земельного участка: 61:18:0020203:60 (1 шт.)</t>
  </si>
  <si>
    <t>Установка прибора учета для присоединения жилого дома Маймур А.А. расположенной по адресу: Ростовская область, Красносулинский район, ст-ца. Владимировская, ул. Октябрьская, д. 26, КН ЗУ: 61:18:0020102:39 (1 шт.)</t>
  </si>
  <si>
    <t>Установка прибора учета для присоединения Малоэтажной жилой застройки (Индивидуальный жилой дом/Садовый/Дачный дом) Ефимовой Е.В., расположенного по адресу: Ростовская область, Родионово-Несветайский район, сл. Родионово-Несветайская, ул. Вишневая, д.28, КН ЗУ: 61:33:040123:178</t>
  </si>
  <si>
    <t>Установка прибора учета для присоединения Малоэтажной жилой застройки (Индивидуальный жилой дом/Садовый/Дачный дом) Скориковой А.С., расположенного по адресу: Ростовская область, Родионово-Несветайский район х. Кирбитово, ул. Степная, д.6, КН ЗУ: 61:33:0030301:31</t>
  </si>
  <si>
    <t>Установка прибора учета для присоединения Малоэтажной жилой застройки (Индивидуальный жилой дом/Садовый/Дачный дом) Мошкарина А.А., расположенного по адресу: Ростовская область, Родионово-Несветайский район, садовое некоммерческое товарищество "Электромонтажник" участок №297, КН ЗУ: 61:33:0500201:188</t>
  </si>
  <si>
    <t>Установка прибора учета для присоединения Малоэтажной жилой застройки (Индивидуальный жилой дом/Садовый/Дачный дом) Каплина С.А., расположенного по адресу: Ростовская область, Родионово-Несветайский район х. Каменный Брод, ул. Калининская, д.31а, КН ЗУ: 61:33:0030501:1813</t>
  </si>
  <si>
    <t>Установка прибора учета для присоединения Малоэтажной жилой застройки (Индивидуальный жилой дом/Садовый/Дачный дом) Соботюк А.А., расположенного по адресу: Ростовская область, Родионово-Несветайский район, х. Веселый, ул. Дачная, д. 1Д, КН ЗУ 61:33:0040701:986</t>
  </si>
  <si>
    <t>Установка прибора учета для присоединения Малоэтажной жилой застройки (Индивидуальный жилой дом/Садовый/Дачный дом) Пруцакова Д.В., расположенного по адресу: Ростовская область, Родионово-Несветайский район, х. Юдино, ул. Победы, д. 2, КН ЗУ 61:33:0070201:98</t>
  </si>
  <si>
    <t>Установка прибора учета для присоединения Малоэтажной жилой застройки (Индивидуальный жилой дом/Садовый/Дачный дом) Агишевой Е.Ш., расположенного по адресу: Ростовская область, Родионово-Несветайский район, х. Октябрьский, ул. Заречная, д. 19, КН ЗУ 61:33:0030401:349</t>
  </si>
  <si>
    <t>Установка прибора учета для присоединения Малоэтажной жилой застройки (Индивидуальный жилой дом/Садовый/Дачный дом) Рамазанова С.Р., расположенного по адресу: Ростовская область, Родионово-Несветайский район, х. Волошино, ул. Новоселов, д. 15, КН ЗУ:  61:33:0070101:384</t>
  </si>
  <si>
    <t>Установка прибора учета для присоединения Малоэтажной жилой застройки (Индивидуальный жилой дом/Садовый/Дачный дом) Косенко В.В.., расположенного по адресу: Ростовская область, Родионово-Несветайский район, х. Краснознаменка, ул. Центральная, д. 43, КН ЗУ: 61:33:0020601:71</t>
  </si>
  <si>
    <t>Установка прибора учета для присоединения (Индивидуальный жилого дома Савченко О.В., расположенного по адресу: Ростовская область, Родионово-Несветайский район, с. Генеральское, ул. Набережная, д. 2, КН ЗУ: 61:33:0070601:307</t>
  </si>
  <si>
    <t>Установка прибора учета для присоединения малоэтажной жилой застройки Иващенко М.А., расположенной по адресу: Ростовская область, Октябрьский район, п. Верхнегрушевский, ул.Южная, д.1А, КН ЗУ: 61:28:0090101:743</t>
  </si>
  <si>
    <t xml:space="preserve"> Установка прибора учета для присоединения нежилой застройки ИП Абасова Р.А., расположенной по адресу: Ростовская область, Октябрьский район, х. Яново-Грушевский, ул. Огородняя, д. 27, КН ЗУ: 61:28:0070201:2499</t>
  </si>
  <si>
    <t>Установка прибора учета для присоединения малоэтажной жилой застройки Колесникова А.П., расположенной по адресу: Ростовская область, Октябрьский район, п. Верхнегрушевский, ул. Полевая, д.26, КН ЗУ: 61:28:0090105:15</t>
  </si>
  <si>
    <t>Установка прибора учета для присоединения жилого дома Подсвирова В. Е., расположенного по адресу: Ростовская область, Октябрьский район, ст-ца. Бессергеневская, ул. Подгорная, д.8а, КН ЗУ: 61:28:0030301:2669</t>
  </si>
  <si>
    <t>Установка прибора учета для присоединения жилого дома Сергеева И.С., расположенного по адресу: Ростовская область, Октябрьский район, сл. Красюковская, ул. Вишневая, д.29, КН ЗУ: 61:28:0070101:6601 (1 шт.)</t>
  </si>
  <si>
    <t>Установка прибора учета для присоединения малоэтажной жилой застройки Серикова А.Ю., расположенной по адресу: Ростовская область, Октябрьский район, х. Яново-Грушевский, сад. Электровозостроитель, д. 83, КН ЗУ: 61:28:0502501:241</t>
  </si>
  <si>
    <t>Установка прибора учета для присоединения малоэтажной жилой застройки Чайковского А.М., расположенной по адресу: Ростовская область, Октябрьский район, х. Красный Кут, ул. Социалистическая, д. 33</t>
  </si>
  <si>
    <t>Строительство ВЛИ-0,4 кВ от оп. №26 ВЛ-0,4 кВ №4 КТП №204 по ВЛ-6 кВ Кривянка ПС 110 кВ Ш-43 для присоединения жилых домов Морозова Р.М., Шаповалова А.И, Морозовой Т.Н. по адресу: Ростовская область, Октябрьский район, ст. Кривянская (ориентировочная протяженность ЛЭП 0,26 км</t>
  </si>
  <si>
    <t xml:space="preserve"> Строительство ЛЭП-0,4 кВ от РУ 0,4 кВ КТП № 152 по ВЛ 6 кВ «Пролетарка» ПС С2, с установкой прибора учета на границе земельного участка заявителя для нежилой застройки (хозяйственная постройка, нежилое здание), Ткачев Эдуард Анатольевич, Ростовская обл., Красносулинский район, с. Прохоровка, с/п Пролетарское, К.Н З.М: 61:18:0000000:7103. (ориентировочная протяженность ЛЭП – 0,410 км.)</t>
  </si>
  <si>
    <t>Строительство ЛЭП-0,4 кВ от оп. № 6 ВЛ 0,4 кВ № 3 от ЗТП 6/0,4 кВ № 177 по ВЛ 6 кВ «Пролетарка» ПС 110/6 С2, с установкой прибора учета на границе земельного участка заявителя для жилого дома, Фастишевская А.В., Российская Федерация, Ростовская обл., Красносулинский х. Пролетарка, пер. Трудовой, д. 2-б., К.Н З.М: 61:18:0080102:163.(ориентировочная протяженность ЛЭП – 0,210 км.)</t>
  </si>
  <si>
    <t>Установка прибора учета для присоединения объекта малоэтажной жилой застройки Гудкова С.В., расположенного по адресу: Ростовская область, р-н. Усть-Донецкий, ст-ца. Мелиховская, ул. Донская, д. Коммунистическая, д. 15</t>
  </si>
  <si>
    <t>Установка прибора учета для присоединения объекта малоэтажной жилой застройки Супруна Р.П., расположенного по адресу: Ростовская область, р-н. Усть-Донецкий, ст-ца. Раздорская, ул. Донская, д. 92, корп. А</t>
  </si>
  <si>
    <t>Установка прибора учета для присоединения малоэтажной жилой застройки Беляйкиной З.Л., расположенной по адресу: Ростовская область, Октябрьский район, сл. Красюковская, ул. М.Горького, д.112, КН ЗУ: 61:28:070101:0254</t>
  </si>
  <si>
    <t>Установка прибора учета для присоединения малоэтажной жилой застройки Забейворота М.Л., расположенной по адресу: Ростовская область, Октябрьский район, п. Красногорняцкий, ул. Дружелюбная, д. 25, КН ЗУ: 61:28:090501:0009</t>
  </si>
  <si>
    <t>Установка прибора учета для присоединения жилого дома Крылова А.Ф., расположенного по адресу: Ростовская область, Октябрьский район, рп. Каменоломни, ул. Дружелюбная, д. 18, КН ЗУ: 61:28:0090501:2857</t>
  </si>
  <si>
    <t>Установка прибора учета для присоединения жилого дома Мовсисян Т.Э., расположенной по адресу: Ростовская область, Октябрьский район, ст-ца Кривянская, ул. Кирпичная, д.24, КН ЗУ: 61:28:0040123:435</t>
  </si>
  <si>
    <t>Установка прибора учета для присоединения малоэтажной жилой застройки Пудова В.А., расположенной по адресу: Ростовская область, Октябрьский район, ст-ца Кривянская, ул. Кирпичная, д.22, КН ЗУ: 61:28:0040123:41</t>
  </si>
  <si>
    <t>Установка прибора учета для присоединения малоэтажной жилой застройки Расторгуева Р.О., расположенной по адресу: Ростовская область, Октябрьский район, ст-ца Кривянская, ул. Кирпичная, д.26, КН ЗУ: 61:28:0040123:45</t>
  </si>
  <si>
    <t>Установка прибора учета для присоединения малоэтажной жилой застройки Саратовского В.И., расположенной по адресу: Ростовская область, Октябрьский район, ст-ца Кривянская, ул. Кирпичная, д.25, КН ЗУ: 61:28:0040123:44</t>
  </si>
  <si>
    <t>Установка прибора учета для присоединения малоэтажной жилой застройки Сорочинской М.А., расположеннй по адресу: Ростовская область, Октябрьский район, п. Красногорняцкий, ул. Маграждановой, д.8, КН ЗУ: 61:28:0600020:272</t>
  </si>
  <si>
    <t>Установка прибора учета для присоединения квартиры Торховой С.Г., расположенной по адресу: Ростовская область, Октябрьский район, п. Верхнегрушевский, ул. Железнодорожная, д.8, кв.2, КН ЗУ: 61:28:0090103:83</t>
  </si>
  <si>
    <t>Установка прибора учета для присоединения малоэтажной жилой застройки Черезовой Н.Г., расположенной по адресу: Ростовская область, Октябрьский район, х. Керчик-Савров, ул. Советская, д.20, КН ЗУ: 61:28:0050101:337</t>
  </si>
  <si>
    <t>Установка прибора учета для присоединения жилого дома Юрченко В.Н., расположенного по адресу: Ростовская область, Октябрьский район, с. Алексеевка, ул. Школьная, д. 4, КН ЗУ: 61:28:0010105:9</t>
  </si>
  <si>
    <t>Установка прибора учета для присоединения малоэтажной жилой застройки Якуниной О.А., расположенной по адресу: Ростовская область, Октябрьский район, ст-ца Заплавская, ул. Виноградная, д. 2-б, КН ЗУ: 61:28:0030101:4437</t>
  </si>
  <si>
    <t>Установка прибора учета для присоединения сооружения связи ООО «Дон Связь Конструкция», расположенного по адресу: Ростовская область, Октябрьский район, ст-ца. Кривянская, ул. Кирпичная, д.88, КН ЗУ: 61:28:0040104</t>
  </si>
  <si>
    <t>Установка прибора учета для присоединения нежилого здания, расположенной по адресу: Ростовская область, г. Шахты, ул. Дачная (Барсуков С.С.)"</t>
  </si>
  <si>
    <t>Установка прибора учета для присоединения объекта малоэтажной жилой застройки Сарвилина А.В., расположенного по адресу: Ростовская область, Октябрьский р-н, х. Киреевка, ул. Набережная, д. 11</t>
  </si>
  <si>
    <t>Установка прибора учета для присоединения объекта малоэтажной жилой застройки Стахарновой А.Е., расположенного по адресу: Ростовская область, Октябрьский р-н, х. Калинин, пер. Первый, д. 8а</t>
  </si>
  <si>
    <t>Строительство ВЛИ-0,4 кВ от оп.20 по ВЛ-0,4кВ №1 от КТП 10/0,4 кВ № 423 по ВЛ-10кВ Комсомолец ПС Ш-35 для электроснабжения жилого дома Смирнова Е.Н., Ростовская обл., Октябрьский р-н, п. Новозарянский, ул. Степная, д. 11 (ориентировочная протяженность ЛЭП – 0,07 км)</t>
  </si>
  <si>
    <t>Строительство ВЛИ-0,4 кВ от конечной опоры ВЛИ-0,4кВ, строящейся по договору №61-1-20-00519625 от 14.07.2020 с Арутюновой В.К. от оп. №7 ВЛИ-0,4 кВ №2 КТП №654 ВЛ-10 кВ Совхоз ПС Ш-16 для электроснабжения блокированного жилого дома ИП Козиной Т.В. (ориентировочная протяженность ЛЭП – 0,04 км)</t>
  </si>
  <si>
    <t>Установка прибора учета для присоединения Административное/офисное здание АО «Почта России», расположенного по адресу: Ростовская обл., р-н. Родионово-Несветайский, сл. Кутейниково, ул. Булановой, д. 34</t>
  </si>
  <si>
    <t>Установка прибора учета для присоединения Административное/офисное здание АО «Почта России», расположенного по адресу: Ростовская обл., р-н. Родионово-Несветайский, сл. Барило-Крепинская, ул. Ленина, д. 15, КН ЗУ: 61:33:0050101:46</t>
  </si>
  <si>
    <t>Строительство ВЛИ-0,4 кВ от РУ-0,4 кВ КТП №398 по ВЛ-10 кВ Центр ПС 110 кВ Ш-36 для присоединения объекта КФХ ИП Буримова А.С. по адресу: Ростовская область, Октябрьский район, вблизи х. Керчик-Савров (ориентировочная протяженность ЛЭП 0,45 км)</t>
  </si>
  <si>
    <t>Строительство участка ВЛЗ-10 кВ от ВЛ10 кВ Западной ПС 35/10 Ш26, с установкой ТП 10/0,4 кВ, и строительство ВЛИ 0,4 кВ от вновь установленной ТП 10/0,4 кВ, для присоединения ВРУ-0,4кВ объекта сельскохозяйственного производства по адресу: Ростовская обл., Усть-Донецкий район, ст. Усть-Быстрянская КН ЗУ: 61:39:0600002:289 (ориентировочная протяженность ЛЭП 0,335 км, ориентировочная мощность трансформатора 0,025 МВА)</t>
  </si>
  <si>
    <t>Строительство ВЛИ-0,4 кВ от оп.45 по ВЛ-0,4кВ № 1 от КТП 10/0,4кВ № 230 по ВЛ-10кВ «Кутейниково» ПС Н-9 для электроснабжения «Малоэтажная жилая застройка (Индивидуальный жилой дом/Садовый/Дачный дом)» по адресу: Российская Федерация, Ростовская обл., р-н. Родионово-Несветайский, р-н. Родионово-Несветайский, сл. Родионово-Несветайская, ул. Челюскина, д. 11 (ориентировочная протяженность ЛЭП – 0,040 км)</t>
  </si>
  <si>
    <t>Строительство ВЛИ-0,4 кВ от оп.4 ВЛ 0,4кВ № 3 КТП 10/0,4кВ № 8 по ВЛ-10кВ «Кутейниково» ПС Н-9, для электроснабжения БС 2687 ООО "Т2 Мобайл" по адресу: сл. Кутейниково, ул. Булановой, д. 30 (ориентировочная протяженность ЛЭП – 0,055 км)</t>
  </si>
  <si>
    <t>Строительство ВЛИ-0,4 кВ от оп.12 по ВЛ 0,4кВ № 1 от КТП № 118 ВЛ-10 кВ Краснознаменка ПС Н-21 для электроснабжения «Малоэтажная жилая застройка (Индивидуальный жилой дом/Садовый/Дачный дом)» Шиколенко Г.П. по адресу: Ростовская обл., р-н. Родионово-Несветайский, р-н. Родионово-Несветайский, х. Болдыревка, ул. Гагаринская,  д. 24 (ориентировочная протяженность ЛЭП – 0,085 км)</t>
  </si>
  <si>
    <t>Строительство ВЛИ-0,4 кВ от оп.4 ВЛ 0,4кВ № 1 КТП 10/0,4кВ № 71А по ВЛ-10кВ «Каменный Брод» ПС АС-12, для электроснабжения здания Багян М.В. по адресу: Родионово-Несветайский р-н х. Каменный Брод, ул. Каменка, д. 6А (ориентировочная протяженность ЛЭП – 0,030 км)</t>
  </si>
  <si>
    <t>Строительство ВЛИ-0,4 кВ оп оп.7 ВЛ 0,4 кВ № 1 от ТП 10/0,4кВ  № 55 по ВЛ-10кВ «Заря» ПС Н-9 для электроснабжения жилого дома Горошко Н.П. Родионово-Несветайский р-н сл. Родионово-Несветайская, ул. Калинина,  д. 15А (ориентировочная протяженность ЛЭП – 0,05 км)</t>
  </si>
  <si>
    <t>Строительство ВЛИ-0,4 кВ от оп.31 по ВЛ-0,4кВ № 2 от КТП 10/0,4кВ № 178 по ВЛ-10кВ «Заря» ПС Н-9 для электроснабжения «Малоэтажная жилая застройка (Индивидуальный жилой дом/Садовый/Дачный дом)» Савченко С.И. по адресу: р-н. Родионово-Несветайский, сл. Родионово-Несветайская, ул. Абрикосовая, д. 7А (ориентировочная протяженность ЛЭП – 0,03км)</t>
  </si>
  <si>
    <t>Строительство ВЛИ 0,4 кВ от ВЛИ 0,4 кВ МТП 21 ВЛ 10 кВ Комплекс ПС 110 кВ Ш14 для электроснабжения ВРУ-0.4кВ жилого дома Стеценко А.А. по адресу: Усть-Донецкий район, х. Броницкий, ул. Степная, д. 17 КН ЗУ 61:39:0050201:93 (ориентировочная протяженность ЛЭП – 0,190 км)</t>
  </si>
  <si>
    <t>Установка прибора учета для присоединения объекта малоэтажной жилой застройки Новикова Е.А., расположенного по адресу: Ростовская область, р-н. Усть-Донецкий, ст-ца. Раздорская, ул. Донская, д. 76, корп. Б</t>
  </si>
  <si>
    <t>Установка прибора учета для присоединения объекта малоэтажной жилой застройки Дудину Ю.М., расположенного по адресу: Ростовская область, Усть-Донецкий район, ст-ца. Мелиховская, ул. Интернациональная, д. 7, КН ЗУ: 61:39:0020104:390</t>
  </si>
  <si>
    <t>Установка прибора учета для присоединения объекта набережной хутора Пухляковский «Пухляковского культурно-просветительского-спортивного комплекса», расположенного по адресу: Ростовская область, р-н. Усть-Донецкий, х. Пухляковский, ул. Набережная</t>
  </si>
  <si>
    <t>Установка прибора учета для присоединения объекта отделения почтовой связи, расположенного по адресу: Ростовская область, р-н. Октябрьский, п. Нижнедонской, ул. Ленина, д.13, КН ЗУ: 61:28:0060301:592</t>
  </si>
  <si>
    <t>Установка прибора учета для присоединения объекта отделения почтовой связи, расположенного по адресу: Ростовская область, р-н. Усть-Донецкий, ст-ца. Усть-Быстрянская, ул. Центральная, д. 31, КН ЗУ: 61:39:0080101:420</t>
  </si>
  <si>
    <t>Установка прибора учета для присоединения объекта отделения почтовой связи, расположенного по адресу: Ростовская область, р-н. Усть-Донецкий, х. Апаринский, ул. Комсомольская, д. 3, КН ЗУ: 61:39:0050102:791</t>
  </si>
  <si>
    <t>Установка прибора учета для присоединения объекта отделения почтовой связи, расположенного по адресу: Ростовская область, р-н. Усть-Донецкий, ст-ца. Нижнекундрюченская, ул. Советская, д. 14, КН ЗУ: 61:39:0060105:83</t>
  </si>
  <si>
    <t>Установка прибора учета для присоединения объекта отделения почтовой связи, расположенного по адресу: Ростовская область, р-н. Семикаракорский, ст. Кочетовская, ул. Набережная, д.46, КН ЗУ: 61:35:0080101:3656</t>
  </si>
  <si>
    <t xml:space="preserve">Установка прибора учета для присоединения объекта отделения почтовой связи, расположенного по адресу: Ростовская область, р-н. Усть-Донецкий, ст-ца. Мелиховская, пер. 6-й, д. 15, КН ЗУ: 61:39:0020105:648 </t>
  </si>
  <si>
    <t>Установка прибора учета для присоединения нежилого помещения, расположенного по адресу: Ростовская область, Октябрьский р-н, п. Верхнегрушевский, ул. Школьная, д.13 (АО «Почта России»)</t>
  </si>
  <si>
    <t>Установка прибора учета для присоединения нежилого помещения, расположенного по адресу: Ростовская область, Октябрьский р-н, х. Керчик-Савров, ул. Советская, д.38 (АО «Почта России»)</t>
  </si>
  <si>
    <t>Установка прибора учета для присоединения нежилого помещения, расположенного по адресу: Ростовская область, Октябрьский р-н, х. Красный Кут, ул. Калинина, д. 2-а (АО «Почта России»)</t>
  </si>
  <si>
    <t>Установка прибора учета для присоединения базовой станции сотовой связи, расположенной по адресу: Ростовская область, Октябрьский р-н, х. Веселая Бахмутовка, адресные ориентиры: примерно 14м по направлению на запад от границы участка с к.н. 61:28:0050201:23 по адресу: ул. Дородная, №8 (ПАО «Ростелеком»)</t>
  </si>
  <si>
    <t>Строительство ВЛИ-0,4 кВ от РУ-0,4 кВ МТП №803 ВЛ-10 кВ Красюковка ПС Ш-39 для электроснабжения пяти садовых домов с/т «Электровозостроитель» Ростовская обл., Октябрьский р-н. (ориентировочная протяженность ЛЭП – 0,66 км)</t>
  </si>
  <si>
    <t xml:space="preserve">Строительство ВЛИ-0,4 кВ оп.12 по ВЛ-0,4кВ № 2 от КТП 10/0,4кВ № 26 по ВЛ-10кВ «Генеральское» ПС Н-19 для электроснабжения объекта К(Ф)Х по адресу: Установлено относительно ориентира, расположенного в границах участка. Ориентир с.Генеральское. Участок находится примерно в 1750 м от ориентира по направлению на юго-запад. Почтовый адрес ориентира: Ростовская область, Родионово-Несветайский район, кадастровый номер земельного участка: 61:33:060012:28. (ориентировочная протяженность ЛЭП – 0,350 </t>
  </si>
  <si>
    <t>Строительство ВЛИ- 0,4 кВ от оп. 10 по BЛ 0,4 кВ № 1 от КТП 10/0,4 кВ, № 71 по BЛ-10 кВ Каменный Брод ПС АС -12 для электроснабжения малоэтажная жилая застройка (Индивидуальный жилой дом/Садовый/Дачный дом) Галстян А.Р., по адресу: Ростовская область, Р- Несветайский район, х. Каменный Брод, ул. Калининская, д. 16а, к.н.61:33:0030501:669 (ориентировочная протяженность ЛЭП 0,088 км)</t>
  </si>
  <si>
    <t>Строительство ВЛИ-0,4 кВ от оп.2 по ВЛ-0,4кВ № 1 от КТП 10/0,4кВ №121 по ВЛ-10кВ Генеральское ПС Н19 для электроснабжения «Малоэтажная жилая застройка (Индивидуальный жилой дом/Садовый/Дачный дом)» Ищенко А.Е.: р-н. Родионово-Несветайский, с. Генеральское, ул. Набережная, д. 6А (ориентировочная протяженность ЛЭП – 0,085 км)</t>
  </si>
  <si>
    <t>Строительство ВЛИ-0,4 кВ от опоры ВЛИ-0,4 кВ, построенной сетевой организацией по договору ТП №61-1-20-00551983 от 17.12.2020 (Соболева Н.С.) от РУ-0,4 кВ МТП №803 ВЛ-10 Красюковка ПС 35 кВ Ш-39 для присоединения двух садовых домов Чувакова И.А., Кубанкиной Е.И. по адресу: Ростовская область, Октябрьский район, садоводческое товарищество «Электровозостроитель» уч. 89, уч.89Б (ориентировочная протяженность ЛЭП 0,27 км)</t>
  </si>
  <si>
    <t>Строительство ВЛИ-0,4 кВ от РУ 0,4кВ КТП 10/0,4кВ № В-19 по ВЛ-10кВ Прохоровка ПС Н22 для электроснабжения «нежилая застройка (хозяйственная застройка, нежилое здание)» ИП Мирошниченко В.И. по адресу: р-н. Родионово-Несветайский, примерно в 124м по направлению на юг от х. Новопрохоровка (ориентировочная протяженность ЛЭП – 0,085 км)</t>
  </si>
  <si>
    <t>Строительство ВЛИ-0,4 кВ от ВЛИ-0,4кВ строящейся сетевой организацией по Договору ТП №61-1-21-00580543 от 02.06.21с Виниченко Г.А. от оп.6 по ВЛ 0,4кВ № 1 КТП №512 ВЛ-10 кВ Каменный Брод ПС АС-12, для электроснабжения «Малоэтажная жилая застройка (Индивидуальный жилой дом/Садовый/Дачный дом)» Афанасьевой А.Д. по адресу: Ростовская обл., р-н. Родионово-Несветайский, р-н. Родионово-Несветайский, СНТ "Комбайностроитель" участок 3-752 (ориентировочная протяженность ЛЭП – 0,035 км)</t>
  </si>
  <si>
    <t>Строительство ВЛИ-0,4 кВ от конечной опоры ВЛИ-0,4кВ, строящейся по договору №61-1-21-00598211 от 30.08.2021 с Афанасьевой А.Д для электроснабжения «Малоэтажная жилая застройка (Индивидуальный жилой дом/Садовый/Дачный дом)» Васильевой Н.П. по адресу: р-н. Родионово-Несветайский, СНТ "Комбайностроитель" участок 3-753, к.н.з.у.: 61:33:0500101:2398 (ориентировочная протяженность ЛЭП – 0,035 км)</t>
  </si>
  <si>
    <t>Строительство ВЛИ-0,4 кВ от ВЛИ-0,4кВ строящейся по Договору ТП 61-1-20-00519917 от 27.07.2020 с Васильевым Ш.И. от оп.39 ВЛ 0,4кВ № 1от КТП 10/0,4кВ № 124 по ВЛ-10кВ «Юдино» ПС Н-19 для электроснабжения жилого дома Шаталова Д.В. Родионово-Несветайский р-н х. Волошино, ул. Северная, д. 7(ориентировочная протяженность ЛЭП – 0,1 км)</t>
  </si>
  <si>
    <t>Установка прибора учета для присоединения нежилой застройки, ИП Сактанов О.И., расположенной по адресу: Ростовская область, Родионово-Несветайский район, х. Октябрьский, в 2000м на северо-запад от х. Октябрьский, КН ЗУ: 61:33:0600014:871</t>
  </si>
  <si>
    <t>Установка прибора учета для присоединения объекта торговли, ИП Абаева Б.Б., расположенной по адресу: Ростовская область, Родионово-Несветайский район, х. Юдино, ул. Лермонтова, д. 3Б КН 61:33:0070201:546</t>
  </si>
  <si>
    <t>Установка прибора учета для присоединения жилого дома, расположенного по адресу: Ростовская обл., Родионово-Несветайский р-н., с. Генеральское, ул. Советская, д. 29Б кадастровый номер 61:33:0070601:2484</t>
  </si>
  <si>
    <t>Установка прибора учета для присоединения нежилой застройки(ИП Обаян С.А.), расположенного по адресу: Ростовская область, Родионово-Несветайский р-он, примерно 2200 м на северо-запад от сл. Родионово-Несветайской КН ЗУ 61:33:0600010:3127</t>
  </si>
  <si>
    <t>Установка прибора учета для присоединения объекта туристической отрасли (ООО «Окна-Профиль), расположенного по адресу: Ростовская область, Родионово-Несветайский р-он, х. Волошино, ул. Заречная, д.26 КН ЗУ 61:33:0070101:1774</t>
  </si>
  <si>
    <t>Установка прибора учета для присоединения объектов наружного освещения, расположенного по адресу: Ростовская область, Родионово-Несветайский район, сл. Алексеево-Тузловка, автомобильная дорога общего пользования регионального значения с. Куйбышево – сл. Алексеево-Тузловка – сл. Родионово-Несветайская на участке км 37+400– км 42+880 в Родионово-Несветайском районе, кадастровый номер 61:33:0000000:0:2</t>
  </si>
  <si>
    <t>Установка прибора учета для присоединения объектов наружного освещения, расположенного по адресу: Ростовская обл., р-н. Родионово-Несветайский, х. Тимский, автомобильная дорога общего пользования регионального значения с. Куйбышево – сл. Алексеево-Тузловка – сл. Родионово-Несветайская на участке км 37+400– км 42+880 в Родионово-Несветайском районе, кадастровый номер 61:33:0000000:0:2</t>
  </si>
  <si>
    <t>Техперевооружение КТП 6/0,4 кВ № 46 ВЛ 6 кВ Правда ПС 35 кВ Г6 для электроснабжения производственного здания ИП Ильин В.В. в г.Зверево, ул.Макаренко, д.3т. (предполагаемая мощность трансформатора 630 кВА)</t>
  </si>
  <si>
    <t>Установка прибора учета для присоединения жилого дома Демьянова В.В., расположенного по адресу: Ростовская область, Красносулинский район, х. Коминтерн, ул. Черемушки, д. 13</t>
  </si>
  <si>
    <t>Установка прибора учета для присоединения базовая станция/оборудование сотовой связи Ростелеком, расположенного по адресу: Ростовская область, Красносулинский район, х. Богненко, примерно 73 м по направлению на запад от границ участка по ул. Центральная, 29</t>
  </si>
  <si>
    <t>Установка прибора учета для присоединения административного/офисного здания АО «Почты России», расположенного по адресу: Ростовская область, Красносулинский район, п. Тополёвый, пер. Пушкино, д. 9</t>
  </si>
  <si>
    <t>Установка прибора учета для присоединения административного/офисного здания АО «Почты России», расположенного по адресу: Ростовская область, Красносулинский район, х. Божковка, ул. Советская, д. 5.</t>
  </si>
  <si>
    <t>Установка прибора учета для присоединения административного/офисного здания АО «Почты России», расположенного по адресу: Ростовская область, Красносулинский район, х. Лихой, ул. Ленина, д. 64.</t>
  </si>
  <si>
    <t>Установка прибора учета для присоединения административного/офисного здания АО «Почты России», расположенного по адресу: Ростовская область, Красносулинский район, х. Садки, ул. Чистова, д. 11</t>
  </si>
  <si>
    <t>Строительство ВЛИ-0,4 кВ от оп.1 ВЛ-0,4 кВ № 2 от КТП 10/0,4 кВ № 362 по ВЛ-10 кВ «Мичурино» ПС 35/10 кВ С-11, с установкой прибора учета на границе земельного участка заявителя для базовой станции ПАО «Ростелеком», Российская Федерация, Ростовская обл., Красносулинский район, с. Ребряковка, 95 м на северо-восток от дома № 17, ул. Веселая.(ориентировочная протяженность ЛЭП – 0,055 км.)</t>
  </si>
  <si>
    <t>Установка прибора учета для присоединения офисного здания Главы К(Ф)Х Альшенко Александра Николаевича, расположенного по адресу: Ростовская область, Красносулинский район, х. Малая Гнилуша, кадастровый номер земельного участка: 61:18:0600013:970 (1шт.)</t>
  </si>
  <si>
    <t>Установка прибора учета для присоединения жилого дома Нарышкина Алексея Александровича, расположенного по адресу: Ростовская область, Красносулинский район, п. Пригородный, ул. Степная д.2, кадастровый номер земельного участка: 61:18:0110105:45 (1 шт.)</t>
  </si>
  <si>
    <t>Установка прибора учета для присоединения жилого дома Шмыкова Александра Николаевича расположенного по адресу: Ростовская область, г. Шахты, ул. Крупской д.8. (1 шт.)</t>
  </si>
  <si>
    <t>Установка прибора учета для присоединения торгового ларька Шумилина Бориса Афанасьевича, расположенного по адресу: Ростовская область, Красносулинский район,  х. Пролетарка, СПК "Русь", кадастровый номер земельного участка: 61:18:0600013:968 (1 шт.)</t>
  </si>
  <si>
    <t>Строительство ВЛИ-0,4 кВ от оп. №46 ВЛИ-0,4 кВ №3 КТП №206 ВЛ-6 кВ Кривянка ПС Ш-43 для электроснабжения жилого дома Касаткина А.А. по адресу: Октябрьский р-н, ст. Кривянская, ул. Советская, д.177 (ориентировочная протяженность ЛЭП – 0,13 км)</t>
  </si>
  <si>
    <t>Строительство ВЛИ-0,4 кВ от оп. №7/7 ВЛ-0,4 кВ №1 КТП №534 ВЛ-10 кВ Зверпромхоз ПС Ш-42 для электроснабжения жилого дома Кухарчук Д.О. по адресу: Ростовская область, Октябрьский р-н, сл. Красюковская, ул. М.Горького, д.53-А (ориентировочная протяженность ЛЭП – 0,03 км)</t>
  </si>
  <si>
    <t>Строительство ВЛИ-0,4 кВ от оп. №29 ВЛИ-0,4 кВ №3 КТП №670 ВЛ-10 кВ Совхоз ПС Ш-16 для электроснабжения жилого дома Коваленко В.Ю. по адресу: Октябрьский р-н, п. Красногорняцкий, ул. Кудаченко, д.24 (ориентировочная протяженность ЛЭП – 0,03 км)</t>
  </si>
  <si>
    <t>Установка прибора учета для присоединения объекта малоэтажной жилой застройки Выштейн В.Н., расположенного по адресу: Ростовская область, Октябрьский р-н, х. Калинин с/т «Дон», уч. №173</t>
  </si>
  <si>
    <t>Установка прибора учета для присоединения нежилого помещения, расположенного по адресу: Ростовская область, Октябрьский р-н, сл. Красюковская, ул. Советская, д.14 (АО «Почта России»)</t>
  </si>
  <si>
    <t>Установка прибора учета для присоединения нежилого помещения, расположенного по адресу: Ростовская область, Октябрьский р-н, ст. Бессергеневская, ул. Советская, д.38, пом. №12,13,14,15 (АО «Почта России»)</t>
  </si>
  <si>
    <t>Установка прибора учета для присоединения нежилого помещения, расположенного по адресу: Ростовская область, Октябрьский р-н, х. Маркин, ул. Школьная, д. 52 (АО «Почта России»)</t>
  </si>
  <si>
    <t>Установка прибора учета для присоединения базовой станции, расположенной по адресу: Ростовская область, Октябрьский р-н, п.Заозерье, адресные ориентиры: примерно 26м по направлению на северо-запад от границы участка с к.н. 61:28:0050201:23 (ПАО «Ростелеком»)</t>
  </si>
  <si>
    <t>Установка прибора учета для присоединения объекта малоэтажной жилой застройки Авакяна А.В., расположенного по адресу: Ростовская область, Октябрьский р-н, х. Маркин, ул. Школьная, д. 28»</t>
  </si>
  <si>
    <t>Установка прибора учета для присоединения объекта малоэтажной жилой застройки Андреева А.В., расположенного по адресу: Ростовская область, Красносулинский р-н, с. Табунщиково, ул. Школьная, д. 25</t>
  </si>
  <si>
    <t>Установка прибора учета для присоединения объекта магазин ИП Денисенко М.Ю., расположенного по адресу: Ростовская область, Октябрьский р-н, п. Красногорняцкий, ул. Комарова, д. 25</t>
  </si>
  <si>
    <t>Установка прибора учета для присоединения объекта жилой дом Кандыба В.В., расположенного по адресу: Ростовская область, Октябрьский р-н, х. Калинин, ул. Центральная, д. 142а</t>
  </si>
  <si>
    <t>Установка прибора учета для присоединения объекта малоэтажной жилой застройки Мирошниченко Л.В., расположенного по адресу: Ростовская область, Октябрьский р-н, х. Яново-Грушевский, с/т «Электровозостроитель», уч. №87</t>
  </si>
  <si>
    <t>Установка прибора учета для присоединения объекта малоэтажной жилой застройки Османовой Б.К., расположенного по адресу: Ростовская область, Октябрьский р-н, с/т «Электровозостроитель», уч. №55/1</t>
  </si>
  <si>
    <t>Установка прибора учета для присоединения объекта жилой дом Приймак Г.А., расположенного по адресу: Ростовская область, Октябрьский р-н, х. Калинин, ул. Донская, д. 83г</t>
  </si>
  <si>
    <t>троительство ВЛИ 0,4 кВ от ВЛИ 0,4кВ КТП 228 ВЛ 10кВ Каныгин ПС 110/10 Ш37 для электроснабжения ВРУ-0.4кВ Объекта сельскохозяйственного производства Манаева Э.Ю. по адресу: Ростовская область, Усть-Донецкий район, х. Коныгин, примерно 1м на запад от земельного участка с КН 61:39:0600011:26, КН ЗУ 61:39:0600011:358 (ориентировочная протяженность ЛЭП – 0,075 км)</t>
  </si>
  <si>
    <t>Установка прибора учета для присоединения объекта малоэтажной жилой застройки Чубовскова А.А., расположенного по адресу: Ростовская область, р-н. Усть-Донецкий, ст-ца. Мелиховская, ул. Крючкова, д. 2б, КН ЗУ: 61:39:0020105:222</t>
  </si>
  <si>
    <t>Установка прибора учета для присоединения объекта крестьянско-фермерского хозяйства ИП Бахмадова А.Х, расположенного по адресу: Ростовская область, р-н. Усть-Донецкий, ст.Нижнекундрюченская, примерно в 1 км на северо-восток от ст. Нижнекундрюченской, КН ЗУ: 61:39:0600005:168</t>
  </si>
  <si>
    <t>Установка прибора учета для присоединения объекта ВРУ-0.4кВ малоэтажной жилой застройки Саркисян Э.В., расположенного по адресу: Ростовская область, Усть-Донецкий район, ст-ца. Раздорская, ул. Набережная, д. 30, корп. в, КН ЗУ: 61:39:0030101:880</t>
  </si>
  <si>
    <t>Установка прибора учета для присоединения объекта жилого дома Дворниковой И.А., расположенного по адресу: Ростовская область, р-н. Семикаракорский, ст-ца. Кочетовская, пер. Тупиковый 9-й, д. 4</t>
  </si>
  <si>
    <t>Установка прибора учета для присоединения объекта малоэтажной жилой застройки Дорофеева В.В., расположенного по адресу: Ростовская область, Усть-Донецкий район, х. Апаринский, ул. Дачная, д. 124, КН ЗУ: 61:39:0600009:522</t>
  </si>
  <si>
    <t>Установка прибора учета для присоединения объекта малоэтажной жилой застройки Куркова И.А., расположенного по адресу: Ростовская область, р-н. Усть-Донецкий, ст. Раздорская, ул. Калинина, д. 93 КН ЗУ: 61:39:0030102:447</t>
  </si>
  <si>
    <t>Установка прибора учета для присоединения объекта малоэтажной жилой застройки Пономаренко А.А., расположенного по адресу: Ростовская область, Усть-Донецкий район, п. Огиб, ул. Новая, д. 20, КН ЗУ: 61:39:0600005:225</t>
  </si>
  <si>
    <t>Установка прибора учета для присоединения объекта ВРУ-0,4 кВ жилого дома Яковенко П.А., расположенного по адресу: Ростовская область, р-н. Усть-Донецкий, х. Листопадов, ул. Садовая, д. 39</t>
  </si>
  <si>
    <t>Строительство ВЛИ-0,4 кВ от оп.18 ВЛ 0,4 кВ №1 от КТП 10/0,4кВ 77 по ВЛ-10кВ Юдино ПС 35 кВ Н19 для электроснабжения «Малоэтажная жилая застройка (Индивидуальный жилой дом/Садовый/Дачный дом)» Романовой Е.В. по адресу: р-н. Родионово-Несветайский, х. Ивановка, ул. Магистральная, д. 15, к.н.з.у.: 61:33:070301:53. (ориентировочная протяженность ЛЭП – 0,380 км)</t>
  </si>
  <si>
    <t>Строительство ВЛИ-0,4 кВ от конечной опоры ВЛИ-0,4кВ, строящейся по договору №61-1-20-00533939 от 21.09.2020 с Потапченко К.А. для электроснабжения «Малоэтажная жилая застройка (Индивидуальный жилой дом/Садовый/Дачный дом)» Берестовой О.В. по адресу: р-н. Родионово-Несветайский, СНТ "Комбайностроитель" участок 3-382. (ориентировочная протяженность ЛЭП – 0,07 км)</t>
  </si>
  <si>
    <t>Строительство ВЛИ 0,4 кВ от РУ 0,4кВ КТП 63 ВЛ 10кВ МТФ ПС 110/10 Ш47 (Усть-Донецкий РЭС) для электроснабжения ВРУ-0.4кВ объекта сельскохозяйственного производства ООО Агрофирма «Кочетовская» по адресу: Ростовская обл., Семикаракорский район, ст. Кочетовская, КН ЗУ: 61:35:0600003:713 (ориентировочная протяженность ЛЭП – 0,270 км)</t>
  </si>
  <si>
    <t>Строительство ВЛИ 0,4 кВ от ВЛ 0,4 кВ №2 КТП 48 ВЛ 10 кВ Апаринка ПС Ш14 для электроснабжения сторожки ИП Орехов А.Б. по адресу: Усть-Донецкий р-н, х. Апаринский (ориентировочная протяженность ЛЭП – 0,15 км)</t>
  </si>
  <si>
    <t>Строительство ВЛИ-0,4 кВ от оп.69 по ВЛ-0,4кВ № 1 от КТП 10/0,4кВ № 230 по ВЛ-10кВ «Кутейниково» ПС Н-9, для электроснабжения «Малоэтажная жилая застройка (Индивидуальный жилой дом/Садовый/Дачный дом)» Дзюбенко В.В., Ростовская обл, р-н. Родионово-Несветайский, сл. Родионово-Несветайская, пер. Амурский, д. 30, (ориентировочная протяженность ЛЭП – 0,030 км)</t>
  </si>
  <si>
    <t>Строительство ВЛИ-0,4 кВ от оп.19 по ВЛ-0,4кВ № 1 от КТП 10/0,4кВ № 15 по ВЛ-10кВ «Юдино» ПС Н-19 для электроснабжения «Малоэтажная жилая застройка (Индивидуальный жилой дом/Садовый/Дачный дом)» Заломновой Н.Н. по адресу: Ростовская обл., р-н. Родионово-Несветайский, р-н. Родионово-Несветайский, х. Юдино, ул. Лермонтова, д. 5а (ориентировочная протяженность ЛЭП – 0,040 км)</t>
  </si>
  <si>
    <t>Строительство ВЛИ-0,4 кВ от оп.59 по ВЛ 0,4кВ № 1 КТП 10/0,4кВ 124 по ВЛ 10кВ Юдино ПС Н19 для электроснабжения «Малоэтажная жилая застройка (Индивидуальный жилой дом/Садовый/Дачный дом)» Литовченко Ю.В. по адресу: р-н. Родионово-Несветайский, х. Волошино, ул. Северная,д. 12 (ориентировочная протяженность ЛЭП – 0,03км)</t>
  </si>
  <si>
    <t>Строительство ВЛИ-0,4 кВ от оп.11 по ВЛ-0,4кВ № 3 от КТП 10/0,4кВ № 71-А по ВЛ-10кВ «Каменный Брод» ПС АС-12, для электроснабжения «Малоэтажная жилая застройка (Индивидуальный жилой дом/Садовый/Дачный дом)» Романчук И.А. р-н. Родионово-Несветайский, кадастровый номер земельного участка: 61:33:0030501:1849, (ориентировочная протяженность ЛЭП – 0,045 км)</t>
  </si>
  <si>
    <t>Строительство ВЛИ-0,4 кВ от оп. №4 ВЛИ-0,4 кВ №1 КТП №585 ВЛ-10 кВ Маркин-1 ПС Ш-27 для электроснабжения малоэтажной жилой застройки Арутюнян Е.В. по адресу: Октябрьский р-н, х. Маркин, ул. Степная, д.31-б (ориентировочная протяженность ЛЭП – 0,045 км)</t>
  </si>
  <si>
    <t>Строительство ВЛИ-0,4 кВ от оп. №5 ВЛ-0,4 кВ №1 КТП №180 по ВЛ-10 Красюковка ПС 35 кВ Ш-39 для присоединения малоэтажной жилой застройки Ятчук Т.В. по адресу: Ростовская область, Октябрьский район, сл. Красюковская, ул. Агролесная, д.47 (ориентировочная протяженность ЛЭП 0,045 км)</t>
  </si>
  <si>
    <t>Установка прибора учета для присоединения объекта малоэтажная жилая застройка Бакайкина А.П., расположенного по адресу: Ростовская область, Октябрьский р-н, ст. Заплавская, ул. Северная, д. 5</t>
  </si>
  <si>
    <t>Установка прибора учета для присоединения объекта малоэтажная жилая застройка Богучарова В.Ю., расположенного по адресу: Ростовская область, Октябрьский р-н, х. Калинин, пер. Садовый, д.4Б</t>
  </si>
  <si>
    <t>Установка прибора учета для присоединения объекта малоэтажная жилая застройка Брездина В.Г., расположенного по адресу: Ростовская область, Октябрьский р-н, ст-ца. Кривянская, ул. Октябрьская, д. 23</t>
  </si>
  <si>
    <t>Установка прибора учета для присоединения объекта малоэтажная жилая застройка Грибова С.А., расположенного по адресу: Ростовская область, Октябрьский р-н, ст. Заплавская, ул. Виноградная, д. 48</t>
  </si>
  <si>
    <t>Установка прибора учета для присоединения объекта малоэтажная жилая застройка Черепахиной Н.А., расположенного по адресу: Ростовская область, Октябрьский р-н, ст. Заплавская, ул. Школьная, д. 8</t>
  </si>
  <si>
    <t>Строительство ВЛИ-0,4 кВ от оп. 25 по ВЛ 0,4кВ № 2 от МТП 10/0,4кВ 05 по ВЛ 10кВ Кутейниково ПС 110 кВ Н9 для электроснабжения «Малоэтажная жилая застройка (Индивидуальный жилой дом/Садовый/Дачный дом)» Важаевой Н.В. по адресу: р-н. Родионово-Несветайский, сл. Родионово-Несветайская, ул. Персиковая, д. 1, (ориентировочная протяженность ЛЭП – 0,03км)</t>
  </si>
  <si>
    <t>Строительство ВЛИ-0,4 кВ от оп. 22 по ВЛ 0,4кВ № 2 от МТП 10/0,4кВ 05 по ВЛ 10кВ Кутейниково ПС 110 кВ Н9 для электроснабжения «Малоэтажная жилая застройка (Индивидуальный жилой дом/Садовый/Дачный дом)» Токаренко К.О. по адресу: р-н. Родионово-Несветайский, сл. Родионово-Несветайская, ул. Персиковая, д. 2. (ориентировочная протяженность ЛЭП – 0,03км)</t>
  </si>
  <si>
    <t>Строительство ВЛИ-0,4 кВ от оп. 17 по ВЛ -0,4кВ № 2 от КТП 10/0,4кВ 124 по ВЛ 10кВ Юдино ПС 35 кВ Н19 для электроснабжения «Малоэтажная жилая застройка (Индивидуальный жилой дом/Садовый/Дачный дом)» Абаева Б.Б. по адресу: р-н. Родионово-Несветайский, х. Волошино. Участок находится примерно в 30 м, по направлению на северо-запад от ориентира, кадастровый номер земельного участка: 61:33:0600013:591 (ориентировочная протяженность ЛЭП – 0,075км)</t>
  </si>
  <si>
    <t>Строительство ВЛИ 0,4 кВ от РУ 0,4кВ КТП 242 ВЛ 10кВ Черни ПС 35/10 Ш32 для электроснабжения ВРУ 0.4кВ малоэтажной жилой застройки Халачян М.О. по адресу: Ростовская обл., Усть-Донецкий район, ст. Верхнекундрюченская, ул. Центральная, д. 2Б, КН ЗУ 61:39:0070101:878 (ориентировочная протяженность ЛЭП – 0,3 км)</t>
  </si>
  <si>
    <t>Установка прибора учета для присоединения объекта садовый дом Лысенко С.А., расположенного по адресу: Ростовская область, Октябрьский р-н, с/т «Электровозостроитель», уч. №71</t>
  </si>
  <si>
    <t>Установка прибора учета для присоединения объекта малоэтажная жилая застройка Борисовой О.М., расположенного по адресу: Ростовская область, Октябрьский р-н, с/т «Электровозостроитель», уч. №170</t>
  </si>
  <si>
    <t>Установка прибора учета для присоединения объекта малоэтажная жилая застройка Смышляковой А.А., расположенного по адресу: Ростовская область, Октябрьский р-н, х. Красный Кут, ул. Калинина, д. 19</t>
  </si>
  <si>
    <t>Установка прибора учета для присоединения объекта жилой дом Бурковой А.А., расположенного по адресу: Ростовская область, Октябрьский р-н, рп. Каменоломни, ул. Свердлова, д. 115</t>
  </si>
  <si>
    <t>Строительство участка ВЛИ-0,4 кВ от РУ-0,4 кВ, КТП № 24, ВЛ-10 кВ № 6, ПС 35/10 кВ «Вишневецкая» для подключения жилого дома Головкова Н.А.. расположенного по адресу: Ростовская обл., Каменский р-н, х. Филиппенков, ул. Некрасова, д. № 56, корп. Б, к.н.з.у. 61:15:0080501:1924 (ориентировочная протяженность ЛЭП – 0,321км, прибор учёта электроэнергии - 1шт)</t>
  </si>
  <si>
    <t>Строительство участка ВЛ-0,4 кВ от опоры № 12, ВЛ-0,4 кВ № 1, КТП№ 243, ВЛ-10 кВ № 9, ПС 35/10 кВ «Селивановская», для подключения строящегося жилого дома Кривошлыкова А.А., расположенного по адресу: Ростовская обл., Милютинский р-н, х. Вячеслав, ул. Горелова. д. 1, КН ЗУ 61:23:050601:39 (ориентировочная протяженность ЛЭП – 0,070 км(прибор учета электроэнергии – 1шт).</t>
  </si>
  <si>
    <t>Строительство участка ВЛ-0,4 кВ от опоры № 7, ВЛ-0,4 кВ № 1, КТП 224, ВЛ 10 кВ № 3, ПС 35/10 кВ «Селивановская», для подключения жилого дома Осадченко Н.А., расположенного по адресу: Ростовская обл., Милютинский р-н, ст. Селивановская, пер. Вишнёвый, д.8, к.н. 61:21:080101:0289 (ориентировочная протяженность ЛЭП – 0,130 км).</t>
  </si>
  <si>
    <t>Строительство участка ВЛ-0,4 кВ от опоры №7, ВЛ-0,4 кВ №2 , КТП №851, ВЛ-10 кВ №1, ПС 35/10 кВ "Грушевская", для подключения строящегося жилого дома Денисенко Е.П., расположенного по адресу: Ростовская обл., Белокалитвенский р-н, х. Грушевка, ул. Солнечная д.35. (ориентировочная протяженность ЛЭП - 0,360 км)</t>
  </si>
  <si>
    <t>Строительство участка ВЛ-0,4 кВ от опоры № 1, ВЛ-0,4 кВ №1, КТП №680, ВЛ-6 кВ «Восход», ПС 110/6 кВ «Б-1», для подключения жилого дома Жигулиной О.М., расположенного по адресу: Ростовская обл., Белокалитвинский р-н, х.Поцелуев, ул.Есенина д. 19, кв. 2. (ориентировочная протяженность ЛЭП – 0,355 км)</t>
  </si>
  <si>
    <t>Строительство участка ВЛ-0,4 кВ от опоры № 1, ВЛ-0,4 кВ №2, КТП №82, ВЛ-10 кВ №6, ПС 35/10 кВ «Вишневецкая», для подключения строящегося жилого дома Анучкина С.И. расположенного по адресу: Ростовская обл., Каменский р-н, х. Верхнекрасный.  расположен с северо-западной стороны от земельного участка с к.н 61:15:0100201:8, к.н. 61:15:0100201:781 (ориентировочная протяженность ЛЭП – 0,171км)</t>
  </si>
  <si>
    <t>Строительство участка ВЛ-0,4 кВ от опоры № 28, ВЛ-0,4 кВ №2, КТП №168, ВЛ-10 кВ №1, ПС 110/35/10/6 кВ «К-4», для подключения строящегося жилого дома Воликова Л.В. расположенного по адресу: Ростовская обл., Каменский р-н, х. Астахов, ул. Кирова, д.24, корпус А к.н. 61:15:020201:0056 (ориентировочная протяженность ЛЭП – 0,149км)</t>
  </si>
  <si>
    <t>Строительство участка ВЛ-0,4 кВ от опоры №8, ВЛ-0,4кВ №1, КТП №251, ВЛ-10 кВ №5, ПС 110/10 кВ «Обливская ПТФ», для подключения «здания конюшни» Обжерина С.Ю., расположенного по адресу: Ростовская область, Обливский район, х. Солонецкий, пер.Луговой, 4б, к.н. № 61:27:0600016:69 (ориентировочная протяженность ЛЭП – 0,390 км)</t>
  </si>
  <si>
    <t>Установка прибора коммерческого учёта электрической энергии, для присоединения жилого дома Кудиновой Н.Д., расположенного по адресу: Ростовская область, Тарасовский р-н, х. Каюковка, ул. Калинина, д.5, к.н. 61:37:0030501:221 (прибор учёта электроэнергии - 1шт)</t>
  </si>
  <si>
    <t>Обеспечение коммерческим учетом электрической энергиив точке поставки, по присоединению ВРУ-0,4 кВ жилого дома Конак А.А., расположенного по адресу: Ростовская область, Тацинский район, п. Быстрогорский, ул. Погудина, 53, К.Н.З.У. 61:38:0040141:10 (прибор учёта электроэнергии - 1шт).</t>
  </si>
  <si>
    <t>Обеспечение коммерческим учетом электрической энергии в точке поставки, по присоединению ВРУ-0,4 кВ жилого дома Банько А.П., расположенного по адресу: Ростовская область, Тацинский район, х. Зазерский, ул. Центральная, д. 33, КН ЗУ 61:38:09010160033 (прибор учёта электроэнергии - 1шт).</t>
  </si>
  <si>
    <t>'Строительство участка ВЛИ-0,4 кВ от опоры № 6 ВЛ-0,4 кВ №2, КТП № 146, ВЛ-10 кВ № 3, ПС 35/10 кВ «Каменская СХТ», для подключения строящегося дома Шепелева В.М. расположенного по адресу: Ростовская обл., Каменский р-н, х. Старая Станица, пер. Транспортный, д. 41, КН 61:15:0130105:593 (ориентировочная   протяженность ЛЭП – 0, 225 км, прибор учёта электроэнергии - 1шт)</t>
  </si>
  <si>
    <t>Установка прибора коммерческого учёта электрической энергии для присоединения ВРУ-0,4 кВ базовой станции ПАО «Ростелеком», расположенной по адресу: Ростовская область, Обливский район, хутор Кривов (прибор учёта электроэнергии - 1шт.)</t>
  </si>
  <si>
    <t>Установка прибора коммерческого учёта электрической энергии, для присоединения ВРУ-0,4 кВ «базовая станция» ПАО «Ростелеком», расположенного по адресу: Ростовская область, Обливский район,  х. Караичев, к.н.з.у. 00:00:000000:00 (прибор учёта электроэнергии - 1шт.)</t>
  </si>
  <si>
    <t>Установка прибора коммерческого учёта электрической энергии,  для присоединения ВРУ-0,4 кВ «базовая станция» ПАО «Ростелеком», расположенного по адресу: Ростовская область, Обливский район, х. Нестеркин, к.н.з.у. 00:00:000000:00 (прибор учёта электроэнергии-1шт.)</t>
  </si>
  <si>
    <t>Строительство участка ВЛ-10 кВ от опоры № 24, отпайка Л-527, ВЛ-10 кВ № 4, ПС 35/10 кВ «Колушкинская», ТП 10/0,4 кВ и ВЛ-0,4 кВ от РУ-0,4 кВ проектируемой ТП 10/0,4 кВ, для подключения строящегося помещения ИП Главы К(Ф)Х Давыденко С.Я, для содержания животных, расположенного по адресу: Ростовская обл., Тарасовский р-н, Ефремово-Степановское сельское поселение, 2,2 км на юго-запад от х. Нижнемакеевский, КН ЗУ 61:37:060008:910 (ориентировочная протяженность ЛЭП –0,03 км, трансформаторная мощность – 0,025 МВА, прибор учёта электроэнергии - 1шт)</t>
  </si>
  <si>
    <t>Строительство участка ВЛ-0,4 кВ от РУ-0,4 кВ КТП № 556, ВЛ-10 кВ № 5, ПС 35/10 кВ «Колушкинская» для подключения коровника Серякова В.В. расположеного по адресу: местоположение установлено относительно ориентира, расположенного в границах участка. Почтовый адрес ориентира: Ростовская область, Тарасовский район, 530 м на север от х.Рыновка, КН 61:37:0600023:128 (ориентировочная протяженность ЛЭП – 0,65 км, прибор учёта электроэнергии - 1шт)</t>
  </si>
  <si>
    <t>Установка прибора коммерческого учёта электрической энергии, для присоединения ВРУ-0,4 кВ маслоцеха  ИП Алексеенко А.Ю., расположенного по адресу: Ростовская область, Тацинский район, х. Качалин, примерно в 0,1 км на восток, к.н. 61:38:0600001:2 (прибор учёта электроэнергии - 1шт.)</t>
  </si>
  <si>
    <t>Установка прибора коммерческого учёта электрической энергии, для присоединения ВРУ-0,4 кВ склада Игнатовой Я.С., расположенного по адресу: Ростовская область, Тацинский район, п. Новосуховый, примерно в 0,27 км на северо-восток от ул. Административная, 8, к.н. 61:38:0600012:1571 (прибор учёта электроэнергии - 1шт.)</t>
  </si>
  <si>
    <t>'Строительство участка ВЛ-0,4 кВ от опоры № 6, ВЛ-0,4 кВ № 2, КТП № 80, ВЛ-10 кВ № 4, ПС 35/10 кВ «Скосырская», для подключения ВРУ-0,4 кВ жилого дома Карпенко Г.А., расположенного по адресу: Ростовская область, Тацинский район, х. Пролетарский, ул. Набережная, д. 14, к.н. 61:38:0061001:71 (ориентировочная протяженность ЛЭП – 0,25 км, прибор учёта электроэнергии - 1шт)</t>
  </si>
  <si>
    <t>Обеспечение коммерческим учетом электрической энергии  в точке поставки, по присоединению жилого жома Пономарева В.В., расположенного по адресу: Ростовская область, Морозовский район, х. Донской, ул. Донская, д. 46 к.н. 61:24:0080302:83(прибор учёта электроэнергии - 1шт)</t>
  </si>
  <si>
    <t>Установка прибора коммерческого учёта электрической энергии для присоединения жилого дома Романченко Д.В., расположенного по адресу: Ростовская область, Морозовский р-н, х. Скачки-Малюгин, д. 48, к.н. 61:24:0020601:150 (прибор учёта электроэнергии - 1шт)</t>
  </si>
  <si>
    <t>Установка прибора коммерческого учёта электрической энергии, для присоединения ВРУ-0,4 кВ жилого дома Кречетова П.В., расположенного по адресу: Ростовская область, Обливский район, хутор Машинский, улица Береговая, д. 14, к.н. 61:27:0020201:67(прибор учёта электроэнергии - 1шт.)</t>
  </si>
  <si>
    <t>Установка прибора коммерческого учёта электрической энергии, для присоединения ВРУ-0,4 кВ «жилой дом» Бондарева С.С., расположенного по адресу: Ростовская область, Обливский район, х. Алексеевский, ул. Новая, д. 10, к.н. 61:27:0020101:313 (прибор учёта электроэнергии - 1шт.)</t>
  </si>
  <si>
    <t>Строительство участка ВЛ-0,4 кВ от РУ-0,4 кВ КТП № 255, ВЛ-10 кВ № 2, ПС 110/35/10/6 кВ «К - 4» для подключения рыбной фермы ИП Хабарова О.Н. расположенной по адресу: Ростовская обл., Каменский р-н, х. Филиппенков, АКХ «Колос», участок № 48, КН 61:15:0602101:2668 (ориентировочная протяженность ЛЭП – 0,394 км, прибор учёта электроэнергии - 1шт)</t>
  </si>
  <si>
    <t>Строительство участка ВЛ-0,4 кВ от КТП № 88, ВЛ-10 кВ № 3, ПС 35/10 кВ «Владимировская», для подключения здания фермы ООО «Ермак», расположенного по адресу: Ростовская обл., Морозовский р-н, совхоз Россия 1,5 км на юго-запад от ул. Безменова, п. Знаменка, к.н. 61:24:0090103:239 (ориентировочная   протяженность ЛЭП – 0,14 км, прибор учёта электроэнергии - 1шт)</t>
  </si>
  <si>
    <t>Строительство участка ВЛ-0,4 кВ от опоры № 3/6, ВЛ-0,4 кВ №1, КТП № 62, ВЛ-10 кВ № 1, ПС 35/10 кВ «Советская-1», для подключения строящегося нежилого здания Артюковской О.Н, расположенного по адресу: Ростовская обл., Советский р-н, примерно в 0,05 км на север от ориентира х. Русаков, КНЗУ 61:36:0600002:454 (ориентировочная протяженность ЛЭП – 0,095 км, прибор учёта электроэнергии - 1шт)</t>
  </si>
  <si>
    <t>Обеспечение коммерческим учетом электрической энергии в точке поставки, по присоединению жилого дома Зарубина В.А., расположенного по адресу: Ростовская область, Советский район, с. Чистяково, ул. Гагарина, д.15, к.н. 61:36:0020101:229 (прибор учета электроэнергии – 1шт).</t>
  </si>
  <si>
    <t>Обеспечение коммерческим учетом электрической энергии в точке поставки, по присоединению жилого дома Пагосян Х.С., расположенного по адресу: Ростовская область, Советский район, ст. Советская, ул. Орджоникидзе, д. 31, к.н.з.у. 61:36:0010101:180(прибор учета электроэнергии – 1шт)</t>
  </si>
  <si>
    <t>Установка прибора коммерческого учёта электрической энергии  для присоединения жилого дома Артюковского А.В., расположенного по адресу: Ростовская область, Советский район, ст. Советская, ул. Кирова, д.76, к.н. 61:36:0010101:48 (прибор учета электроэнергии – 1шт)</t>
  </si>
  <si>
    <t>'Установка прибора коммерческого учёта электрической энергии для присоединения квартиры Попова В.В., расположенного по адресу: Ростовская область, Советский район, п. Малые Озера, ул. Озерная, д. 3, кв./оф. 1, к.н. 61:36:0030401:37(прибор учета электроэнергии – 1шт).</t>
  </si>
  <si>
    <t>Установка прибора коммерческого учёта электрической энергии, для присоединения строящегося жилого дома Кравченко М.А.., расположенного по адресу: Ростовская область, Белокалитвинский р-н, п. Сосны, ул. Зеленая, д. 7, к.н. 61:04:0150414:98 (прибор учёта электроэнергии - 1шт)</t>
  </si>
  <si>
    <t>Установка прибора коммерческого учёта электрической энергии, для присоединения строящегося жилого дома Шкондина Н.Г., расположенного по адресу: Ростовская область, Белокалитвинский р-н, п. Сосны, ул. Сиреневая,     д. 21, к.н. 61:04:0150404:149 (прибор учёта электроэнергии - 1шт)</t>
  </si>
  <si>
    <t>Установка прибора коммерческого учёта электрической энергии для присоединения жилого дома Коноваловой А.А., расположенного по адресу: Ростовская область, Милютинский район, х. Терновой, пер. Тенистый, д. № 6, к.н. 61:23:0030601:18 (прибор учёта электроэнергии - 1шт).</t>
  </si>
  <si>
    <t>Установка прибора коммерческого учёта электрической энергии, для присоединения ВРУ-0,4 кВ гаража Жиговца В.Б., расположенного по адресу: Ростовская область, Милютинский район, х. Орлов, в 200 м юго-восточнее х. Орлов, к.н. 61:23:0600015:430 (прибор учёта электроэнергии 15 кВт - 1шт.)</t>
  </si>
  <si>
    <t>Установка прибора коммерческого учёта электрической энергии, для присоединения ВРУ-0,4 кВ жилого дома Чернушкина С.Н., расположенного по адресу: Ростовская обл., Милютинский р-н,   х. Семёновка, ул. Сибирская, д. 20, к.н.з.у. 61:23:0020801:40 (прибор учёта электроэнергии 15 кВт - 1шт.)</t>
  </si>
  <si>
    <t>Установка прибора коммерческого учёта электрической энергии, для присоединения ВРУ-0,4 кВ квартиры Замаевской О.В., расположенной по адресу: Ростовская область, Милютинский р-н, п. Полесье, ул. Сосновая, д. 2, кв.2, к.н. 61:23:0080301:147 (прибор учёта электроэнергии - 1шт)</t>
  </si>
  <si>
    <t>Установка прибора коммерческого учёта электрической энергии, для присоединения ВРУ-0,4 кВ жилого дома Симикина С.В., расположенного по адресу: Ростовская область, Обливский район, х. Лобачев,  ул. Магистральная, д. 19, к.н. 61:27:0070301:105 (прибор учёта электроэнергии - 1шт.)</t>
  </si>
  <si>
    <t>Установка прибора коммерческого учёта электрической энергии, для присоединения ВРУ-0,4 кВ «квартира» Черничкина Е.В., расположенного по адресу: Ростовская область, Обливский район, поселок Каштановский, переулок Вишневый, д. 2, кв.1 к.н. 61:27:0030101:1127 (прибор учёта электроэнергии - 1шт.)</t>
  </si>
  <si>
    <t>Установка прибора коммерческого учёта электрической энергии, для присоединения ВРУ-0,4 кВ «базовая станция» ПАО «Ростелеком», расположенного по адресу: Ростовская область, Обливский район,   п. Сосновый, к.н.з.у. 00:00:000000:00 (прибор учёта электроэнергии - 1шт.)</t>
  </si>
  <si>
    <t>Обеспечение коммерческим учетом электрической энергии в точке поставки, по присоединению освещения общественной территории Муниципального образования «Митякинское сельское поселение», расположенного по адресу: Ростовская область, Тарасовский район, ст. Митякинская, ул. Дюбина, д. 96, к.н. 61:37:0100101:1359 (прибор учёта электроэнергии - 1шт)</t>
  </si>
  <si>
    <t>Обеспечение коммерческим учетом электрической энергии в точке поставки, по присоединению жилого дома Пивоваровой Г.Н., расположенного по адресу: Ростовская область, Тарасовский район, сл. Колушкино, ул. Советская, д. 36, к.н. 61:37:090101:0035 (прибор учёта электроэнергии - 1шт)</t>
  </si>
  <si>
    <t>Установка прибора коммерческого учёта электрической энергии для присоединения жилого дома Талалаевой Т.Н., расположенного по адресу: Ростовская область, Тарасовский район,  х. Дубы, ул. Речная, д. 17, к.н. 61:37:0100201:474 (прибор учёта электроэнергии - 1шт).</t>
  </si>
  <si>
    <t>Обеспечение коммерческим учетом электрической энергии в точке поставки, по присоединению жилого дома Мирнова В.А., расположенного по адресу: Ростовская область, Тарасовский район, сл. Ефремово-Степановка, ул. Ленина, д. 25, к.н. 61:37:0080101:7(прибор учета электроэнергии – 1шт)</t>
  </si>
  <si>
    <t>Установка прибора коммерческого учёта электрической энергии для присоединения жилого дома Хохлова А.С., расположенного по адресу: Ростовская область, Тарасовский район,  х. Васильевка, ул. Вишневая, д. 14, к.н. 61:37:0030301:92 (прибор учета электроэнергии – 1шт).</t>
  </si>
  <si>
    <t>Установка прибора коммерческого учёта электрической энергии  для присоединения зерносклада ИП главы К(Ф)Х Артюшенко С.П., расположенного по адресу: Ростовская область, Тарасовский район,  х. Дубы, к.н. 61:37:0600019:1260 (прибор учета электроэнергии- 1шт)</t>
  </si>
  <si>
    <t>Установка прибора коммерческого учёта электрической энергии, для присоединения строящегося складского помещения ООО «Лето», расположенного по адресу: Ростовская область, Тарасовский р-н,х. Мокроталовка, к.н. 61:37:0600012:1909 (прибор учёта электроэнергии - 1шт)</t>
  </si>
  <si>
    <t>'Строительство участка ВЛ-0,4 кВ от опоры № 8, ВЛ-0,4 кВ № 1, КТП 399, ВЛ 10 кВ № 2, ПС 35/10 кВ «Нижнепоповская», для подключения сада Сандулян Н.И., расположеннго по адресу: Ростовская обл., Белокалитвинский р-н, х. Верхнепопов., КН № 61:04:0600013:1004 (ориентировочная протяженность ЛЭП – 0,278 км)</t>
  </si>
  <si>
    <t>Установка прибора коммерческого учёта электрической энергии, для присоединения жилого дома Яковлева М.В., расположенного по адресу: Ростовская область, Белокалитвинский р-н, х. Западный, ул. Садовая, д. 26, к.н. 61:04:0080301:73, (прибор учёта электроэнергии 15 кВт - 1шт)</t>
  </si>
  <si>
    <t>Установка прибора коммерческого учёта электрической энергии, для присоединения жилого дома Рябова В.Н., расположенного по адресу: Ростовская область, Белокалитвинский р-н, х. Ильинка, ул. Советская, д. 10, к.н. 61:04:0140107:218 (прибор учёта электроэнергии - 1шт)</t>
  </si>
  <si>
    <t>Установка прибора коммерческого учёта электрической энергии, для присоединения магазина Репкина М.П., расположенного по адресу: Ростовская область, Белокалитвинский р-н, ст. Краснодонецкая, ул. Центральная, д. 32, к.н. 61:04:0080105:90 (прибор учёта электроэнергии - 1шт)</t>
  </si>
  <si>
    <t>Установка прибора коммерческого учёта электрической энергии, для присоединения строящегося жилого дома Парамоновой Т.Г., расположенного по адресу: Ростовская область, Белокалитвинский р-н, п. Сосны, ул. Зеленая, д. 37, к.н. 61:04:0150413:265 (прибор учёта электроэнергии - 1шт)</t>
  </si>
  <si>
    <t>Установка прибора коммерческого учёта электрической энергии, для присоединения административного/офисного здания «Противопожарная служба Ростовской области» в лице начальника Кравцова В.В., расположенного по адресу: Ростовская область, Белокалитвинский район, ст. Краснодонецкая, ул. Екатериновская, д. 3 б, к.н. 61:04:0080103:505 (прибор учёта электроэнергии - 1шт)</t>
  </si>
  <si>
    <t>Установка прибора коммерческого учёта электрической энергии, для присоединения жилого дома Мельниковой Е.В., расположенного по адресу: Ростовская область, Белокалитвинский р-н, ст. Краснодонецкая, пер. Зеленый, д. 20, к.н. 61:04:0080104:157 (прибор учёта электроэнергии - 1шт)</t>
  </si>
  <si>
    <t>Установка прибора коммерческого учёта электрической энергии, для присоединения жилого дома Пузанова А.В., расположенного по адресу: Ростовская область, Белокалитвинский р-н, х. Поцелуев, ул. Газодобытчиков, д. 15, к.н. 61:04:0050104:57 (прибор учёта электроэнергии - 1шт)</t>
  </si>
  <si>
    <t>Установка прибора коммерческого учёта электрической энергии, для присоединения жилого дома Синицкого А.В., расположенного по адресу: Ростовская область, Белокалитвинский р-н, х. Головка, ул. Центральная, д. 35, к.н. 61:04:0090101:102 (прибор учёта электроэнергии - 1шт)</t>
  </si>
  <si>
    <t>Установка прибора коммерческого учёта электрической энергии, для присоединения нежилого здания Минихматова С.С., расположенного по адресу: Ростовская область, Белокалитвинский р-н, п. Сосны, ул. Центральная, д. 80 а, к.н. 61:04:0150416:762 (прибор учёта электроэнергии - 1шт)</t>
  </si>
  <si>
    <t>Установка прибора коммерческого учёта электрической энергии, для присоединения строящегося жилого дома Венглярского А.С., расположенного по адресу: Ростовская область, Белокалитвинский р-н, п. Сосны, ул. Зеленая, д. 5, к.н. 61:04:0150414:100 (прибор учёта электроэнергии - 1шт)</t>
  </si>
  <si>
    <t>Установка прибора коммерческого учёта электрической энергии, для присоединения ВРУ-0,4 кВ жилого дома Магницкого И.Л., расположенного по адресу: Ростовская обл., Милютинский р-н, х. Николовка, ул. Торговая, д. 1, к.н.з.у. 61:23:0040301:143 (прибор учёта электроэнергии - 1шт)</t>
  </si>
  <si>
    <t>Установка прибора коммерческого учёта электрической энергии, для присоединения ВРУ-0,4 кВ Административного здания №2 Куфты Н.Ю., расположенного по адресу: Ростовская обл., Милютинский    р-н, х. Николовка, ул. Центральная, д. 9, к.н.з.у. 61:23:0040301:656 (прибор учёта электроэнергии - 1шт.)</t>
  </si>
  <si>
    <t>Установка прибора коммерческого учёта электрической энергии, для присоединения ВРУ-0,4 кВ квартиры Марченко А.И., расположенного по адресу: Ростовская область, Милютинский р-н, х. Решетников, ул. Речная, д. 6, к.н. 61:23:0020301:40 (прибор учёта электроэнергии - 1шт.)</t>
  </si>
  <si>
    <t>Установка прибора коммерческого учёта электрической энергии, для присоединения Базовой станции ПАО «Ростелеком», расположенной по адресу: Ростовская область, Милютинский р-н, х. Николовка, ул. Торговая, д. 21 А, местоположение широта 48.680042, долгота 41.423489, к.н. 61:23:0040301 (прибор учёта электроэнергии - 1шт.)</t>
  </si>
  <si>
    <t>Установка прибора коммерческого учёта электрической энергии, для присоединения объекта для производства сельскохозяйственной продукции Кнышова И.И., расположенного по адресу: Ростовская обл., Милютинский р-н, х. Нижнепетровский, ул. Промышленная, д. 9, к.н.з.у. 61:23:0020901:532 (прибор учёта электроэнергии - 1шт)</t>
  </si>
  <si>
    <t>Установка прибора коммерческого учёта электрической энергии, для подключения ВРУ-0,4 кВ Базовой станции ПАО «Ростелеком», расположенной по адресу: Ростовская область, Милютинский район,  х. Нижнепетровский, ул. Мира, д. 3 А, местоположение широта 48.735023, долгота 41.546571, к.н. 61:23:0020901 (прибор учёта электроэнергии - 1шт)</t>
  </si>
  <si>
    <t>Установка прибора коммерческого учёта электрической энергии,  для присоединения жилого дома Дейнекина Д.А., расположенного по адресу: Ростовская обл., Милютинский р-н, х. Верхнепетровский, ул. Фатеева, д. 1, к.н.з.у. 61:23:0020701:245 (прибор учёта электроэнергии - 1шт)</t>
  </si>
  <si>
    <t>Установка прибора коммерческого учёта электрической энергии,для присоединения жилого дома Багаевой Е.А. расположенной по адресу: Ростовская обл., Милютинский р-н, сл. Маньково-Берёзовская, ул. Рожок, д. 7, к.н.з.у. 61:23:0020501:273 (прибор учёта электроэнергии - 1шт)</t>
  </si>
  <si>
    <t>Установка прибора коммерческого учёта электрической энергии, для присоединения жилого дома Борисенко Т.А., расположенного по адресу: Ростовская обл., Милютинский р-н, ст. Селивановская, ул. Садовая, д.12, к.н.з.у. 61:23:0080101:454 (прибор учёта электроэнергии - 1шт)</t>
  </si>
  <si>
    <t>Установка прибора коммерческого учёта электрической энергии, для присоединения жилого дома Незнамовой О.Ю., расположенного по адресу: Ростовская обл., Милютинский р-н, п. Светоч, ул. Южная, д.13/2, к.н.з.у. 61:23:0070101:37 (прибор учёта электроэнергии - 1шт)</t>
  </si>
  <si>
    <t>Установка прибора коммерческого учёта электрической энергии, для присоединения жилого дома Рельке В.В., расположенного по адресу: Ростовская обл., Милютинский р-н, х. Севостьянов, ул. Россошанская, д. 52, к.н.з.у. (прибор учёта электроэнергии - 1шт)</t>
  </si>
  <si>
    <t>Строительство участка ВЛ-0,4 кВ от опоры № 10 ВЛ-0,4 кВ № 1, КТП № 379, ВЛ-10 кВ № 9, ПС 35/10 кВ «Селивановская», для присоединения ВРУ-0,4 кВ жилого дома Ерошовой Е.А., расположенного по адресу: Ростовская обл., Милютинский р-н, ст. Селивановская, ул. Привольная, д. 48, к.н.з.у. 61:23:0080101:531 (ориентировочная протяженность ЛЭП-0,460 км, прибор учёта электроэнергии - 1шт.)</t>
  </si>
  <si>
    <t>Обеспечение коммерческим учетом электрической энергии в точке поставки, по присоединению жилого дома Павленко Е.В., расположенного по адресу: Ростовская область, Морозовский р-н, х. Новопроциков, ул. Речная,  д. 22, к.н. 61:24:0020301:131 (прибор учёта электроэнергии - 1шт).</t>
  </si>
  <si>
    <t>Установка прибора коммерческого учёта электрической энергии  для присоединения жилого дома Остривного А.А., расположенного по адресу: Ростовская область, Морозовский р-н,  х. Беляев, ул. Степная, д. 31, к.н. 61:24:0070105:44 (прибор учёта электроэнергии - 1шт)</t>
  </si>
  <si>
    <t>Установка прибора коммерческого учёта электрической энергии, для присоединения жилого дома Малаховой Н.Г., расположенного по адресу: Ростовская область, Морозовский р-н, х. Покровский, ул. Покровская, д. 49, к.н. 61:24:080501:0135 (прибор учёта электроэнергии - 1шт)</t>
  </si>
  <si>
    <t>Установка прибора коммерческого учёта электрической энергии, для присоединения складского здания ИП Борка Д.Д., расположенного по адресу: Ростовская область, Морозовский р-н, х. Вознесенский, ул. Школьная, д. 1 е, к.н. 61:24:0600006:293 (прибор учёта электроэнергии 15 кВт - 1шт)</t>
  </si>
  <si>
    <t>Установка прибора коммерческого учёта электрической энергии, для присоединения жилого дома Латышевой Т.Я., расположенного по адресу: Ростовская область, Морозовский р-н, х. Грузинов, ул. Абрикосовая, д. 23, к.н. 61:24:0050306:120 (прибор учёта электроэнергии - 1шт.)</t>
  </si>
  <si>
    <t>Установка прибора коммерческого учёта электрической энергии, для присоединения жилого дома Узаировой М.И., расположенного по адресу: Ростовская область, Морозовский р-н, х. Сибирьки, ул. Большая Садовая, д. 46, к.н. 61:24:0060601:179 (прибор учёта электроэнергии - 1шт.).</t>
  </si>
  <si>
    <t>Установка прибора коммерческого учёта электрической энергии, для присоединения здания фермы ООО «Ермак», расположенного по адресу: Ростовская область, Морозовский р-н, п. Табунный, д. 47, к.н. 61:24:0090301:117 (прибор учёта электроэнергии - 1шт.)</t>
  </si>
  <si>
    <t>Установка прибора коммерческого учёта электрической энергии, для присоединения Базовой станции ПАО «Ростелеком», расположенной по адресу: Ростовская область, Морозовский р-н, х. Беляев, кадастровый номер земельного участка: 00:00:000000:00 (прибор учёта электроэнергии - 1шт.)</t>
  </si>
  <si>
    <t>Строительство участка ВЛ-0,4 кВ от опоры № 19 ВЛ-0,4 кВ 3, КТП № 4, ВЛ-10 кВ № 3, ПС 35/10 кВ «Вольно-Донская», для подключения жилого дома Узаировой Халиды Алижановны, расположенного по адресу: Ростовская обл., Морозовский р-н, х. Сибирьки, ул. Большая Садовая, д. 58, КНЗУ 61:24:0060601:168 (ориентировочная   протяженность ЛЭП – 0,22 км, прибор учёта электроэнергии - 1шт)</t>
  </si>
  <si>
    <t>Установка прибора коммерческого учёта электрической энергии, для присоединения жилого дома Золотовской М.В., расположенного по адресу: Ростовская область, Обливский район, хутор Рябовский, улица Сосновая, дом 44, к.н. 61:27:0070201:211 (прибор учёта электроэнергии 15 кВт - 1шт)</t>
  </si>
  <si>
    <t>Установка прибора коммерческого учёта электрической энергии, для присоединения жилого дома Обуховой Н.В., расположенного по адресу: Ростовская область, Обливский р-н, п. Средний Чир, пер. Куйбышева, д. 8, кв./оф. 2, к.н.з.у. 61:27:070602:0134 (прибор учёта электроэнергии 15 кВт - 1шт)</t>
  </si>
  <si>
    <t>Установка прибора коммерческого учёта электрической энергии, для присоединения жилого дома Бирюковой Оксаны Сергеевны расположенного по адресу: Ростовская область, Обливский район, хутор Ковыленский, улица Лазоревая, дом 9, к.н. 61:27:0071101:17 (прибор учёта электроэнергии - 1шт)</t>
  </si>
  <si>
    <t>Установка прибора коммерческого учёта электрической энергии, для присоединения жилого дома Былич А.С., расположенного по адресу: Ростовская область, Обливский район, хутор Караичев, улица Солнечная, дом 3, к.н. 61:27:0040104:71 (прибор учёта электроэнергии - 1шт)</t>
  </si>
  <si>
    <t>Установка прибора коммерческого учёта электрической энергии, для присоединения жилого дома Еременко А.В., расположенного по адресу: Ростовская область, Обливский район, хутор Сеньшин, улица Березовая, дом 57, к.н. 61:27:0000000:1575 (прибор учёта электроэнергии - 1шт)</t>
  </si>
  <si>
    <t>Установка прибора коммерческого учёта электрической энергии, для присоединения жилого дома Мариева С.А., расположенного по адресу: Ростовская область, Обливский район, хутор Караичев, улица Солнечная, дом 5, к.н. 61:27:0040104:85 (прибор учёта электроэнергии - 1шт)</t>
  </si>
  <si>
    <t>Установка прибора коммерческого учёта электрической энергии, для присоединения ВРУ-0,4 кВ «модульное здание фельдшерско-акушерского пункта» Муниципального бюджетного учреждения здравохранения «Центральная районная больница» Обливского района Ростовской области, расположенного по адресу: Ростовская область, Обливский район, поселок Сосновый, улица Молодежная, дом 1а, к.н. 61:27:0040401:946 (прибор учёта электроэнергии - 1шт.)</t>
  </si>
  <si>
    <t>Установка прибора коммерческого учёта электрической энергии, для присоединения ВРУ-0,4 кВ жилого дома Орловой Е.А., расположенного по адресу: Ростовская область, Обливский район, поселок Сосновый, улица Жуланова, д. 23, к.н. 61:27:0040401:249(прибор учёта электроэнергии - 1шт.).</t>
  </si>
  <si>
    <t>Строительство участка ВЛИ-0,4 кВ от опоры № 3, ВЛ-0,4 кВ № 1, КТП № 301, ВЛ-10 кВ №1, ПС 35/10 кВ «Артемовская», для подключения летней кухни Брызгалина И.А., расположенной по адресу: Ростовская обл., Обливский район, поселок Сосновый, улица Лесная, д. № 3, КНЗУ 61:27:0040401:271 (ориентировочная протяженность ЛЭП – 0,382 км, прибор учёта электроэнергии- 1шт)</t>
  </si>
  <si>
    <t>Установка прибора коммерческого учёта электрической энергии для присоединения жилого дома Попова В.В., расположенного по адресу: Ростовская область, Советский район, ст. Советская, ул. 40 лет Октября, д.21 к.н. 61:36:0010101:351 (прибор учета электроэнергии – 1шт)</t>
  </si>
  <si>
    <t>Установка прибора коммерческого учёта электрической энергии, для присоединения квартиры Псёл Виктор Иванович, расположенного по адресу: Ростовская область, Советский р-н, п. Чирский, ул. Садовая, д. 16, кв./оф.2, к.н. 61:36:0030101:247 (прибор учёта электроэнергии - 1шт)</t>
  </si>
  <si>
    <t>Установка прибора коммерческого учёта электрической энергии, для присоединения жилого дома Лысенко Сергея Ивановича, расположенного по адресу: Ростовская область, Советский  р-н, слобода Петрово, ул. Любимая, д. 19, к.н. 61:36:0040301:177 (прибор учёта электроэнергии - 1шт)</t>
  </si>
  <si>
    <t>Установка прибора коммерческого учёта электрической энергии, для присоединения жилого дома Картушин А.В., расположенного по адресу: Ростовская область, Советский р-н, ст. Советская, ул. Ю.Горева, д. 26, к.н. 61:36:0010101:603 (прибор учёта электроэнергии - 1шт)</t>
  </si>
  <si>
    <t>Установка прибора коммерческого учёта электрической энергии, для присоединения жилого дома Чекункова С.М., расположенного по адресу: Ростовская область, Советский р-н, слобода Чистяково, ул. Гагарина, д. 27, к.н. 61:36:0020101:1352 (прибор учёта электроэнергии - 1шт)</t>
  </si>
  <si>
    <t>Установка прибора коммерческого учёта электрической энергии, для присоединения жилого дома Нордгеймер Т.Б., расположенного по адресу: Ростовская область, Тарасовский р-н, х. Дубы, ул. Центральная, д. № 62, к.н.з.у. 61:37:0100201:238 (прибор учёта электроэнергии 15 кВт - 1шт)</t>
  </si>
  <si>
    <t>Установка прибора коммерческого учёта электрической энергии, для присоединения ВРУ-0,4 кВ жилого дома Близнюковой Л.В., расположенного по адресу: Ростовская область, Тацинский район, х. Пролетарский ул. Песчаная, д. 23, к.н. 61:38:061001:0075 (прибор учёта электроэнергии - 1шт.)</t>
  </si>
  <si>
    <t>Установка прибора коммерческого учёта электрической энергии, для присоединения ВРУ-0,4 кВ строящегося здания ИП Солошенко С.Ф., расположенного по адресу: Ростовская область, Тацинский район, ст. Тацинская, примерно в 150 м на юг от ул. Ковалева, д. 18, к.н. 61:38:0600009:1358 (прибор учёта электроэнергии - 1шт.)</t>
  </si>
  <si>
    <t>Установка прибора коммерческого учёта электрической энергии, для присоединения ВРУ-0,4 кВ уличного освещения автодороги А-280 (М-21) км 271+226-км 272+000, расположенного по адресу: Ростовская область, Тацинский район, х. Михайлов, автодорога А-280 (М-21) км 271+226-км 272+000, к.н.отсутствует  (прибор учёта электроэнергии - 1шт.)</t>
  </si>
  <si>
    <t>Установка прибора коммерческого учёта электрической энергии, для присоединения ВРУ-0,4 кВ жилого дома Дудниковой И.П., расположенного по адресу: Ростовская область, Тацинский район, х. Качалин, ул. Харченко, д. 25, кв. 1, к.н. 61:38:0070501:16. (прибор учёта электроэнергии - 1шт.)</t>
  </si>
  <si>
    <t>Установка прибора коммерческого учёта электрической энергии, для присоединения ВРУ-0,4 кВ жилого дома Птицына М.В., расположенного по адресу: Ростовская область, Тацинский район, х. Новороссошанский, ул. Молодёжная, д. 79, к.н. 61:38:0080401:1(прибор учёта электроэнергии - 1шт.)</t>
  </si>
  <si>
    <t>Установка прибора коммерческого учёта электрической энергии, для присоединения жилого дома Агеева С.А., расположенного по адресу: Ростовская область, Тацинский район, х. Крюков, ул. Школьная, д. 21, к.н. 61:38:0060701:38 (прибор учёта электроэнергии - 1шт.)</t>
  </si>
  <si>
    <t>Установка прибора коммерческого учёта электрической энергии, для присоединения жилого дома Резниковой Л.Г., расположенного по адресу: Ростовская область, Тацинский район, п. Новосуховый, ул. Клубная, д. 8, к.н. 61:38:100101:0016. (прибор учёта электроэнергии - 1шт.)</t>
  </si>
  <si>
    <t>Установка прибора коммерческого учёта электрической энергии, для присоединения строящегося здания ИП Ткачук Г.Ф., расположенного по адресу: Ростовская область, Тацинский район, п. Быстрогорский, пер. Кооперативный, д. 20, к.н. 61:38:0600008:1699 (прибор учёта электроэнергии - 1шт.)</t>
  </si>
  <si>
    <t>Установка прибора коммерческого учёта электрической энергии для присоединения ВРУ-0,4 кВ базовой станции сотовой связи Ростовского филиала ПАО «Ростелеком», расположенной по адресу: Ростовская область, Тацинский район, х. Араканцев, к.н. 61:38:0090201. (прибор учёта электроэнергии - 1шт.)</t>
  </si>
  <si>
    <t>Установка прибора коммерческого учёта электрической энергии, для присоединения ВРУ-0,4 кВ жилого дома Калашникова А.Н., расположенного по адресу: Ростовская область, Тацинский район, х. Верхнеобливский, пер. Веселый, д. 7, к.н. 61:38:0070101:242 (прибор учёта электроэнергии - 1шт.)</t>
  </si>
  <si>
    <t>Установка прибора коммерческого учёта электрической энергии, для присоединения ВРУ-0,4 кВ жилого дома Кибенко А.Н., расположенного по адресу: Ростовская область, Тацинский район, п. Быстрогорский, ул. Социалистическая, д. 29, к.н. 61:38:0040114:53. (прибор учёта электроэнергии - 1шт.)</t>
  </si>
  <si>
    <t>Установка прибора коммерческого учёта электрической энергии, для присоединения ВРУ-0,4 кВ нежилого здания Мищенко А.Н., расположенного по адресу: Ростовская область, Тацинский район, х. Качалин, примерно в 2,3 км по направлению на запад, к.н. 00:00:0000:000. (прибор учёта электроэнергии - 1шт.)</t>
  </si>
  <si>
    <t>Установка прибора коммерческого учёта электрической энергии, для присоединения ВРУ-0,4 кВ базовой станции сотовой связи Ростовского филиала ПАО «Ростелеком», расположенной по адресу: Ростовская область, Тацинский район, х. Качалин, к.н. 61:38:0070501.(прибор учёта электроэнергии - 1шт.)</t>
  </si>
  <si>
    <t>Установка прибора коммерческого учёта электрической энергии, для присоединения ВРУ-0,4 кВ базовой станции сотовой связи Ростовского филиала ПАО «Ростелеком», расположенной по адресу: Ростовская область, Тацинский район, х. Луговой, ул. Мира, д.2, к.н. 61:38:0110401 (прибор учёта электроэнергии - 1шт.)</t>
  </si>
  <si>
    <t>Установка прибора коммерческого учёта электрической энергии, для присоединения ВРУ-0,4 кВ здания магазина ООО «Адамас», расположенного по адресу: Ростовская область, Тацинский район, х. Михайлов, ул. Ленина, д. 128, к.н. 61:38:030122:0028 (прибор учёта электроэнергии - 1шт.)</t>
  </si>
  <si>
    <t>Строительство участка ВЛИ-0,4 кВ от КТП № 360, ВЛ-10 кВ № 2,ПС 35/10 кВ "Верхне-Кольцовская", для подключения ВРУ-0,4 кВ нежилого здания Дядичко И.П., расположенного по адресу: Ростовская область, Тацинский район, х. Пуличев, ул. Кривая, д. 1, к.н. 61:38:0020401:53 (ориентировочная протяженность ЛЭП – 0,36 км, прибор учёта электроэнергии - 1шт)</t>
  </si>
  <si>
    <t>Строительство участка ВЛИ-0,4 кВ от КТП № 207, ВЛ-10 кВ № 3, ПС 35/10 кВ "Быстрянская", для подключения ВРУ-0,4 кВ жилого дома Соловьевой Т.М., расположенного по адресу: Ростовская область, Тацинский район, х. Ковылкин, ул. Луговая, д. 7, к.н. 61:38:0110101:168 (ориентировочная протяженность ЛЭП – 0,3 км, прибор учёта электроэнергии - 1шт)</t>
  </si>
  <si>
    <t>Строительство участка ВЛИ-0,4кВ от опоры № 64 ВЛ-0,4кВ №1, КТП № 120, ВЛ-10кВ № 2, ПС 35/10 кВ «Каменская СХТ» для подключения дома Войтенко И.А. расположенного по адресу: Ростовская обл., Каменский р-н, х. Старая Станица, ул. Чайковского, д. № 28, КН 61:15:0130106:547 (ориентировочная протяженность ЛЭП – 0,108км)</t>
  </si>
  <si>
    <t>Установка прибора коммерческого учёта электрической энергии, для присоединения жилого дома Шмариной Т.В., расположенного по адресу: Ростовская область, Каменский район, х. Старая Станица,  ул. Восточная, д. № 13, к.н.з.у. 61:15:030105:445  (прибор учёта электроэнергии - 1шт.)</t>
  </si>
  <si>
    <t>Установка прибора коммерческого учёта электрической энергии, для присоединения жилого дома Яцковой Е.В., расположенного по адресу: Ростовская область, Каменский район, х. Старая Станица, пер. Молодежный, д. № 70, корп. А, к.н. 61:15:0130104:186 (прибор учёта электроэнергии - 1шт.)</t>
  </si>
  <si>
    <t>Установка прибора коммерческого учёта электрической энергии, для присоединения жилого дома Сапельникова В.А., расположенного по адресу: Ростовская обл., Каменский р-н, х. Астахов, пер. Шолохова, д. 1, корп. А, к.н.з.у. 61:15:0020201:13 (прибор учёта электроэнергии - 1шт)</t>
  </si>
  <si>
    <t>Установка прибора коммерческого учёта электрической энергии, для присоединения жилого дома Дорошевой Татьяны Алексеевны, расположенного по адресу: Ростовская область, Каменский район,   х. Волченский, ул. Садовая, дом № 86, к.н.з.у. 61:15:0040101:381 (прибор учёта электроэнергии - 1шт.)</t>
  </si>
  <si>
    <t>Установка прибора коммерческого учёта электрической энергии, для присоединения жилого дома Чернышовой А.С., расположенного по адресу: Ростовская область, Каменский район, х. Старая Станица,  ул. Еланская, д. 27, к.н. 61:15:0130101:2835 (прибор учёта электроэнергии - 1шт)</t>
  </si>
  <si>
    <t>Установка прибора коммерческого учёта электрической энергии, для присоединения жилого дома Ярцева А.А., расположенного по адресу: Ростовская  область,  Каменский район,  х. Старая Станица,  ул.  Гагарина,  дом № 9, к.н.з.у. 61:15:0130101:736 (прибор учёта электроэнергии  - 1шт.)</t>
  </si>
  <si>
    <t>Обеспечение коммерческим учетом электрической энергии  в точке поставки, по присоединению жилого дома Харламовой Н.Г., расположенного по адресу: Ростовская область, Тарасовский район,  х. Васильевка, ул. Лесная, д. 3, к.н. 61:37:0030301:103 (прибор учета электроэнергии – 1шт).</t>
  </si>
  <si>
    <t>Установка прибора коммерческого учёта электрической энергии, для присоединения жилого дома Ванеева А.Е., расположенного по адресу: Ростовская область, Тарасовский р-н, х. Васильевка, ул. Вишневая, д. 8, к.н. 61:37:0030301:85 (прибор учёта электроэнергии - 1шт)</t>
  </si>
  <si>
    <t>Установка прибора коммерческого учёта электрической энергии, для присоединения ВРУ-0,4 кВ «квартира» Олейниковой Л.А., расположенного по адресу: Ростовская область, Обливский район, хутор Солонецкий, улица 40 лет Победы, дом 12 кв.2 к.н. 61:27:0060102:276 (прибор учёта электроэнергии - 1шт.).</t>
  </si>
  <si>
    <t>Установка прибора коммерческого учёта электрической энергии, для присоединения ВРУ-0,4кВ «квартира» Татарова Д.Н., расположенного по адресу: Ростовская область, Обливский район, поселок Каштановский, улица Школьная, дом 1, кв.2, к.н. 61:27:030101:0011 (прибор учёта электроэнергии  - 1шт)</t>
  </si>
  <si>
    <t>Установка прибора коммерческого учёта электрической энергии, для присоединения Базовой станции ПАО «Ростелеком», расположенной по адресу: Ростовская область, Морозовский р-н, х. Общий, кадастровый номер земельного участка: 00:00:000000:00 (прибор учёта электроэнергии - 1шт.)</t>
  </si>
  <si>
    <t>Обеспечение коммерческим учетом электрической энергии  в точке поставки, по присоединению жилого дома Помазкова В.И., расположенного по адресу: Ростовская область, Белокалитвинский район, х. Грушевка, ул. Учительская, д. № 24, к.н. 61:04:0110102:134 (прибор учета электроэнергии – 1шт)</t>
  </si>
  <si>
    <t>Установка прибора коммерческого учёта электрической энергии, для присоединения жилого помещения Ярыгиной А.С., расположенного по адресу: Ростовская область, Белокалитвинский р-н, х. Крутинский, пер. Овражный, д. 2, к.н. 61:04:0130102:289, (прибор учёта электроэнергии 15 кВт - 1шт)</t>
  </si>
  <si>
    <t>Установка прибора коммерческого учёта электрической энергии, для присоединения жилого дома Рубашкина А.Ф., расположенного по адресу: Ростовская область, Белокалитвинский р-н, с. Литвиновка, ул. Центральная, д. 103., к.н. 61:04:0060109:113, (прибор учёта электроэнергии  - 1шт)</t>
  </si>
  <si>
    <t>Строительство участка ВЛ-0,4 кВ от опоры № 14, ВЛ-0,4 кВ № 1, КТП №433 по ВЛ 10 кВ № 3, ПС 35/10 «Нижнепоповская» для электроснабжения строящегося жилого дома Нисановой О.Н., расположенного по адресу: Ростовская обл., Белокалитвинский р-н, п. Сосны, ул. Зеленая, д. 34 а, к.н. 61:04:0150415:98. (ориентировочная протяженность ЛЭП – 0,04 км, прибор учёта электроэнергии - 1шт)</t>
  </si>
  <si>
    <t>Установка прибора коммерческого учёта электрической энергии, для присоединения Базовой станции ПАО «Ростелеком», расположенного по адресу: Ростовская область, Белокалитвинский р-н, х. Марьевка, пер. Ленина, д. 1, к.н.з.у. 00:00:000000:000 (прибор учёта электроэнергии - 1шт)</t>
  </si>
  <si>
    <t>Установка прибора коммерческого учёта электрической энергии, для присоединения Базовой станции ПАО «Ростелеком», расположенного по адресу: Ростовская область, Белокалитвинский р-н, х. Насонтов, ул. Центральная, д. 1, к.н.з.у. 00:00:000000:000 (прибор учёта электроэнергии - 1шт)</t>
  </si>
  <si>
    <t>Установка прибора коммерческого учёта электрической энергии, для жилого дома Костюченко Н.Ф., расположенного по адресу: Ростовская область, Белокалитвинский р-н, х. Ильинка, ул, Новая, д. 6, к.н. 61:04:0140107:91 (прибор учёта электроэнергии - 1шт)</t>
  </si>
  <si>
    <t>Установка прибора коммерческого учёта электрической энергии, для жилого дома Курилкиной Н.И., расположенного по адресу: Ростовская область, Белокалитвинский р-н, х. Поцелуев, ул, Есенина, д. 19, кв.1, к.н. 61:04:0060102:214 (прибор учёта электроэнергии - 1шт)</t>
  </si>
  <si>
    <t>Установка прибора коммерческого учёта электрической энергии, для жилого дома Свинарёвой Н.М., расположенного по адресу: Ростовская область, Белокалитвинский р-н, х. Ленина, ул. Набережная, д. 9, к.н. 61:04:100113:94 (прибор учёта электроэнергии - 1шт)</t>
  </si>
  <si>
    <t>Установка прибора коммерческого учёта электрической энергии, для присоединения базовой станции ПАО «Ростелеком», расположенной по адресу: Ростовская обл., Белокалитвинский р-н, х. Головка.  к.н.з.у. 00:00:00000:000 (прибор учёта электроэнергии - 1шт)</t>
  </si>
  <si>
    <t>Установка прибора коммерческого учёта электрической энергии, для присоединения базовой станции ПАО «Ростелеком»,  расположенной по адресу: Ростовская обл., Белокалитвинский р-н, х. Семимаячный.  к.н.з.у 00:00:00000:000 (прибор учёта электроэнергии - 1шт)</t>
  </si>
  <si>
    <t>Установка прибора коммерческого учёта электрической энергии, для присоединения базовой станции ПАО «Ростелеком», расположенной по адресу: Ростовская обл., Белокалитвинский р-н, х. Чернышев.  к.н.з.у. 00:00:00000:000 (прибор учёта электроэнергии - 1шт)</t>
  </si>
  <si>
    <t>Строительство участка ВЛИ-0,4 кВ от опоры № 37, ВЛ-0,4 кВ № 1, КТП № 680, ВЛ-6 кВ «Восход», ПС 110/6 кВ «Б-1», для подключения жилого дома Калабухова В.И., расположенного по адресу: Ростовская область, Белокалитвинский р-н, х. Поцелуев, ул. Старцева, д. № 35, КНЗУ 61:04:005101:102 (ориентировочная протяженность ЛЭП – 0,071 км, прибор учёта электроэнергии - 1 шт.)</t>
  </si>
  <si>
    <t>Строительство участка ВЛИ-0,4 кВ от опоры № 4/2, ВЛ-0,4 кВ № 1, КТП № 432, ВЛ-10 кВ № 3, ПС 35/10 кВ «Нижнепоповская», для подключения строящегося жилого дома Руденко В.Р., расположенного по адресу: Ростовская область, Белокалитвинский р-н, п. Сосны, ул. Крайняя, д. № 7 б, КНЗУ 61:04:0150405:498 (ориентировочная протяженность ЛЭП – 0,050 км, прибор учёта электроэнергии - 1 шт.)</t>
  </si>
  <si>
    <t>Установка прибора коммерческого учёта электрической энергии, для присоединения жилого дома Лариной Л.Н., расположенного по адресу: Ростовская область, Морозовский р-н, п. Знаменка, ул. Безменова, д. 36, к.н. 61:24:0090102:5 (прибор учёта электроэнергии - 1шт.)</t>
  </si>
  <si>
    <t>Установка прибора коммерческого учёта электрической энергии, для присоединения жилого дома Львовой Н.Б., расположенного по адресу: Ростовская область, Морозовский р-н, х. Беляев, ул. Чумакова, 13, к.н. 61:24:0070106:32 (прибор учёта электроэнергии - 1шт.)</t>
  </si>
  <si>
    <t>Установка прибора коммерческого учёта электрической энергии, для присоединения жилого дома Маковникова В.В., расположенного по адресу: Ростовская область, Морозовский р-н, х. Вознесенский, ул. Заречная, д. 32, к.н. 00:00:000000:00 (прибор учёта электроэнергии - 1шт.)</t>
  </si>
  <si>
    <t>Установка прибора коммерческого учёта электрической энергии, для присоединения жилого дома Неменова В.В., расположенного по адресу: Ростовская область, Морозовский р-н, х. Грузинов, ул. Центральная, д. 102, к.н. 61:24:0050302:32 (прибор учёта электроэнергии - 1шт.)</t>
  </si>
  <si>
    <t>Установка прибора коммерческого учёта электрической энергии, для присоединения жилого дома Сарипова Ю.У., расположенного по адресу: Ростовская область, Морозовский р-н, х. Чекалов, ул. Молодежная, д 25, к.н. 61:24:070505:0017 (прибор учёта электроэнергии - 1шт.)</t>
  </si>
  <si>
    <t>Установка прибора коммерческого учёта электрической энергии, для присоединения жилого дома Ляпуновой Н.С., расположенного по адресу: Ростовская область, Морозовский р-н, х. Грузинов, пер. Сиреневый, д. 2, к.н. 61:24:0050308:61 (прибор учёта электроэнергии - 1шт.)</t>
  </si>
  <si>
    <t>Установка прибора коммерческого учёта электрической энергии, для присоединения жилого дома Усагалиева А.С., расположенного по адресу: Ростовская область, Морозовский р-н, х п. Комсомольский, ул. Мира, д. 34, кадастровый номер земельного участка: 61:24:0040508:28 (прибор учёта электроэнергии - 1шт.)</t>
  </si>
  <si>
    <t>Установка прибора коммерческого учёта электрической энергии, для присоединения квартиры Пшеничниковой Л.В., расположенной по адресу: Ростовская область, Морозовский р-н, х. Костино-Быстрянский,  ул. Первомайская, д. 1, кв. 1, к.н. 61:24:020107:0056 (прибор учёта электроэнергии - 1шт.)</t>
  </si>
  <si>
    <t>Установка прибора коммерческого учёта электрической энергии, для присоединения жилого дома Пашалиева М., расположенного по адресу: Ростовская область, Морозовский р-н, х. Сибирьки, ул. Большая Садовая, д. 40, кадастровый номер земельного участка: 61:24:0060601:186 (прибор учёта электроэнергии - 1шт.)</t>
  </si>
  <si>
    <t>Установка прибора коммерческого учёта электрической энергии, для присоединения нежилого здания (склада) Святогорова А.В., расположенного по адресу: Ростовская область, Морозовский р-н, 65 метров на запад от ул. Центральная, 114, к.н. 61:24:0600013:522 (прибор учёта электроэнергии - 1шт.)</t>
  </si>
  <si>
    <t>Установка прибора коммерческого учёта электрической энергии, для присоединения конторы ИП Алеткиной А.В., расположенного по адресу: Ростовская область, Морозовский р-н, х. Трофименков, ул. Садовая, д. 12, кадастровый номер земельного участка: 61:24:0020501:173 (прибор учёта электроэнергии - 1шт.)</t>
  </si>
  <si>
    <t>Установка прибора коммерческого учёта электрической энергии, для присоединения магазина ИП Золотущенко Л.Н., расположенного по адресу: Ростовская область, Морозовский р-н, ст-ца. Вольно-Донская, ул. Первомайская, д. 3, кадастровый номер земельного участка: 00:00:000000:000 (прибор учёта электроэнергии - 1шт.)</t>
  </si>
  <si>
    <t>Установка прибора коммерческого учёта электрической энергии, для присоединения жилого дома Алешковой Е.Ю., расположенного по адресу: Ростовская область, Морозовский р-н, х. Вознесенский, ул. Степная, д. 27, кадастровый номер земельного участка: 61:24:0030510:19 (прибор учёта электроэнергии - 1шт.)</t>
  </si>
  <si>
    <t>Установка прибора коммерческого учёта электрической энергии, для присоединения жилого дома Кузьминой М.Л., расположенного по адресу: Ростовская область, Морозовский р-н, п. Знаменка, ул. Степная, д. 3, кадастровый номер земельного участка: 61:24:0090107:162 (прибор учёта электроэнергии - 1шт.)</t>
  </si>
  <si>
    <t>Установка прибора коммерческого учёта электрической энергии, для присоединения Базовой станции ПАО «Ростелеком», расположенной по адресу: Ростовская область, Морозовский р-н, х. Вишневка, кадастровый номер земельного участка: 00:00:000000:00 (прибор учёта электроэнергии - 1шт.)</t>
  </si>
  <si>
    <t>Установка прибора коммерческого учёта электрической энергии, для присоединения Здания пилорамы Сидакова Р.Ю., расположенного по адресу: Ростовская область, Морозовский р-н, х. Костино-Быстрянский, ул. Интернациональная, д. 25 а, кадастровый номер присоединяемого объекта: 61:24:0020103:401 (прибор учёта электроэнергии - 1шт.)</t>
  </si>
  <si>
    <t>Строительство участка ВЛ-0,4 кВ от опоры № 22 ВЛ-0,4 кВ №1 КТП № 63, ВЛ-10 кВ № 3, ПС 35/10 кВ «Широко-Атамановская», для подключения крытого тока ИП Главы КФХ Ноздрина Александра Ивановича, расположенного по адресу: Ростовская обл., Морозовский р-н, х. Покровский, 140 м на юго-запад от ул. Покровская, д.12, КНЗУ 61:24:0600010:358 (ориентировочная   протяженность ЛЭП – 0,265 км, прибор учёта электроэнергии - 1шт).</t>
  </si>
  <si>
    <t>Установка прибора коммерческого учёта электрической энергии, для присоединения ВРУ-0,4 кВ здание зернохранилища  Касумова Ш.Г., расположенного по адресу: Ростовская область, Обливский район, п. Пухов, в 162 метрах на север от п. Пухов к.н. 61:27:0600001:797 (прибор учёта электроэнергии - 1шт.)</t>
  </si>
  <si>
    <t>«Строительство участка ВЛ-0,4 кВ от РУ-0,4 кВ КТП № 138 по ВЛ- 10 кВ №4, ПС 35/10 кВ «Обливская-2», для подключения жилых домов Избаевой С.А., Здасюк С.С., Индрисова А.Е., Индрисовой Т.Е., Маринич О.А., расположенных по адресу: Ростовская область, Обливский  район, х. Трухин, ул. Овражная, дома  №№ 13, 14, 16, 18, 21,  к.н. 61:27:0050701:23, 61:27:0050701:20, 61:27:0050701:26, 61:27:0050701:37, 61:27:0050701:31 (ориентировочная протяженность ЛЭП – 0,985 км)»</t>
  </si>
  <si>
    <t>Установка прибора коммерческого учёта электрической энергии, для присоединения жилого дома Тимофей Е.В., расположенного по адресу: Ростовская обл., Обливский р-н, ст. Обливская, пер. Калиманова, д. 10 б, к.н.з.у.: 61:27:0070143:441 (прибор учёта электроэнергии - 1шт.)</t>
  </si>
  <si>
    <t>Установка прибора коммерческого учёта электрической энергии, для присоединения ВРУ-0,4 кВ жилого дома Мишина С.Ю., расположенного по адресу: Ростовская область, Советский район, слобода Чистяково,ул. 1 Мая, д. 15, к.н. 61:36:0020101:28 (прибор учёта электроэнергии - 1шт.)</t>
  </si>
  <si>
    <t>Установка прибора коммерческого учёта электрической энергии, для присоединения ВРУ-0,4 кВ жилого дома Поповой Т.В., расположенного по адресу: Ростовская область, Советский район, поселок Чирский, ул. Речная, д. 20, к.н. 61:36:0030101:223(прибор учёта электроэнергии - 1шт.).</t>
  </si>
  <si>
    <t>Установка прибора коммерческого учёта электрической энергии, для присоединения жилого дома Васюкова Л.В., расположенного по адресу: Ростовская область, Советский  район, слобода Чистяково, ул. Гагарина, д. 18, к.н. 61:36:0020101:232(прибор учёта электроэнергии - 1шт.)</t>
  </si>
  <si>
    <t>Установка прибора коммерческого учёта электрической энергии, для присоединения жилого дома Шаповалова М.Г., расположенного по адресу: Ростовская область, Советский  район, х. Усть-Грязновский, ул. Саманная, д. 2, к.н. 61:36:0030901:543 (прибор учёта электроэнергии - 1шт.)</t>
  </si>
  <si>
    <t>Установка прибора коммерческого учёта электрической энергии, для присоединения квартиры Куликова А.Г., расположенного по адресу: Ростовская область, Советский р-н, х. Осиновский, ул. Центральная, д. 24, кв.2, к.н. 61:36:030701:0124 (прибор учёта электроэнергии - 1шт)</t>
  </si>
  <si>
    <t>Установка прибора коммерческого учёта электрической энергии для присоединения жилого дома Завгороднего С.П., расположенного по адресу: Ростовская область, Тарасовский район,  х. Красновка, ул. 13 Героев, д. 14, к.н. 61:37:00060301:246 (прибор учёта электроэнергии - 1шт).</t>
  </si>
  <si>
    <t>Установка прибора коммерческого учёта электрической энергии, для присоединения жилого дома Доника Ю.Н., расположенного по адресу: Ростовская область, Тарасовский р-н, сл. Колушкино, ул. Мира, д. 17, к.н. 61:37:0090101:111 (прибор учёта электроэнергии 15 кВт - 1шт)</t>
  </si>
  <si>
    <t>Установка прибора коммерческого учёта электрической энергии, для присоединения жилого дома Бондаренко С.В., расположенного по адресу: Ростовская область, Тарасовский р-н, сл. Колушкино, ул. Молодежная, д. 1, к.н. 61:37:0090101:91 (прибор учёта электроэнергии - 1шт)</t>
  </si>
  <si>
    <t>Установка прибора коммерческого учёта электрической энергии, для присоединения жилого дома Слабченко Д.Т., расположенного по адресу: Ростовская область, Тарасовский р-н, сл. Александровка, ул. Автомагистральная, д. 27, к.н. 61:37:080201:0193 (прибор учёта электроэнергии - 1шт)</t>
  </si>
  <si>
    <t>Установка прибора коммерческого учёта электрической энергии, для присоединения ¼  доли жилого дома Кибаловой Т.С., расположенного по адресу: Ростовская область, Тарасовский р-н,  х.Можаевка, ул.Заречная, д.43, к.н. 61:37:0110101:565 (прибор учёта электроэнергии - 1шт)</t>
  </si>
  <si>
    <t>Установка прибора коммерческого учёта электрической энергии, для присоединения жилого дома Вербицкого С.Г., расположенного по адресу: Ростовская область, Тарасовский р-н, п. Весенний, ул. Молодежная, д 1, к.н. 61:37:0040101:761 (прибор учёта электроэнергии - 1шт.)</t>
  </si>
  <si>
    <t>Установка прибора коммерческого учёта электрической энергии, для присоединения жилого дома Кононова Н.Ф., расположенного по адресу: Ростовская область, Тарасовский р-н,  сл. Большинка, ул. Буденного, д.44, к.н. 61:37:0120101:3739 (прибор учёта электроэнергии - 1шт)</t>
  </si>
  <si>
    <t>Установка прибора коммерческого учёта электрической энергии, для присоединения жилого дома Никишиной Г.Ф., расположенного по адресу: Ростовская область, Тарасовский р-н, х. Васильевка, ул. Железнодорожная, д. 28, к.н. 61:37:0030301:28 (прибор учёта электроэнергии - 1шт)</t>
  </si>
  <si>
    <t>Строительство участка ВЛ-0,4 кВ от оп. № 25 ВЛ-0,4 кВ №2, КТП № 334, ВЛ-10 кВ № 3, ПС 110/35/10 кВ «Тарасовская», для подключения строящегося жилого дома Пшеничного В.Н., расположенного по адресу: Ростовская обл., Тарасовский р-н, х. Нижняя Тарасовка, ул. Центральная, д.77 б, КН 61:37:0020401:896 (ориентировочная протяженность ЛЭП – 0,03 км, прибор учёта электроэнергии - 1шт)</t>
  </si>
  <si>
    <t>Установка прибора коммерческого учёта электрической энергии, для присоединения жилого дома Попович Н.Н., расположенного по адресу: Ростовская область, Тарасовский р-н, х. Елань, ул. Школьная, д 42, к.н. 61:37:0110401:44 (прибор учёта электроэнергии - 1шт.)</t>
  </si>
  <si>
    <t>Установка прибора коммерческого учёта электрической энергии, для присоединения жилого дома Попович Н.Н., расположенного по адресу: Ростовская область, Тарасовский р-н, х. Елань, ул. Школьная, д 58, к.н. 61:37:0110401:28 (прибор учёта электроэнергии - 1шт.)</t>
  </si>
  <si>
    <t>Установка прибора коммерческого учёта электрической энергии, для присоединения строящегося объекта придорожного сервиса (магазин) Курносова А.А., расположенного по адресу: Ростовская область, Тарасовский р-н, 30 м на северо-запад от сл. Колушкино , к.н. 61:37:0600016:503 (прибор учёта электроэнергии - 1шт)</t>
  </si>
  <si>
    <t>Установка прибора коммерческого учёта электрической энергии, для присоединения строящегося объекта придорожного сервиса (магазин) Курносова А.А., расположенного по адресу: Ростовская область, Тарасовский р-н, х. Верхний Митякин, ул. Центральная, д 121, к.н. 61:37:0060101:1799 (прибор учёта электроэнергии - 1шт.)</t>
  </si>
  <si>
    <t>Установка прибора коммерческого учёта электрической энергии, для присоединения жилого дома Гайворона М.П., расположенного по адресу: Ростовская область, Тарасовский р-н, х. Липовка, ул. Пролетарская, д.119, к.н. 61:37:0020301:56 (прибор учёта электроэнергии - 1шт)</t>
  </si>
  <si>
    <t>Установка прибора коммерческого учёта электрической энергии, для присоединения жилого дома Очиченко Т.В., расположенного по адресу: Ростовская область, Тарасовский р-н, х. Красновка, ул. 13 Героев, д 8, к.н. 61:37:0060301:249 (прибор учёта электроэнергии - 1шт.)</t>
  </si>
  <si>
    <t>Установка прибора коммерческого учёта электрической энергии, для присоединения базовой станции сотовой связи ПАО «Ростелеком», расположенной по адресу: Ростовская область, Тарасовский р-н, х. Егоро-Калитвенский, к.н.з.у. 00:00:000000:00 (прибор учёта электроэнергии - 1шт)</t>
  </si>
  <si>
    <t>Установка прибора коммерческого учёта электрической энергии, для присоединения базовой станции сотовой связи ПАО «Ростелеком», расположенной по адресу: Ростовская область, Тарасовский р-н,п. Изумрудный, к.н.з.у. 00:00:000000:00 (прибор учёта электроэнергии - 1шт)</t>
  </si>
  <si>
    <t>Установка прибора коммерческого учёта электрической энергии, для присоединения базовой станции сотовой связи ПАО «Ростелеком», расположенной по адресу: Ростовская область, Тарасовский р-н, х. Красновка,  к.н.з.у. 00:00:000000:00 (прибор учёта электроэнергии - 1шт)</t>
  </si>
  <si>
    <t>Установка прибора коммерческого учёта электрической энергии, для присоединения базовой станции сотовой связи ПАО «Ростелеком», расположенной по адресу: Ростовская область, Тарасовский р-н, п. Войково, кадастровый номер земельного участка: 00:00:000000:00   (прибор учёта электроэнергии - 1шт)</t>
  </si>
  <si>
    <t>Установка прибора коммерческого учёта электрической энергии, для присоединения базовой станции сотовой связи ПАО «МТС», расположенной по адресу: Ростовская область, Тарасовский р-н,  х. Россошь, к.н. 61:37:0600005 :ЗУ1 (прибор учёта электроэнергии - 1шт)»</t>
  </si>
  <si>
    <t>Установка прибора коммерческого учёта электрической энергии, для присоединения жилого дома Григорян М.Г., расположенного по адресу: Ростовская область, Тарасовский р-н, п. Тарасовский, ул. Чапаева, д. 65 (прибор учёта электроэнергии - 1шт)</t>
  </si>
  <si>
    <t>Установка прибора коммерческого учёта электрической энергии, для присоединения жилого дома Ревенко С В., расположенного по адресу: Ростовская область, Тарасовский р-н, сл. Колушкино, ул. Советская, д. 40, к.н.з.у. 61:37:0090101:40 (прибор учёта электроэнергии - 1шт)</t>
  </si>
  <si>
    <t>Установка прибора коммерческого учёта электрической энергии, для присоединения ВРУ-0,4 кВ жилого дома Близнюковой А.Н., расположенного по адресу: Ростовская область, Тацинский район, х. Надежёвка ул. Дудыкина, д. 3, к.н. 61:38:0060901:172 (прибор учёта электроэнергии - 1шт.)</t>
  </si>
  <si>
    <t>Установка прибора коммерческого учёта электрической энергии, для присоединения магазина «Весна» ИП Богачева О.Г., расположенного по адресу: Ростовская область, Тацинский район, х. Михайлов, ул. Кирова, д. 4, к.н. 61:38:0030115:25 (прибор учёта электроэнергии - 1шт.)</t>
  </si>
  <si>
    <t>Установка прибора коммерческого учёта электрической энергии, для присоединения ВРУ-0,4 кВ жилого дома Соколовой Т.В., расположенного по адресу: Ростовская обл., Тацинский р-н, х. Пролетарский, ул.  Пролетарская, д. 22, к.н.з.у. 61:38:0061001:35 (прибор учёта электроэнергии - 1шт.)</t>
  </si>
  <si>
    <t>Строительство участка ВЛ-10 кВ от опоры № 66, Л-286 по ВЛ-10 кВ № 2,  ПС 110/35/10/6 кВ «К - 4», ТП 10/0,4 кВ и участка ВЛИ 0,4 кВ от РУ-0,4 кВ проектируемой ТП для подключения жилого дома Бородина С.И.,  расположенного по адресу: Ростовская область, Каменский район, хутор Красновка, ул. Профильная, д. № 18, корпус А,  КНЗУ 61:15:080109:0266 (ориентировочная протяженность ЛЭП – 0,089 км, трансформаторная мощность – 0,025МВА, прибор учёта электроэнергии - 1 шт.)</t>
  </si>
  <si>
    <t>Строительство участка ВЛИ-0,4 кВ от опоры № 10, ВЛ-0,4 кВ № 5, КТП № 419, ВЛ-10 кВ № 3, ПС 35/10 кВ «Нижнепоповская», для подключения магазина Индивидуального предпринимателя Гнетнева А. А., расположенного по адресу: Ростовская область, Белокалитвинский район, п. Сосны, улица 50 лет СССР, дом № 17 Д, КНЗУ 61:04:0150405:209 (ориентировочная протяженность ЛЭП – 0,032 км, прибор учёта электроэнергии - 1 шт.)</t>
  </si>
  <si>
    <t>Строительство участка ВЛИ-0,4 кВ от опоры № 2, ВЛ-0,4 кВ № 1, КТП № 89, ВЛ-10 кВ № 3, ПС 110/10 кВ «Головокалитвинская», для подключения жилого дома Похивка Е.Г., расположенного по адресу: Ростовская обл., Белокалитвинский р-н, х. Раздолье, улица Лесная, дом № 12, КНЗУ 61:04:0090301:48 (ориентировочная протяженность ЛЭП – 0,150 км, прибор учёта электроэнергии - 1 шт.)</t>
  </si>
  <si>
    <t>Установка прибора коммерческого учёта электрической энергии, для присоединения нежилой застройки Изудиновой Е.И., расположенного по адресу: Ростовская область, Белокалитвинский р-н, п.Сосны, ул, Заречная, д. 21, к.н. 61:04:150406:0244 (прибор учёта электроэнергии - 1шт)</t>
  </si>
  <si>
    <t>Установка прибора коммерческого учёта электрической энергии, для присоединения жилого дома Диченскова И.М., расположенного по адресу: Ростовская область, Каменский район, х. Астахов, ул. Советская, д. № 86, к.н.з.у. 61:15:0020201:400 (прибор учёта электроэнергии 15 кВт- 1шт.)</t>
  </si>
  <si>
    <t>Установка прибора коммерческого учёта электрической энергии, для присоединения жилого дома Богданова А.Н., расположенного по адресу: Ростовская область, Каменский район, х. Груцинов, ул. Вишневая, д. № 18, к.н.з.у. 61:15:0050101:293 (прибор учёта электроэнергии - 1шт.)</t>
  </si>
  <si>
    <t>Строительство участка ВЛИ-0,4 кВ от РУ-0,4 кВ, КТП № 83, ВЛ-10 кВ № 5, ПС 35/10 кВ «Вишневецкая», для электроснабжения «базовой станции сотовой связи» ООО «Т2 Мобайл», расположенной по адресу: Ростовская обл., Каменский р-н, 150 м на северо-восток от х. Вишнивецкий, к.н. 61:15:0601401:1319. (ориентировочная протяженность ЛЭП – 0,037 км, прибор учёта электроэнергии - 1шт)</t>
  </si>
  <si>
    <t>Строительство участка ВЛИ-0,4 кВ от опоры № 6, ВЛ-0,4 кВ № 1, КТП № 321, ВЛ-10 кВ № 4, ПС 35/10 кВ «Каменская СХТ», для подключения жилого дома Меркулова С.В. расположенного по адресу: Ростовская обл., Каменский р-н, х. Абрамовка, ул. Ленина, д. № 26, корп. Б, КНЗУ 61:15:0130201:1907 (ориентировочная протяженность ЛЭП – 0,057км, прибор учёта электроэнергии 15 кВт- 1шт).</t>
  </si>
  <si>
    <t>Строительство участка ВЛИ-0,4 кВ от опоры № 7, ВЛ-0,4 кВ № 2, КТП № 97, ВЛ-10 кВ № 2, ПС 110/35/10/6 кВ «К-4» для подключения жилого дома Калитвенцева А.В. расположенного по адресу: Ростовская обл., Каменский р-н, х. Красновка, ул. 8 Марта, д. № 46, корп. А, КНЗУ 61:15:0080107:207 (ориентировочная протяженность ЛЭП – 0,087 км, прибор учёта электроэнергии 15 кВт - 1шт)</t>
  </si>
  <si>
    <t>Строительство участка ВЛИ-0,4 кВ от опоры № 17, ВЛ-0,4 кВ № 2,  КТП № 105, ВЛ-10 кВ № 2, ПС 110/35/10/6 кВ «К - 4» для подключения базовой станции сотовой связи ПАО «Вымпел-Коммуникации», расположенной по адресу: Ростовская область, Каменский район, хутор Красновка, улица Янтарная, дом № 1, корпус А, КНЗУ 61:15:0080101:134 (ориентировочная протяженность ЛЭП – 0,057 км, прибор учёта электроэнергии 15 кВт - 1 шт.</t>
  </si>
  <si>
    <t>Строительство участка ВЛИ-0,4 кВ от ВЛ – 0,4 кВ № 2, КТП № 196, ВЛ-10 кВ № 5, ПС 35/10 кВ «Каменская СХТ» для подключения жилого дома Фоменко В.Н., расположенного по адресу: Ростовская обл., Каменский р-н, х. Богданов, ул. Кирова, д. № 12, КНЗУ 61:15:0030101:68 (ориентировочная протяженность ЛЭП – 0,210 км, прибор учёта электроэнергии - 1 шт.)</t>
  </si>
  <si>
    <t>Строительство участка ВЛ-0,4 кВ от опоры № 4, ВЛ-0,4 кВ № 1, КТП № 106, ВЛ-10 кВ № 1, ПС 35/10 кВ "Успенская", для подключения склада ИП Павлова В.В., расположенного по адресу: Ростовская область, Милютинский район, п. Аграрный, в 800 м северо-восточнее, к.н.з.у. 61:23:0600012:433 (ориентировочная протяженность ЛЭП – 0,082 км, прибор учёта электроэнергии - 1шт)</t>
  </si>
  <si>
    <t>Строительство участка ВЛ-0,4 кВ от опоры № 33 ВЛ-0,4 кВ № 1, КТП № 3, ВЛ-10 кВ № 4, ПС 110/35/10 кВ "Милютинская", для подключения ВРУ-0,4 кВ автомойки ИП Свиридова А А., расположенной по адресу: Ростовская обл., Милютинский р-н, х. Старокузнецов, ул. Центральная, д. 6, к.н.з.у. 61:23:0030201:1872 (ориентировочная протяженность ЛЭП – 0,030 км, прибор учёта электроэнергии - 1шт)</t>
  </si>
  <si>
    <t>Строительство участка ВЛ-0,4 кВ от опоры № 20 ВЛ-0,4 кВ № 2, КТП № 4, ВЛ-10 кВ № 3, ПС 35/10 кВ «Вольно-Донская», для подключения жилого дома Исмоиловой Нарвесты Шерали Кызы, расположенного по адресу: Ростовская обл., Морозовский р-н, х. Сибирьки, ул. Степная, д .43, к.н. 61:24:0060601:119 (ориентировочная   протяженность ЛЭП – 0,135 км, прибор учёта электроэнергии - 1шт)</t>
  </si>
  <si>
    <t>Строительство участка ВЛ-0,4 кВ от опоры № 6 ВЛ-0,4 кВ № 2, КТП № 41 ВЛ-10 кВ № 6 ПС 110/35/10 кВ «Б-11», для подключения гаража Чупаха Татьяны Сергеевны, расположенного по адресу: Ростовская обл., Морозовский р-н, г. Морозовск, ул. Халтурина, 179, гараж № 31, КНЗУ 61:24:0013011:35 (ориентировочная   протяженность ЛЭП – 0,04 км, прибор учёта электроэнергии - 1шт)</t>
  </si>
  <si>
    <t>Установка прибора коммерческого учёта электрической энергии, для присоединения жилого дома Болдыревой З.В., расположенного по адресу: Ростовская область, Морозовский р-н, ст. Вольно-Донская, ул. Стадионная, д. 15, кв.2, к.н.з.у. 61:24:0060104:59 (прибор учёта электроэнергии - 1шт.)</t>
  </si>
  <si>
    <t>Установка прибора коммерческого учёта электрической энергии, для присоединения ВРУ-0,4 кВ жилого дома Доброквашиной А.А., расположенного по адресу: Ростовская область, Советский р-н, ст. Советская, ул. Лесхозная, д. 10, к.н. 61:36:0010101:138 (прибор учёта электроэнергии - 1шт.)</t>
  </si>
  <si>
    <t>Установка прибора коммерческого учёта электрической энергии, для присоединения ВРУ-0,4 кВ жилого дома Чумакова И.Т., расположенного по адресу: Ростовская обл., Советский р-н, ст. Советская, ул. Мартыненко, д. 37, к.н. 61:36:0010101:0005 (прибор учёта электроэнергии трёхфазный - 1шт.)</t>
  </si>
  <si>
    <t>Установка прибора коммерческого учёта электрической энергии, для присоединения ВРУ-0,4 кВ нежилого здания Герасимовой А.В., расположенного по адресу: Ростовская область, Советский р-н, п. Чирский, ул. Кирпичная, д. 1, к.н. 61:36:0030101:309 (прибор учёта электроэнергии - 1шт.)</t>
  </si>
  <si>
    <t>Установка прибора коммерческого учёта электрической энергии,для присоединения ВРУ-0,4 кВ строящегося жилого дома Желтухина В.В., расположенного по адресу: Ростовская область, Советский р-н, сл. Калач-Куртлак, ул. Веселая, д. 14, к.н. 61:36:0040101:1566 (прибор учёта электроэнергии - 1шт.)</t>
  </si>
  <si>
    <t>Установка прибора коммерческого учёта электрической энергии, для присоединения ½ доли жилого дома Шишкалова А.Н., расположенного по адресу: Ростовская область, Тарасовский р-н, сл. Большинка, ул. Ленина, д. 33, к.н. 61:37:120101:0273 (прибор учёта электроэнергии - 1шт)</t>
  </si>
  <si>
    <t>Установка прибора коммерческого учёта электрической энергии, для присоединения  жилого дома Торяник Е.А., расположенного по адресу: Ростовская область, Тарасовский р-н, сл. Колушкино, ул. Советская, д. 116, к.н. 61:37:0090101:534 (прибор учёта электроэнергии - 1шт)</t>
  </si>
  <si>
    <t>Строительство участка ВЛ-0,4 кВ от РУ-0,4 кВ КТП № 364 ВЛ 10 кВ №1 ПС 35/10 «Тарасовская СХТ», для подключения строящегося производственного здания Геворкяна Г.Г., расположенного по адресу: Ростовская область, Тарасовский район, севернее сл. Дячкино, к.н.з.у. 61:37:0600012:1669 (ориентировочная протяженность ЛЭП – 0,654 км,  прибор учёта электроэнергии – 1 шт.)</t>
  </si>
  <si>
    <t>Установка прибора коммерческого учёта электрической энергии, для присоединения жилого дома Зареченского Н.А., расположенного по адресу: Ростовская область, Тарасовский р-н, п. Весенний, ул. Ленина, д. 6, к.н. 61:37:0040101:176 (прибор учёта электроэнергии - 1шт)</t>
  </si>
  <si>
    <t>Установка прибора коммерческого учёта электрической энергии, для присоединения жилого дома Панченко А.И., расположенного по адресу: Ростовская область, Тарасовский р-н, сл. Колушкино, ул. Лесная, д. 19, к.н. 61:37:0090101:141 (прибор учёта электроэнергии - 1шт)</t>
  </si>
  <si>
    <t>Строительство участка ВЛИ-0,4 кВ от опоры № 7, ВЛ-0,4 кВ № 1, КТП  № 513, ВЛ-6 кВ «Дробзавод-1», ЗРП-6 кВ «БКУ», ВЛ-6 кВ «ЗРП-2», ПС 35/6 кВ «Б-6», для подключения ВРУ-0,4 кВ строящегося здания Штоколова С.В., расположенного по адресу: Ростовская область, Тацинский район, п. Быстрогорский, ул. Санаторная, д. 1, корп. ф, к.н. 61:38:0040103:130 (ориентировочная протяженность ЛЭП – 0,45 км, прибор учёта электроэнергии - 1шт)</t>
  </si>
  <si>
    <t>Строительство участка ВЛИ-0,4 кВ от опоры № 1, ВЛ-0,4 кВ № 1, КТП № 282, ВЛ-10 кВ № 4, ПС 35/10 кВ "Скосырская", для подключения ВРУ-0,4 кВ жилого дома Перебейнос И.А., расположенного по адресу: Ростовская область, Тацинский район, х. Пролетарский, ул. Комсомольская, д. 17, к.н. 61:38:0061001:98 (ориентировочная протяженность ЛЭП – 0,668 км, прибор учёта электроэнергии - 1шт)</t>
  </si>
  <si>
    <t>Строительство участка ВЛ-0,4 кВ от ВЛ-0,4 кВ № 1 КТП №123, ВЛ 10 кВ № 4, ПС-110/10 кВ «Головокалитвинская», для подключения модульного здания Дома культуры МБУК Литвиновская клубная смстема, расположенного по адресу: Ростовская обл., Белокалитвинский р-н, х. Кононов, ул. Центральная, д. 66 а, к.н.з.у. 61:04:0090402:561 (ориентировочная протяженность ЛЭП – 0,077 км,  прибор учёта электроэнергии - 1 шт.)</t>
  </si>
  <si>
    <t>Установка прибора коммерческого учёта электрической энергии для присоединения строящегося жилого дома Павлова А.Н., расположенного по адресу: Ростовская область, Белокалитвинский р-н, п. Сосны,  ул. Октябрьская, дом. 41а, к.н.з.у.: 61:04:0000000:5746 (прибор учёта электроэнергии - 1шт.)</t>
  </si>
  <si>
    <t>Установка прибора коммерческого учёта электрической энергии, для магазина Пузанова А.П., расположенного по адресу: Ростовская область, Белокалитвинский р-н, п. Сосны, ул. Зеленая, д.1, к.н. 61:04:0150414:191 (прибор учёта электроэнергии - 1шт)</t>
  </si>
  <si>
    <t>Установка прибора коммерческого учёта электрической энергии, для подключения жилого дома Мигулина Ю.И., расположенного по адресу: Ростовская область, Белокалитвинский р-н, с. Литвиновка, ул. Молодежная, д. 11, кв. 2, к.н. 61:04:0060108:106 (прибор учёта электроэнергии - 1шт)</t>
  </si>
  <si>
    <t>Строительство участка ЛЭП-0,4 кВ от ВЛ-0,4 кВ №1, КТП № 567, ВЛ-10 кВ №3, ПС 35/10 кВ «Краснодонецкая», для подключения жилого дома Лушницкой И.А., расположенного по адресу: Ростовская область, Белокалитвинский р-н, х. Усть - Быстрый, ул. Нижняя, д. 41 а, к.н.з.у. 61:04:0070202:112 (ориентировочная протяженность ЛЭП – 0,268 км, прибор учёта электроэнергии - 1шт)</t>
  </si>
  <si>
    <t>Строительство участка ЛЭП-0,4 кВ от ВЛ-0,4 кВ № 1, КТП № 680, ВЛ-6 кВ «Восход», ПС 110/6 кВ «Б-1», для подключения жилого дома Акимовой Т.В., расположенного по адресу: Ростовская область, р-он Белокалитвинский, х. Поцелуев, ул. Бунина, д. 9, к.н. 61:04:0050102:1 (ориентировочная протяженность ЛЭП – 0,220 км, прибор учёта электроэнергии - 1шт)</t>
  </si>
  <si>
    <t>Обеспечение коммерческим учетом электрической энергии  в точке поставки, по присоединению квартиры Кульковой И.А., расположенного по адресу: Ростовская область, Каменский район,  х. Красновка, ул. Мичурина, д. № 32, кв. №2, к.н. 61:15:0000000:5170(прибор учета электроэнергии – 1шт).</t>
  </si>
  <si>
    <t>Обеспечение коммерческим учетом электрической энергии  в точке поставки, по присоединению жилого дома Лахман Н.В., расположенного по адресу: Ростовская область, Каменский район,  х. Верхний Пиховкин, ул. Клубная, д. № 4, к.н. 61:15:120101:0042(прибор учета электроэнергии – 1шт).</t>
  </si>
  <si>
    <t>Установка прибора коммерческого учёта электрической энергии для присоединения жилого дома Зейлик В.В., расположенного по адресу: Ростовская область, Каменский район,  х. Первомайский, ул. Центральная, д. № 2, к.н. 61:15:0050601:91:12 (прибор учёта электроэнергии - 1шт).</t>
  </si>
  <si>
    <t>Установка прибора коммерческого учёта электрической энергии, для присоединения жилого дома Лисянской И.А., расположенного по адресу: Ростовская область, Каменский район, х. Старая Станица, ул. Чапаева, д. № 26, корп. б, к.н. 61:15:0130105:614 (прибор учёта электроэнергии 15 кВт- 1шт)</t>
  </si>
  <si>
    <t>Установка прибора коммерческого учёта электрической энергии, для присоединения жилого дома Королевой Н.В., расположенного по адресу: Ростовская обл., Каменский р-н, х. Старая Станица, ул. Восточная, д. 17, к.н.з.у. 31:15:0130105:99 (прибор учёта электроэнергии 15 кВт- 1шт)</t>
  </si>
  <si>
    <t>Установка прибора коммерческого учёта электрической энергии, для присоединения жилого дома Угленко Г.В., расположенного по адресу: Ростовская область, Каменский район, х. Малая Каменка, ул. Тупикина, д. № 4, к.н.з.у. 61:15:090101:0753 (прибор учёта электроэнергии 15 кВт- 1шт.)</t>
  </si>
  <si>
    <t>Установка прибора коммерческого учёта электрической энергии, для присоединения объекта жилого дома Кундрюцкова В.В., расположенного по адресу: Ростовская область, Каменский район, х. Диченский, ул. Левитана, д. № 42, корп. В, к.н.з.у. 61:15:0130301:1946 (прибор учёта электроэнергии - 1шт.)</t>
  </si>
  <si>
    <t>Установка прибора коммерческого учёта электрической энергии, для присоединения базовой станции сотовой связи ПАО «Вымпел-Коммуникации», расположенной по адресу: Ростовская область, Каменский район, х. Красновка, ул. Октябрьская, дом № 80, корп. В. к.н.з.у. 61:15:0080107:1049 (прибор учёта электроэнергии  - 1шт.)</t>
  </si>
  <si>
    <t>Установка прибора коммерческого учёта электрической энергии, для присоединения ВРУ-0,4 кВ Базовой станции/оборудование сотовой связи, расположенной по адресу: Ростовская область, Милютинский район,  х. Новодмитриевский, (прибор учёта электроэнергии - 1 шт.)</t>
  </si>
  <si>
    <t>Установка прибора коммерческого учёта электрической энергии для присоединения ВРУ-0,4 кВ квартиры Куциной О.И., расположенной по адресу: Ростовская область, Милютинский район, х. Юдин, ул. Береговая, д. 28/1, кв.1, к.н.з.у. 61:23:0030101:1788 (прибор учёта электроэнергии - 1 шт.)</t>
  </si>
  <si>
    <t>Установка прибора коммерческого учёта электрической энергии для присоединения жилого дома Коржовой Ю.С, расположенного по адресу: Ростовская область, Милютинский район, п. Аграрный, ул. Черемушки, д. № 31, к.н.з.у. 61:23:0010401:166 (прибор учёта электроэнергии - 1 шт.)</t>
  </si>
  <si>
    <t>Установка прибора коммерческого учёта электрической энергии для присоединения жилого дома Курилиной Т.Ф., расположенного по адресу: Ростовская область, Милютинский район, х. Николовка, пер. Школьный,  д. № 7, кв.1, к.н.з.у. 61:23:040301:11 (прибор учёта электроэнергии - 1 шт.)</t>
  </si>
  <si>
    <t>Установка прибора коммерческого учёта электрической энергии, для присоединения ВРУ-0,4 кВ жилого дома Малика А.В., расположенного по адресу: Ростовская обл., Милютинский р-н, ст. Милютинская, ул. Северная,        д. 45, к.н.з.у. 61:23:030324:0023:689 (прибор учёта электроэнергии – 1 шт.)</t>
  </si>
  <si>
    <t>Установка прибора коммерческого учёта электрической энергии, для присоединения жилого дома Чекулаева М.В., расположенного по адресу: Ростовская область, Милютинский район, х. Сулинский, пер. Кузнечный, д.10/17, к.н. 61:23:0010101:67 (прибор учёта электроэнергии – 1 шт.)</t>
  </si>
  <si>
    <t>Строительство участка ВЛ-0,4 кВ от опоры № 33, ВЛ-0,4 кВ № 1, КТП № 35, ВЛ-10 кВ № 4, ПС 35/10 кВ "Советская-1", для подключения ВРУ-0,4 кВ строящегося жилого дома Попова В.В., расположенной по адресу: Ростовская область, Советский р-н, ст. Советская, ул. Лесхозная, д. 62 «а», К.Н 61:36:0010101:4839 (ориентировочная протяженность ЛЭП – 0,025 км, прибор учёта электроэнергии - 1шт)</t>
  </si>
  <si>
    <t>Строительство участка ВЛ-0,4 кВ от оп. № 17 ВЛ-0,4 кВ № 1, КТП № 250, ВЛ-10 кВ № 2, ПС 35/10 кВ «Митякинская» для подключения строящегося объекта сельскохозяйственного производства ИП главы К(Ф)Х Вербицкой Л.И., расположенного по адресу: Ростовская обл., Тарасовский р-н, п. Весенний, 300м на юго-восток от ориентира, КН 61:37:0040101:1023 (ориентировочная протяженность ЛЭП – 0,33 км, прибор учёта электроэнергии - 1шт)</t>
  </si>
  <si>
    <t>Установка прибора коммерческого учёта электрической энергии, для присоединения базовой станции/оборудование сотовой связи ПАО «Ростелеком»., расположенного по адресу: Ростовская область, Тацинский район, х. Калмыков, к.н. 61:38:0070401 (прибор учёта электроэнергии –  1 шт.)</t>
  </si>
  <si>
    <t>Установка прибора коммерческого учёта электрической энергии, для присоединения малоэтажной жилой застройки Гуреевой Н.И., расположенной по адресу: Ростовская область, Белокалитвинский район, г. Белая Калитва, СТД Дружный, уч. 66 д, к.н. 61:47:0010220:230 (прибор учёта электроэнергии - 1шт.)</t>
  </si>
  <si>
    <t>Установка прибора коммерческого учёта электрической энергии для присоединения жилого дома Дмитриевой Е.В., расположенного по адресу: Ростовская область, Белокалитвинский р-н, х. Богураев, ул. Набережная, дом. 46, к.н.з.у.: 61:04:0080201:1135 (прибор учёта электроэнергии - 1шт.)</t>
  </si>
  <si>
    <t>Установка прибора коммерческого учёта электрической энергии для присоединения строящегося жилого дома Баранова И.И., расположенного по адресу: Ростовская область, Белокалитвинский р-н, п. Сосны,  ул. Новая, дом. 5, к.н.з.у.: 61:04:0150405:44 (прибор учёта электроэнергии - 1шт.)</t>
  </si>
  <si>
    <t>Установка прибора коммерческого учёта электрической энергии, для Строящегося жилого дома Таракановой Н.Н., расположенного по адресу: Ростовская область, Белокалитвинский р-н, п. Сосны, ул, Новая, д.21, к.н.з.у. 61:04:0150405:501 (прибор учёта электроэнергии - 1шт)</t>
  </si>
  <si>
    <t>Установка прибора коммерческого учёта электрической энергии, для жилого дома Хорошева Е.А., расположенного по адресу: Ростовская область, Белокалитвинский р-н, х. Богатов, ул, Станкевского, д.2, к.н. 61:04:0080201:116 (прибор учёта электроэнергии - 1шт)</t>
  </si>
  <si>
    <t>Установка прибора коммерческого учёта электрической энергии, для присоединения жилого дома Данилова Г.А., расположенного по адресу: Ростовская область, Белокалитвинский р-н, п. Сосны, ул. Заречная, д. 7а, к.н.з.у.: 61:04:0150406:114 (прибор учёта электроэнергии - 1шт.)</t>
  </si>
  <si>
    <t>Установка прибора коммерческого учёта электрической энергии для присоединения жилого дома Тареевой О.И., расположенного по адресу: Ростовская область, Белокалитвинский р-н, х. Поцелуев, ул. Солнечная, дом. 1, к.н.з.у. 61:04:0050101:337 (прибор учёта электроэнергии - 1шт.)</t>
  </si>
  <si>
    <t>Установка прибора коммерческого учёта электрической энергии для присоединения жилого дома Толстенко Е.А., расположенного по адресу: Ростовская область, Белокалитвинский р-н, х. Ильинка, ул. Советская, дом. 31, к.н.з.у. 61:04:140106:0045 (прибор учёта электроэнергии - 1шт.)</t>
  </si>
  <si>
    <t>Установка прибора коммерческого учёта электрической энергии для присоединения жилого дома Чувашловой А.С., расположенного по адресу: Ростовская область, Белокалитвинский р-н, х. Верхнепопов, ул. Казачья, дом. 5 а, к.н.з.у.: 61:04:0150101:331 (прибор учёта электроэнергии - 1шт.)</t>
  </si>
  <si>
    <t>Установка прибора коммерческого учёта электрической энергии, для присоединения строящегося жилого дома Корниенко С.А., расположенного по адресу: Ростовская область, Белокалитвинский р-н, п. Сосны, ул. Заречная, д. 19, к.н.з.у.: 61:04:0150406:282 (прибор учёта электроэнергии - 1шт.)</t>
  </si>
  <si>
    <t>Установка прибора коммерческого учёта электрической энергии, для присоединения нежилого здания Казаковой Н.В., расположенного по адресу: Ростовская область, г. Белая Калитва, СДТ «Дружный», уч. № 63, к.н.з.у.: 61:47:00100220:239 (прибор учёта электроэнергии – 1 шт.)</t>
  </si>
  <si>
    <t>Установка прибора коммерческого учёта электрической энергии, для жилого дома Картовицкого А.А., расположенного по адресу: Ростовская область, Белокалитвинский р-н, х. Богураев, ул, Центральная, д.62, к.н. 61:04:0160108:409 (прибор учёта электроэнергии - 1шт)</t>
  </si>
  <si>
    <t>Установка прибора коммерческого учёта электрической энергии, для подключения жилого дома Шведчикова Н.М., расположенного по адресу: Ростовская область, Белокалитвинский р-н, ст. Краснодонецкая, ул. Рыновская, д.11, к.н. 61:04:080511:6463 (прибор учёта электроэнергии - 1шт)</t>
  </si>
  <si>
    <t>Установка прибора коммерческого учёта электрической энергии, для подключения строящегося жилого дома Верёвкина В.С, расположенного по адресу: Ростовская обл., Белокалитвинский р-н, п. Сосны, ул, Сиреневая, д.5, к.н. 61:04:0150404:144 (прибор учёта электроэнергии - 1шт)</t>
  </si>
  <si>
    <t>Установка прибора коммерческого учёта электрической энергии, для присоединения Строящегося жилого дома Назаровой В.Т., расположенного по адресу: Ростовская область, Белокалитвинский р-н, х. Дубовой, ул. Степная, д. 75а, к.н.: 61:04:0110502:442 (прибор учёта электроэнергии – 1 шт.)</t>
  </si>
  <si>
    <t>Установка прибора коммерческого учёта электрической энергии, для присоединения нежилого здания Индивидуального предпринимателя Зайцева С.А., расположенного по адресу: Ростовская область, Белокалитвинский р-н, х. Ильинка, к.н.з.у.: 61:04:0600002:414 (прибор учёта электроэнергии – 1 шт.)</t>
  </si>
  <si>
    <t>Установка прибора коммерческого учёта электрической энергии, для присоединения ВРУ -0,4 кВ базовой станции сотовой связи Ростовского филиала ПАО «Ростелеком», расположенного по адресу: Ростовская обл., Каменский р-н, х. Груцинов, к.н.з.у. 00:00:000000 (прибор учёта электроэнергии - 1 шт.)</t>
  </si>
  <si>
    <t>Установка прибора коммерческого учёта электрической энергии, для присоединения ВРУ -0,4 кВ базовой станции сотовой связи Ростовского филиала ПАО «Ростелеком», расположенного по адресу: Ростовская обл., Каменский р-н, х. Плешаков, к.н.з.у. 00:00:000000 (прибор учёта электроэнергии - 1 шт.)</t>
  </si>
  <si>
    <t>Установка прибора коммерческого учёта электрической энергии, для присоединения базовой станции сотовой связи Ростовского филиала ПАО «Ростелеком», расположенного по адресу: Ростовская обл., Каменский р-н, х. Данилов, к.н.з.у. 00:00:000000 (прибор учёта электроэнергии - 1 шт.)</t>
  </si>
  <si>
    <t>Установка прибора коммерческого учёта электрической энергии, для присоединения базовой станции сотовой связи Ростовского филиала ПАО «Ростелеком», расположенного по адресу: Ростовская обл., Каменский р-н, х. Нижнеерохин, к.н.з.у. 00:00:000000 (прибор учёта электроэнергии - 1 шт.)</t>
  </si>
  <si>
    <t>Строительство участка ВЛИ-0,4 кВ  от ВЛ – 0,4 кВ № 1, КТП №  22,ВЛ-10  кВ  №  2, ПС  110/35/10/6  кВ   «К - 4»  для  подключения  жилого  дома Долженко С.И., расположенного по адресу: Ростовская область, Каменский район, хутор Масаловка, ул. Дружбы, д. № 17, корпус В, КНЗУ 61:15:0080201:1623 (ориентировочная протяженность ЛЭП – 0,356 км, прибор учёта электроэнергии - 1 шт.)</t>
  </si>
  <si>
    <t>Установка прибора коммерческого учёта электрической энергии, для присоединения жилого дома Чепелева В.Н., расположенного по адресу: Ростовская область, Каменский район, х. Старая Станица, ул. Буденного, дом № 64, к.н.з.у. 61:15:0130102:817(прибор учёта электроэнергии - 1 шт.)</t>
  </si>
  <si>
    <t>Строительство участка ВЛИ-0,4 кВ от РУ - 0,4 кВ КТП № 70, ВЛ-10 кВ № 3, ПС 35/10 кВ  «Каменская СХТ»  для   подключения   жилого   дома Луханиной Н.В., расположенного по адресу: Ростовская обл., Каменский р-н,   х. Старая Станица, ул. Красноармейская, д. № 74, корп. А, КН ЗУ  61:15:130103:1226 (ориентировочная протяженность ЛЭП – 0,202 км, прибор учёта электроэнергии - 1 шт.)</t>
  </si>
  <si>
    <t>Установка прибора коммерческого учёта электрической энергии, для присоединения ВРУ-0,4 кВ жилого дома Мащёнского А.С., расположенной по адресу: Ростовская обл., Милютинский р-н,х. Старокузнецов, пер. Подгорный, д. 8/7, к.н.з.у. 61:23:0030201:125 (прибор учёта электроэнергии - 1шт)</t>
  </si>
  <si>
    <t>Строительство участка ВЛ-0,4 кВ от опоры № 13 ВЛ-0,4 кВ № 3, КТП № 221, ВЛ-10 кВ № 3, ПС 35/10 кВ " Селивановская", для подключения ВРУ- 0,4 кВ склада сельскохозяйственного назначения  ИП Главой К(Ф)Х Сахно В.С., расположенного по адресу: Ростовская обл., Милютинский р-н, ст. Селивановская, примерноо в 0,9 км на юго- запад от ст. Селивановская, к.н.з.у. 61:23:0600003:557 (ориентировочная протяженность ЛЭП – 0,045 км, прибор учёта электроэнергии - 1шт)</t>
  </si>
  <si>
    <t>Строительство участка ВЛ-0,4 кВ от ВЛ-0,4 кВ № 1, КТП № 339, ВЛ 10 кВ № 1 ПС 35/10 кВ «Знаменская», для подключения мельницы Лиманского П.В., расположенной по адресу: Ростовская обл., Милютинский  р-н, сл. Маньково-Берёзовская, ул. Новикова, д. 2, к.н.з.у. 61:23:0020501:1104 (ориентировочная протяженность ЛЭП – 0,028 км, прибор учёта электроэнергии - 1 шт.)</t>
  </si>
  <si>
    <t>Строительство участка ЛЭП-0,4 кВ от опоры № 10, ВЛ-0,4 кВ №1, КТП № 26, ВЛ-10 кВ №4, ПС 110/35/10 кВ «Милютинская» для подключения жилого дома Устиновой И.С., расположенного по адресу: Ростовская область, Милютинский р-он, х. Старокузнецов, ул. Хлебная, д.21, к.н. 61:23:0030201:1141 (ориентировочная протяженность ЛЭП – 0,030 км, прибор учёта электроэнергии - 1шт)</t>
  </si>
  <si>
    <t>Строительство участка ВЛ-0,4 кВ от опоры № 6 ВЛ-0,4 кВ № 2, КТП № 65, ВЛ-10 кВ № 2, ПС 35/10 кВ "Семёновская", для подключения жилого дома Солодкова В.А., расположенного по адресу: Ростовская область, Милютинский район, х. Широко-Бахолдинский, ул. Набережная, д. 13, к.н.з.у. 61:23:0070201:34 (ориентировочная протяженность ЛЭП – 0,265 км, прибор учёта электроэнергии - 1шт)</t>
  </si>
  <si>
    <t>Установка прибора коммерческого учёта электрической энергии для присоединения базовой станции АО «Первая Башенная Компания», расположенной по адресу: Ростовская область, Милютинский район,   п. Светоч, ул. Победы, участок в 80 м от д. № 17/13, к.н.з.у. 61:23:0600017 (прибор учёта электроэнергии - 1 шт.)</t>
  </si>
  <si>
    <t>Установка прибора коммерческого учёта электрической энергии для присоединения ВРУ-0,4 кВ жилого дома Шуляковой Н.А., расположенного по адресу: Ростовская область, Милютинский район, х. Юдин, ул. Заречная, д. 40, к.н.з.у. 61:23:0030101:1182 (прибор учёта электроэнергии - 1 шт.)</t>
  </si>
  <si>
    <t>Установка прибора коммерческого учёта электрической энергии для присоединения жилого дома Коржова В.А., расположенного по адресу: Ростовская область, Милютинский район, п. Аграрный, ул. Черемушки, д. № 29, к.н.з.у. 61:23:0010401:86 (прибор учёта электроэнергии - 1 шт.)</t>
  </si>
  <si>
    <t>Установка прибора коммерческого учёта электрической энергии, для присоединения ВРУ-0,4 кВ жилого дома Багамаева М.М, расположенного по адресу: Ростовская область, Милютинский район,  х. Приходько-Придченский, ул. Петровка, д. 9, к.н.з.у. 61:23:0040201:4 (прибор учёта электроэнергии – 1 шт.)</t>
  </si>
  <si>
    <t>Установка прибора коммерческого учёта электрической энергии, для присоединения ВРУ-0,4 кВ жилого дома Бакуна Н.А., расположенного по адресу: Ростовская обл., Милютинский р-н, х. Павловка, ул. Теневая, д. 35, к.н.з.у. 61:23:0021001:169 (прибор учёта электроэнергии – 1 шт.)</t>
  </si>
  <si>
    <t>Установка прибора коммерческого учёта электрической энергии, для присоединения ВРУ-0,4 кВ жилого дома Борисенко А.В., расположенного по адресу: Ростовская обл., Милютинский р-н, ст. Селивановская, ул. Черёмушки, д. 9, к.н.з.у. 61:23:0080101:592 (прибор учёта электроэнергии – 1 шт.)</t>
  </si>
  <si>
    <t>Установка прибора коммерческого учёта электрической энергии, для присоединения ВРУ-0,4 кВ жилого дома Исаевой Л.М., расположенного по адресу: Ростовская обл., Милютинский р-н, х. Новодмитровский, ул. Агеевка,  д. 15, к.н.з.у. 61:23:0150401:147 (прибор учёта электроэнергии – 1 шт.)</t>
  </si>
  <si>
    <t>Установка прибора коммерческого учёта электрической энергии, для присоединения ВРУ-0,4 кВ жилого дома Куфты С.В., расположенного по адресу: Ростовская область, Милютинский район, х. Ивановский, ул. Южная, д. 16, к.н.з.у. 61:23:0040601:100 (прибор учёта электроэнергии - 1 шт.)</t>
  </si>
  <si>
    <t>Установка прибора коммерческого учета, электрической энергии для присоединения жилого дома Ивахненко Т.В., расположенного по адресу: Ростовская область, Милютинский район, ст-ца Селивановская, улица Черемушки, дом № 18, к.н.з.у 61:23:0080101:1454 (прибор учета электроэнергии 1 шт.)</t>
  </si>
  <si>
    <t>Строительство участка ВЛ-0,4 кВ от опоры №1 ВЛ-0,4 кВ № 1, КТП № 58, ВЛ-10 кВ № 6, ПС 110/35/10 кВ «Б-11», для подключения административного здания ООО «АгроФактор», расположенного по адресу: Ростовская обл., Морозовский р-н, х. Скачки-Малюгин, д. 28, КНЗУ 61:24:0020601:99 (ориентировочная   протяженность ЛЭП – 0,055 км, прибор учёта электроэнергии  - 1шт)</t>
  </si>
  <si>
    <t>Строительство участка ВЛ-0,4 кВ от опоры № 37 ВЛ-0,4 кВ № 2, КТП № 42, ВЛ-10 кВ № 2, ПС 110/35/10 кВ «Б-11», для присоединения жилого дома Линник В.А., расположенного по адресу: Ростовская область, Морозовский р-н, х. Вербочки, ул. Урожайная, д. 32, кадастровый номер земельного участка: 61:24:0030107:31 (ориентировочная   протяженность ЛЭП – 0,047 км, прибор учёта электроэнергии  - 1шт)</t>
  </si>
  <si>
    <t>Установка прибора коммерческого учёта электрической энергии,для присоединения жилого дома Нерсесяна В.Н., расположенного по адресу: Ростовская область, Морозовский р-н, х. Новопроциков, ул. Речная, д. 4, к.н.з.у.: 61:24:0020301:4 (прибор учёта электроэнергии - 1шт.)</t>
  </si>
  <si>
    <t>Установка прибора коммерческого учёта электрической энергии, для присоединения ВРУ-0,4 кВ «магазин» Черноморовой М.Н., расположенного по адресу: Ростовская область, Обливский район, хутор Кривов, улица Центральная, д. 35а, к.н. 61:27:05:04:02:0093(прибор учёта электроэнергии - 1шт.)</t>
  </si>
  <si>
    <t>Установка прибора коммерческого учёта электрической энергии, для присоединения ВРУ-0,4 кВ «буровая на воду скважина № 9647»   ООО «Обливское МТП», расположенного по адресу: Ростовская  область, район Обливский, в 13 м на запад от п. Шаповаловка, к.н. 61:27:0600003:636 (прибор учёта электроэнергии - 1шт.)</t>
  </si>
  <si>
    <t>Установка прибора коммерческого учёта электрической энергии, для присоединения ВРУ-0,4 кВ «водопроводные сети водоснабжения» Администрации Обливского района, расположенного по адресу: Ростовская область, Обливский район, поселок Северный, к.н.з.у. 61:27:0600011:2124 (прибор учёта электроэнергии - 1шт.)</t>
  </si>
  <si>
    <t>Строительство ВЛИ-0,4 кВ от КТП № 41, ВЛ-10 кВ № 6, ПС 110/35/10 кВ «Обливская-1», для подключения ВРУ-0,4 кВ «складское помещение» Сербиненко Е.В., расположенного по адресу: Ростовская обл., Обливский район, станица Обливская, улица Калиманова, д. 27, К.Н.61:27:0000000:849 (ориентировочная протяженность ЛЭП – 0,055 км, прибор учёта электроэнергии - 1шт)</t>
  </si>
  <si>
    <t>Строительство участка ВЛИ-0,4 кВ от опоры № 18, ВЛ-0,4 кВ № 1, КТП  № 341, ВЛ-10 кВ № 3, ПС 35/10 кВ «Артемовская», для подключения жилого дома Бурдиной О.С., расположенной по адресу: Ростовская обл., Обливский      р-н, х. Караичев, ул. Раздольная, д. № 16, к.н.з.у. 61:27:0040101:141 (ориентировочная протяженность ЛЭП – 0,490 км, прибор учёта электроэнергии - 1шт)</t>
  </si>
  <si>
    <t>Установка прибора коммерческого учета электрической энергии, для присоединения ВРУ-0,4кВ «квартира» Будариной Н.М., расположенной по адресу: Ростовская область, Обливский район, хутор Ковыленский, улица Полевая, дом 5 кв.1, к.н.з.у.:61:27:0071103:38 (прибор учета электроэнергии -   1 шт.)</t>
  </si>
  <si>
    <t>Установка прибора коммерческого учёта электрической энергии, для  присоединения ВРУ-0,4 кВ «квартира» Чхетиани Н.З., расположенного по адресу: Ростовская область, Обливский район, х. Сеньшин, ул. Березовая, д. 58, кв. 1, к.н.з.у.: 61:27:0070805:47 (прибор учёта электроэнергии - 1шт.)</t>
  </si>
  <si>
    <t>Установка прибора коммерческого учета электрической энергии, для присоединения жилого дома Агекян А.Р., расположенного по адресу: Ростовская область, Обливский район, хутор Алексеевский, улица Зеленая, дом 5, к.н.з.у.:61:27:0020101:441 (прибор учета электроэнергии - 1 шт.)</t>
  </si>
  <si>
    <t>Установка прибора коммерческого учета электрической энергии, для присоединения жилого дома Ашурилаева Ш.А., расположенного по адресу: Ростовская область, Обливский район, хутор Серебряковский, улица Степная, дом 6, к.н.з.у.:61:27:0600007:793 (прибор учета электроэнергии - 1 шт.)</t>
  </si>
  <si>
    <t>Установка прибора коммерческого учета электрической энергии, для присоединения жилого дома Рамазанова М.Т., расположенного по адресу: Ростовская область, Обливский район, поселок Запрудный, улица Центральная, дом 81, к.н.з.у.:61:27:0030201:67 (прибор учета электроэнергии - 1 шт.)</t>
  </si>
  <si>
    <t>Установка прибора коммерческого учета электрической энергии, для присоединения жилого дома Чернышковой Н.И., расположенного по адресу: Ростовская область, Обливский район, хутор Караичев, улица Школьная, дом 22, к.н.з.у.:61:27:0040105:3 (прибор учета электроэнергии - 1 шт.)</t>
  </si>
  <si>
    <t>Установка прибора коммерческого учёта, электрической энергии для присоединения ВРУ-0,4 кВ «комплекс складских помещений» Косикова Н.В., расположенного по адресу: Ростовская область, Обливский район, станица Обливская, к.н.з.у. 61:27:0600011:2130 (прибор учёта электроэнергии - 1шт.)</t>
  </si>
  <si>
    <t>Установка прибора коммерческого учета электрической энергии, для присоединения ВРУ- 0,4 кВ благоустройства участка улицы М. Горького Муниципального образования «Советское сельское поселение», расположенной по адресу: Ростовская область, Советский р-н,  ст. Советская, участок ул. М. Горького от ул. 40 лет Октября до ул. Лесхозная, КНЗУ 61:36:0010101:5239 (прибор учёта электроэнергии - 1шт)</t>
  </si>
  <si>
    <t>Установка прибора коммерческого учета электрической энергии, для присоединения ВРУ-0,4 кВ строящегося нежилого здания Щепелева А.В., расположенного по адресу: Ростовская область, Советский район, примерно 0,15 км на юго-запад от ориентира хутора Наумов, к.н.з.у.:61:36:0600004:150 (прибор учета электроэнергии - 1 шт.)</t>
  </si>
  <si>
    <t>Установка прибора коммерческого учета электрической энергии, для присоединения ВРУ- 0,4 кВ жилого дома Кириленко С.И., расположенного по адресу: Ростовская область, Советский р-н, ст-ца. Советская, ул. Колхозная, дом № 3, К.Н. 61:36:0010101:548 (прибор учёта электроэнергии - 1шт)</t>
  </si>
  <si>
    <t>Установка прибора коммерческого учета электрической энергии, для присоединения ВРУ- 0,4 кВ жилого дома Герасимова И.В. расположенного по адресу: Ростовская область, Советский р-н, слобода Чистяково, ул. Западная, д.15, кв.3 К.Н 61:36:0020101:1375 (прибор учёта электроэнергии - 1шт)</t>
  </si>
  <si>
    <t>Установка прибора коммерческого учета электрической энергии, для присоединения ВРУ- 0,4 кВ жилого дома Курдуманова В.И., расположенного по адресу: Ростовская область, Советский р-н, ст-ца Советская, ул. Лесхозная, д. 49 К.Н 61:36:0010101:816 (прибор учёта электроэнергии - 1шт)</t>
  </si>
  <si>
    <t>Установка прибора комерческого учета электрической энергии, для присоединения ВРУ- 0,4 кВ жилого дома Куликова Г. А., расположенного по адресу: Ростовская область, Советский р-н, х. Аржановский, ул. Береговая, дом № 35, К.Н. 61:36:0030801:30 (прибор учёта электроэнергии - 1шт)</t>
  </si>
  <si>
    <t>Установка прибора комерческого учета электрической энергии, для присоединения ВРУ- 0,4 кВ жилого дома Уса В.В., расположенного по адресу: Ростовская область, Советский р-н, ст-ца Советская,  ул. Пушкина, д. 25 К.Н 61:36:0010101:999 (прибор учёта электроэнергии - 1шт)</t>
  </si>
  <si>
    <t>Установка прибора коммерческого учёта электрической энергии, для присоединения базовой станции сотовой связи ООО «Т2 Мобайл», расположенного по адресу: Ростовская область, Тарасовский р-н, ст. Митякинская, 57 м на юго-запад от здания № 9 по ул. Луначарского, к.н. 61:37:0100101:4332 (прибор учёта электроэнергии - 1шт)</t>
  </si>
  <si>
    <t>Установка прибора коммерческого учёта электрической энергии, для присоединения: склада № 1, склада № 2 и склада № 3 ИП главы К(Ф)Х Ткачева Н.И., расположенных по адресу: Ростовская область, Тарасовский район, х. Егоро-Калитвенский: склад № 1 и склад № 2 (ул. Молодежная, д. 19,  к.н.з.у. № 61:37:0600022:1184 и № 61:37:0600022:1183); склад № 3 (земельный участок № 1/1, к.н.з.у. № 61:37:0600022:1200),(прибор учёта электроэнергии - 1шт)</t>
  </si>
  <si>
    <t>Установка прибора коммерческого учёта электрической энергии для присоединения жилого дома Ковалевой Н.П., расположенного по адресу: Ростовская область, Тарасовский р-н, сл. Колушкино, ул. Советская, д.66, к.н.з.у.: 61:37:090101:0069 (прибор учёта электроэнергии - 1шт.)</t>
  </si>
  <si>
    <t>Установка прибора коммерческого учёта электрической энергии, для присоединения жилого дома Малышева С.Г., расположенного по адресу: Ростовская область, Тарасовский р-н, сл. Колушкино, ул. Садовая, д. 39, к.н.з.у. 61:37:0090101:1273 (прибор учёта электроэнергии - 1шт)</t>
  </si>
  <si>
    <t>Установка прибора коммерческого учёта электрической энергии, для присоединения строящегося склада Петровского В.П., расположенного по адресу: Ростовская область, Тарасовский р-н, х. Рыновка,  ул. Донская, к.н.з.у. 61:37:0050801:56 (прибор учёта электроэнергии - 1шт)</t>
  </si>
  <si>
    <t>Установка прибора коммерческого учёта электрической энергии, для присоединения ВРУ-0,4 кВ жилого дома Сайкиной Н.П., расположенного по адресу: Ростовская область, Тацинский район, х. Верхнеобливский, пер. Центральный, д. 8, к.н. 00:00:0000:000 (прибор учёта электроэнергии - 1шт.)</t>
  </si>
  <si>
    <t>Установка прибора коммерческого учёта электрической энергии, для присоединения ВРУ-0,4 кВ жилого дома Шанаурова В.И., расположенного по адресу: Ростовская область, Тацинский район, х. Крюков, ул. Ленина, д. 31, к.н. 61:38:060701:17. (прибор учёта электроэнергии - 1шт.)</t>
  </si>
  <si>
    <t>Установка прибора коммерческого учёта электрической энергии, для присоединения ВРУ-0,4 кВ строящегося здания Шипелова Д.А., расположенного по адресу: Ростовская область, Тацинский район, х. Ковылкин, ул. Студенческая, д. 14, кв./оф. 1, к.н. 61:38:0110101:22. (прибор учёта электроэнергии - 1шт.)</t>
  </si>
  <si>
    <t>Установка прибора коммерческого учёта электрической энергии, для присоединения ВРУ-0,4кВ жилого дома Гунькина А.Д., расположенного по адресу: Ростовская область, Тацинский район, ст-ца. Ермаковская, ул. Попова, д. 102, к.н. 61:38:0080101:84 (прибор учёта электроэнергии –  1 шт.)</t>
  </si>
  <si>
    <t>Установка прибора коммерческого учёта электрической энергии, для присоединения ВРУ-0,4кВ жилого дома Пономаренко И.И., расположенного по адресу: Ростовская область, Тацинский район, х. Пролетарский, ул. Степная, д. 10, кв./оф.2,  к.н. 61:38:0061001:9 (прибор учёта электроэнергии –  1 шт.)</t>
  </si>
  <si>
    <t>Установка прибора коммерческого учёта электрической энергии, для присоединения ВРУ-0,4 кВ жилого дома Семеновой Е.К., расположенного по адресу: Ростовская область, Тацинский район, х. Пролетарский, ул. Колхозная, д. 4, к.н.з.у. 61:38:0061001:110 (прибор учёта электроэнергии - 1шт.)</t>
  </si>
  <si>
    <t>Установка прибора коммерческого учёта электрической энергии, для присоединения ВРУ-0,4 кВ здания склада Чикова Г.Ф., расположенного по адресу: Ростовская область, Тацинский район, х. Коминтерн, примерно в 0,5 км на север от ул. Молодежная, д. 25, к.н. 61:15:0600007:1130 (прибор учёта электроэнергии - 1шт.)</t>
  </si>
  <si>
    <t>Установка прибора коммерческого учёта электрической энергии, для присоединения ВРУ-0,4 кВ жилого дома Голотова В.А., расположенного по адресу: Ростовская область, Тацинский район, х. Качалин, ул. Харченко, д. 25, кв./оф. 2, к.н. 61:38:0070501:17. (прибор учёта электроэнергии - 1шт.)</t>
  </si>
  <si>
    <t>Установка прибора коммерческого учёта электрической энергии, для присоединения ВРУ-0,4 кВ жилого дома Ливанды Е.В., расположенного по адресу: Ростовская область, Тацинский район, х. Зазерский, ул. Кольцевая, д. 10, к.н. 61:38:0090101:70. (прибор учёта электроэнергии - 1шт.)</t>
  </si>
  <si>
    <t>Установка прибора коммерческого учёта электрической энергии, для присоединения ВРУ-0,4 кВ жилого дома Петухова В.А., расположенного по адресу: Ростовская область, Тацинский район, п. Новосуховый, ул. Колодезная, д. 22, к.н.з.у. 61:38:0100101:177 (прибор учёта электроэнергии - 1шт.)</t>
  </si>
  <si>
    <t>Установка прибора коммерческого учёта электрической энергии, для присоединения ВРУ-0,4 кВ жилого дома Свибовича А.А., расположенного по адресу: Ростовская область, Тацинский район, х. Захаро-Обливский, д. 51, к.н. 61:38:0060501:114. (прибор учёта электроэнергии - 1шт.)</t>
  </si>
  <si>
    <t>Установка прибора коммерческого учёта электрической энергии, для присоединения ВРУ-0,4 кВ жилого дома Скляровой Н.Н., расположенного по адресу: Ростовская область, Тацинский район, х. Качалин, ул. Свободы, д. 16, к.н. 61:15:0070501:62. (прибор учёта электроэнергии - 1шт.)</t>
  </si>
  <si>
    <t>Установка прибора коммерческого учёта электрической энергии для присоединения ВРУ-0,4 кВ здания зерносклада ИП Красноперов П.Ф., расположенного по адресу: Ростовская область, Тацинский район,  х. Верхнекольцов, примерно в 0,7 км на север от ул. Мира, д. 6,  к.н. 61:15:0600015:400 (прибор учёта электроэнергии - 1шт.)</t>
  </si>
  <si>
    <t>Установка прибора коммерческого учёта электрической энергии, для присоединения ВРУ-0,4 кВ здание свинарника-маточника Солошенко А.С., расположенного по адресу: Ростовская область, Тацинский район, посёлок Жирнов, примерно в 1,4 км на север,  к.н.з.у.: 61:38:600008:1157 (прибор учёта электроэнергии - 1шт.)</t>
  </si>
  <si>
    <t>Установка прибора коммерческого учёта электрической энергии, для присоединения ВРУ-0,4 кВ здание склада ИП Сальниковой О.П., расположенного по адресу: Ростовская область, Тацинский район, х. Михайлов, примерно в 76 м на северо-восток от х. Михайлов, к.н. 61:15:600006:0226. (прибор учёта электроэнергии - 1шт.)</t>
  </si>
  <si>
    <t>Установка прибора коммерческого учёта электрической энергии, для присоединения ВРУ-0,4 кВ квартиры Акиншина П.И., расположенной по адресу: Ростовская область, Тацинский район, п. Быстрогорский, пер. Торговый, д. 8, кв./оф. 1, к.н. 61:38:040127:0010. (прибор учёта электроэнергии - 1шт.)</t>
  </si>
  <si>
    <t>Установка прибора коммерческого учёта электрической энергии, для присоединения ВРУ-0,4 кВ строящегося здания ИП Романова Р.В., расположенного по адресу: Ростовская область, Тацинский район, х. Крюков, в 1300 м на северо-запад от пер. Речной, д. 3, к.н. 61:38:0600005:934. (прибор учёта электроэнергии - 1шт.)</t>
  </si>
  <si>
    <t>Установка прибора коммерческого учёта электрической энергии, для присоединения ВРУ-0,4 кВ строящегося здания Кудашева М.В., расположенного по адресу: Ростовская область, Тацинский р-н, х. Михайловка, ул. Луговая, д. 29, корп. б, к.н. 61:15:0060801:414. (прибор учёта электроэнергии - 1шт.)</t>
  </si>
  <si>
    <t>Установка прибора коммерческого учёта электрической энергии, для присоединения ВРУ-0,4 кВ нежилого здания ИП Забродина В.В., расположенного по адресу: Ростовская область, Тацинский район, х. Качалин, ул. Свободы, д. 1, корп. в, к.н. 61:15:0070501:870 (прибор учёта электроэнергии - 1шт.)</t>
  </si>
  <si>
    <t>Установка прибора коммерческого учёта электрической энергии,  для присоединения ВРУ-0,4 кВ строящегося здания Лымарева В.А., расположенного по адресу: Ростовская область, Тацинский район,  ст. Тацинская, ул. Пролетарская, д. 186, к.н. 61:38:0010247:48. (прибор учёта электроэнергии - 1шт.)</t>
  </si>
  <si>
    <t>Установка прибора коммерческого учёта электрической энергии, для присоединения ВРУ-0,4 кВ строящегося здания Мисникова Н.В., расположенного по адресу: Ростовская область, Тацинский район,   х. Верхнекольцов, в 0,2 км на юго-запад от ул. Мира, д. 3, к.н.з.у. 61:38:0600015:444. (прибор учёта электроэнергии - 1шт.)</t>
  </si>
  <si>
    <t>Установка прибора коммерческого учёта электрической энергии, для присоединения ВРУ-0,4 кВ строящегося здания Шитова А.А., расположенного по адресу: Ростовская область, Тацинский р-н, п. Сухая Балка, в 0,5 км на северо-восток от ул. Черёмушки, д. 17, к.н.з.у. 61:38:0600012:1561 (прибор учёта электроэнергии - 1шт.)</t>
  </si>
  <si>
    <t>Установка прибора коммерческого учёта электрической энергии для присоединения ЛЭП-0,4 кВ зернотока ИП Небоженко С.А., расположенного по адресу: Ростовская область, Тацинский район,  п. Новосуховский, примерно в 0,3 км по направлению на северо-восток от ул. Административная, д. 8, к.н. 61:38:0600012:1368 (прибор учёта электроэнергии - 1шт.)</t>
  </si>
  <si>
    <t>Строительство участка ЛЭП-0,4 кВ от ВЛ-0,4 кВ № 1, КТП № 678, ВЛ-6 кВ «Восход», ПС 110/10 кВ «Б-1» для подключения ЛПХ  Кудинова П.И., расположенного по адресу: Ростовская область, р-он Белокалитвинский, х. Поцелуев, ул. Солнечная, д.23а, к.н. 61:47:060103:1  (ориентировочная протяженность ЛЭП – 0,04 км, прибор учёта электроэнергии - 1шт)»</t>
  </si>
  <si>
    <t>Установка прибора коммерческого учёта электрической энергии, для присоединения Административного здания Акционерного общества АО «Почта России» расположенного по адресу: Ростовская область, Белокалитвинский р-н, х. Нижнепопов, ул. Молодежная, д. 10, кадастровый номер земельного участка: 61:04:01500203:448 (прибор учёта электроэнергии – 1 шт.)</t>
  </si>
  <si>
    <t>Установка прибора коммерческого учёта электрической энергии, для присоединения Административного здания Акционерного общества АО «Почта России»., расположенного по адресу: Ростовская область, Белокалитвинский р-н, х. Голубинка, ул. Центральная, д. 24, к.н.з.у.: 61:04:0110201:330 (прибор учёта электроэнергии – 1 шт.)</t>
  </si>
  <si>
    <t>Установка прибора коммерческого учёта электрической энергии, для присоединения Административного здания Акционерного общества АО «Почта России»., расположенного по адресу: Ростовская область, Белокалитвинский р-н, х. Ленина, ул. Комарова, д. 36, кадастровый номер земельного участка: 61:04:0100104:145 (прибор учёта электроэнергии – 1 шт.)</t>
  </si>
  <si>
    <t>Установка прибора коммерческого учёта электрической энергии, для присоединения жилого дома Павлова А.А., расположенного по адресу: Ростовская область, Белокалитвинский р-н,  п. Сосны, ул. Лазоревская, д. 2, к.н.з.у.: 61:04:0150409:102 (прибор учёта электроэнергии – 1 шт.)</t>
  </si>
  <si>
    <t>Строительство участка ВЛ-0,4 кВ от опоры № 16 ВЛ-0,4 кВ № 2, КТП № 27, ВЛ-10 кВ № 4, ПС 110/35/10 кВ "Милютинская", для подключения ВРУ-0,4 кВ жилого дома Корплякова Ю.В., расположенного по адресу: Ростовская обл., Милютинский р-н, х. Терновой, ул. Большая Терновская, д.18, к.н.з.у. 61:23:0030601:0023 (ориентировочная протяженность ЛЭП – 0,095 км, прибор учёта электроэнергии - 1шт)</t>
  </si>
  <si>
    <t>Установка прибора коммерческого учета, электрической энергии для присоединения Административного/офисного здания АО «Почта России», расположенного по адресу: Ростовская область, Милютинский район,  ст-ца Селивановская, ул. Титова, дом 16/3. к.н.з.у 61:23:0080101:2025  (прибор учета электроэнергии 1 шт.)</t>
  </si>
  <si>
    <t>Установка прибора коммерческого учёта электрической энергии,для присоединения ВРУ-0,4 кВ объекта сельскохозяйственного назначения Шканыбина Н.В., расположенного по адресу: Ростовская обл., Милютинский р-н, х. Севостьянов, ул. Девятинская, д. 28, стр. 2, к.н.з.у. 61:23:0080401:730 (прибор учёта электроэнергии – 1 шт.)</t>
  </si>
  <si>
    <t>Установка прибора коммерческого учёта электрической энергии, для присоединения ВРУ-0,4 кВ Складского здания (помещения) Исаева Н.П., расположенного по адресу: Ростовская обл., Милютинский р-н, х. Новодмитровский, примерно в 2,1 км от ориентира х. Новодмитровский по направлению на юг, к.н.з.у. 61:23:0600001:758 (прибор учёта электроэнергии – 1 шт.)</t>
  </si>
  <si>
    <t>Установка прибора коммерческого учета, электрической энергии для присоединения жилого дома Куфты А.Н., расположенного по адресу: Ростовская область, Милютинский район, хутор Николовка, улица Новая,  дом 16, к.н.з.у 61:23:0040301:191 (прибор учета электроэнергии 1 шт.)</t>
  </si>
  <si>
    <t>Установка прибора коммерческого учета, электрической энергии для присоединения жилого дома Бутенко Н.А., расположенного по адресу: Ростовская область, Милютинский район, хутор Коньков, улица Луговая,  дом 31, к.н.з.у 61:23:0080201:31 (прибор учета электроэнергии 1 шт.)</t>
  </si>
  <si>
    <t>Установка прибора коммерческого учета, электрической энергии для присоединения жилого дома Севостьяновой Ю.С., расположенного по адресу: Ростовская область, Милютинский район, хутор Старокузнецов, улица Центральная, дом 59. к.н.з.у 61:23:0070143:441 (прибор учета электроэнергии 1 шт.)</t>
  </si>
  <si>
    <t>Установка прибора коммерческого учета, электрической энергии для присоединения нежилой застройки Шепелева А.С., расположенного по адресу: Ростовская область, Милютинский район, хутор Новодмитриевский, примерно в 0,6 км от ориентира в х. Новодмитриевском по направлению на Северо-Восток, к.н.з.у 61:23:0000000:1337 (прибор учета электроэнергии 1 шт.)</t>
  </si>
  <si>
    <t>Строительство ВЛ-0,4 кВ от опоры № 13/16 проектируемой ВЛ-0,4 кВ (по договорам № 61-1-20-00539815 от 21.10.2020 г. и № 61-1-21-00597313 от 08.09.2021 г.), от опоры № 13 ВЛ-0,4 кВ № 3, КТП № 27, ВЛ-10 кВ № 4, ПС 110/35/10 кВ «Милютинская», для подключения жилых домов Пучковой О.Н. и Тарасенко Н.Б., расположенных по адресу: Ростовская область, Милютинский р-н, х. Терновой, пер. Тенистый, д. № 16, к.н.з.у. 61:23:0030601:0002:1268, д. № 14, к.н.з.у 61:23:0030601:22 (ориентировочная протяженность ЛЭП – 0,390 км, прибор учёта электроэнергии – 2 шт)</t>
  </si>
  <si>
    <t>Строительство участка ВЛ-0,4 кВ от опоры № 16, ВЛ-0,4 кВ № 1, КТП № 82, ВЛ- 10 кВ №7, ПС 110/35/10 кВ «Милютинская», для подключения жилого дома Коровиной В.И.,   расположенного по адресу: Ростовская область, Милютинский район, х. Юдин, пер. Вербный, д. 16, к.н. 61:23:0030101:221 (ориентировочная протяженность ЛЭП – 0,39 км)</t>
  </si>
  <si>
    <t>Строительство ВЛ-0,4 кВ от предпоследней опоры проектируемой ВЛ-0,4 кВ (по договору № 61-1-20-00539815 от 21.10.2020 г.) от опоры № 13 ВЛ-0,4 кВ № 3, КТП № 27, ВЛ-10 кВ № 4, ПС 110/35/10 кВ «Милютинская», для подключения ВРУ-0,4 кВ жилого дома Корплякова А.В., расположенного по адресу: Ростовская область, Милютинский р-н, х. Терновой, пер. Тенистый, д. № 12, к.н. 61:23:0030601:1 (ориентировочная протяженность ЛЭП – 0,385 км, прибор учёта электроэнергии - 1шт)</t>
  </si>
  <si>
    <t>Строительство участка ВЛИ-0,4 кВ от опоры № 1, ВЛ-0,4 кВ № 1, КТП № 82, ВЛ-10 кВ № 7, ПС 110/35/10 кВ "Милютинская", для подключения жилого дома Алимова Н.И., расположенного по адресу: Ростовская область, Милютинский район, х. Юдин, ул.Черёмушки, д. 43, к.н. 61:23:0030101:39 (ориентировочная протяженность ЛЭП – 0,24 км, прибор учёта электроэнергии - 1шт)</t>
  </si>
  <si>
    <t>Строительство участка ВЛ-0,4 кВ от опоры №9 ВЛ-0,4 кВ № 1, КТП №211, ВЛ- 10 кВ №5, ПС "Б-11», для подключения строящегося жилого дома Макарова С.М., расположенного по адресу: Ростовская обл., Морозовский р-н, х. Грузинов, ул. Абрикосовая, д.1/7, кадастровый номер земельного участка :61:24:0050312:64 (ориентировочная протяженность ЛЭП – 0,260 км)</t>
  </si>
  <si>
    <t>Строительство участка ВЛ-0,4 кВ от опоры № 20 ВЛ-0,4 кВ № 1, КТП № 11, ВЛ-10 кВ № 1, ПС 35/10 кВ «Вольно-Донская», для подключения телятника Сорокина Николая Анатольевича, расположенного по адресу: Ростовская обл., Морозовский р-н, х. Власов, ул. Вязовая, д. 40 а, КНЗУ 61:24:0600007:988 (ориентировочная   протяженность ЛЭП – 0,24 км, прибор учёта электроэнергии - 1шт)</t>
  </si>
  <si>
    <t>Строительство участка ВЛ-0,4 кВ от РУ-0,4 кВ КТП № 138, ВЛ- 10 кВ №4, ПС 35/10 кВ «Обливская-2», для подключения жилых домов Гончаровой О.В., Жаманбалиевой А.Б., расположенных по адресу: Ростовская область, Обливский район, х. Трухин, ул. Овражная дом 5, 10, к.н. 61:27:0050701:13, 61:27:0050701:38, (ориентировочная протяженность ЛЭП – 0,607 км, прибор учёта электроэнергии – 2 шт.)</t>
  </si>
  <si>
    <t>Строительство участка ВЛИ-0,4 кВ от РУ-0,4 кВ КТП № 260 ВЛ-10 кВ № 5,  ПС 110/10 кВ «Обливская ПТФ» для подключения жилого дома Мартиросян А.В., расположенного по адресу: Ростовская область, Обливский район, хутор Рябовский, улица Сосновая, дом 30, к.н.з.у.  61:27:0070201:612 (ориентировочная протяженность ВЛИ – 0,085 км, прибор учёта электроэнергии - 1шт.)</t>
  </si>
  <si>
    <t>Установка прибора коммерческого учета электрической энергии, для присоединения ВРУ-0,4кВ «вагончик» Корсуновой И.А., расположенного по адресу: Ростовская область, Обливский район, поселок Новополеевский, улица Центральная, к.н.з.у.:61:27:0060301:384 (прибор учета электроэнергии -  1 шт.)</t>
  </si>
  <si>
    <t>Установка прибора коммерческого учета электрической энергии, для присоединения жилого дома Дусинязова Р.С., расположенного по адресу: Ростовская область, Обливский район, поселок Новополеевский, улица Центральная, дом 3, к.н.з.у.:61:27:0060301:259 (прибор учета электроэнергии - 1 шт.)</t>
  </si>
  <si>
    <t>Установка прибора коммерческого учета электрической энергии, для присоединения ВРУ-0,4кВ «квартира» Моторкиной О.В., расположенного по адресу: Ростовская область, Обливский район, поселок Сосновый, улица Жуланова, дом 17, кв.2, к.н.з.у.:61:27:0040401:243 (прибор учета электроэнергии - 1 шт.)</t>
  </si>
  <si>
    <t>Установка прибора коммерческого учета электрической энергии, для присоединения жилого дома Бублик Е.В., расположенного по адресу: Ростовская область, Обливский район, хутор Рябовский, улица 50 лет Победы, дом 51, к.н.з.у.:61:27:0070201:20 (прибор учета электроэнергии - 1 шт.)</t>
  </si>
  <si>
    <t>Установка прибора коммерческого учета электрической энергии, для присоединения жилого дома Захарова А.В., расположенного по адресу: Ростовская область, Обливский район, Садоводческое товарищество «Дачное», улица Лесодачная, дом 25 к.н.з.у.:61:27:500101:254 (прибор учета электроэнергии - 1шт.)</t>
  </si>
  <si>
    <t>Установка прибора коммерческого учета электрической энергии, для присоединения жилого дома Зубковой Е.С., расположенного по адресу: Ростовская область, Обливский район, хутор Рябовский, улица Шолохова,  дом 32, к.н.з.у.:61:27:0070201:271 (прибор учета электроэнергии - 1 шт.)</t>
  </si>
  <si>
    <t>Установка прибора коммерческого учета электрической энергии, для присоединения жилого дома Николаева В.П., расположенного по адресу: Ростовская область, Обливский район, станица Обливская, поселок Мехлесхоз, дом 25, к.н.з.у.:61:27:0070146:37 (прибор учета электроэнергии -   1 шт.)</t>
  </si>
  <si>
    <t>Установка прибора коммерческого учета электрической энергии, для присоединения жилого дома Рекуданова А.А., расположенного по адресу: Ростовская область, Обливский район, хутор Трухин, улица Овражная, дом 12, к.н.з.у.:61:27:0050701:19 (прибор учета электроэнергии - 1 шт.)</t>
  </si>
  <si>
    <t>Установка прибора коммерческого учета электрической энергии, для присоединения жилого дома Скобелевой Л.С., расположенного по адресу: Ростовская область, Обливский район, хутор Трухин, улица Овражная, дом 11, к.н.з.у.:61:27:0050701:22 (прибор учета электроэнергии - 1 шт.)</t>
  </si>
  <si>
    <t>Установка прибора коммерческого учёта, электрической энергии для присоединения ВРУ-0,4 кВ «строящийся жилой дом» Овчинниковой Н.Н., расположенного по адресу: Ростовская область, Обливский район, станица Обливская, п. Мехлесоз, д.31, к.н.з.у. 61:27:0070146:445 (прибор учёта электроэнергии - 1шт.)</t>
  </si>
  <si>
    <t>Установка прибора коммерческого учета электрической энергии для присоединения ВРУ- 0,4 кВ здания клуба, расположенной по адресу:Ростовская область, Советский р-н, сл. Калач-Куртлак, ул. Центральная, д. 20, К.Н 61:36:0040101:345 (прибор учёта электроэнергии - 1шт)</t>
  </si>
  <si>
    <t>Строительство участка ВЛ-10 кВ от опоры № 8, отпайка Л-168, ВЛ-10 кВ №3, ПС 110/35/10 кВ «Чеботовская», ТП 10/0,4 кВ и ВЛ-0,4 кВ от РУ-0,4 кВ проектируемой ТП 10/0,4 кВ, для подключения здания сельского дома культуры Муниципального учреждения культуры Зеленовского сельского поселения, расположенного по адресу: Ростовская обл., Тарасовский р-н, х.Зеленовка, ул. Центральная, д. 51, КН ЗУ 61:37:0070101:332 (ориентировочная протяженность ЛЭП –0,03 км, трансформаторная мощность – 0,063 МВА, прибор учёта электроэнергии - 1шт)</t>
  </si>
  <si>
    <t>Строительство участка ВЛ-0,4 кВ от опоры № 69 ВЛ-0,4 кВ № 2 КТП № 3, ВЛ-10 кВ № 1, ПС 35/10 кВ «Войковская» для подключения монтерского пункта Щуровой М.П., расположенного по адресу: Ростовская обл., Тарасовский р-н, п. Войково, ул. Садовая, д. 57, КН 61:37:0110201:596 (ориентировочная протяженность ЛЭП – 0,08 км, прибор учёта электроэнергии - 1шт)</t>
  </si>
  <si>
    <t>Строительство участка ВЛ-0,4 кВ от РУ-0,4 кВ КТП № 286, ВЛ-10 кВ № 2, ПС 110/35/10 кВ «Тарасовская» для подключения здания утятника № 1, здание утятника № 2 Надуева А.В., расположенных по адресу: Ростовская область, район Тарасовский, х. Липовка, примерно в 1,7 км по направлению на север от ориентира х. Липовка, к.н. 61:37:0600005:574 (ориентировочная протяженность ЛЭП – 1,3 км, прибор учёта электроэнергии - 1шт)</t>
  </si>
  <si>
    <t>Установка прибора коммерческого учёта электрической энергии, для присоединения ВРУ-0,4кВ административного/офисного здания АО «Почта России» расположенного по адресу: Ростовская область, Тацинский район, х. Ковылкин, ул. Мира, д. 14,  к.н. 61:38:0110101:1037 (прибор учёта электроэнергии –  1 шт.)</t>
  </si>
  <si>
    <t>Строительство участка ВЛИ-0,4 кВ от опоры № 5, ВЛ-0,4 кВ № 2, КТП № 137, ВЛ-10 кВ № 2, ПС 35/10 кВ "Тацинская СХТ", для     подключения ВРУ-0,4 кВ обьектов наружного освещения Администрации Тацинского района, расположенного по адресу: Ростовская область, Тацинский район, ст. Тацинская, Автомобильная дорога   ст. Тацинская – х. Исаев, к.н. 61:38:0061001:98 (ориентировочная протяженность ЛЭП – 0,458 км, прибор учёта электроэнергии - 1шт)</t>
  </si>
  <si>
    <t>Установка прибора коммерческого учёта электрической энергии для присоединения модульного здания Дома Культуры на 100 мест, расположенного по адресу: Ростовская область, Каменский р-н, х. Гусев, примыкает к земельному участку по ул. Центральная, 21 к.н.з.у. 61:15:0060101:1388 (прибор учёта электроэнергии - 1шт.)</t>
  </si>
  <si>
    <t>Установка прибора коммерческого учёта электрической энергии, для присоединения ВРУ-0,4кВ жилого дома Данченковой Н.А., расположенного по адресу: Ростовская область, Каменский район, х. Старая Станица, ул. Сосновая, д. 28, к.н. 61:15:0130101:618 (прибор учёта электроэнергии –  1 шт.)</t>
  </si>
  <si>
    <t>Строительство КВЛ 6 кВ от резервной ячейки 6 кВ №18 «Резерв -18» на ПС 110/35/6 кВ «Гундоровская», для технологического присоединения тепличного комплекса ООО "ПМТ», расположенного по адресу: Ростовская область, городской округ муниципальное образование «Город Донецк»  г. Донецк, ул. Чехова, 26,  к.н.з.у. 61:5:0020105:471 (ориентировочная протяженность ЛЭП 0,12 км, в том числе ГНБ 0,03 км, прибор учёта электроэнергии 2 МВт - 1шт)</t>
  </si>
  <si>
    <t>Установка прибора коммерческого учета электрической энергии (мощности) на границе земельного участка, подключенного от опоры №183-4 ВЛ-0,4 №1 от КТП-183 по ВЛ-10 313 ПС 35 кВ КГ3, для электроснабжения объекта офисного здания заявителя ИП Адиханян А.А., Ростовская обл., р-н. Кагальницкий, ст-ца. Кировская, ул. Кирова, д. 12Г (1 шт.)</t>
  </si>
  <si>
    <t>Строительство ВЛИ - 0,4 кВ от опор №135-45 ВЛ-0,4 кВ №1 от ТП-135 по ВЛ-10 805 ПС 110 БОС и установка коммерческого учета электрической энергии (мощности) для электроснабжения объекта торговли Заявителя ИП Андреянов В.В., Ростовская область, Кагальницкий р-н, п. Мокрый Батай, ул. 40 лет Победы д.13 (ориентировочная протяженность ЛЭП– 0,03 км</t>
  </si>
  <si>
    <t>Строительство ВЛ-10 кВ от оп. №188 по ВЛ-10кВ №801 ПС 35/10 кВ «ЗР-8», ТП-10/0,4 кВ, ВЛ-0,4 кВ и системы учета электрической энергии (мощности) на границе земельного участка для электроснабжения производственной базы заявителя Перетятько А.А., х. Клюев, 3,6 км на северо-запад от него, Зерноградский р-н, Ростовская область (ориентировочная протяженность ЛЭП– 0,08 км, ориентировочная трансформаторная мощность – 0,063 МВА)</t>
  </si>
  <si>
    <t>Строительство ЛЭП 10 кВ от опоры № 22 по ВЛ 10 кВ №1101 ПС 35/10 кВ А-11, ТП 10/0,4 кВ, ЛЭП 0,4 кВ и установка системы учета электрической энергии (мощности) на границе земельного участка для электроснабжения нежилой застройки заявителя ИП Потапенко Н.М., Ростовская область, Азовский район, с.Кагальник, ул.Тельмана (ориентировочная протяженность ЛЭП– 0,070 км, ориентировочная трансформаторная мощность – 0,250 МВА)</t>
  </si>
  <si>
    <t>Строительство ЛЭП 10 кВ от опоры № 109 по ВЛ 10 кВ №1001 ПС 110/35/10 кВ Самарская, ТП 10/0,4 кВ, ЛЭП 0,4 кВ и установка системы учета электрической энергии (мощности) на границе земельного участка для электроснабжения нежилого строения ИП Корнилова С.В., Ростовская область, Азовский район, х. Победа (ориентировочная протяженность ЛЭП– 0,06 км, ориентировочная трансформаторная мощность – 0,250 МВА)</t>
  </si>
  <si>
    <t>Установка прибора коммерческого учета электрической энергии (мощности) на границе земельного участка, подключенного от опоры № 51-26 ВЛ 0,4 №2 КТП-51 ВЛ-10 1006 ПС 110 кВ Полячки для технологического присоединения энергопринимающих устройств базовой станции Заявителя ПАО «Ростелеком», Ростовская область, Кагальницкий р-н, х. Родники, N46.57413 E40.13157 (1 шт.)</t>
  </si>
  <si>
    <t>Установка прибора коммерческого учета электрической энергии (мощности) на границе земельного участка, подключенного от опоры №128-103 ВЛ 0,4 №1 КТП-128 ВЛ-10 313 ПС 35 кВ КГ3 для технологического присоединения энергопринимающих устройств жилого дома Заявителя Квартины С.А., Ростовская область, Кагальницкий р-н, ст. Кировская, ул. Менделеева д.16 (1 шт.)</t>
  </si>
  <si>
    <t>Установка прибора коммерческого учета электрической энергии (мощности) на границе земельного участка, подключенного от опоры №130-78 ВЛ 0,4 №3 КТП-130 ВЛ-10 1813 ПС 35 кВ ЗР18 для технологического присоединения энергопринимающих устройств жилого дома Заявителя Сохакян А. Л., Ростовская обл., р-н. Зерноградский, г. Зерноград, ул. Российская,  д. 14 (1 шт.)</t>
  </si>
  <si>
    <t>Установка прибора коммерческого учета электрической энергии (мощности) на границе земельного участка, подключенного от опоры №13-22 ВЛ 0,4 №1 КТП-13 ВЛ-10 612 ПС 35 кВ КГ6 для технологического присоединения энергопринимающих устройств жилого дома Заявителя Бондаренко А.А., Ростовская область, Кагальницкий р-н, с. Новобатайск, ул. Ленина д.8А (1 шт.</t>
  </si>
  <si>
    <t>Установка прибора коммерческого учета электрической энергии (мощности) на границе земельного участка, подключенного от опоры №218-50 ВЛ 0,4 №2 КТП-218 ВЛ-10 605 ПС 35 кВ КГ6 для технологического присоединения энергопринимающих устройств ЛПХ Заявителя Сабуренко Н.Т., Ростовская область, Кагальницкий р-н, с. Новобатайск, пер. Братский д.2А (1 шт.)</t>
  </si>
  <si>
    <t>Установка прибора коммерческого учета электрической энергии (мощности) на границе земельного участка, подключенного от опоры №55-77 ВЛ 0,4 №2 КТП-55 ВЛ-10 1107 ПС 35 кВ ЗР11 для технологического присоединения энергопринимающих устройств ЛПХ Заявителя Васильевой Т.А., Ростовская область, Зерноградский р-н, с. Новоивановка, ул. Школьная д.43 (1 шт.)</t>
  </si>
  <si>
    <t>Установка прибора коммерческого учета электрической энергии (мощности) на границе земельного участка, подключенного от опоры №84-48 ВЛ 0,4 №2 КТП-84 ВЛ-10 415 ПС 35 кВ КГ4 для технологического присоединения энергопринимающих устройств жилого дома Заявителя Дудла Л.П., Ростовская область, Кагальницкий р-н, х. Черниговский, пер. Донской д.19 (1 шт.)</t>
  </si>
  <si>
    <t>Установка прибора коммерческого учета электрической энергии (мощности) на границе земельного участка, подключенного от опоры №96-142 ВЛ 0,4 №5 КТП-96 ВЛ-10 501 ПС 35 кВ ЗР5 для технологического присоединения энергопринимающих устройств жилого дома Заявителя Кишенко Т.Ф., Ростовская область, Зерноградский р-н, х. Гуляй-Борисовка, ул. Есенина д.7 (1 шт.)</t>
  </si>
  <si>
    <t>Установка прибора коммерческого учета электрической энергии (мощности) на границе земельного участка, подключенного от опоры №99-40 ВЛ 0,4 №2 КТП-99 ВЛ-10 114 ПС 220 кВ Зерновая для технологического присоединения энергопринимающих устройств ЛПХ Заявителя Михайлова-Крым А.А., Ростовская область, Зерноградский р-н, в 0,035км от восточной окраины г. Зерноград уч.40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</si>
  <si>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проектируемой ТП от оп. № 6-29 по ВЛ-10 1508 от ПС 110 кВ ЗР15 для технологического присоединения энергопринимающих устройств базовой станции Заявителя ПАО «Ростелеком», Ростовская область, Зерноградский р-н, п. Прудовой, N46.793383 E40.235364 (1 шт.)</t>
  </si>
  <si>
    <t>Установка прибора коммерческого учета электрической энергии (мощности) на трансформаторной подстанции, подключенного от РУ-0,4 от КТП-40 ВЛ-10 103 ПС 35 кВ Звонкая для технологического присоединения энергопринимающих устройств базовой станции Заявителя ПАО «Ростелеком», Ростовская область, Кагальницкий р-н, п. Березовая Роща, N47.0200 E39.58374 (1 шт.)</t>
  </si>
  <si>
    <t>Установка коммерческого учета электрической энергии (мощности) на границе земельного участка, подключенного от оп. №78-70 ВЛ-0,4 кВ №3 КТП 10/0,4 кВ №78 по ВЛ-10 кВ №613 ПС 35/10 кВ "А-6", для электроснабжения жилого дома заявителя Богатыревой Т.И., с. Новомаргаритово, Азовский р-он,  Ростовская область</t>
  </si>
  <si>
    <t>Установка прибора коммерческого учета электрической энергии (мощности) на границе земельного участка, подключенного от опоры №44-19 ВЛ-0,4 кВ №1 КТП 10/0,4кВ №44 ВЛ-10кВ №3125 ПС 110/35/10 кВ «А-31» для технологического присоединения энергопринимающих устройств жилого дома Заявителя Акушевич Е.Н., с. Пешково Азовский район, Ростовская область (1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</si>
  <si>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Генераловой О.А., Рыбка А.К., Рыбка А.К., Рыбка О.К., Гринченко А.П., Финенко С.А., Азовский р-он Ростовская область (6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</si>
  <si>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Кочетова С.Е., Прозорова С.В., Жарикова С.М., Ключникова Е.А., Азовский район Ростовская область (4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</si>
  <si>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Заявителя Министерство транспорта Ростовской области, Азовский район Ростовская область (3 шт.)</t>
  </si>
  <si>
    <t>Установка приборов коммерческого учета электрической энергии (мощности) на границе земельного участка, подключенного от опоры №192-9 ВЛ-0,4 кВ №2 КТП 10/0,4кВ №192 ВЛ-10кВ №1020 ПС 110/35/10 кВ «Самарская» для технологического присоединения энергопринимающих устройств жилого дома Заявителя Гаспарян Н.А., с. Самарское, Азовский район Ростовская область (1 шт.)</t>
  </si>
  <si>
    <t>Установка приборов коммерческого учета электрической энергии (мощности) на границе земельного участка, подключенного от опоры №32-47 ВЛ-0,4 кВ №2 КТП 10/0,4кВ №32 ВЛ-10кВ №2907 РП-29 ПС 35/10 кВ «А-18» для технологического присоединения энергопринимающих устройств жилого дома Заявителя Сазоновой В.И., х. Коса, Азовский район Ростовская область (1 шт.)</t>
  </si>
  <si>
    <t>Установка прибора коммерческого учета электрической энергии (мощности) для технологического присоединения жилого дома Заявителя Аксененко Е.П., Азовский район Ростовская область х. Казачий Ерик, ул. Степная, д. 18 А (1 шт.)</t>
  </si>
  <si>
    <t>Установка прибора коммерческого учета электрической энергии (мощности) на границе земельного участка, подключенного от опоры №б/н ВЛ-0,4кВ (бесхозная) КТП-6/0,4 кВ №101 по ВЛ-6кВ №10701 ПС 110/35/6 кВ «А-1» для технологического присоединения энергопринимающих устройств жилого дома Заявителя Дьяченко Т.В.., г. Азов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</si>
  <si>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№7-1 ВЛ-0,4 кВ №1 КТП 10/0,4кВ №7 ВЛ-10кВ №802 ПС 35/10 кВ «А-8» для технологического присоединения энергопринимающих устройств жилого дома Заявителя Золотухина С.С., х. Павло-Очаково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</si>
  <si>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№1-30 ВЛ-0,4 кВ №3 КТП 10/0,4кВ №1 ВЛ-10кВ №302Н ПС 110/35/6/10 кВ «НС-3» для технологического присоединения энергопринимающих устройств жилого дома Заявителя Симониной Е.Н., х. Еремеевка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</si>
  <si>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№188-79 ВЛ 0,4 кВ №1 КТП 10/0,4кВ №188 ВЛ 10кВ №307Н ПС 110/35/10 кВ НС-3 для технологического присоединения энергопринимающих устройств нежилой застройки Заявителя Коваленко Е.В., х. Еремеевка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</si>
  <si>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№214-53 ВЛ-0,4 кВ №3 КТП-10/0,4 кВ №214 по ВЛ-10 кВ №910 ПС 35/10 кВ «А-9» для технологического присоединения энергопринимающих устройств жилого дома Заявителя Куринной Г. А., Ростовская область. г. Азов, ДНТ «Звездное» (1 шт.)</t>
  </si>
  <si>
    <t>Установка прибора коммерческого учета электрической энергии (мощности) на границе земельного участка, подключенного от опоры №257-90 ВЛ 0,4кВ №3 КТП 6/0,4 кВ №257 ВЛ 6кВ №10701 ПС 110/35/6 кВ А-1 для технологического присоединения энергопринимающих устройств жилого дома Заявителя Лобачева С.А., г. Азов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</si>
  <si>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№27-2 ВЛ-0,4 кВ №1 КТП 10/0,4кВ №27 ВЛ-10кВ №1815 ПС 35/10 кВ «А-18» для технологического присоединения энергопринимающих устройств жилого дома Заявителя Балюнис Л.Е., х. Городище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</si>
  <si>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№32-10 ВЛ-0,4 кВ №1 КТП 10/0,4кВ №32 ВЛ-10кВ №2907 РП-29 ПС 35/10 кВ «А-18» для технологического присоединения энергопринимающих устройств жилого дома Заявителя Щепиной Н.С., х. Коса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</si>
  <si>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№34-34 ВЛ 0,4 кВ №1 КТП 10/0,4кВ №34 ВЛ 10кВ №2907 РП-29 ПС 35/10 кВ А-18 для технологического присоединения энергопринимающих устройств жилого дома Заявителя Ткачевой Н.Н., ст-ца. Елизаветинская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</si>
  <si>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№50-15 ВЛ 0,4 кВ №1 КТП 10/0,4кВ №50 ВЛ 10кВ №3017 ПС 220/110//10 кВ А-30 для технологического присоединения энергопринимающих устройств жилого дома Заявителя Вареновой К.В., с. Кугей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</si>
  <si>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№б/н ВЛ 0,4кВ КТП 10/0,4 кВ №279 (балансовая принадлежность ИП Усачев В.И. (п. Беловодье) по ВЛ 10кВ №1815 ПС 35/10 кВ А-18 для технологического присоединения энергопринимающих устройств жилого дома Заявителя Жилина А.Н., х. Обуховка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</si>
  <si>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№б/н ВЛ-0,4кВ КТП 10/0,4 кВ №279 (балансовая принадлежность ИП Усачев В.И. (п. Беловодье) по ВЛ 10кВ №1815 ПС 35/10 кВ А-18 для технологического присоединения энергопринимающих устройств жилого дома Заявителя Кравцова А.Г., х. Обуховка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</si>
  <si>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б/н ВЛ-0,4 кВ КТП 10/0,4кВ №336 (балансовая принадлежность ВЛ-0,4, КТП 10/0,4 кВ №336 Котиева Т.М.) ВЛ-10кВ №211 ПС 35/10 кВ «А-2» для технологического присоединения энергопринимающих устройств жилого дома Заявителя Кило А.Г., х. Новоалександровка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</si>
  <si>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№105-18 ВЛ 0,4 кВ №1 КТП 10/0,4кВ №105 ВЛ 10кВ №1913 РП-19 ПС 110/35/10 кВ Самарская для технологического присоединения энергопринимающих устройств жилого дома Заявителя Игнатовой Р.М., х. Степнянский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</si>
  <si>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№111-76 ВЛ 0,4 кВ №3 КТП 10/0,4кВ №111 ВЛ 10кВ №3113 ПС 110/35/10 кВ А-31 для технологического присоединения энергопринимающих устройств жилого дома Заявителя Воробьева К.В., с. Пешково, ул. Вишневая, д. 106 Б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</si>
  <si>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№111-76 ВЛ 0,4 кВ №3 КТП 10/0,4кВ №111 ВЛ 10кВ №3113 ПС 110/35/10 кВ А-31 для технологического присоединения энергопринимающих устройств жилого дома Заявителя Воробьева К.В., с. Пешково, ул. Вишневая, д. 106 В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</si>
  <si>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№148-33/1 ВЛ 0,4 кВ №2 КТП 10/0,4кВ №148 ВЛ 10кВ №1019 ПС 110/35/10 кВ Самарская для технологического присоединения энергопринимающих устройств жилого дома Заявителя Гончаровой Т.С., х. Победа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</si>
  <si>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№182-11 ВЛ 0,4 кВ №1 КТП 10/0,4кВ №182 ВЛ 10кВ №3127 ПС 110/35/10 кВ А-31 для технологического присоединения энергопринимающих устройств жилого дома Заявителя Лепило Н.В., с. Круглое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</si>
  <si>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№18-80 ВЛ-0,4 кВ №3 КТП 10/0,4 кВ №18 по ВЛ 10 кВ №3113 ПС 110/35/10 кВ А-31 для технологического присоединения энергопринимающих устройств жилого дома Заявителя Байтякова П.Д.,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</si>
  <si>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№18-83 ВЛ 0,4 кВ №3 КТП 10/0,4кВ №18 ВЛ 10кВ №3113 ПС 110/35/10 кВ А-31 для технологического присоединения энергопринимающих устройств жилого дома Заявителя Хамайко А.В.,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</si>
  <si>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№201-60 ВЛ 0,4 кВ №2 КТП 10/0,4кВ №201 ВЛ 10кВ №1019 ПС 110/35/10 кВ Самарская для технологического присоединения энергопринимающих устройств жилого дома Заявителя Ивановой Е.Ю., х. Победа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</si>
  <si>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№311-1/1 ВЛ 0,4 кВ №3 КТП 10/0,4кВ №311 ВЛ 10кВ №106Н ПС 110/6/10 кВ НС-1 для технологического присоединения энергопринимающих устройств жилого дома Заявителя Хуршидова Х.Б., СХА "Кулешовское" поле III 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</si>
  <si>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№315-20 ВЛ 0,4 кВ №1 КТП 10/0,4кВ №315 ВЛ 10кВ №2608 ПС 110/10 кВ А-26 для технологического присоединения энергопринимающих устройств жилого дома Заявителя Эммануэль Марк Эно,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</si>
  <si>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№35-40 ВЛ 0,4 кВ №1 КТП 10/0,4кВ №35 ВЛ 10кВ №1904 РП-19 ПС 110/35/10 кВ Самарская для технологического присоединения энергопринимающих устройств жилого дома Заявителя Саргсян А.А., с. Новотроицкое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</si>
  <si>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№58-11 ВЛ 0,4 кВ №1 КТП 10/0,4кВ №58 ВЛ 10кВ №2412 ПС 35/10 кВ А-24 для технологического присоединения энергопринимающих устройств жилого дома Заявителя Баздикян Я. А., х. Дугино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</si>
  <si>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№6-2 ВЛ 0,4 кВ №1 КТП 10/0,4кВ №6 ВЛ 10кВ №3113 ПС 110/35/10 кВ А-31 для технологического присоединения энергопринимающих устройств нежилого здания Заявителя ИП Никитенко А.А.,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</si>
  <si>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№69-80 ВЛ 0,4 кВ №2 КТП 10/0,4кВ №69 ВЛ 10кВ №307Н ПС 110/35/6/10 кВ НС-3 для технологического присоединения энергопринимающих устройств жилого дома Заявителя Биналиевой Ф.И., с. Васильево-Петровское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</si>
  <si>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№71-103 ВЛ 0,4 кВ №2 КТП 10/0,4кВ №71 ВЛ 10кВ №105Н ПС 110/6/10 кВ НС-1 для технологического присоединения энергопринимающих устройств гаража Заявителя Барабанова О.В., х. Усть-Койсуг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</si>
  <si>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№93-14 ВЛ 0,4 кВ №1 КТП 10/0,4кВ №93 ВЛ 10кВ №202Н ПС 110/6/10 кВ НС-2 для технологического присоединения энергопринимающих устройств жилого дома Заявителя Казарян Т.А.,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</si>
  <si>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№418-44 ВЛ 0,4 кВ №2 КТП-418 ВЛ-10кВ №612 ПС 35 кВ Е-6 для технологического присоединения энергопринимающих устройств жилого дома Заявителя Вартанян М.С., х.Шаумяновский Егорлыкский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</si>
  <si>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подключенногона оп. № 172-57 ВЛ-0,4 № 2 КТП-172 ВЛ-10  904  ПС 110 кВ Балко-Грузская., для электроснабжения жилого дома заявителя Слепухина А.Ф., х. Балко-Грузский, ул. Заречная,  д. 143, Егорлыкский р-он Ростовская область (1шт)</t>
  </si>
  <si>
    <t>Строительство участка ВЛИ 0,4кВ от опоры № 135-155 ВЛ-0,4 №4 от КТП-135 по ВЛ-10 805 ПС 110 кВ БОС и системы учета электрической энергии (мощности) на границе земельного участка для электроснабжения ЛПХ заявителя Тохиян А.С., Ростовская область, Кагальницкий р-н, п. Мокрый Батай, ул. Юбилейная д.43 (ориентировочная протяженность ЛЭП – 0,1 км)</t>
  </si>
  <si>
    <t>Установка коммерческого учета электрической энергии (мощности) на границе земельного участка, подключенного от оп. № 42-91 ВЛ-0,4 кВ №1 КТП-10/0,4 кВ №91 по ВЛ-10 кВ №415 ПС 35/10 кВ «КГ-4», для электроснабжения ЛПХ заявителя Степаненко И.Н., х. Лугань, Кагальницкий р-он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</si>
  <si>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№29-49 ВЛ 0,4 №2 КТП-29 ВЛ-10 605 ПС 35 кВ КГ6 для технологического присоединения энергопринимающих устройств ЛПХ Заявителя Мегеры К.Л., Ростовская область, Кагальницкий р-н, с. Новобатайск, ул. Илларионова д.50Б (1 шт.)</t>
  </si>
  <si>
    <t>Установка прибора коммерческого учета электрической энергии (мощности) на границе земельного участка, подключенного от опоры №31-7 ВЛ 0,4 №1 КТП-31 ВЛ-10 313 ПС 35 кВ КГ3 для технологического присоединения энергопринимающих устройств ЛПХ Заявителя Парапоновой Е.А., Ростовская область, Кагальницкий р-н, ст. Кировская, ул. Московская д.75 (1 шт.)</t>
  </si>
  <si>
    <t>Установка прибора коммерческого учета электрической энергии (мощности) на границе земельного участка, подключенного от опоры №3-94 ВЛ 0,4 №2 КТП-3 ВЛ-10 114 ПС 220 кВ Зерновая для технологического присоединения энергопринимающих устройств нежилого помещения Заявителя Хачатурян К.Г., Ростовская область, Зерноградский р-н, п. Кленовый, ул. Кошевого д.4-К (1 шт)</t>
  </si>
  <si>
    <t>Установка прибора коммерческого учета электрической энергии (мощности) на границе земельного участка, подключенного от опоры №72-19 ВЛ 0,4 №1 КТП-72 ВЛ-10 801 ПС 35 кВ ЗР8 для технологического присоединения энергопринимающих устройств жилого дома Заявителя Шепель А.Н. , Ростовская область, Зерноградский р-н, х. Цветной, ул. Солнечная д.31 б (1 шт.)</t>
  </si>
  <si>
    <t>Строительство системы учета для технологического присоединения энергопринимающих устройств Заявителей: Корниенко Д.В., Стрельцова В.В., Азовский р-он, Ростовская область</t>
  </si>
  <si>
    <t>Строительство участка ВЛИ 0,4кВ от опоры № 104-15 ВЛ 0,4 кВ №2 КТП 10/0,4 кВ №104 ВЛ 10кВ №3113 ПС 110/35/10 кВ А-31 и системы учета электрической энергии (мощности) на границе земельного участка для электроснабжения жилого дома заявителя Чертова А.П., с. Пешково, Азовский район, Ростовская область (ориентировочная протяженность ЛЭП – 0,170 км)</t>
  </si>
  <si>
    <t>Установка прибора коммерческого учета электрической энергии (мощности) на границе земельного участка, подключенного от опоры №311-17 ВЛ-0,4 кВ №3 КТП-10/0,4 кВ №311 по ВЛ-10 кВ №106Н ПС 110/6/10 кВ «НС-1» для технологического присоединения энергопринимающих устройств жилого дома Заявителя Согомонян С.Г., Кулешовское сельское поселение, ТСН «СНТ Белгорос» Азовский район, Ростовская область (1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</si>
  <si>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Безсонова Д.С., Ким Р.Н., Скокова В.В., Азовский район Ростовская область (3 шт.)</t>
  </si>
  <si>
    <t>Установка прибора коммерческого учета электрической энергии (мощности) на границе земельного участка, подключенного от опоры №108-21 ВЛ-0,4 кВ №1 КТП 10/0,4кВ №108 ВЛ-10кВ №1908 РП-19 ПС 110/35/10 кВ «Самарская» для технологического присоединения энергопринимающих устройств жилого дома Заявителя Бабоян Л.В., х. Большевик Азовский район, Ростовская область (1 шт.)</t>
  </si>
  <si>
    <t>Строительство участка ВЛИ 0,4кВ от опоры №160-18 ВЛ-0,4 кВ №1 КТП 10/0,4 кВ №160 ВЛ-10кВ №1904 РП-19 ПС 110/35/10 кВ «Самарская» и системы учета электрической энергии (мощности) на границе земельного участка для электроснабжения здания заявителя Ткачевой Е.А., с. Новотроицкое, Азовский район, Ростовская область (ориентировочная протяженность ЛЭП – 0,100 км)</t>
  </si>
  <si>
    <t>Строительство участка ВЛИ 0,4кВ от опоры №42-71 ВЛ-0,4 кВ №2 КТП 10/0,4 кВ №42 ВЛ-10кВ №1802 ПС 35/10 кВ «А-18» и системы учета электрической энергии (мощности) на границе земельного участка для электроснабжения жилого дома заявителя Касич М.М., х. Рогожкино, Азовский район, Ростовская область (ориентировочная протяженность ЛЭП – 0,04 км)</t>
  </si>
  <si>
    <t>Установка прибора коммерческого учета электрической энергии (мощности) на границе земельного участка, подключенного от опоры №144-45 ВЛ 0,4 кВ №2 КТП 10/0,4кВ №144 ВЛ 10кВ №1107 ПС 35/10 кВ А-11 для технологического присоединения энергопринимающих устройств жилого дома Заявителя Колтаковой О.М., с. Кагальник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</si>
  <si>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 №342-6 ВЛ-0,4 кВ №1 КТП-10/0,4 кВ №342 по ВЛ-10 кВ №107Н ПС 110/6/10 кВ «НС-1» для технологического присоединения энергопринимающих устройств жилого дома Заявителя Мищенко Н.В., ДНТ "Задонье", Азовский район Ростовская область (1 шт.)</t>
  </si>
  <si>
    <t>Строительство участка ВЛИ 0,4кВ от опоры №98-42 ВЛ 0,4 кВ №2 КТП 10/0,4 кВ №98 ВЛ 10 кВ 3127 ПС 110/35/10 кВ А-31 и системы учета электрической энергии (мощности) на границе земельного участка для электроснабжения жилого дома заявителя Курленко О.И., с. Займо-Обрыв, Азовский район, Ростовская область (ориентировочная протяженность ЛЭП – 0,050 км)</t>
  </si>
  <si>
    <t>Установка прибора коммерческого учета электрической энергии (мощности) на границе земельного участка, подключенного от опоры №144-49 ВЛ-0,4 кВ №2 КТП-10/0,4 кВ №144 по ВЛ-10 кВ № 1107 ПС 35/10 кВ «А-11» для технологического присоединения энергопринимающих устройств жилого дома Заявителя Смешко М.Н., с. Кагальник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</si>
  <si>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№174-20 ВЛ 0,4 кВ №2 КТП 10/0,4кВ №174 ВЛ 10кВ №902 ПС 35/10 кВ А-9 для технологического присоединения энергопринимающих устройств жилого дома Заявителя Медовой И.А., х. Павловка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</si>
  <si>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№182-20 ВЛ-0,4 кВ №1 КТП-10/0,4 кВ №182 по ВЛ-10 кВ №3127 ПС 110/35/10 кВ «А-31» для технологического присоединения энергопринимающих устройств жилого дома Заявителя Рыбалко Е.К., с. Круглое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</si>
  <si>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№228-8 ВЛ 0,4 кВ №1 КТП 10/0,4кВ №228 ВЛ 10кВ №106Н ПС 110/6/10 кВ НС-1 для технологического присоединения энергопринимающих устройств жилого дома Заявителя Тищенко С.В., п. Овощной, Азовский район Ростовская область (1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</si>
  <si>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Министерство транспорта РО, Шевченко А.А., Старовойтова А.М., Азовский район Ростовская область (3 шт.)</t>
  </si>
  <si>
    <t>Установка приборов коммерческого учета электрической энергии (мощности) на границе земельного участка, подключенного от оп. №99-6 ВЛ-0,4 кВ №1 КТП-10/0,4 кВ №99 по ВЛ-10 кВ №106Н ПС 110/6/10 кВ «НС-1» для технологического присоединения энергопринимающих устройств жилого дома Заявителя Шадрина В.А., Азовский район Ростовская область (1 шт.)</t>
  </si>
  <si>
    <t>Строительство ЛЭП 10 кВ от опоры №1-137 по ВЛ 10 кВ №1701 ПС 35/10 кВ А-17, ТП 10/0,4 кВ, ЛЭП 0,4 кВ и установка системы учета электрической энергии (мощности) на границе земельного участка для электроснабжения объектов заявителя ИП Мироненко С.А., Ростовская область, Азовский район, с. Круглое (ориентировочная протяженность ЛЭП– 0,09 км, ориентировочная трансформаторная мощность – 0,250 МВА)</t>
  </si>
  <si>
    <t>Установка прибора коммерческого учета электрической энергии (мощности) на границе земельного участка, подключенного от опоры №14-33 ВЛ 0,4 кВ №2 КТП 10/0,4кВ №14 ВЛ 10кВ №3125 ПС 110/35/10 кВ А-31 для технологического присоединения энергопринимающих устройств жилого дома Заявителя Якобишина М.Ю., с. Головатовка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</si>
  <si>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№165-8 ВЛ 0,4 кВ №1 КТП 10/0,4кВ №165 ВЛ 10кВ №1107 ПС 35/10 кВ А-11 для технологического присоединения энергопринимающих устройств жилого дома Заявителя Жигулина Э.С., х. Узяк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</si>
  <si>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№21-55 ВЛ 0,4 кВ №2 КТП 10/0,4кВ №21 ВЛ 10кВ №1411 РП-14 ПС 110/35/10 кВ А-32 для технологического присоединения энергопринимающих устройств объектов наружного освещения Заявителя Министерство транспорта Ростовской области, с. Александровка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</si>
  <si>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№217-33 ВЛ 0,4 кВ №2 КТП 10/0,4кВ №217 ВЛ 10кВ №1107 ПС 35/10 кВ А-11 для технологического присоединения энергопринимающих устройств жилого дома Заявителя Царевой Н.Н., с. Кагальник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</si>
  <si>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№311-1/6 ВЛ 0,4 кВ №3 КТП 10/0,4кВ №311 ВЛ 10кВ №106Н ПС 110/6/10 кВ НС-1 для технологического присоединения энергопринимающих устройств жилого дома Заявителя Короченской Т.А., СХА "Кулешовское" поле III 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</si>
  <si>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№14-72/1 ВЛ 0,4 кВ №3 КТП 10/0,4кВ №14 ВЛ 10кВ №106Н ПС 110/6/10 кВ НС-1 для технологического присоединения энергопринимающих устройств жилого дома Заявителя Дорошенко Е.И., п. 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</si>
  <si>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№239-138 ВЛ 0,4 кВ №3 КТП 10/0,4кВ №239 ВЛ 10кВ №106Н ПС 110/6/10 кВ НС-1 для технологического присоединения энергопринимающих устройств жилого дома Заявителя Кулаковой О.А., п. 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</si>
  <si>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№240-145 ВЛ 0,4 кВ №3 КТП 10/0,4кВ №240 ВЛ 10кВ №106Н ПС 110/6/10 кВ НС-1 для технологического присоединения энергопринимающих устройств жилого дома Заявителя Заблоцкого В.А., п. 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</si>
  <si>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б/н ВЛ 0,4 кВ КТП 10/0,4кВ №148П (балансовая принадлежность Шацкого Ю.В.)  ВЛ 10кВ №106Н ПС 110/6/10 кВ НС-1 для технологического присоединения энергопринимающих устройств жилого дома Заявителя Бежковой Н.В., п. Овощной Азовский район, Ростовская область (1 шт.)</t>
  </si>
  <si>
    <t>Установка прибора коммерческого учета электрической энергии (мощности), подключенного на оп. №335-31 ВЛ-0,4 № 2 КТП-335 ВЛ-10 217 ПС 110 кВ Егорлыкская, для электроснабжения базовой станции заявителя ПАО «Ростелеком», х. Ютин, № 46.631842  40.633208, Егорлыкский р-он, Ростовская область (1шт)</t>
  </si>
  <si>
    <t>Установка прибора коммерческого учета электрической энергии (мощности), подключенного на оп. №39-2 ВЛ-0,4 № 1 КТП-39 ВЛ-10 203 ПС 110 кВ Егорлыкская, для электроснабжения базовой станции заявителя ПАО «Ростелеком», х. Заря, Егорлыкский р-он, Ростовская область (1шт)</t>
  </si>
  <si>
    <t>Установка прибора коммерческого учета электрической энергии (мощности) на границе земельного участка, подключенного от опоры №212-7 ВЛ 0,4 кВ №1 КТП-212 ВЛ-10кВ №612 ПС 35 кВ Е-6 для технологического присоединения энергопринимающих устройств жилой летней кухни Заявителя Авакян А.А., х. Шаумяновский, Егорлыкский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</si>
  <si>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 211-100 ВЛ-0,4 № 3 КТП-211 ВЛ-10 612   ПС 35кВ Е-6 для технологического присоединения энергопринимающих устройств жилого дома Заявителя Аванесян А.Г., х.Шаумяновский Егорлыкский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</si>
  <si>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 103-7 ВЛ-0,4 № 1 КТП-103 ВЛ-10 702 ПС 35 кВ Е-7 для технологического присоединения энергопринимающих устройств нежилого здания (склад) Заявителя ИП Воробьевой М.В., х.Таганрогский, Егорлыкский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</si>
  <si>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 167-6 ВЛ-0,4 № 1 КТП-167 ВЛ-10 908 ПС 110 кВ Балко-Грузская для технологического присоединения энергопринимающих устройств нежилого здания (склад) Заявителя ИП Димитренко Г.Р., х.Мирный, Егорлыкский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</si>
  <si>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 292-1 ВЛ-0,4 № 1 КТП-292 ВЛ-10 908 ПС 110 кВ Балко-Грузская для технологического присоединения энергопринимающих устройств магазина Заявителя ИП Иванченко И.В., х.Мирный, Егорлыкский район, Ростовская область (1 шт.)</t>
  </si>
  <si>
    <t>Строительство участка ВЛИ 0,4кВ от опоры № 55-9 ВЛ-0,4 №2 от КТП-55 по ВЛ-10 1209 ПС 110 кВ Манычская и системы учета электрической энергии (мощности) на границе земельного участка для электроснабжения ангара заявителя главы крестьянского (фермерского) хозяйства Юнкиной И.В., Ростовская область, Зерноградский р-н, п. Междупольный, в 3,322км на северо-запад от северо-западной его окраины (ориентировочная протяженность ЛЭП – 0,15 км)</t>
  </si>
  <si>
    <t>Строительство участка ВЛИ 0,4кВ от опоры № 85-34 ВЛ-0,4 №2 от КТП-85 по ВЛ-10 119 ПС 220 кВ Зерновая и системы учета электрической энергии (мощности) на границе земельного участка для электроснабжения ЛПХ заявителя Горстка В.Н., Ростовская область, Зерноградский р-н, п. Дубки, ул. Коптева д.7 (ориентировочная протяженность ЛЭП – 0,05 км)</t>
  </si>
  <si>
    <t>Строительство участка ВЛИ 0,4кВ от опоры №134-2 ВЛ-0,4 №1 от КТП-134 по ВЛ-10 101 ПС 220 кВ Зерновая и системы учета электрической энергии (мощности) на границе земельного участка для электроснабжения жилого дома заявителя Бардачевой В.И., Ростовская область г. Зерноград ул. Аксайская д.10 (ориентировочная протяженность ЛЭП – 0,04 км)</t>
  </si>
  <si>
    <t>Строительство участка ВЛИ-0,4кВ от опоры №132-66 ВЛ-0,4 кВ №1 КТП-132 по ВЛ-10 кВ № 506 ПС 35/10 кВ Е-5 и установка системы учета электрической энергии (мощности) на границе земельного участка для электроснабжения жилого дома заявителя Мурадова К.С., х.Объединенный, Егорлыкский р-он, Ростовская область (ориентировочная протяженность ЛЭП – 0,030 км)</t>
  </si>
  <si>
    <t>Строительство участка ВЛИ 0,4кВ от оп.67-14 ВЛ-0,4 №1 от КТП-67 по ВЛ-10 1319 ПС 35 кВ ЗР13 и системы учета электрической энергии (мощности) на границе земельного участка для электроснабжения жилого дома заявителя Погорелова М.Н., Ростовская область, Зерноградский р-н, х. Лесхоз, ул. Лесная д.12 (ориентировочная протяженность ВЛИ-0,4  – 0,21 км)</t>
  </si>
  <si>
    <t>Установка прибора коммерческого учета электрической энергии (мощности) на границе земельного участка, подключенного от опоры №4-70 ВЛ 0,4 №2 КТП-4 ВЛ-10 305 ПС 35 кВ КГ3 для технологического присоединения энергопринимающих устройств ЛПХ Заявителя Адиханян А.А., Ростовская область, Кагальницкий р-н, ст. Кировская, ул. Садовая д.61 (1 шт.)</t>
  </si>
  <si>
    <t>Установка прибора коммерческого учета электрической энергии (мощности) на границе земельного участка, подключенного от опоры №29-54 ВЛ 0,4 №4 КТП-29 ВЛ-10 605 ПС 35 кВ КГ6 для технологического присоединения энергопринимающих устройств ЛПХ Заявителя Грибенюк Н.И., Ростовская область, Кагальницкий р-н, с. Новобатайск, ул. Илларионова д.58 (1 шт.)</t>
  </si>
  <si>
    <t>Установка прибора коммерческого учета электрической энергии (мощности) на границе земельного участка, подключенного от опоры №29-36 ВЛ 0,4 №2 КТП-29 ВЛ-10 605 ПС 35 кВ КГ6 для технологического присоединения энергопринимающих устройств жилого дома Заявителя Дрозд С.И., к.н: 61:14:0040123:5 ,Ростовская область, Кагальницкий р-н, с. Новобатайск (1 шт)</t>
  </si>
  <si>
    <t>Установка прибора коммерческого учета электрической энергии (мощности) на границе земельного участка, подключенного от опоры №72-33 ВЛ 0,4 №1 КТП-72 ВЛ-10 413 ПС 35 кВ КГ4 для технологического присоединения энергопринимающих устройств ЛПХ Заявителя Жолоб Н.В., Ростовская область, Кагальницкий р-н, х. Федоровка, ул. Луговая д.11 (1 шт.)</t>
  </si>
  <si>
    <t>Установка прибора коммерческого учета электрической энергии (мощности) на границе земельного участка, подключенного от опоры №202-5 ВЛ 0,4 №1 КТП-202 ВЛ-10 319 ПС 35 кВ КГ3 для технологического присоединения энергопринимающих устройств ЛПХ Заявителя Козубов В.И., Ростовская область, Кагальницкий р-н, п. Мокрый Батай, ул. Солнечная д.61 (1 шт.)</t>
  </si>
  <si>
    <t>Установка прибора коммерческого учета электрической энергии (мощности) на границе земельного участка, подключенного от опоры №208-43 ВЛ 0,4 №3 КТП-208 ВЛ-10 612 ПС 35 кВ КГ6 для технологического присоединения энергопринимающих устройств ЛПХ Заявителя Рыбасов Р.С., Ростовская область, Кагальницкий р-н, с. Новобатайск, ул. Садовая д.25А (1 шт.)</t>
  </si>
  <si>
    <t>Установка прибора коммерческого учета электрической энергии (мощности) на границе земельного участка, подключенного от опоры №117-3 ВЛ 0,4 №1 КТП-117 ВЛ-10 805 ПС 110 кВ БОС для технологического присоединения энергопринимающих устройств ЛПХ Заявителя Шелестенко О.Г., к.н: 61:14:0060106:12, Ростовская область, Кагальницкий р-н, п. Мокрый Батай (1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</si>
  <si>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Копиной Н.М., Старцевой А.С., Погорелова Д.В., Азовский р-он Ростовская область (3 шт.)</t>
  </si>
  <si>
    <t>Строительство участка ВЛИ 0,4кВ от опоры № 56-1 ВЛ 0,4 кВ №1 КТП 10/0,4 кВ №56 ВЛ 10кВ №3127 ПС 110/35/10 кВ «А-31» и системы учета электрической энергии (мощности) на границе земельного участка для электроснабжения жилого дома заявителя Кваша Е.А., х. Береговой, Азовский район, Ростовская область (ориентировочная протяженность ЛЭП – 0,05 км)</t>
  </si>
  <si>
    <t>Строительство участка ВЛИ 0,4кВ от опоры № 10-7 ВЛ-0,4 кВ №1 КТП 10/0,4 кВ №10 ВЛ-10кВ №3202 ПС 110/35/10 кВ «А-32» и системы учета электрической энергии (мощности) на границе земельного участка для электроснабжения жилого дома заявителя Курина М.П., с.Александровка, Азовский район, Ростовская область (ориентировочная протяженность ЛЭП – 0,035 км)</t>
  </si>
  <si>
    <t>Строительство ВЛ 10 кВ от опоры № 6 по ВЛ 10 кВ №1010 РП-10 ПС 220/110/10 кВ А-20, ТП 10/0,4 кВ, ВЛИ 0,4 кВ и установка системы учета электрической энергии (мощности) на границе земельного участка для электроснабжения объекта наружного освещения ул. Дружбы заявителя Министерство транспорта Ростовской области, г. Азов, Ростовская область (ориентировочная протяженность ЛЭП– 0,065 км, ориентировочная трансформаторная мощность – 0,025 МВА)</t>
  </si>
  <si>
    <t>Установка прибора коммерческого учета электрической энергии (мощности) на границе земельного участка, подключенного от опоры №113-2 ВЛ-0,4 кВ №1 КТП 10/0,4кВ №113 ВЛ-10кВ №3113 ПС 110/35/10 кВ «А-31» для технологического присоединения энергопринимающих устройств жилого дома Заявителя Дудник Н.Ф., с. Пешково Азовский район, Ростовская область (1 шт.</t>
  </si>
  <si>
    <t>Строительство участка ВЛИ 0,4кВ от опоры № 181-22 ВЛ-0,4 кВ №1 КТП 10/0,4 кВ №181 ВЛ-10кВ №3113 ПС 110/35/10 кВ «А-31» и системы учета электрической энергии (мощности) на границе земельного участка для электроснабжения жилого дома заявителя Лопатина А.В., с. Пешково, Азовский район, Ростовская область (ориентировочная протяженность ЛЭП – 0,03 км)</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</si>
  <si>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Тарабанова П.В., Евдокимова О.Г., Карпинской Э.В., Азовский район Ростовская область (3 шт.)</t>
  </si>
  <si>
    <t>Установка прибора коммерческого учета электрической энергии (мощности) на границе земельного участка, подключенного от опоры №14-144 ВЛ 0,4 кВ №4 КТП 10/0,4кВ №14 ВЛ 10кВ №106Н ПС 110/6/10 кВ НС-1 для технологического присоединения энергопринимающих устройств жилого дома Заявителя Алешиной Е.В., п. 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</si>
  <si>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№31-166 ВЛ 0,4 кВ №2 КТП 10/0,4кВ №31 ВЛ 10кВ №2907 РП-29 ПС 35/10 кВ А-18 для технологического присоединения энергопринимающих устройств жилого дома Заявителя Рукина А.В., ст-ца. Елизаветинская Азовский район, Ростовская область (1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</si>
  <si>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Саламатина А.А., Куницыной И.А., Азовский район Ростовская область (2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</si>
  <si>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Подушко С.Е., Ярмаркиной И.А., Азовский район Ростовская область (2 шт.)</t>
  </si>
  <si>
    <t>Установка прибора коммерческого учета электрической энергии (мощности) на границе земельного участка, подключенного от опоры №56-29 ВЛ-0,4 кВ №1 КТП 10/0,4кВ №56 ВЛ-10кВ №3127 ПС 110/35/10 кВ «А-31» для технологического присоединения энергопринимающих устройств жилого дома Заявителя Чесноковой И.В., х. Береговой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</si>
  <si>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№115-6 ВЛ 0,4 кВ №1 КТП 10/0,4кВ №115 ВЛ-10кВ №3125 ПС 110/35/10 кВ «А-31» для технологического присоединения энергопринимающих устройств жилого дома Заявителя Мазепа А.М.,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</si>
  <si>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№358-15 ВЛ 0,4 кВ №2 КТП 10/0,4кВ №358 ВЛ 10кВ №202Н ПС 110/6/10 кВ НС-2 для технологического присоединения энергопринимающих устройств жилого дома Заявителя Джелауховой С.А., ЗАО «Обильное», поля 86-88, 1 км от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</si>
  <si>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№381-41 ВЛ-0,4кВ №1 КТП 10/0,4 кВ №381 ВЛ-10кВ №106Н ПС 110/6/10 кВ НС-1 для технологического присоединения энергопринимающих устройств жилого дома Заявителя Чукариной Г.И., тер. ДНТ СН «Кулешовка-2», Азовский район, Ростовская область (1 шт.)</t>
  </si>
  <si>
    <t>Строительство участка ВЛИ 0,4кВ от опоры №10-18 ВЛ-0,4 кВ №1 КТП 10/0,4 кВ №10 ВЛ-10 кВ 3125 ПС 110/35/10 кВ А-31 и системы учета электрической энергии (мощности) на границе земельного участка для электроснабжения жилого дома заявителя Григорьевой О.И., с. Пешково, Азовский район, Ростовская область (ориентировочная протяженность ЛЭП – 0,080 км)</t>
  </si>
  <si>
    <t>Строительство участка ВЛИ 0,4кВ от опоры №334-22 ВЛ-0,4 кВ №1 КТП 10/0,4 кВ №334 ВЛ-10 кВ №202Н ПС 110/6/10 кВ НС-2 и системы учета электрической энергии (мощности) на границе земельного участка для электроснабжения жилого дома заявителя Кисловой Л.Ф., ЗАО Обильное, поля 86-88, 1 км от с. Кулешовка, Азовский район, Ростовская область (ориентировочная протяженность ЛЭП – 0,03 км)</t>
  </si>
  <si>
    <t>Строительство участка ВЛИ 0,4кВ от опоры №311-16 ВЛ-0,4 кВ №2 МТП 10/0,4 кВ №311 ВЛ-10 кВ №106Н ПС 110/6/10 кВ НС-1 и системы учета электрической энергии (мощности) на границе земельного участка для электроснабжения строительной площадки заявителя Наконечной А.Е., СХА «Кулешовское» поле III о, Азовский район, Ростовская область (ориентировочная протяженность ЛЭП – 0,03 км)</t>
  </si>
  <si>
    <t>Строительство участка ВЛИ 0,4кВ от опоры №51-46 ВЛ 0,4 кВ №1 КТП 10/0,4 кВ №51 ВЛ 10 кВ №211 ПС 35/10 кВ А-2 и системы учета электрической энергии (мощности) на границе земельного участка для электроснабжения жилого дома заявителя Алексеева Р.Ю., х.Новоалександровка, Азовский район, Ростовская область (ориентировочная протяженность ЛЭП – 0,05 км)</t>
  </si>
  <si>
    <t>Строительство участка ВЛИ 0,4кВ от опоры №329-46 ВЛ 0,4 кВ №2 ТП 10/0,4 кВ №329 ВЛ 10 кВ №106Н ПС 110/6/10 кВ НС-1 и системы учета электрической энергии (мощности) на границе земельного участка для электроснабжения жилого дома заявителя Терешковой Е.В., ТСН «Белгорос», Азовский район, Ростовская область (ориентировочная протяженность ЛЭП – 0,030 км)</t>
  </si>
  <si>
    <t>Установка прибора коммерческого учета электрической энергии (мощности) на границе земельного участка, подключенного от опоры №31-12 ВЛ 0,4 кВ №1 КТП 10/0,4кВ №31 ВЛ 10кВ №2907 РП-29 ПС 35/10 кВ А-18 для технологического присоединения энергопринимающих устройств жилого дома Заявителя Токаревой Е.И., ст-ца. Елизаветинская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</si>
  <si>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№23-4 ВЛ-0,4 кВ № 1 ТП-10/0,4 кВ №23 ВЛ-10 кВ №1507 от ПС 110/10 кВ «ЗР-15», для электроснабжения склада заявителя Белого В.И., Ростовская область, Зерноградский р-н, г. Зерноград, ул. им. Самохвалова д.23х ( 1 шт.)</t>
  </si>
  <si>
    <t>Строительство участка ВЛИ 0,4кВ от РУ-0,4 от КТП-25 по ВЛ-10 1009 ПС 110 кВ ЗР10 и системы учета электрической энергии (мощности) на границе земельного участка для электроснабжения скважины заявителя Администрация Зерноградского городского поселения, Ростовская область, Зерноградский р-н, г. Зерноград, ул. Строителей в 0,4км на запад от дома 40 (ориентировочная протяженность ВЛИ-0,4  – 0,09 км)</t>
  </si>
  <si>
    <t>Строительство ВЛИ- 0,4 кВ от РУ-0,4 кВ КТП-159 по ВЛ-10 1508  ПС 110 кВ ЗР15, совместным подвесом с ВЛ-10 1508 ПС 110 кВ ЗР-15 и системы учета электрической энергии (мощности) на границе земельного участка для электроснабжения скважины заявителя Администрация Зерноградского городского поселения, Ростовская область, Зерноградский, п. Прудовой, в 0,47км на север от северо-западной его окраины, кадастровый номер земельного участка: 61:12:0601401:504. (ориентировочная протяженность ВЛИ-0,4 кВ – 0,18 км)</t>
  </si>
  <si>
    <t>Строительство участка ВЛИ 0,4кВ от оп. №97-1 ВЛ-0,4 №1 от КТП-97 по ВЛ-10 805 ПС 110 кВ БОС и системы учета электрической энергии (мощности) на границе земельного участка для электроснабжения станции технического обслуживания заявителя Тан С.С., Ростовская область, Кагальницкий р-н, п. Мокрый Батай, ул. Зеленая д.1-М (ориентировочная протяженность ВЛИ-0,4 – 0,07 км)</t>
  </si>
  <si>
    <t>Строительство участка ВЛИ 0,4кВ от РУ 0,4 кВ КТП 10/0,4 кВ №192 ВЛ 10кВ 1020 ПС 110/35/10 кВ Самарская и системы учета электрической энергии (мощности) на границе земельного участка для электроснабжения жилого дома заявителя Ковальчук Т.Г., с. Самарское, Азовский район Ростовская область (ориентировочная протяженность ЛЭП – 0,200км)</t>
  </si>
  <si>
    <t>Установка прибора коммерческого учета электрической энергии (мощности) на границе земельного участка, подключенного от опоры №117-34 ВЛ-0,4 кВ №2 КТП-10/0,4 кВ №117 по ВЛ-10 кВ №3127 ПС 110/35/10 кВ «А-31» для технологического присоединения энергопринимающих устройств жилого дома Заявителя Шинкевич Н.А., с. Головатовка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</si>
  <si>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№48-22 ВЛ-0,4 кВ №2 КТП 10/0,4кВ №48 ВЛ-10кВ №1815 ПС 35/10 кВ «А-18» для технологического присоединения энергопринимающих устройств жилого дома Заявителя Ковтун А.И., Рыболовецкий колхоз им. Ленина Азовский район, Ростовская область (1 шт.)</t>
  </si>
  <si>
    <t>Строительство участка ВЛИ 0,4кВ от проектируемой ВЛ 0,4 кВ (по договору ТП № 61-1-20-00533517 от 28.09.2020 г.) КТП 10/0,4 кВ №329 ВЛ 10кВ 106Н ПС 110/6/10 кВ «НС-1» и системы учета электрической энергии (мощности) на границе земельного участка для электроснабжения жилых домов заявителей Джемакулова И.Д., Кургинян А.Г., Рамазановой О.В., ДНТ «Виктория», Азовский район, Ростовская область (ориентировочная протяженность ЛЭП – 0,160 км)</t>
  </si>
  <si>
    <t>Строительство участка ВЛИ 0,4кВ от оп. №145-26 ВЛ-0,4 кВ №2 КТП 10/0,4 кВ №145 ВЛ-10 кВ №3125 от ПС 110/35/10 кВ А-31 и системы учета электрической энергии (мощности) на границе земельного участка для электроснабжения жилого дома заявителя Глушпак Г.И., с. Пешково, Азовский район, Ростовская область (ориентировочная протяженность ЛЭП – 0,130 км)</t>
  </si>
  <si>
    <t>Строительство участка ВЛИ 0,4кВ от оп. № 164-51 ВЛ-0,4 кВ №3 КТП 10/0,4 кВ №164 ВЛ-10 кВ №1101 от ПС 35/10 кВ А-11 и системы учета электрической энергии (мощности) на границе земельного участка для электроснабжения жилого дома заявителя Курбацкого П.П., с. Кагальник, Азовский район, Ростовская область (ориентировочная протяженность ЛЭП – 0,065 км)</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</si>
  <si>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Белоусовой Т.Н., Комаровой А.Т., Жаркова С.В., Азовский район Ростовская область (3 шт.)</t>
  </si>
  <si>
    <t>Установка прибора коммерческого учета электрической энергии (мощности) на границе земельного участка, подключенного от опоры №40-51 ВЛ-0,4 кВ №2 КТП 10/0,4кВ №40 ВЛ-10кВ №1802 ПС 35/10 кВ «А-18» для технологического присоединения энергопринимающих устройств жилого дома Заявителя Остапенко Д.С., х. Рогожкино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</si>
  <si>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№32-72 ВЛ 0,4 кВ №3 КТП 10/0,4кВ №32 ВЛ 10кВ №2907 РП-29 ПС 35/10 кВ А-18 для технологического присоединения энергопринимающих устройств жилого дома Заявителя Татариновой О.А., х. Коса, сад. СТ «Экран»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</si>
  <si>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№187-13 ВЛ-0,4кВ №4 КТП 10/0,4 кВ №187 ВЛ-10кВ №106Н ПС 110/6/10 кВ НС-1 для технологического присоединения энергопринимающих устройств жилого дома Заявителя Круглякова С.В., территория ДНТ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</si>
  <si>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№42-102 ВЛ-0,4 кВ №1 КТП 10/0,4кВ №42 ВЛ-10кВ №1802 ПС 35/10 кВ «А-18» для технологического присоединения энергопринимающих устройств жилого дома Заявителя Копылова С.В., х. Рогожкино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</si>
  <si>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оп. №316-4 ВЛ-0,4кВ №1 МТП 10/0,4 кВ №316 ВЛ-10кВ №211 ПС 35/10 кВ А-2 для технологического присоединения энергопринимающих устройств жилого дома Заявителя Семергей Е. А., х. Новоалександровка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</si>
  <si>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№120-44 ВЛ 0,4 кВ №1 КТП 10/0,4кВ №120 ВЛ 10кВ №1107 ПС 35/10 кВ А-11 для технологического присоединения энергопринимающих устройств жилого дома Заявителя Павлова А.А., с. Кагальник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</si>
  <si>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№27-81 ВЛ 0,4 кВ №3 КТП 10/0,4кВ №27 ВЛ 10кВ №1815 ПС 35/10 кВ А-18 для технологического присоединения энергопринимающих устройств жилого дома Заявителя Клих Ф.Р., х. Городище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</si>
  <si>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№б/н ВЛ 0,4 кВ КТП 10/0,4кВ №6 (на балансе Администрации Александровского сельского поселения) ВЛ 10кВ №1606 ПС 35/10 кВ А-16 для технологического присоединения энергопринимающих устройств жилого дома Заявителя Колтунова А.А., п. Ленинский Лесхоз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</si>
  <si>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№105-85 ВЛ 0,4 кВ №1 КТП 10/0,4кВ №105 ВЛ 10кВ №2608 ПС 110/10 кВ А-26 для технологического присоединения энергопринимающих устройств жилого дома Заявителя Пименовой Т.П., х. Новоалександровка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</si>
  <si>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№112-29/1 ВЛ 0,4 кВ №1 КТП 10/0,4кВ №112 ВЛ 10кВ №3113 ПС 110/35/10 кВ А-31 для технологического присоединения энергопринимающих устройств жилого дома Заявителя Духопельниковой И.Л.,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</si>
  <si>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№14-80 ВЛ 0,4 кВ №3 КТП 10/0,4кВ №14 ВЛ 10кВ №3125 ПС 110/35/10 кВ А-31 для технологического присоединения энергопринимающих устройств жилого дома Заявителя Манченко С.В., с. Головатовка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</si>
  <si>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№334-23 ВЛ 0,4 кВ №1 КТП 10/0,4кВ №334 ВЛ 10кВ №202Н ПС 110/6/10 кВ НС-2 для технологического присоединения энергопринимающих устройств жилого дома Заявителя Назаретян Л.В., ЗАО «Обильное», поля 86-88, 1 км от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</si>
  <si>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№46-13 ВЛ 0,4 кВ №1 КТП 10/0,4кВ №46 ВЛ 10кВ №1106 ПС 35/10 кВ А-11 для технологического присоединения энергопринимающих устройств павильона розничной торговли Заявителя ИП Тагировой Г.А., г. Азов, по ул. Победы,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</si>
  <si>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№48-22 ВЛ 0,4 кВ №2 КТП 10/0,4кВ №48 ВЛ 10кВ №1815 ПС 35/10 кВ А-18 для технологического присоединения энергопринимающих устройств жилого дома Заявителя Ткаченко Е.П., на территории Елизаветинского СП от ПТ "Пять братьев" 800 м на северо-восток,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</si>
  <si>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№5-1 ВЛ 0,4 кВ №1 КТП 10/0,4кВ №5 (балансовая принадлежность Руденец Л.А.) ВЛ 10кВ №1802 ПС 35/10 кВ А-18 для технологического присоединения энергопринимающих устройств жилого дома Заявителя Агеева И.И., х. Дугино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</si>
  <si>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№58-84 ВЛ 0,4 кВ №3 КТП 10/0,4кВ №58 ВЛ 10кВ №2204 РП-22 ПС 110/35/10 кВ Самарская для технологического присоединения энергопринимающих устройств жилого дома Заявителя Тимченко Г.В., х. Левобережный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</si>
  <si>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№75-38 ВЛ-0,4 кВ №2 КТП 10/0,4 кВ №75 по ВЛ 10 кВ №3125 ПС 110/35/10 кВ А-31 для технологического присоединения энергопринимающих устройств жилого дома Заявителя Ткаченко Е.А.,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</si>
  <si>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№75-50 ВЛ 0,4 кВ №2 КТП 10/0,4кВ №75 ВЛ 10кВ №606 ПС 35/10 кВ А-6 для технологического присоединения энергопринимающих устройств жилого дома Заявителя Мороз Н.И., с. Порт-Катон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</si>
  <si>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№82-61 ВЛ 0,4 кВ №2 КТП 10/0,4кВ №82 ВЛ 10кВ №3127 ПС 110/35/10 кВ А-31 для технологического присоединения энергопринимающих устройств жилого дома Заявителя Крупеня Л.С., с. Займо-Обрыв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</si>
  <si>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№8-62 ВЛ 0,4 кВ №2 КТП 10/0,4кВ №8 ВЛ 10кВ №1515 ПС 35/10 кВ А-15 для технологического присоединения энергопринимающих устройств базовой станции сотовой связи Заявителя ПАО "Ростелеком", х. Харьковский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</si>
  <si>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№88-6 ВЛ 0,4 кВ №1 КТП 10/0,4кВ №88 ВЛ 10кВ №3127 ПС 110/35/10 кВ А-31 для технологического присоединения энергопринимающих устройств жилого дома Заявителя Черкашиной С.Г., с. Займо-Обрыв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</si>
  <si>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№б/н ВЛ-0,4 кВ КТП 10/0,4кВ №35 (балансовая принадлежность Администрация Елизаветинского с/п) ВЛ-10кВ №1814 ПС 35/10 кВ «А-18» для технологического присоединения энергопринимающих устройств жилого дома Заявителя Анишина М.М., х. Дугино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</si>
  <si>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проектируемой ВЛИ-0,4 кВ (по договору ТП №61-1-20-00580815 от 08.06.2020г.) ТП 10/0,4 кВ №311 ВЛ-10кВ №106Н ПС 110/6/10 кВ «НС-1» для технологического присоединения энергопринимающих устройств жилого дома Заявителя Попилишко С.В., СХА "Кулешовское" поле III 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</si>
  <si>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проектируемой ВЛИ-0,4 кВ (по договору ТП №61-1-21-00559767 от 16.02.2021г.) ТП 10/0,4 кВ №311 ВЛ-10кВ №106Н ПС 110/6/10 кВ «НС-1» для технологического присоединения энергопринимающих устройств жилого дома Заявителя Пучка И.В., СХА "Кулешовское" поле III о Азовский район, Ростовская область (1 шт.)</t>
  </si>
  <si>
    <t>Строительство ВЛ-10 кВ от оп. №57 по ВЛ-10кВ №1002 от ПС 110/35/10 кВ «Самарская», ТП-10/0,4 кВ, ВЛ-0,4 кВ и системы учета электрической энергии (мощности) на границе земельного участка для электроснабжения жилого дома заявителя Триф И.В., Ростовская обл.  р-н. Азовский, в границах землепользования бывшего ТОО «Самарское» (ориентировочная протяженность ЛЭП– 0,03км, ориентировочная трансформаторная мощность – 0,025 МВА)</t>
  </si>
  <si>
    <t>Строительство ВЛИ 0,4 кВ от РУ 0,4кВ КТП 10/0,4кВ №100 ВЛ 10кВ №2412 ПС 35/10 кВ А-24 и установка коммерческого учета электрической энергии (мощности) на границе земельного участка для электроснабжения жилого дома заявителя Гелета В.А., х. Лагутник, Азовский р-он Ростовская область (ориентировочная протяженность ЛЭП – 0,130 км)</t>
  </si>
  <si>
    <t>Строительство ВЛ - 0,4 кВ от РУ 0,4кВ КТП 10/0,4кВ №174 ВЛ 10кВ 1011 ПС 110/35/10 кВ «Самарская» и установка коммерческого учета электрической энергии (мощности) на границе земельного участка для электроснабжения жилого дома заявителя Шрамко А.А., Ростовская обл.  р-н. Азовский, с. Самарское в границах землепользования бывшего ТОО «Самарское» (ориентировочная протяженность ЛЭП – 0,08 км)</t>
  </si>
  <si>
    <t>Строительство ВЛ 0,4 кВ от №172-10 ВЛ 0,4 кВ №1 КТП 10/0,4 кВ №172 ВЛ 10 кВ №1702 ПС 35/10 кВ А-17 и установка коммерческого учета электрической энергии (мощности) на границе земельного участка для электроснабжения жилого дома заявителя Петрикова М.В., Ростовская обл.  р-н. Азовский, с. Стефанидинодар (ориентировочная протяженность ЛЭП – 0,035 км)</t>
  </si>
  <si>
    <t>Строительство ВЛ 0,4 кВ от №3-106 ВЛ 0,4кВ №3 КТП 10/0,4 кВ №3 ВЛ 10кВ №2903 РП-29 ПС 35/10 кВ А-18 и установка коммерческого учета электрической энергии (мощности) на границе земельного участка для электроснабжения жилого дома заявителя Керенцева В.Н., х. Обуховка, Азовский район, Ростовская область (ориентировочная протяженность ЛЭП – 0,05 км)</t>
  </si>
  <si>
    <t>Строительство участка ВЛИ 0,4кВ от РУ-0,4кВ КТП 10/0,4 кВ №48 ВЛ 10 кВ №1815 ПС 35/10 кВ А-18 и системы учета электрической энергии (мощности) на границе земельного участка для электроснабжения жилого дома заявителя Назаретян С.Ш., Рыболовецкий колхоз им. Ленина, Азовский район, Ростовская область (ориентировочная протяженность ЛЭП – 0,700 км)</t>
  </si>
  <si>
    <t>Строительство ВЛ 0,4 кВ от проектируемой ВЛ 0,4 кВ (по договору ТП № 61-1-21-00580815 от 08.06.2021г.) МТП 10/0,4 кВ №311 ВЛ-10 кВ №106Н ПС 110/6/10 кВ НС-1 и установка коммерческого учета электрической энергии (мощности) на границе земельных участков для электроснабжения жилого дома заявителя Соломиной А.В., ТСН «СНТ Белгорос», Азовский р-он Ростовская область (ориентировочная протяженность ЛЭП – 0,05 км</t>
  </si>
  <si>
    <t>Строительство участка ВЛИ 0,4кВ от оп. №6-5 ВЛ-0,4 кВ №1 КТП 10/0,4 кВ №6 ВЛ-10 кВ №3113 ПС 110/35/10 кВ А-31 и системы учета электрической энергии (мощности) на границе земельного участка для электроснабжения нежилого здания заявителя Мухонько Д.А., с. Пешково, Азовский район, Ростовская область (ориентировочная протяженность ЛЭП – 0,125 км)</t>
  </si>
  <si>
    <t>Строительство ВЛ 0,4 кВ от №102-56 ВЛ 0,4 кВ №1 КТП 10/0,4 кВ №102 ВЛ 10кВ №2907 РП-29 ПС 35/10 кВ А-18 и установка коммерческого учета электрической энергии (мощности) на границе земельного участка для электроснабжения жилого дома заявителя Елисеенко А.В., х. Обуховка, Азовский район, Ростовская область (ориентировочная протяженность ЛЭП – 0,045 км)</t>
  </si>
  <si>
    <t>Установка коммерческого учета электрической энергии (мощности) на границе земельного участка, подключенного от оп. №25-16 ВЛ-0,4 кВ №1 КТП-10/0,4 кВ №25 по ВЛ-10 кВ № 1815 ПС 35/10 кВ «А-18», для электроснабжения магазина заявителя ИП Поляковой С.В., х. Колузаево, Азовский р-он Ростовская область</t>
  </si>
  <si>
    <t>Установка приборов коммерческого учета электрической энергии (мощности) на границе земельного участка, подключенного от опоры №18-12 ВЛ-0,4кВ №1 КТП-10/0,4 кВ №18 ВЛ-10кВ №1815 ПС 35/10 кВ «А-18» для технологического присоединения энергопринимающих устройств гаража Заявителя Дереза О.В., х. Курган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</si>
  <si>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№51-6 ВЛ 0,4 кВ №1 КТП 10/0,4кВ №51 ВЛ 10кВ №1815 ПС 35/10 кВ А-18 для технологического присоединения энергопринимающих устройств жилого дома Заявителя Карелидзе М. Н., х. Обуховка Азовский район, Ростовская область (1 шт.)</t>
  </si>
  <si>
    <t>Установка приборов коммерческого учета электрической энергии (мощности) на границе земельного участка, подключенного от опоры №16-27 ВЛ-0,4 кВ №1 КТП 10/0,4кВ №16 ВЛ-10кВ №2608 ПС 110/10 кВ «А-26» для технологического присоединения энергопринимающих устройств жилого дома Заявителя Башковой С.А., Азовский район Ростовская область (1 шт.)</t>
  </si>
  <si>
    <t>Строительство участка ВЛИ 0,4кВ от проектируемой ВЛ 0,4 кВ (по договору ТП № 61-1-20-00571813 от 21.04.2021 г.) КТП 10/0,4 кВ №174 ВЛ 10кВ 1011 ПС 110/35/10 кВ «Самарская» и системы учета электрической энергии (мощности) на границе земельного участка для электроснабжения жилых домов заявителей Ильченко И.С., Харабаджаховой Е.Ю., Шер О.И., с.Самарское, Азовский район, Ростовская область (ориентировочная протяженность ЛЭП – 0,055 км)</t>
  </si>
  <si>
    <t>Установка прибора коммерческого учета электрической энергии (мощности) на границе земельного участка, подключенного от опоры №69-23 технически перевооружаемой ВЛИ-0,4 кВ КТП 10/0,4 кВ №69 ВЛ-10 кВ 1509 ПС 35/10 кВ А-15 для технологического присоединения энергопринимающих устройств жилого дома Заявителя Кочубеева Д.М., х. Марков Азовский район, Ростовская область (1 шт.)</t>
  </si>
  <si>
    <t>Строительство участка ВЛИ 0,4кВ от оп. №30-58 ВЛ-0,4 №3 от КТП-30 по ВЛ-10 1402 ПС 110 кВ ЗР14 и системы учета электрической энергии (мощности) на границе земельного участка для электроснабжения ЛПХ заявителя Перетятько В.И., Ростовская область, Зерноградский р-н, с. Светлоречное, ул. Новая д.27 (ориентировочная протяженность ВЛИ-0,4  – 0,08 км)</t>
  </si>
  <si>
    <t>Строительство ЛЭП 10 кВ от опоры № 5-34 по ВЛ 10 кВ №1101 ПС 35/10 кВ А-11, ТП 10/0,4 кВ, ЛЭП 0,4 кВ и установка системы учета электрической энергии (мощности) на границе земельного участка для электроснабжения нежилого помещения заявителя Оганесян М.В., Ростовская область, Азовский район, с.Кагальник, ул.Пролетарская (ориентировочная протяженность ЛЭП– 0,060 км, ориентировочная трансформаторная мощность – 0,160 МВА)</t>
  </si>
  <si>
    <t>Строительство ВЛ 0,4 кВ от №218-2 по ВЛ 0,4 кВ №1 КТП 10/0,4 кВ №218 ВЛ 10 кВ №901 ПС 35/10 кВ А-9 и установка коммерческого учета электрической энергии (мощности) на границе земельного участка для электроснабжения жилого дома заявителя Макаровой И.А., с. Высочино, Азовский район, Ростовская область (ориентировочная протяженность ЛЭП – 0,05 км)</t>
  </si>
  <si>
    <t>Строительство участка ВЛИ 0,4кВ в пролетах оп. №60-55 &amp;#247; 60-58 ВЛ-0,4 №1 от КТП-60 по ВЛ-10 204 ПС 110 кВ Краснолучинская и системы учета электрической энергии (мощности) на границе земельного участка для электроснабжения магазина заявителя Капиносовой Е.С., Ростовская обл., р-н. Зерноградский, х. Большая Таловая, ул. Буденного д.7 кв.2 (ориентировочная протяженность ВЛИ-0,4 – 0,1 км)</t>
  </si>
  <si>
    <t>Строительство ВЛ 0,4 кВ от №144-53 ВЛ 0,4 кВ №2 КТП 10/0,4кВ №144 ВЛ 10 кВ №1101 ПС 35/10 кВ А-11 и установка коммерческого учета электрической энергии (мощности) на границе земельного участка для электроснабжения объекта торговли заявителя ИП Воронцова А.А., с. Кагальник, Азовский район, Ростовская область (ориентировочная протяженность ЛЭП – 0,05 км)</t>
  </si>
  <si>
    <t>Строительство участка ВЛИ-0,4 кВ от проектируемой опоры (по договору ТП № 61-1-21-00610441 от 05.11.2021г.) ВЛ-0,4 №1 от ЗТП-28 по ВЛ-10 313 ПС 35 кВ КГ3 и системы учета электрической энергии (мощности) на границе земельного участка для электроснабжения жилого дома заявителя Глуховской А.В., Ростовская область, Кагальницкий р-н, ст. Кировская, ул. Северная д.8 (ориентировочная протяженность ВЛИ-0,4 – 0,06 км)</t>
  </si>
  <si>
    <t>Строительство участка ВЛИ-0,4кВ от опоры №251-9 ВЛ-0,4 кВ №2 КТП - №251 ВЛ-10 кВ №904 ПС 110 кВ Балко-Грузская и установка системы учета электрической энергии (мощности) на границе земельного участка для электроснабжения склада заявителя ИП Бойченко Н.А., х.Балко-Грузский, Егорлыкский р-он, Ростовская область (ориентировочная протяженность ЛЭП – 0,035 км)</t>
  </si>
  <si>
    <t>Строительство ЛЭП 10 кВ от опоры №184 по ВЛ 10 кВ №3129 ПС 110/35/10 кВ А-31, 2хТП 10/0,4 кВ, ЛЭП 0,4 кВ и установка системы учета электрической энергии (мощности) на границе земельных участков для электроснабжения 4-х объектов сельскохозяйственного производства заявителя ИП Глава К(Ф)Х Дорошенко Р.И., в границах СПК «Заветы Ильича», поля №137-140, №124, №122, №121 Азовский район, Ростовская область, к.н. 61:01:0600012:734, к.н. 61:01:0600012:726, к.н. 61:01:0600012:933, к.н. 61:01:0600012:723 (ориентировочная протяженность ЛЭП- 1,590 км, ориентировочная трансформаторная мощность – 2х0,400 МВА)</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</si>
  <si>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Гапонова А.А., ООО «ДонАвтономГаз», Азовский район Ростовская область (2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</si>
  <si>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Журавкова Е.В., Захарченко Е.М., Азовский район Ростовская область (2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</si>
  <si>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Сараханова А.А., Зайцевой Ю.А., Николаевой О.М. Азовский район Ростовская область (3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</si>
  <si>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Шлыковой В.М., Басова А.Г., Цай Е.Ю., Азовский район Ростовская область (3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</si>
  <si>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Савченко А.В., Алексишвили М.З., Азовский район Ростовская область (2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</si>
  <si>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Карзакова Р.Ю., Кириченко Л.В., Жадина И.И., Азовский район Ростовская область (3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</si>
  <si>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Давыдова С.А., Литвинова В.В., Азовский район Ростовская область (2 шт.)</t>
  </si>
  <si>
    <t>Строительство участка ВЛИ 0,4 кВ от оп. №89-10 ВЛ-0,4 №1 от КТП-89 по ВЛ-10 319 ПС 35 кВ КГ3 и системы учета электрической энергии (мощности) на границе земельного участка для электроснабжения ЛПХ заявителя Кустовой Т.Н., Ростовская область, Кагальницкий р-н, ст. Кировская, ул. Рабочая д.2А (ориентировочная протяженность ВЛИ-0,4 – 0,03 км)</t>
  </si>
  <si>
    <t>Строительство участка ВЛИ 0,4 кВ от оп. №89-134 ВЛ-0,4 №3 от КТП-89 по ВЛ-10 415 ПС 35 кВ КГ4 и системы учета электрической энергии (мощности) на границе земельного участка для электроснабжения ЛПХ заявителя Вишницкого И.И., Ростовская область, Кагальницкий р-н, с. Иваново-Шамшево, ул. Береговая д.2Г (ориентировочная протяженность ВЛИ-0,4 – 0,05 км)</t>
  </si>
  <si>
    <t>Установка прибора коммерческого учета электрической энергии (мощности) на границе земельного участка, подключенного от опоры № 217-44 ВЛ-0,4  № 1 КТП-217  ВЛ-10  405   ПС 35кВ Е-4 для технологического присоединения энергопринимающих устройств квартиры Заявителя Асланова Х.П., Ростовская область, Егорлыкский р-н,  х.Ильинский к.н. 61:10:0050301:901 (1 шт.)</t>
  </si>
  <si>
    <t>Установка прибора коммерческого учета электрической энергии (мощности) на границе земельного участка, подключенного от опоры № 72-10 ВЛ-0,4 № 1 КТП-72 ВЛ-10 707   ПС 35кВ Е-7 для технологического присоединения энергопринимающих устройств нежилого здания(склад), заявителя Сафроновой Г.А., Ростовская область, Егорлыкский р-н, х. Войнов, к.н. 61:10:0030101:1489 (1 шт.)</t>
  </si>
  <si>
    <t>Установка прибора коммерческого учета электрической энергии (мощности) на границе земельного участка, подключенного от опоры № 211-97 ВЛ-0,4 № 3 КТП-211 ВЛ-10 612 ПС 35кВ Е-6 для технологического присоединения энергопринимающих устройств квартиры Заявителя Тумасян И.А., Ростовская область, Егорлыкский р-н, х. Шаумяновский, к.н. 61:10:0090101:826 (1 шт.)</t>
  </si>
  <si>
    <t>Установка прибора коммерческого учета электрической энергии (мощности) на границе земельного участка, подключенного от опоры № 363-7   ВЛ-0,4 № 1 КТП-363 ВЛ-10  801  ПС 110кВ Роговская для технологического присоединения энергопринимающих устройств жилого дома Заявителя Горковец В.Н., Ростовская область, Егорлыкский р-н, п.Роговский, к.н. 61:10:110101:0110 (1 шт.)</t>
  </si>
  <si>
    <t>Установка прибора коммерческого учета электрической энергии (мощности) на границе земельного участка, подключенного от опоры  № 39-58 ВЛ-0,4  № 2 КТП-39  ВЛ-10  203   ПС 110кВ Егорлыкская для технологического присоединения энергопринимающих устройств здания коровника Заявителя ИП Воробьева С.А., Ростовская область, Егорлыкский р-н, х. Заря, к.н. 61:10:600014:1086 (1 шт.)</t>
  </si>
  <si>
    <t>Установка прибора коммерческого учета электрической энергии (мощности) на границе земельного участка, подключенного от опоры  № 408-26   ВЛ-0,4 № 1 КТП-408 ВЛ-10  612  ПС 35 кВ Е-6 для технологического присоединения энергопринимающих устройств жилого дома Заявителя Каспарян Г.С., Ростовская область, Егорлыкский  р-н, х. Шаумяновский,  к.н. земельного участка: 61:10:0090101:43 (1 шт.)</t>
  </si>
  <si>
    <t>Установка коммерческого учета электрической энергии (мощности) на границе земельного участка, подключенного от опоры №187-55 ВЛ- 0,4 кВ №2 КТП 10/0,4 кВ №187 по ВЛ-10 кВ №106Н ПС 110/6/10 кВ "НС-1", для электроснабжения жилого дома заявителя Крюкова А.А., ДНТ "Кулешовка", Ростовская область</t>
  </si>
  <si>
    <t>Установка коммерческого учета электрической энергии (мощности) на границе земельного участка, подключенного от опоры №205-20 ВЛ-0,4 кВ №2 КТП-10/0,4 кВ №205 по ВЛ-10 кВ №3127 ПС 110/35/10 кВ "А-31", для электроснабжения жилого дома заявителя Кашириной И.Е., х.Береговой, Ростовская область</t>
  </si>
  <si>
    <t>Установка коммерческого учета электрической энергии (мощности) на границе земельного участка, подключенного от опоры №350-57/10 ВЛ-0,4 кВ №2 КТП-6/0,4 кВ №350 по ВЛ-6 кВ №207Н ПС 110/6/10 кВ "НС-2", для электроснабжения жилого дома заявителя Евдокимовой В.В.,СНТ "Квант", Азовский р-он Ростовская область</t>
  </si>
  <si>
    <t>Установка коммерческого учета электрической энергии (мощности) на границе земельного участка, подключенного от опоры №46-92 ВЛ-0,4 кВ №3 КТП-10/0,4 кВ №46 по ВЛ-10 кВ № 3207 ПС 110/35/10 кВ «А-32», для электроснабжения жилого дома заявителя Папка С.С., с. Александровка, Азовский р-он Ростовская область</t>
  </si>
  <si>
    <t>Установка коммерческого учета электрической энергии (мощности) на границе земельного участка, подключенного от опоры №140-33 ВЛ-0,4 кВ №1 КТП-10/0,4 кВ №140 по ВЛ-10 кВ №3202 ПС 110/35/10 кВ "А-32", для электроснабжения жилого дома заявителя Саньковой М.М., с. Александровка, Азовский р-он, Ростовская область</t>
  </si>
  <si>
    <t>Установка коммерческого учета электрической энергии (мощности) на границе земельного участка, подключенного от опоры №1-93 ВЛ-0,4 кВ №1 КТП 10/0,4 кВ №1 по ВЛ-10 кВ 1310 ПС 35/10 кВ "А-13", для электроснабжения жилого дома заявителя Чугуй В.В., с. Елизаветовка, Азовский р-он,  Ростовская область</t>
  </si>
  <si>
    <t>Установка коммерческого учета электрической энергии (мощности) на границе земельного участка, подключенного от РУ-0,4 кВ КТП-10/0,4 кВ №178 (балансовая принадлежность Негреевой О.Н.) по ВЛ-10 кВ №3113 ПС 110/35/10 кВ "А-31", для электроснабжения БС №61-0268 заявителя ПАО "МТС", с. Пешково, Азовский р-он  Ростовская область</t>
  </si>
  <si>
    <t>Установка коммерческого учета электрической энергии (мощности) на границе земельного участка, подключенного от оп. №173-89 ВЛ-0,4 кВ №2 КТП-10/0,4 кВ №173 по ВЛ-10 кВ № 902 ПС 35/10 кВ «А-9», для электроснабжения жилого дома заявителя Скударновой О.Н., х. Павловка, Азовский р-он Ростовская область</t>
  </si>
  <si>
    <t>Установка коммерческого учета электрической энергии (мощности) на границе земельного участка, подключенного от оп. №350-62 ВЛ-0,4 кВ №3 КТП-6/0,4 кВ №350 по ВЛ-6 кВ № 207Н ПС 110/6/10 кВ «НС-2», для электроснабжения участка заявителя Король П.П., СНТ «Квант», Азовский р-он Ростовская область</t>
  </si>
  <si>
    <t>Установка коммерческого учета электрической энергии (мощности) на границе земельного участка, подключенного от оп. №350-62/2 ВЛ-0,4 кВ №3 КТП-6/0,4 кВ №350 по ВЛ-6 кВ № 207Н ПС 110/6/10 кВ «НС-2», для электроснабжения участка заявителя Будниковой З.В., СНТ «Квант», Азовский р-он Ростовская область</t>
  </si>
  <si>
    <t>Строительство системы учета для технологического присоединения энергопринимающих устройств Заявителей: ИП Цай Т.Б., Финенко С.А., Сорокиной В.Л., Боровского В.А., Шабанова А.С., Бабковой Н.Н., Пузыренко О.А., Свирюковой М.В., Азовский р-он Ростовская область</t>
  </si>
  <si>
    <t>Установка коммерческого учета электрической энергии (мощности) на границе земельного участка, подключенного от опоры №144-1 ВЛ 0,4 кВ №1 КТП 10/0,4 кВ №144 по ВЛ 10 кВ № 1019 ПС 110/35/10 кВ «Самарская», для электроснабжения складского помещения заявителя Половинко В.В., х. Победа, Азовский район Ростовская область (1шт)</t>
  </si>
  <si>
    <t>Установка прибора коммерческого учета электрической энергии (мощности) на границе земельного участка, подключенного от опоры №22-4 ВЛ-0,4 кВ №1 КТП 10/0,4кВ №22 ВЛ-10кВ №505 ПС 35/10 кВ «А-5» для технологического присоединения энергопринимающих устройств жилого дома Заявителя Пономаренко В.И., с. Отрадовка Азовский район, Ростовская область (1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</si>
  <si>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Морозова В.С., Зозуля И.Г., Шароян О.В., Азовский район Ростовская область (3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</si>
  <si>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Олейник А.Н., Духова С.В., Пугачевой А.В., Азовский район Ростовская область (3 шт.)</t>
  </si>
  <si>
    <t>Установка прибора коммерческого учета электрической энергии (мощности) на границе земельного участка, подключенного от опоры №316-12 ВЛ 0,4 кВ №1 КТП 10/0,4кВ №316 ВЛ 10кВ №211 ПС 35/10 кВ А-2 для технологического присоединения энергопринимающих устройств жилого дома Заявителя Завгородней С.В., 2,9 км на восток от пункта ГГС "Красногоровка"Азовский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</si>
  <si>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№152-94 ВЛ-0,4 кВ №3 КТП 10/0,4кВ №152 ВЛ-10кВ №3207 ПС 110/35/10 кВ «А-32» для технологического присоединения энергопринимающих устройств жилого дома Прозвонковой И.П., с. Александровка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</si>
  <si>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№329-42 ВЛ 0,4 кВ №2 КТП 10/0,4кВ №329 ВЛ 10кВ №106Н ПС 110/6/10 кВ НС-1 для технологического присоединения энергопринимающих устройств жилого дома Заявителя Сейранова А.А., Кулешовское сельское поселение, ДНТ «Виктория»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</si>
  <si>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№351-6 ВЛ 0,4 кВ №2 КТП 10/0,4кВ №351 ВЛ 10кВ №207Н ПС 110/6/10 кВ НС-2 для технологического присоединения энергопринимающих устройств нежилой застройки Заявителя Смышляева А.Г., СТ «Квант»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</si>
  <si>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№18-6 ВЛ 0,4 кВ №1 КТП 10/0,4кВ №18 ВЛ 10кВ №1815 ПС 35/10 кВ А-18 для технологического присоединения энергопринимающих устройств жилого дома Судаковой Т.В., х. Курган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</si>
  <si>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№211-257/7 ВЛ-0,4 кВ №5 КТП 10/0,4кВ №211 ВЛ-10кВ №910 ПС 35/10 кВ «А-9» для технологического присоединения энергопринимающих устройств дачи Заявителя Сухорада В.В. ДНТ «Южное»,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</si>
  <si>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№381-59 ВЛ 0,4 кВ №1 КТП 10/0,4кВ №381 ВЛ 10кВ №106Н ПС 110/6/10 кВ НС-1 для технологического присоединения энергопринимающих устройств жилого дома Заявителя Чукариной Т.Т., ДНТ СН Кулешовка-2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</si>
  <si>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№381-60 ВЛ-0,4 кВ №1 КТП 10/0,4кВ №381 ВЛ-10кВ №106Н ПС 110/6/10 кВ «НС-1» для технологического присоединения энергопринимающих устройств жилого дома Заявителя Асеева А.Е., ДНТ СН «Кулешовка-2»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</si>
  <si>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№42-89 ВЛ-0,4 кВ №2 КТП 10/0,4кВ №42 ВЛ-10кВ №1802 ПС 35/10 кВ «А-18» для технологического присоединения энергопринимающих устройств жилого дома Заявителя Вегеря Е.В., х. Рогожкино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</si>
  <si>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№100-180 ВЛ-0,4 кВ №1 КТП 10/0,4кВ №100 ВЛ-10кВ №2412 ПС 35/10 кВ «А-24» для технологического присоединения энергопринимающих устройств нежилой застройки Заявителя Сакевич Д.В., х. Лагутник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</si>
  <si>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№21-5 ВЛ-0,4 кВ №1 КТП 10/0,4кВ №21 ВЛ-10кВ №1815 ПС 35/10 кВ «А-18» для технологического присоединения энергопринимающих устройств жилого дома Заявителя Санина Р.А., х. Городище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</si>
  <si>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№228-6 ВЛ-0,4 кВ №1 КТП 10/0,4кВ №228 ВЛ-10кВ №106Н ПС 110/6/10 кВ «НС-1» для технологического присоединения энергопринимающих устройств жилого дома Заявителя Семиугловой О.А., п. 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</si>
  <si>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№185-10 ВЛ 0,4 кВ №1 КТП 10/0,4кВ №185 ВЛ 10кВ №106Н ПС 110/6/10 кВ НС-1 для технологического присоединения энергопринимающих устройств жилого дома Заявителя Турянской Н.В.,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</si>
  <si>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№122-18 ВЛ 0,4 кВ №1 КТП 10/0,4кВ №122 ВЛ 10кВ №1101 ПС 35/10 кВ А-11 для технологического присоединения энергопринимающих устройств базовой станции сотовой связи Заявителя ПАО "Вымпел-Коммуникации", с. Кагальник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</si>
  <si>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№223-57 ВЛ 0,4 кВ №3 КТП 10/0,4кВ №223 ВЛ-10кВ №901 ПС 35/10 кВ А-9 для технологического присоединения энергопринимающих устройств жилого дома Заявителя Султанова Э.И., с. Высочино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</si>
  <si>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№228-11 ВЛ 0,4 кВ №1 КТП 10/0,4кВ №228 ВЛ 10кВ №106Н ПС 110/6/10 кВ НС-1 для технологического присоединения энергопринимающих устройств жилого дома Заявителя Жуковой А.Ю., п. 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</si>
  <si>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№311-15 ВЛ 0,4 кВ №1 КТП 10/0,4кВ №311 ВЛ 10кВ №106Н ПС 110/6/10 кВ НС-1 для технологического присоединения энергопринимающих устройств жилого дома Заявителя Акташ Т.С., СХА "Кулешовское" поле III 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</si>
  <si>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№42-35 ВЛ 0,4 кВ №1 КТП 10/0,4кВ №42 ВЛ 10кВ №1802 ПС 35/10 кВ А-18 для технологического присоединения энергопринимающих устройств жилого дома Заявителя ООО «161 Эксперт», х. Рогожкино,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</si>
  <si>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№44-42 ВЛ 0,4 кВ №3 КТП 10/0,4кВ №44 ВЛ 10кВ №1107 ПС 35/10 кВ А-11 для технологического присоединения энергопринимающих устройств нежилой застройки Заявителя Рыжевского Е.В., с. Кагальник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</si>
  <si>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№44-6 ВЛ 0,4 кВ №3 КТП 10/0,4кВ №44 ВЛ 10кВ №1107 ПС 35/10 кВ А-11 для технологического присоединения энергопринимающих устройств жилого дома Заявителя Борцовой Н.В., с. Кагальник,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</si>
  <si>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№71-18 ВЛ 0,4 кВ №1 КТП 10/0,4кВ №71 ВЛ 10кВ №105Н ПС 110/6/10 кВ НС-1 для технологического присоединения энергопринимающих устройств жилого дома Заявителя Киргинцева В.В., х. Усть-Койсуг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</si>
  <si>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№98-107 ВЛ 0,4 кВ №3 КТП 10/0,4кВ №98 ВЛ 10кВ №1815 ПС 35/10 кВ А-18 для технологического присоединения энергопринимающих устройств жилого дома Заявителя Микитюк И.П., х. Колузаево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</si>
  <si>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№102-4 ВЛ 0,4 кВ №1 КТП 10/0,4 кВ №102 по ВЛ 10 кВ № 2907 РП-29 ПС 35/10 кВ «А-18» для технологического присоединения энергопринимающих устройств жилого дома Заявителя Рудакова П.М., х. Обуховка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</si>
  <si>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№103-20 ВЛ 0,4 кВ №1 КТП 10/0,4кВ №103 ВЛ 10кВ №2608 ПС 110/10 кВ А-26 для технологического присоединения энергопринимающих устройств жилого дома Заявителя Папояна А.Г.,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</si>
  <si>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№108-39 ВЛ-0,4 кВ №3 КТП-10/0,4 кВ №108 по ВЛ-10 кВ № 1107 ПС 35/10 кВ «А-11» для технологического присоединения энергопринимающих устройств базовой станции сотовой связи Заявителя ПАО "Вымпел-Коммуникации", с. Кагальник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</si>
  <si>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№18-2 ВЛ 0,4 кВ №1 КТП 10/0,4кВ №18 ВЛ 10кВ №1815 ПС 35/10 кВ А-18 для технологического присоединения энергопринимающих устройств жилого дома Заявителя Давыденко В.В., х. Курган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</si>
  <si>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№8-11 ВЛ 0,4 кВ №1 КТП 10/0,4кВ №8 ВЛ 10кВ №1014 ПС 110/35/10 кВ «Самарская» для технологического присоединения энергопринимающих устройств нежилого здания Заявителя ООО "Объединенный оператор", КМ 1103 автомагистрали М-4 "Дон" Азовский район, Ростовская область (1 шт.)</t>
  </si>
  <si>
    <t>Установка приборов коммерческого учета электрической энергии (мощности) на границе земельного участка, подключенного от оп. №311-3/4 ВЛ-0,4 кВ №2 КТП-10/0,4 кВ №311 по ВЛ-10 кВ №106Н ПС 110/6/10 кВ «НС-1»для технологического присоединения энергопринимающих устройств жилого дома Заявителя Алексанян В.Г., Азовский район Ростовская область (1 шт.)</t>
  </si>
  <si>
    <t>Установка приборов коммерческого учета электрической энергии (мощности) на границе земельного участка, подключенного от оп. №381-23 ВЛ-0,4 кВ №1 КТП 10/0,4кВ №381 ВЛ-10кВ №106Н ПС 110/6/10 кВ «НС-1» для технологического присоединения энергопринимающих устройств жилого дома Заявителя Овсепян А.Ф.,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</si>
  <si>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№10-61 ВЛ 0,4 кВ №3 КТП 10/0,4кВ №10 ВЛ 10кВ №3125 ПС 110/35/10 кВ А-31 для технологического присоединения энергопринимающих устройств жилого дома Заявителя Сидорова Г.И.,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</si>
  <si>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№156-33 ВЛ 0,4 кВ №1 КТП 10/0,4кВ №156 ВЛ 10кВ №910 ПС 35/10 кВ А-9 для технологического присоединения энергопринимающих устройств жилого дома Заявителя Пешкова П.В., х. Павловка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</si>
  <si>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№185-7 ВЛ 0,4 кВ №1 КТП 10/0,4кВ №185 ВЛ-10кВ №106Н ПС 110/6/10 кВ НС-1 для технологического присоединения энергопринимающих устройств жилого дома Заявителя Коваленко С.А.,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</si>
  <si>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№187-14 ВЛ 0,4 кВ №3 КТП 10/0,4кВ №187 ВЛ 10кВ №106Н ПС 110/6/10 кВ НС-1 для технологического присоединения энергопринимающих устройств жилого дома Заявителя Ткаченко В.С., ДНТ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</si>
  <si>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№21-6 ВЛ 0,4 кВ №1 КТП 10/0,4кВ №21 ВЛ 10кВ №1702 ПС 35/10 кВ А-17 для технологического присоединения энергопринимающих устройств жилого дома Заявителя Клюевой С.В., с. Стефанидинодар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</si>
  <si>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№24-4 ВЛ 0,4 кВ №1 ЗТП 10/0,4кВ №24 КЛ 10кВ №1205 ПС 110/10 кВ А-12 для технологического присоединения энергопринимающих устройств жилого дома Заявителя Прядько Я.С.,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</si>
  <si>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№27-101 ВЛ 0,4 кВ №3 КТП 10/0,4кВ №27 ВЛ 10кВ №1701 ПС 35/10 кВ А-17 для технологического присоединения энергопринимающих устройств жилого дома Заявителя Талпа С.Б., с. Круглое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</si>
  <si>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№27-65 ВЛ 0,4 кВ №3 КТП 10/0,4кВ №27 ВЛ 10кВ №1701 ПС 35/10 кВ А-17 для технологического присоединения энергопринимающих устройств жилого дома Заявителя Бутко А.И., с. Круглое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</si>
  <si>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№315-20 ВЛ 0,4 кВ №1 КТП 10/0,4кВ №315 ВЛ 10кВ №2608 ПС 110/10 кВ А-26 для технологического присоединения энергопринимающих устройств жилого дома Заявителя Кудряшова Е.В.,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</si>
  <si>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№329-8 ВЛ 0,4 кВ №1 КТП 10/0,4кВ №329 ВЛ 10кВ №106Н ПС 110/6/10 кВ НС-1 для технологического присоединения энергопринимающих устройств жилого дома Заявителя Супрунюк Н.В., СХА(К) Кулешовское поле III 0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</si>
  <si>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№41-92 ВЛ 0,4 кВ №3 ЗТП 10/0,4кВ №41 (бесхозная) ВЛ 10кВ №2608 ПС 110/10 кВ А-26 для технологического присоединения энергопринимающих устройств жилого дома Заявителя Сидуловой Е.П.,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</si>
  <si>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проектируемой ВЛИ-0,4 кВ (по договору ТП №61-1-20-00543967 от 10.11.2020г.) ТП 10/0,4кВ №311 ВЛ 10кВ №106Н ПС 110/6/10 кВ НС-1 для технологического присоединения энергопринимающих устройств жилого дома Заявителя Береза С.С., СХА "Кулешовское" поле III 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</si>
  <si>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№100-11 ВЛ 0,4 кВ №1 КТП 10/0,4кВ №100 ВЛ 10кВ №1708 ПС 35/10 кВ А-17 для технологического присоединения энергопринимающих устройств жилого дома Заявителя Демидченко И.В., с. Круглое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</si>
  <si>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№10-64 ВЛ 0,4 кВ №2 КТП 10/0,4кВ №10 ВЛ 10кВ №3202 ПС 110/35/10 кВ А-32 для технологического присоединения энергопринимающих устройств жилого дома Заявителя Мурадова Г.Б., с. Александровка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</si>
  <si>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№14-137 ВЛ 0,4 кВ №4 КТП 10/0,4кВ №14 ВЛ 10кВ №106Н ПС 110/6/10 кВ НС-1 для технологического присоединения энергопринимающих устройств жилого дома Заявителя Захарян О.В., п. 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</si>
  <si>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№148-6 ВЛ 0,4 кВ №1 КТП 10/0,4кВ №148 ВЛ 10кВ №1019 ПС 110/35/10 кВ Самарская для технологического присоединения энергопринимающих устройств жилого дома Заявителя Котляровой О.Б., х. Победа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</si>
  <si>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№156-63 ВЛ 0,4 кВ №3 КТП 10/0,4кВ №156 ВЛ 10кВ №1701 ПС 35/10 кВ А-17 для технологического присоединения энергопринимающих устройств жилого дома Заявителя Горской Е.В., с. Круглое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</si>
  <si>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№160-20/1 ВЛ 0,4 кВ №1 КТП 10/0,4кВ №160 ВЛ 10кВ №1101 ПС 35/10 кВ А-11 для технологического присоединения энергопринимающих устройств жилого дома Заявителя Огурной О.В., с. Кагальник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</si>
  <si>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№240-48 ВЛ 0,4 кВ №2 КТП 10/0,4кВ №240 ВЛ 10кВ №106Н ПС 110/6/10 кВ НС-1 для технологического присоединения энергопринимающих устройств жилого дома Заявителя Жлуктенко А.А., п. 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</si>
  <si>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№329-28/3 ВЛ 0,4 кВ №2 КТП 10/0,4кВ №329 ВЛ 10кВ №106Н ПС 110/6/10 кВ НС-1 для технологического присоединения энергопринимающих устройств жилого дома Заявителя Егиазаряна А.П., ДНТ «Виктория»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</si>
  <si>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№45-28 ВЛ 0,4 кВ №1 ЗТП 10/0,4кВ №45 ВЛ 10кВ №211 ПС 35/10 кВ А-2 для технологического присоединения энергопринимающих устройств жилого дома Заявителя Зубова И.В., х. Новоалександровка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</si>
  <si>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№48-25 ВЛ 0,4 кВ №2 КТП 10/0,4кВ №48 ВЛ 10кВ №1815 ПС 35/10 кВ А-18 для технологического присоединения энергопринимающих устройств жилого дома Заявителя Головина О.В., на территории Елизаветинского СП от ПТ "Пять братьев" 800 м на северо-восток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</si>
  <si>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№48-26 ВЛ 0,4 кВ №2 КТП 10/0,4кВ №48 ВЛ 10кВ №1815 ПС 35/10 кВ А-18 для технологического присоединения энергопринимающих устройств жилого дома Заявителя Заблоцкой Н.И., на территории Елизаветинского СП от ПТ "Пять братьев" 800 м на северо-восток, Азовский район, Ростовская область (1 шт.)</t>
  </si>
  <si>
    <t xml:space="preserve">Установка прибора коммерческого учета электрической энергии (мощности) на границе земельного участка, подключенного от опоры №48-28 ВЛ 0,4 кВ №2 КТП 10/0,4кВ №48 ВЛ 10кВ №1815 ПС 35/10 кВ А-18 для технологического присоединения энергопринимающих устройств жилого дома Заявителя Лызганова М.С., Рыболовецкий колхоз им.Ленина,в границах квартала 61:01:0600002 на территории Елизаветинского СП от ПТ "Пять братьев" 800 м на северо-восток Азовский район, Ростовская область (1 шт.)
</t>
  </si>
  <si>
    <t>Установка прибора коммерческого учета электрической энергии (мощности) на границе земельного участка, подключенного от опоры №49-13 ВЛ 0,4кВ №1 КТП 10/0,4 кВ №49 ВЛ 10кВ №2608 ПС 110/10 кВ А-26 для технологического присоединения энергопринимающих устройств объекта торговли Заявителя ИП Кутровской Н.В.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</si>
  <si>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№59-73 ВЛ 0,4кВ №2 КТП 10/0,4 кВ 59 ВЛ 10кВ №2608 ПС 110/10 кВ А-26 для технологического присоединения энергопринимающих устройств хозяйственной постройки Гусейновой Э.Э.,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</si>
  <si>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№82-57 ВЛ 0,4 кВ №3 КТП 10/0,4кВ №82 ВЛ 10кВ №3127 ПС 110/35/10 кВ А-31 для технологического присоединения энергопринимающих устройств жилого дома Заявителя Абдразакова Р.А., с. Займо-Обрыв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</si>
  <si>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№8-27 ВЛ 0,4 кВ №1 КТП 10/0,4кВ №8 ВЛ 10кВ №502 ПС 35/10 кВ А-5 для технологического присоединения энергопринимающих устройств жилого дома Заявителя Ельниковой И.В., с. Отрадовка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</si>
  <si>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№85-53 ВЛ 0,4 кВ №3 КТП 10/0,4кВ №85 ВЛ 10кВ №2608 ПС 110/10 кВ А-26 для технологического присоединения энергопринимающих устройств гаража Заявителя Зыкова И.П.,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</si>
  <si>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№9-43 ВЛ 0,4 кВ КТП 10/0,4кВ №9 (балансовая принадлежность ООО «Рыбколхоз им. Ленина) ВЛ 10кВ №1815 ПС 35/10 кВ А-18 для технологического присоединения энергопринимающих устройств жилого дома Заявителя Миронова И.И., х. Городище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</si>
  <si>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проектируемой ВЛИ-0,4 кВ (по договору ТП №61-1-20-00561587 от 01.03.2021г.) КТП 10/0,4 кВ №166 ВЛ 10кВ №1701 ПС 35/10 кВ А-17 для технологического присоединения энергопринимающих устройств жилого дома Заявителя Зигаева Д.Ю., с. Круглое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</si>
  <si>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№111-75 ВЛ-0,4 кВ №3 КТП 10/0,4 кВ №111 по ВЛ 10 кВ №3113 ПС 110/35/10 кВ А-31 для технологического присоединения энергопринимающих устройств жилого дома Заявителя Богданова М.С.,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</si>
  <si>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№48-21 ВЛ 0,4 кВ №2 КТП 10/0,4кВ №48 ВЛ 10кВ №1815 ПС 35/10 кВ А-18 для технологического присоединения энергопринимающих устройств жилого дома Заявителя Ильченко В.В., на территории Елизаветинского СП от ПТ "Пять братьев" 800 м на северо-восток, Азовский район, Ростовская область (1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</si>
  <si>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Высавского Ю.Ф., Трунова В.А., Коломийцева В.В. Азовский район Ростовская область (3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</si>
  <si>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Скляровой А.Г., Табунщиковой Н.И., Шевченко А.В. Азовский район Ростовская область (3 шт.)</t>
  </si>
  <si>
    <t>Установка прибора коммерческого учета электрической энергии (мощности) на границе земельного участка, подключенного от опоры №81-78 ВЛ 0,4 №3 КТП-81 ВЛ-10 501 ПС 35 кВ ЗР5 для технологического присоединения энергопринимающих устройств нежилого здания Заявителя Борового Г.А., Ростовская область, Зерноградский р-н, х. Гуляй-Борисовка, пер. 50 лет ВЛКСМ 9А/62 (1 шт.)</t>
  </si>
  <si>
    <t>Установка прибора коммерческого учета электрической энергии (мощности) на границе земельного участка, подключенного от опоры №15-5 ВЛ-0,4 кВ №2 ТП 10/0,4 кВ №15 по ВЛ 10 кВ №106Н ПС 110/10/6 кВ НС-1 для технологического присоединения энергопринимающих устройств складского здания/помещения Заявителя ИП Стрельцов В.Н., п. 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</si>
  <si>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№99-10 ВЛ 0,4 №1 КТП-99 ВЛ-10 114 ПС 220 кВ Зерновая для технологического присоединения энергопринимающих устройств дачного дома Заявителя Бжеленко С.Н., Ростовская область, Зерноградский р-н, в 0,035 км от восточной окраины г. Зерноград, уч.10 (1 шт.)</t>
  </si>
  <si>
    <t>Установка прибора коммерческого учета электрической энергии (мощности) на границе земельного участка, подключенного от опоры №51-40 ВЛ 0,4 №2 КТП-51 ВЛ-10 318 ПС 35 кВ КГ3 для технологического присоединения энергопринимающих устройств магазина Заявителя Вакуленко М.А., Ростовская область, Кагальницкий р-н, ст. Кировская, ул. Кирова д.1В (1 шт.)</t>
  </si>
  <si>
    <t>Установка прибора коммерческого учета электрической энергии (мощности) на границе земельного участка, подключенного от опоры №17-8 ВЛ-0,4 кВ №1 КТП 10/0,4 кВ №17 по ВЛ 10 кВ №107Н ПС 110/6/10 кВ НС-1 для технологического присоединения энергопринимающих устройств нежилой застройки дома Заявителя ИП Калашник И.Н., п. Овощной, Азовский район, Ростовская область, к.н. 61:01:0130101:4975 (1 шт.)</t>
  </si>
  <si>
    <t>Установка прибора коммерческого учета электрической энергии (мощности) на границе земельного участка, подключенного от опоры №28-253 ВЛ-0,4 №3 ЗТП-28 ВЛ-10 313 ПС 35 кВ КГ3 для технологического присоединения  энергопринимающих устройств ЛПХ Заявителя Лузина Е.Ф. Ростовская область, Кагальницкий р-н, ст. Кировская, ул. Новостройки д.33 к.н. 61:14:0050126:260 (1 шт.)</t>
  </si>
  <si>
    <t>Установка прибора коммерческого учета электрической энергии (мощности) на границе земельного участка, подключенного от опоры №9-56 ВЛ-0,4 №2 КТП-9 ВЛ-10 501 ПС 35 кВ ЗР5 для технологического присоединения  энергопринимающих устройств ЛПХ Заявителя Игнатенко А.С. Ростовская область, Зерноградский р-н, х. Гуляй-Борисовская, ул. Николаенко д.6 кв.2 к.н. 61:12:0011225:63 (1 шт.)</t>
  </si>
  <si>
    <t>Установка прибора коммерческого учета электрической энергии (мощности) на границе земельного участка, подключенного от опоры №135-94 ВЛ-0,4 №3 КТП-135 ВЛ-10 805 ПС 110 кВ БОС для технологического присоединения  энергопринимающих устройств жилого дома Заявителя Пархоменко Д.Н. Ростовская область, Кагальницкий р-н, п. Мокрый Батай, ул. Майская, д.7 к.н. 61:14:0060107:653 (1 шт.)</t>
  </si>
  <si>
    <t>Установка прибора коммерческого учета электрической энергии (мощности) на границе земельного участка, подключенного от опоры №52-35 ВЛ-0,4 №3 КТП-52 ВЛ-10 319 ПС 35 кВ КГ3 для технологического присоединения  энергопринимающих устройств ЛПХ Заявителя Адиханян М.А. Ростовская область, Кагальницкий р-н, ст. Кировская, ул. Ленина д.106А к.н. 61:14:0050138:75 (1 шт.</t>
  </si>
  <si>
    <t>Установка прибора коммерческого учета электрической энергии (мощности) на границе земельного участка, подключенного от опоры №27-69 ВЛ-0,4 №2 КТП-27 ВЛ-10 605 ПС 35 кВ КГ6 для технологического присоединения  энергопринимающих устройств ЛПХ Заявителя Епатко В.В. Ростовская область, Кагальницкий р-н, с. Новобатайск, ул. Илларионова д.50А к.н. 61:14:0040143:140 (1 шт.)</t>
  </si>
  <si>
    <t>Установка прибора коммерческого учета электрической энергии (мощности) на границе земельного участка, подключенного от опоры №7-21 ВЛ-0,4 №2 КТП-7 ВЛ-10 501 ПС 35 кВ ЗР5 для технологического присоединения  энергопринимающих устройств ЛПХ Заявителя Болохова К.Л.,  Ростовская область, Зерноградский р-н. х. Гуляй-Борисовка, ул. 60 лет СССР д.15А к.н. 61:12:0011217:106 (1 шт.)</t>
  </si>
  <si>
    <t>Установка прибора коммерческого учета электрической энергии (мощности) на границе земельного участка, подключенного от опоры №31-7 ВЛ-0,4 №4 КТП-31 ВЛ-10 1402 от ПС 35 кВ ЗР14 для технологического присоединения энергопринимающих устройств объекта сельскохозяйственного производства Заявителя Болдинова Н.В., Ростовская обл., Зерноградский р-н,к.н. 61:12:0020201:1651 (1шт)</t>
  </si>
  <si>
    <t>Установка прибора коммерческого учета электрической энергии (мощности) на границе земельного участка, подключенного от опоры №109-47 ВЛ-0,4 №2 КТП-109 ВЛ-10 805 ПС 110 кВ БОС для технологического присоединения  энергопринимающих устройств ЛПХ Заявителя Белоусова Н.В. Ростовская область, Кагальницкий р-н, п. Мокрый Батай, ул. Строителей д.2А к.н. 61:14:0060108:1043 (1 шт.)</t>
  </si>
  <si>
    <t>Установка прибора коммерческого учета электрической энергии (мощности) на границе земельного участка, подключенного от опоры №18-57 ВЛ-0,4 №1 КТП-18 ВЛ-10 605 от ПС 35 кВ КГ4 для технологического присоединения энергопринимающих устройств нежилого здания заявителя  ИП Заргаряан В.Р., Ростовская обл., Кагальницкий р-н., с. Новобатайск к.н. 61:14:0040113:55 (1 шт.)</t>
  </si>
  <si>
    <t>Установка прибора коммерческого учета электрической энергии (мощности) на границе земельного участка, подключенного от опоры №27-25 ВЛ-0,4 №1 КТП-27 ВЛ-10 605 ПС 35 кВ КГ6 для технологического присоединения  энергопринимающих устройств жилого дома Заявителя Согомонян К.С. Ростовская область, Кагальницкий р-н, с. Новобатайск, пер. Калининский д.13А к.н. 61:14:0040144:160 (1 шт.)</t>
  </si>
  <si>
    <t>Установка прибора коммерческого учета электрической энергии (мощности) на границе земельного участка, подключенного от опоры №188-4 ВЛ-0,4 №1 КТП-188 ВЛ-10 319 ПС 35 кВ КГ3 для технологического присоединения  энергопринимающих устройств жилого дома Заявителя Лисунова В.Г. Ростовская область, Кагальницкий р-н, ст. Кировская, ул. Полевая д.11А к.н. 61:14:0050116:167 (1 шт.)</t>
  </si>
  <si>
    <t>Установка прибора коммерческого учета электрической энергии (мощности) на границе земельного участка, подключенного от опоры №30-39 ВЛ-0,4 №2 КТП-30 ВЛ-10 605 от ПС 35 кВ КГ6 для технологического присоединения энергопринимающих устройств жилого дома Заявителя Шульги О.В., Ростовская обл., Кагальницкий р-н., с. Новобатайск, к.н. 61:14:0040156:14 (1 шт)</t>
  </si>
  <si>
    <t>Установка прибора коммерческого учета электрической энергии (мощности) на границе земельного участка, подключенного от опоры №15-52   ВЛ-0,4 №3 КТП-15 ВЛ-10 605  ПС 35 кВ КГ6 для технологического присоединения энергопринимающих устройств жилого дома Заявителя Холод А.О., Ростовская область, Кагальницкий  р-н, с. Новобатайск, ул. Мичуринская д.32  к.н. 61:14:0000000:00 (1 шт.)</t>
  </si>
  <si>
    <t>Установка прибора коммерческого учета электрической энергии (мощности) на границе земельного участка, подключенного от опоры №42-19 ВЛ-0,4 №1 КТП-42 ВЛ-10 505 от ПС 35 кВ ЗР5 для технологического присоединения энергопринимающих устройств объекта дорожного хозяйства заявителя Министерство транспорта Ростовской области, Ростовская обл., Зерноградский р-н., ст-ца. Мечетинская-с. Гуляй-Борисовка-п. Нижнекугоейский, к.н. 61:12:0000000:61 (1 шт.)</t>
  </si>
  <si>
    <t>Строительство участка ВЛИ-0,4кВ от оп. №1 ВЛ-0,4 кВ №2 КТП-10/0,4 кВ №98 ВЛ-10 кВ №1815 ПС 35/10 кВ «А-18» и системы учета электрической энергии (мощности) на границе земельного участка для электроснабжения жилого помещения заявителя Яковлевой И.В., х. Колузаево, Азовский р-он Ростовская область (ориентировочная протяженность ЛЭП – 0,09 км)</t>
  </si>
  <si>
    <t>Строительство участка ВЛИ 0,4кВ от опоры №121-38 6 ВЛ 0,4 кВ №2 КТП 10/0,4 кВ №121 ВЛ 10 кВ №1904 РП-19 ПС 110/35/10 кВ Самарская и системы учета электрической энергии (мощности) на границе земельного участка для электроснабжения жилого дома заявителя Зеленской Е.А., с. Новотроицкое, Азовский район, Ростовская область (ориентировочная протяженность ЛЭП – 0,07 км)</t>
  </si>
  <si>
    <t>Строительство участка ВЛИ 0,4кВ от опоры №41-61 ВЛ-0,4 кВ №3 ЗТП 10/0,4 кВ №41 (бесхозная) ВЛ 10 кВ №2608 от ПС 110/10 кВ А-26 и системы учета электрической энергии (мощности) на границе земельного участка для электроснабжения жилого дома заявителя Гиносян М.В., с. Кулешовка, Азовский район, Ростовская область (ориентировочная протяженность ЛЭП – 0,07 км)</t>
  </si>
  <si>
    <t>Установка прибора коммерческого учета электрической энергии (мощности) на границе земельного участка, подключенного от опоры №10-40 ВЛ-0,4 кВ №3 КТП 10/0,4 кВ №10 по ВЛ 10 кВ №3125 ПС 110/35/10 кВ А-31 для технологического присоединения энергопринимающих устройств жилого дома Заявителя Резниковой Е.А.,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</si>
  <si>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№162-13 ВЛ 0,4 кВ №2 КТП 10/0,4кВ №162 ВЛ 10кВ №1101 ПС 35/10 кВ А-11 для технологического присоединения энергопринимающих устройств жилого дома Заявителя Фисенко П.В., с. Кагальник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</si>
  <si>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№187-12 ВЛ 0,4кВ №4 КТП 10/0,4 кВ №187 ВЛ 10кВ №106Н ПС 110/6/10 кВ НС-1 для технологического присоединения энергопринимающих устройств жилого дома Заявителя Терещенко И.О., ДНТ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</si>
  <si>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№211-266 ВЛ 0,4 кВ №5 КТП 10/0,4кВ №211 ВЛ 10кВ №910 ПС 35/10 кВ А-9 для технологического присоединения энергопринимающих устройств жилого дома Заявителя Квиринг К.В., ДНТ «Южное»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</si>
  <si>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№27-6 ВЛ 0,4 кВ №1 КТП 10/0,4кВ №27 ВЛ 10кВ №1815 ПС 35/10 кВ А-18 для технологического присоединения энергопринимающих устройств жилого дома Заявителя Скрипникова Б.А., х. Городище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</si>
  <si>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№329-9 ВЛ 0,4 кВ №1 КТП 10/0,4кВ №329 ВЛ 10кВ №106Н ПС 110/6/10 кВ НС-1 для технологического присоединения энергопринимающих устройств жилого дома Заявителя Файзуллоева Б.Н., СХА(К) Кулешовское поле III 0,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</si>
  <si>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№329-9 ВЛ 0,4 кВ №1 КТП 10/0,4кВ №329 ВЛ 10кВ №106Н ПС 110/6/10 кВ НС-1 для технологического присоединения энергопринимающих устройств жилого дома Заявителя Пушкаренко Д.А., ТСН «СНТ Белгорос»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</si>
  <si>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№381-31 ВЛ 0,4кВ №1 КТП 10/0,4 кВ №381 ВЛ 10кВ №106Н ПС 110/6/10 кВ НС-1 для технологического присоединения энергопринимающих устройств жилого дома Заявителя Казарян Л.К., ДНТ СН «Кулешовка-2»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</si>
  <si>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№38-49 ВЛ 0,4 кВ №1 КТП 10/0,4кВ №38 ВЛ 10кВ №106Н ПС 110/6/10 кВ НС-1 для технологического присоединения энергопринимающих устройств жилого дома Заявителя Тимофеева В.И., п. 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</si>
  <si>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№б/н ВЛ 0,4кВ КТП 10/0,4 кВ №279 (балансовая принадлежность ИП Усачев В.И. (п. Беловодье) по ВЛ-10кВ №1815 ПС 35/10 кВ А-18 для технологического присоединения энергопринимающих устройств жилого дома Заявителя Скорой Л.В., х. Обуховка Азовский район, Ростовская область (1 шт.)</t>
  </si>
  <si>
    <t>Строительство участка ВЛ-0,4кВ от оп. №32-104 ВЛ-0,4кВ №1 КТП 10/0,4кВ № 32 ВЛ 10кВ № 2907 РП-29 ПС 35/10 кВ А-18 и системы учета электрической энергии (мощности) на границе земельного участка для электроснабжения жилого дома заявителя Галкиной Р.А., Ростовская область, Азовский р-н, х. Коса (ориентировочная протяженность ЛЭП – 0,060 км)</t>
  </si>
  <si>
    <t>Установка прибора коммерческого учета электрической энергии (мощности) на границе земельного участка, подключенного от опоры №239-58 ВЛ 0,4 кВ №2 КТП 10/0,4кВ №239 ВЛ 10кВ №106Н ПС 110/6/10 кВ НС-1 для технологического присоединения энергопринимающих устройств жилого дома Заявителя Богдановой Я.А., п.Овощной,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</si>
  <si>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№212-92 ВЛ 0,4 кВ №4 КТП 10/0,4кВ №212 ВЛ 10кВ №910 ПС 35/10 кВ А-9 для технологического присоединения энергопринимающих устройств жилого дома Заявителя Гагуновой Л.В., СНТ «Южное»,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</si>
  <si>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№33-32 ВЛ 0,4 кВ №2 КТП 10/0,4кВ №33 ВЛ 10кВ №2907 РП-29 ПС 35/10 кВ А-18 для технологического присоединения энергопринимающих устройств жилого дома Заявителя Ирхиной Н.А., х. Коса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</si>
  <si>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№105-86 ВЛ 0,4 кВ №1 КТП 10/0,4кВ №105 ВЛ 10кВ №2608 ПС 110/10 кВ А-26 для технологического присоединения энергопринимающих устройств жилого дома Заявителя Каримова Р.Р., х. Новоалександровка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</si>
  <si>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№66-37 ВЛ 0,4 кВ №2 КТП 10/0,4кВ №66 ВЛ 10кВ №307Н ПС 110/35/6/10 кВ НС-3 для технологического присоединения энергопринимающих устройств жилого дома Заявителя Кийко Р.И., х. Зеленый Мыс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</si>
  <si>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№97-36 ВЛ 0,4 кВ №2 КТП 10/0,4кВ №97 ВЛ 10кВ №1101 ПС 35/10 кВ А-11 для технологического присоединения энергопринимающих устройств жилого дома Заявителя Колесникова И.Н., с. Кагальник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</si>
  <si>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№239-111 ВЛ-0,4 кВ №4 КТП 10/0,4кВ №239 ВЛ-10кВ №106Н ПС 110/6/10 кВ НС-1 для технологического присоединения энергопринимающих устройств жилого дома Заявителя Кривонос Д.В., п.Овощной,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</si>
  <si>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№184-32 ВЛ-0,4 кВ №3 КТП 10/0,4 кВ №184 по ВЛ 10 кВ №3113 ПС 110/35/10 кВ А-31 для технологического присоединения энергопринимающих устройств жилого дома Заявителя Кузьменко В.Ю., с.Пешково, Азовский район, Ростовская область (1 шт.) (по дог.ТП 61-1-21-00622995 от 29.12.2021)</t>
  </si>
  <si>
    <t>Установка прибора коммерческого учета электрической энергии (мощности) на границе земельного участка, подключенного от опоры №184-32 ВЛ-0,4 кВ №3 КТП 10/0,4 кВ №184 по ВЛ 10 кВ №3113 ПС 110/35/10 кВ А-31 для технологического присоединения энергопринимающих устройств жилого дома Заявителя Кузьменко В.Ю., с.Пешково, Азовский район, Ростовская область (1 шт.) (по дог.ТП 61-1-21-00623007 от 29.12.2021)</t>
  </si>
  <si>
    <t>Установка прибора коммерческого учета электрической энергии (мощности) на границе земельного участка, подключенного от опоры №89-65 ВЛ 0,4 кВ №1 КТП 10/0,4кВ №89 ВЛ 10кВ №1014 ПС 110/35/10 кВ Самарская для технологического присоединения энергопринимающих устройств жилого дома Заявителя Лавруковой Ю.С., х. Ельбузд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</si>
  <si>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№358-15 ВЛ 0,4 кВ №2 КТП 10/0,4кВ №358 ВЛ 10кВ №202Н ПС 110/6/10 кВ НС-2 для технологического присоединения энергопринимающих устройств жилого дома Заявителя Лаптевой А.А., ЗАО Обильное,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</si>
  <si>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№27-22 ВЛ 0,4 кВ №1 КТП 10/0,4кВ №27 ВЛ 10кВ №1815 ПС 35/10 кВ А-18 для технологического присоединения энергопринимающих устройств жилого дома Заявителя Личкановской Н.Л., х.Городище,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</si>
  <si>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№36-40 ВЛ-0,4 кВ №2 КТП 10/0,4 кВ №36 по ВЛ 10 кВ №1702 ПС 35/10 кВ А-17 для технологического присоединения энергопринимающих устройств жилого дома Заявителя Макарова А.А., с. Стефанидинодар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</si>
  <si>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№185-62/24 ВЛ-0,4кВ №4 КТП 10/0,4 кВ №185 ВЛ-10кВ №106Н ПС 110/6/10 кВ НС-1 для технологического присоединения энергопринимающих устройств жилого дома Заявителя Пантелеевой Н.В., ДНТ «Эдем»,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</si>
  <si>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№334-26 ВЛ-0,4 кВ №1 КТП 10/0,4 кВ №334 по ВЛ 10 кВ №202Н ПС 110/6/10 кВ НС-2 для технологического присоединения энергопринимающих устройств жилого дома Заявителя Пелевец Н.А., ЗАО Обильное,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</si>
  <si>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№316-8 ВЛ 0,4 кВ №1 МТП 10/0,4кВ №316 ВЛ 10кВ №211 ПС 35/10 кВ А-2 для технологического присоединения энергопринимающих устройств жилого дома Заявителя Рыбак М.В., 2,9 км на восток от пункта ГГС "Красногоровка" (СХКА им ХХ Партсъезда поле №8,9),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</si>
  <si>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№111-73 ВЛ-0,4 кВ №3 КТП 10/0,4 кВ №111 по ВЛ 10 кВ №3113 ПС 110/35/10 кВ А-31 для технологического присоединения энергопринимающих устройств жилого дома Заявителя Рыжаковой Ю.Н.,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</si>
  <si>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№185-43 ВЛ-0,4 кВ №2 КТП 10/0,4 кВ №185 по ВЛ 10 кВ №3125 ПС 110/35/10 кВ А-31 для технологического присоединения энергопринимающих устройств жилого дома Заявителя Таранова В.В.,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</si>
  <si>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№97-38 ВЛ 0,4 кВ №2 КТП 10/0,4кВ №97 ВЛ 10кВ №1101 ПС 35/10 кВ А-11 для технологического присоединения энергопринимающих устройств жилого дома Заявителя Чайкиной М.П., с. Кагальник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</si>
  <si>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№71-8 ВЛ 0,4 кВ №1 КТП 10/0,4кВ №71 ВЛ 10кВ №105Н ПС 110/6/10 кВ НС-1 для технологического присоединения энергопринимающих устройств жилого дома Заявителя Шаповал Н.В., х. Усть-Койсуг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</si>
  <si>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№175-6 ВЛ 0,4 кВ №1 КТП 10/0,4кВ №175 ВЛ 10кВ №3105 ПС 110/35/10 кВ А-31 для технологического присоединения энергопринимающих устройств жилого дома Заявителя Шерозия В.Д., с.Займо-Обрыв,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</si>
  <si>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№20-2 ВЛ-0,4 №1 КТП-20 ВЛ-10 803 ПС 35 кВ ЗР8 для технологического присоединения энергопринимающих устройств магазина Заявителя ИП Ширай В.А., Ростовская область, Зерноградский р-н, х. Донской, ул. Цветной Бульвар, д. 30А (1 шт.)</t>
  </si>
  <si>
    <t>Строительство ВЛ 0,4 кВ от №311-3/8 ВЛ 0,4 кВ №3 МТП 10/0,4 кВ №311 ВЛ 10кВ №106Н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Иванова Д.Ю., СХА "Кулешовское" поле III о, Азовский район, Ростовская область (ориентировочная протяженность ЛЭП – 0,03 км)</t>
  </si>
  <si>
    <t>Установка прибора коммерческого учета электрической энергии (мощности) на границе земельного участка, подключенного от опоры №92-20 ВЛ 0,4 №1 КТП-92 ВЛ-10 415 ПС 35 кВ КГ4 для технологического присоединения энергопринимающих устройств жилого дома Заявителя Ивченко В.А., Ростовская область, Кагальницкий р-н, с.Иваново-Шамшево, к.н: 61:14:030305:0001 (1 шт.)</t>
  </si>
  <si>
    <t>Строительство ВЛ 0,4 кВ от проектируемой ВЛ 0,4 кВ (по договору ТП № 61-1-21-00580865 от 10.06.2021 г.) КТП 10/0,4 кВ №6 ВЛ-10 кВ №3113 от ПС 110/35/10 кВ А-31 и установка коммерческого учета электрической энергии (мощности) на границе земельных участков для электроснабжения нежилого здания заявителя ИП Старикова В.В., с. Пешково, Азовский р-он Ростовская область (ориентировочная протяженность ЛЭП – 0,08 км</t>
  </si>
  <si>
    <t xml:space="preserve">Установка прибора коммерческого учета электрической энергии (мощности) на границе земельного участка, подключенного от опоры №28-126 ВЛ 0,4 №4 от ЗТП10 /0,4 №28 ВЛ-10 №313 ПС 35/10 кВ КГ3 для технологического присоединения энергопринимающих устройств объекта торговли Заявителя ИП Бондарь В.С., Ростовская область, Кагальницкий р-н, ст. Кировская, к.н: 61:14:0050130:86  (1 шт.)
</t>
  </si>
  <si>
    <t xml:space="preserve">Установка прибора коммерческого учета электрической энергии (мощности) на границе земельного участка, подключенного от оп. №1-18 ВЛ-10 1507 от ПС 110 кВ ЗР15 (принадлежностью филиала ПАО «Россети Юг»-«Ростовэнерго»); КТП, ВЛ-0,4 (принадлежность ИП Харьковская А.А.; ООО «Ремстрой») для технологического присоединения энергопринимающих устройств складского здания Заявителя ООО «Амида», Ростовская обл., Зерноградский р-н, г. Зерноград к.н. 61:12:0040102:771 (1 шт.)
</t>
  </si>
  <si>
    <t>Строительство ВЛ 0,4 кВ от опоры №10-21 ВЛ-0,4 кВ №1 КТП 10/0,4 кВ №10 ВЛ-10 кВ №3125 ПС 110/35/10 кВ А-31 и установка коммерческого учета электрической энергии (мощности) на границе земельного участка для электроснабжения жилого дома заявителя Сониной Л.В., с.Пешково, Азовский район, Ростовская область (ориентировочная протяженность ЛЭП – 0,09 км)</t>
  </si>
  <si>
    <t>Строительство ВЛ 0,4 кВ от проектируемой ВЛ 0,4 кВ (по договору ТП № 61-1-21-00597887 от 03.09.2021г с заявителем Томышевой А.С.) ТП 10/0,4 кВ №329 ВЛ-10 кВ №106Н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Шарипова Х.И., ДНТ «Виктория», Азовский р-он Ростовская область (ориентировочная протяженность ЛЭП – 0,075 км)</t>
  </si>
  <si>
    <t>Строительство ВЛИ 0,4 кВ от РУ 0,4 кВ КТП 10/0,4 кВ №74 ВЛ 10 кВ №405 ПС 35/10 кВ Е-4 и установка коммерческого учета электрической энергии (мощности) на границе земельного участка для электроснабжения нежилого здания заявителя Грекова В.Н., Егорлыкский район, Ростовская область, к.н. 61:10:0600010:2221 (ориентировочная протяженность ЛЭП – 0,220 км)</t>
  </si>
  <si>
    <t>Строительство ВЛИ 0,4 кВ от оп.78-16 кВ ВЛ-0,4кВ № 1 КТП-78 ВЛ 10 № 507 ПС 35 кВ Е-5 и установка коммерческого учета электрической энергии (мощности) на границе земельного участка для электроснабжения жилого дома заявителя Чернышова А.Ю., х.Дудукалов, Егорлыкский район, Ростовская область, к.н. 61:10:0080201:129 (ориентировочная протяженность ЛЭП – 0,017 км)</t>
  </si>
  <si>
    <t>Установка прибора коммерческого учета электрической энергии (мощности) на границе земельного участка, подключенного от опоры №32-16 ВЛ-0,4 №1 КТП-32 ВЛ-10 1402 ПС 35 кВ ЗР14 для технологического присоединения  энергопринимающих устройств ремонтной мастерской Заявителя Быстрова Л.А. Ростовская область, Зерноградский р-н, с. Светлоречное, ул. Мира д.18Б к.н. 61:12:0020201:1404 (1 шт.)</t>
  </si>
  <si>
    <t>Установка прибора коммерческого учета электрической энергии (мощности) на границе земельного участка, подключенного от опоры №52-68 ВЛ-0,4 №2 КТП-52 ВЛ-10 319 от ПС 35 кВ КГ3 для технологического присоединения энергопринимающих устройств жилого дома Заявителя Веевник Е.Н., Ростовская обл., Кагальницкий, ст. Кировская к.н. 61:14:0050138:62 (1 шт.)</t>
  </si>
  <si>
    <t>Установка прибора коммерческого учета электрической энергии (мощности) на границе земельного участка, подключенного от опоры №162-36 ВЛ-0,4 №2 КТП-162 ВЛ-10 605 ПС 35 кВ КГ6 для технологического присоединения  энергопринимающих устройств жилого дома Заявителя Веселов А.В. Ростовская область, Кагальницкий р-н, с. Новобатайск, ул. Ленина д.92А к.н. 61:14:0040122:338 (1 шт.)</t>
  </si>
  <si>
    <t>Установка прибора коммерческого учета электрической энергии (мощности) на границе земельного участка, подключенного от опоры №66-35   ВЛ-0,4 № 1 КТП-66 ВЛ-10 319  ПС 35 кВ КГ3 для технологического присоединения энергопринимающих устройств жилого дома Заявителя Головачева А.В., Ростовская область, Кагальницкий   р-н, п. Малодубравный пер. Победный д.2 ,  к.н. земельного участка: 61:14:0600019:3291(1 шт.)</t>
  </si>
  <si>
    <t>Установка прибора коммерческого учета электрической энергии (мощности) на границе земельного участка, подключенного от опоры №8-34   ВЛ-0,4 №1 КТП-8 ВЛ-10 305  ПС 35 кВ КГ3 для технологического присоединения энергопринимающих устройств нежилой застройки Заявителя Зайцев А.П., Ростовская область, Кагальницкий   р-н, п. Глубокий Яр  к.н.: 61:14:0050301:216 (1 шт.)</t>
  </si>
  <si>
    <t>Установка прибора коммерческого учета электрической энергии (мощности) на границе земельного участка, подключенного от опоры №18-5 ВЛ-0,4 №1 КТП-18 ВЛ-10 605 ПС 35 кВ КГ6 для технологического присоединения  энергопринимающих устройств нежилой застройки Заявителя Клименко В.М. Ростовская область, Кагальницкий р-н, с. Новобатайск, ул. Ленина д.66А к.н. 61:14:0040158:6 (1 шт.)</t>
  </si>
  <si>
    <t>Установка прибора коммерческого учета электрической энергии (мощности) на границе земельного участка, подключенного от опоры №128-18 ВЛ-0,4 №1 КТП-128 ВЛ-10 313 ПС 35 кВ КГ3 для технологического присоединения  энергопринимающих устройств жилого дома Заявителя Кольцов С.А. Ростовская область, Кагальницкий р-н, ст. Кировская, ул. Павлова д.8А к.н. 61:14:0050106:327 (1 шт.)</t>
  </si>
  <si>
    <t>Установка прибора коммерческого учета электрической энергии (мощности) на границе земельного участка, подключенного от опоры №148-17 ВЛ-0,4 №1 КТП-148 ВЛ-10 202 ПС 110 кВ Краснолучинская для технологического присоединения  энергопринимающих устройств ЛПХ Заявителя Лебедев В.В. Ростовская область, Зерноградский р-н, с. Новокузнецовка, ул. Свободы д.8 к.н. 61:12:0080101:8 (1 шт.)</t>
  </si>
  <si>
    <t>Установка прибора коммерческого учета электрической энергии (мощности) на границе земельного участка, подключенного от опоры №42-13   ВЛ-0,4 № 1 КТП-42 ВЛ-10 515  ПС 35 кВ ЗР5 для технологического присоединения  энергопринимающих устройств фоторадарного комплекса Заявителя Министрство транспорта РО.,  Ростовская область, Зерноградский р-н. х. Гуляй-Борисовка –п. Нижнекугоейский,  к.н. земельного участка: 61:12:0000000:1355 (1 шт.)</t>
  </si>
  <si>
    <t>Установка прибора коммерческого учета электрической энергии (мощности) на границе земельного участка, подключенного от опоры №218-40 ВЛ-0,4 №2 КТП-218 ВЛ-10 605 ПС 35 кВ КГ6 для технологического присоединения  энергопринимающих устройств жилого дома Заявителя Мисько А.П. Ростовская область, Кагальницкий р-н, с. Новобатайск, пер. Лермонтова д.7 к.н. 61:14:0040110:104 (1 шт.)</t>
  </si>
  <si>
    <t>Установка прибора коммерческого учета электрической энергии (мощности) на границе земельного участка, подключенного от опоры №18-19 ВЛ-0,4 №2 КТП-18 ВЛ-10 605 ПС 35 кВ КГ6 для технологического присоединения  энергопринимающих устройств ЛПХ Заявителя Павленко С.П. Ростовская область, Кагальницкий р-н, с. Новобатайск, ул. Ленина д.34 к.н. 61:14:0040128:16 (1 шт.)</t>
  </si>
  <si>
    <t>Установка прибора коммерческого учета электрической энергии (мощности) на границе земельного участка, подключенного от опоры №59-2 ВЛ-0,4 №1 КТП-59 ВЛ-10 319 ПС 35 кВ КГ3 для технологического присоединения  энергопринимающих устройств жилого дома Заявителя Паладий А.П. Ростовская область, Кагальницкий р-н, х. Дачный, ул. Речная д.60 к.н. 61:14:0050401:29 (1 шт.)</t>
  </si>
  <si>
    <t>Установка прибора коммерческого учета электрической энергии (мощности) на границе земельного участка, подключенного от опоры №183-4 ВЛ-0,4 №1 КТП-183 ВЛ-10 313 ПС 35 кВ КГ3 для технологического присоединения  энергопринимающих устройств жилого дома Заявителя Попхадзе Ю.И. Ростовская область, Кагальницкий р-н, ст. Кировская, ул. Кирова д.16 к.н. 61:14:0050126:8 (1 шт.)</t>
  </si>
  <si>
    <t>Установка прибора коммерческого учета электрической энергии (мощности) на границе земельного участка, подключенного от опоры  №28-250 ВЛ-0,4  № 1 ЗТП-28  ВЛ-10  313   ПС 35 кВ КГ3 для технологического присоединения энергопринимающих устройств жилого дома Заявителя Присяжнюк А.И. Ростовская область,ст. Кировская ул. Центральная д.17 к.н. 61:14:0050126:498 (1 шт.)</t>
  </si>
  <si>
    <t>Установка прибора коммерческого учета электрической энергии (мощности) на границе земельного участка, подключенного от проектируемой опоры ВЛ 0,4 №1 КТП-41 ВЛ-10 801 ПС 35 кВ ЗР8 для технологического присоединения энергопринимающих устройств базовой станции Заявителя ПАО "Ростелеком", Ростовская обл., р-н. Зерноградский, х. Пишванов (1 шт.)</t>
  </si>
  <si>
    <t>Установка прибора коммерческого учета электрической энергии (мощности) на границе земельного участка, подключенного от опоры №3-91 ВЛ-0,4 №3 КТП-3 ВЛ-10 305 ПС 35 кВ КГ3 для технологического присоединения  энергопринимающих устройств нежилой застройки Заявителя Пухир К.Н. Ростовская область, Кагальницкий р-н, ст. Кировская, ул. Транспортная д.6 к.н. 61:14:0600020:2446 (1 шт.)</t>
  </si>
  <si>
    <t>Установка прибора коммерческого учета электрической энергии (мощности) на границе земельного участка, подключенного от опоры  №89-18 ВЛ-0,4  № 1 КТП-89  ВЛ-10  319   ПС 35 кВ КГ3 для технологического присоединения энергопринимающих устройств жилого дома Заявителя Радченко Н.И. Ростовская область, ст. Кировская ул. Рабочая д.15 к.н. 61:14:0050112:345 (1 шт.)</t>
  </si>
  <si>
    <t>Установка прибора коммерческого учета электрической энергии (мощности) на границе земельного участка, подключенного от опоры №28-219 ВЛ-0,4 №1 ЗТП-28 ВЛ-10 313 ПС 35 кВ КГ3 для технологического присоединения энергопринимающих устройств ЛПХ Заявителя Саносян В.Н. Ростовская область, Кагальницкий р-н, ст. Кировская, ул. Новостройки д.33А к.н. 61:14:0050126:507 (1 шт.)</t>
  </si>
  <si>
    <t>Установка прибора коммерческого учета электрической энергии (мощности) на границе земельного участка, подключенного от опоры №204-57 ВЛ-0,4 №2 КТП-204 ВЛ-10 605 ПС 35 кВ КГ6 для технологического присоединения  энергопринимающих устройств жилого дома Заявителя Световой Р.Н. Ростовская область, Кагальницкий р-н, с. Новобатайск, ул. Набережная д.17 к.н. 61:14:0040128:37 (1 шт.)</t>
  </si>
  <si>
    <t>Установка прибора коммерческого учета электрической энергии (мощности) на границе земельного участка, подключенного от опоры №183-4 ВЛ-0,4 №1 КТП-183 ВЛ-10 313 ПС 35 кВ КГ3 для технологического присоединения  энергопринимающих устройств жилого дома Заявителя Чапидзе Т.Д. Ростовская область, Кагальницкий р-н, ст. Кировская, ул. Кирова д.14 к.н. 61:14:0050126:133 (1 шт.)</t>
  </si>
  <si>
    <t>Установка прибора коммерческого учета электрической энергии (мощности) на границе земельного участка, подключенного от опоры №18-61 ВЛ-0,4 №3 КТП-18 ВЛ-10 104 ПС 110 кВ Звонкая для технологического присоединения  энергопринимающих устройств жилого дома Заявителя Шило М.А. Ростовская область, Кагальницкий р-н, ст. Хомутовская, ул. Верхне-Набережная д.11Б к.н. 61:14:0000000:00 (1 шт.)</t>
  </si>
  <si>
    <t>Установка прибора коммерческого учета электрической энергии (мощности) на границе земельного участка, подключенного от опоры № 99-30   ВЛ-0,4 № 2 КТП-99 ВЛ-10  114  ПС 220 кВ Зерновая для технологического присоединения энергопринимающих устройств садового дома Заявителя Штраус А.А., Ростовская область, г. Зерноград , к.н. 61:12:0600801:931 (1 шт.)</t>
  </si>
  <si>
    <t>Установка прибора коммерческого учета электрической энергии (мощности) на границе земельного участка, подключенного от опоры №28-225 ВЛ-0,4 №3 ЗТП-28 ВЛ-10 313 ПС 35 кВ КГ3 для технологического присоединения  энергопринимающих устройств жилого дома Заявителя Шульженко Н.В. Ростовская область, Кагальницкий р-н, ст. Кировская, ул. Жукова д.2А к.н. 61:14:0050129:620 (1 шт.)</t>
  </si>
  <si>
    <t>Установка прибора коммерческого учета электрической энергии (мощности) на границе земельного участка, подключенного от опоры №60-42 ВЛ-0,4 №3 КТП-60 ВЛ-10 318 ПС 35 кВ КГ3 для технологического присоединения  энергопринимающих устройств жилого дома Заявителя Айрапетян И.Э. Ростовская область, Кагальницкий р-н, х. Николаевский, ул. Луговая д.165 к.н. 61:14:0050702:106 (1 шт.)</t>
  </si>
  <si>
    <t>Установка прибора коммерческого учета электрической энергии (мощности) на границе земельного участка, подключенного от опоры№28-30 ВЛ-0,4 №1 ЗТП-28 ВЛ-10 313 ПС 35 кВ КГ3 для технологического присоединения  энергопринимающих устройств жилого дома Заявителя Авдалян Г.Э. Ростовская область, Кагальницкий р-н, ст. Кировская, ул. Космонавтов д.30 к.н. 61:14:0050126:12 (1 шт.)</t>
  </si>
  <si>
    <t>Установка прибора коммерческого учета электрической энергии (мощности) на границе земельного участка, подключенного от опоры №99-37   ВЛ-0,4 № 2 КТП-99 ВЛ-10 114  ПС 220 кВ Зерновая для технологического присоединения  энергопринимающих устройств для садового дома Заявителя Арутюнова В.О.,  Ростовская область, Зерноградский р-н. г. Зерноград,  к.н. земельного участка: 61:12:0600801:839 (1 шт.)</t>
  </si>
  <si>
    <t>Установка прибора коммерческого учета электрической энергии (мощности) на границе земельного участка, подключенного от опоры №99-37  ВЛ-0,4 №2 КТП-99 ВЛ-10 114  ПС 220 кВ Зерновая для технологического присоединения  энергопринимающих устройств садового дома Заявителя Арутюнова В.К. Ростовская область, г. Зерноград, к.н. земельного участка: 61:12:0600801:838(1 шт.)</t>
  </si>
  <si>
    <t>Установка прибора коммерческого учета электрической энергии (мощности) на границе земельного участка, подключенного от опоры №28-252 ВЛ-0,4 №1 ЗТП-28 ВЛ-10 313 ПС 35 кВ КГ3 для технологического присоединения  энергопринимающих устройств жилого дома Заявителя Аристакесян А.А. Ростовская область, Кагальницкий р-н, ст. Кировская, ул. Новостройки д.14А к.н. 61:14:0050126:505 (1 шт.)</t>
  </si>
  <si>
    <t>Установка прибора коммерческого учета электрической энергии (мощности) на границе земельного участка, подключенного от опоры №28-287 ВЛ-0,4 №1 ЗТП-28 ВЛ-10 313 ПС 35 кВ КГ3 для технологического присоединения  энергопринимающих устройств ЛПХ Заявителя Аристакесян С.А. Ростовская область, Кагальницкий р-н, ст. Кировская, ул. Космонавтов д.34 к.н. 61:14:0050126:497 (1 шт.)</t>
  </si>
  <si>
    <t>Установка прибора коммерческого учета электрической энергии (мощности) на границе земельного участка, подключенного от опоры №29-33 ВЛ-0,4 №2 КТП-29 ВЛ-10 605 ПС 35 кВ КГ6 для технологического присоединения  энергопринимающих устройств жилого дома Заявителя Баженов А.В. Ростовская область, Кагальницкий р-н, с. Новобатайск, пер. Свердлова д.51 кв.2 к.н. 61:14:0040139:85 (1 шт.)</t>
  </si>
  <si>
    <t>Установка прибора коммерческого учета электрической энергии (мощности) на границе земельного участка, подключенного от опоры №204-62 ВЛ-0,4 №2 КТП-204 ВЛ-10 605 ПС 35 кВ КГ6 для технологического присоединения  энергопринимающих устройств жилого дома Заявителя Быков Б.А. Ростовская область, Кагальницкий р-н, с. Новобатайск, ул. Набережная д.5 к.н. 61:14:0040128:3 (1 шт.)</t>
  </si>
  <si>
    <t>Установка прибора коммерческого учета электрической энергии (мощности) на границе земельного участка, подключенного от опоры  № 290-9 ВЛ-0,4  № 1 КТП-290  ВЛ-10  908   ПС 110кВ Балко-Грузская для технологического присоединения энергопринимающих устройств жилого дома Заявителя Горбенко Г.Л., Ростовская область, Егорлыкский  р-н, х. Мирный,  к.н. земельного участка: 61:10:0020301:3258 (1 шт.)</t>
  </si>
  <si>
    <t>Установка прибора коммерческого учета электрической энергии (мощности) на границе земельного участка, подключенного от опоры  № 172-22   ВЛ-0,4 № 1 КТП-172 ВЛ-10  904  ПС 110 кВ Балко-Грузская для технологического присоединения энергопринимающих устройств жилого дома Заявителя Бойченко В.А., Ростовская область, Егорлыкский  р-н, х. Балко-Грузский,  к.н. земельного участка: 61:10:0020101:785 (1 шт.)</t>
  </si>
  <si>
    <t>Установка прибора коммерческого учета электрической энергии (мощности) на границе земельного участка, подключенного от опоры № 114-47   ВЛ-0,4 № 1 КТП-114 ВЛ-10  801  ПС 110 кВ Роговская для технологического присоединения  энергопринимающих устройств административного/офисного здания Заявителя АО «Почта России» Ростовская область, Егорлыкский  р-н, п. Роговский, ул. Им Сергея Пешеходько, д. 29,  к.н. земельного участка: 61:10:0110101:1355 (1 шт.)</t>
  </si>
  <si>
    <t>Установка прибора коммерческого учета электрической энергии (мощности) на границе земельного участка, подключенного от опоры № 290-38  ВЛ-0,4 № 4 КТП-290 ВЛ-10  908  ПС 110 кВ Балко-Грузская для технологического присоединения  энергопринимающих устройств административного/офисного здания Заявителя АО «Почта России» Ростовская область, Егорлыкский  р-н, х. Мирный, ул. Почтовая,  д. 10, к.н. земельного участка: 61:10:0020301:1482 (1 шт.)</t>
  </si>
  <si>
    <t>Установка прибора коммерческого учета электрической энергии (мощности) на границе земельного участка, подключенного от опоры  № 432-12   ВЛ-0,4 № 1 КТП-432 ВЛ-10  605  ПС 35 кВ Е-6 для технологического присоединения  энергопринимающих устройств административного/офисного здания Заявителя АО «Почта России» Ростовская область, Егорлыкский  р-н, х. Кавалерский, ул. Ленина,  д. 33 , кадастровый номер земельного участка: 61:10:0060101:3182 (1 шт)</t>
  </si>
  <si>
    <t>Установка прибора коммерческого учета электрической энергии (мощности) на границе земельного участка, подключенного от опоры № 73-40  ВЛ-0,4 № 3 КТП-73 ВЛ-10  405  ПС 35 кВ Е-4для технологического присоединения  энергопринимающих устройств административного/офисного здания Заявителя АО «Почта России» Ростовская область, Егорлыкский  р-н, х. Кугейский, ул. Октябрьская,  д. 31, кадастровый номер земельного участка: 61:10:0050101:1436 (1 шт)</t>
  </si>
  <si>
    <t>Строительство участка ВЛИ 0,4кВ от опоры №3-15 ВЛ-0,4 кВ №1 КТП 10/0,4 кВ №3 ВЛ-10кВ №2903 РП-29 ПС 35/10 кВ «А-18» и системы учета электрической энергии (мощности) на границе земельного участка для электроснабжения жилого дома заявителя Берко А.С., х. Обуховка, Азовский район, Ростовская область (ориентировочная протяженность ЛЭП – 0,03 км)</t>
  </si>
  <si>
    <t>Строительство участка ВЛИ 0,4кВ от опоры №190-3 ВЛ 0,4 кВ №1 КТП 10/0,4 кВ №190 ВЛ 10 кВ №3113 от ПС 110/35/10 кВ А-31 и системы учета электрической энергии (мощности) на границе земельного участка для электроснабжения жилого дома заявителя Сементяевой И.А., с. Пешково, Азовский район, Ростовская область (ориентировочная протяженность ЛЭП – 0,130 км)</t>
  </si>
  <si>
    <t>Установка прибора коммерческого учета электрической энергии (мощности) на границе земельного участка, подключенного от опоры №16-61 ВЛ 0,4кВ №2 КТП 10/0,4 кВ №16 ВЛ 10кВ №2608 ПС 110/10 кВ А-26 для технологического присоединения энергопринимающих устройств жилого дома Заявителя Ольшанского С.В.,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</si>
  <si>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№240-167 ВЛ-0,4 кВ №3 КТП 10/0,4кВ №240 ВЛ-10кВ №106Н ПС 110/6/10 кВ НС-1 для технологического присоединения энергопринимающих устройств жилого дома Заявителя Немашкало К.Г., п. 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</si>
  <si>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№17-92 ВЛ-0,4 кВ №3 КТП 10/0,4 кВ №17 по ВЛ 10 кВ №107Н ПС 110/6/10 кВ НС-1 для технологического присоединения энергопринимающих устройств жилого дома Заявителя Авдеевой И.В., п.Овощной,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</si>
  <si>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№34-49 ВЛ 0,4 кВ №3 КТП 10/0,4кВ №34 ВЛ 10кВ №1904 РП-19 ПС 110/35/10 кВ Самарская для технологического присоединения энергопринимающих устройств жилого дома Заявителя Варданяна А.Л., с. Новотроицкое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</si>
  <si>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№105-9 ВЛ 0,4 кВ №1 КТП 10/0,4кВ №105 ВЛ 10кВ №2608 ПС 110/10 кВ А-26 для технологического присоединения энергопринимающих устройств жилого дома Заявителя Даргис Г.В., х. Новоалександровка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</si>
  <si>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№219-24 ВЛ-0,4 кВ №1 КТП 10/0,4 кВ №219 по ВЛ 10 кВ №901 ПС 35/10 кВ А-9 для технологического присоединения энергопринимающих устройств жилого дома Заявителя Иванова С.Н., с. Высочино,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</si>
  <si>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№49-13 ВЛ-0,4 кВ №1 КТП 10/0,4 кВ №49 по ВЛ 10 кВ №2608 ПС 110/10 кВ А-26 для технологического присоединения энергопринимающих устройств объекта торговли Заявителя ИП Кутровская Н.В.,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</si>
  <si>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№157-21 ВЛ 0,4 кВ №2 КТП 10/0,4кВ №157 ВЛ 10кВ №301Н ПС 110/6/10 кВ НС-3 для технологического присоединения энергопринимающих устройств жилого дома Заявителя Мустафаева А.Ш., х. Песчаный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</si>
  <si>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№34-31 ВЛ 0,4 кВ №3 КТП 10/0,4кВ №34 ВЛ 10кВ №1904 РП-19 ПС 110/35/10 кВ Самарская для технологического присоединения энергопринимающих устройств жилого дома Заявителя Осиповой Г.А., с. Новотроицкое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</si>
  <si>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№55-60 ВЛ 0,4 кВ №3 КТП 10/0,4кВ №55 ВЛ 10кВ №1019 ПС 110/35/10 кВ Самарская для технологического присоединения энергопринимающих устройств жилого дома Заявителя Пя Л.А., х. Победа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</si>
  <si>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№358-3 ВЛ-0,4 кВ №1 КТП 10/0,4 кВ №358 по ВЛ 10 кВ №202Н ПС 110/6/10 кВ НС-2 для технологического присоединения энергопринимающих устройств жилого дома Заявителя Фадеева В.Е., ЗАО «Обильное», Азовский район, Ростовская область (1 шт.)</t>
  </si>
  <si>
    <t>Строительство ВЛ 0,4 кВ от №390-3 ВЛ-0,4 кВ №1 КТП 6/0,4 кВ №390 ВЛ-6 кВ №10701 ПС 110/35/6 кВ А-1 и установка коммерческого учета электрической энергии (мощности) на границе земельного участка для электроснабжения жилого дома заявителя Тужакова С.П., г. Азов, Азовский район, Ростовская область (ориентировочная протяженность ЛЭП – 0,05 км)</t>
  </si>
  <si>
    <t>Строительство ВЛ 0,4 кВ от опоры №390-3 ВЛ-0,4 кВ №1 КТП 6/0,4 кВ №390 ВЛ-6 кВ №10701 ПС 110/35/6 кВ А-1 и установка коммерческого учета электрической энергии (мощности) на границе земельного участка для электроснабжения жилого дома заявителя Авсециной О.В., г.Азов, Городской округ «Город Азов», Ростовская область (ориентировочная протяженность ЛЭП – 0,065 км)</t>
  </si>
  <si>
    <t>Строительство ВЛ 0,4 кВ от опоры №205-46 ВЛ 0,4 кВ №2 КТП 10/0,4 кВ №205 ВЛ 10 кВ 3127 ПС 110/35/10 кВ А-31 и установка коммерческого учета электрической энергии (мощности) на границе земельного участка для электроснабжения нежилой застройки заявителя Шелест Н.А., с. Кагальник, Азовский район, Ростовская область (ориентировочная протяженность ЛЭП – 0,04 км)</t>
  </si>
  <si>
    <t>Установка прибора коммерческого учета электрической энергии (мощности) на границе земельного участка, подключенного от опоры №40-77 ВЛ 0,4 кВ №1 КТП 10/0,4кВ №40 ВЛ 10кВ №1802 ПС 35/10 кВ А-18 для технологического присоединения энергопринимающих устройств жилого дома Заявителя Барсуковой М.И., х.Рогожкино, Азовский район, Ростовская область, кадастровый (условный) номер объекта: 61:01:0160101:1451(1 шт.)</t>
  </si>
  <si>
    <t>Установка прибора коммерческого учета электрической энергии (мощности) на границе земельного участка, подключенного от опоры №212-93 ВЛ 0,4 кВ №4 КТП 10/0,4кВ №212 ВЛ 10кВ №910 ПС 35/10 кВ А-9 для технологического присоединения энергопринимающих устройств жилого дома Заявителя Дорошенко Р.В., г.Азов, Ростовская область, кадастровый (условный) номер объекта: 61:45:0000380:479 (1 шт.)</t>
  </si>
  <si>
    <t>Установка прибора коммерческого учета электрической энергии (мощности) на границе земельного участка, подключенного от опоры №151-15 ВЛ 0,4 кВ №1 КТП 10/0,4кВ №151 ВЛ 10кВ №505 ПС 35/10 кВ А-5 для технологического присоединения энергопринимающих устройств жилого дома Заявителя Котова В.И., с. Отрадовка, Азовский район, Ростовская область, к.н. 61:01:0120101:284:97 (1 шт.)</t>
  </si>
  <si>
    <t>Установка прибора коммерческого учета электрической энергии (мощности) на границе земельного участка, подключенного от опоры №311-3/8 ВЛ 0,4 кВ №2 КТП 10/0,4кВ №311 ВЛ 10кВ №106Н ПС 110/6/10 кВ НС-1 для технологического присоединения энергопринимающих устройств жилого дома Заявителя Мулоабдуева А.Ф., ТСН «СНТ Белгорос», Азовский район, Ростовская область, к.н. 61:01:0600006:4965 (1 шт.)</t>
  </si>
  <si>
    <t>Установка прибора коммерческого учета электрической энергии (мощности) на границе земельного участка, подключенного от опоры №103-33 ВЛ 0,4 кВ №2 КТП 10/0,4кВ №103 ВЛ 10кВ №2608 ПС 110/10 кВ А-26 для технологического присоединения энергопринимающих устройств жилого дома Заявителя Романенко Д.В., с. Кулешовка, Азовский район, Ростовская область, к.н. 61:01:0090102:2158 (1 шт.)</t>
  </si>
  <si>
    <t>Установка прибора коммерческого учета электрической энергии (мощности) на границе земельного участка, подключенного от опоры №74-65 ВЛ 0,4 №3 КТП-74 ВЛ-10 1107 ПС 35 кВ ЗР11 для технологического присоединения энергопринимающих устройств жилого дома Заявителя Кривощековой Н.В., Ростовская область, Зерноградский р-н, с. Новоивановка, к.н: 61:12:010801:0081 (1 шт.)</t>
  </si>
  <si>
    <t>Строительство участка ВЛИ-0,4кВ от опоры №95-13 ВЛ-0,4 КТП-95 ВЛ-10кВ № 1106 ПС 35кВ Е-11 установленных в рамках исполнения договора ТП 61-1-21-00597631, с заявителем ИП Волгиным В.С. и установка системы учета электрической энергии (мощности) на границе земельного участка для электроснабжения нежилого здания (навес) заявителя ИП Дорганова Н.Н., х.Изобильный, Егорлыкский р-он, Ростовская область (ориентировочная протяженность ЛЭП – 0,105 км)</t>
  </si>
  <si>
    <t>Строительство участка ВЛИ 0,4 кВ от оп. №191-8 ВЛ-0,4 №1 от КТП-191 по ВЛ-10 318 ПС 35 кВ КГ3 и системы учета электрической энергии (мощности) на границе земельного участка для электроснабжения жилого дома заявителя Попхадзе И.Г., Ростовская область, Кагальницкий р-н, ст. Кировская, к.н. 61:14:0050131:667 (ориентировочная протяженность ВЛИ-0,4 – 0,04 км)</t>
  </si>
  <si>
    <t>Строительство ВЛИ 0,4 кВ от оп.77-23 кВ ВЛ-0,4кВ № 1 КТП-77 ВЛ 10 № 313 ПС 35 кВ КГ3 и установка коммерческого учета электрической энергии (мощности) на границе земельного участка для электроснабжения ЛПХ заявителя Фащеева А.С., ст. Кировская, Кагальницкий район, Ростовская область, к.н. 61:14:0050103:21 (ориентировочная протяженность ЛЭП – 0,11 км)</t>
  </si>
  <si>
    <t>Строительство ЛЭП 10 кВ от опоры № 159 по ВЛ 10 кВ 1507 ПС 110/10кВ ЗР15, ТП 10/0,4 кВ, ЛЭП 0,4 кВ и установка системы учета электрической энергии (мощности) на границе земельного участка для электроснабжения здания проходной заявителя ИП Харьковской А.А., Ростовская область, г. Зерноград, к.н. 61:12:0040102:422 (ориентировочная протяженность ЛЭП– 0,045 км, ориентировочная трансформаторная мощность – 0,250 МВА)</t>
  </si>
  <si>
    <t>Строительство участка ВЛИ-0,4кВ от  опоры №211-47 ВЛ-0,4кВ № 1  КТП-211 ВЛ-10кВ № 612 ПС 35кВ Е-6  и установка системы учета электрической энергии (мощности) на границе земельного участка для электроснабжения Церкви Святого Саркиса Святой Армянской Апостольской Православной Церкви заявителя Местная религиозная организация Святой Армянской Апостольской Православной Церкви., х.Шаумяновский, Егорлыкский р-он, Ростовская область (ориентировочная протяженность ЛЭП – 0,016 км)</t>
  </si>
  <si>
    <t>Установка прибора коммерческого учета электрической энергии (мощности) на границе земельного участка, подключенного от опоры №30-31 ВЛ-0,4 №1 КТП-30 ВЛ-10 205 ПС 35кВ КГ2 для технологического присоединения энергопринимающих устройств ЛПХ Заявителя Богданенко С.Ф., Ростовская обл. Кагальницкий р-н. п. Светлый Яр, ул. Речная  д.3 к.н. 61:14:0020301:52 (1 шт.)</t>
  </si>
  <si>
    <t>Установка прибора коммерческого учета электрической энергии (мощности) на границе земельного участка, подключенного от РУ-0,4 ЗТП-36 ВЛ-10 803 ПС 35 кВ ЗР8 для технологического присоединения энергопринимающих устройств административного здания Заявителя АО «Почта России», Ростовская область, Зерноградский р-н, х. Донской, ул. Цветной Бульвар, д.26 к.н. 61:12:0080207:330 (1 шт.)</t>
  </si>
  <si>
    <t>Установка прибора коммерческого учета электрической энергии (мощности) на границе земельного участка, подключенного опоры №5-40 ВЛ-0,4 №3 КТП-5 ВЛ-10 602 ПС 35 кВ ЗР6 для технологического присоединения энергопринимающих устройств административного здания Заявителя АО «Почта России», Ростовская область, Зерноградский р-н, х. Чернышевка, ул. Торговая д.7 п.1 к.н. 61:12:0090114:474 (1 шт.)</t>
  </si>
  <si>
    <t>Установка прибора коммерческого учета электрической энергии (мощности) на границе земельного участка, подключенного от опоры №41-8 ВЛ-0,4 №1 КТП-41 ВЛ-10 801 от ПС 35 кВ ЗР8 для технологического присоединения энергопринимающих устройств ЛПХ Заявителя Бережной Е.В., Ростовская обл., Зерноградский р-н, х. Пишванов к.н. 61:12:0080302:93 (1 шт.)</t>
  </si>
  <si>
    <t>Установка прибора коммерческого учета электрической энергии (мощности) на границе земельного участка, подключенного от опоры №83-175 ВЛ-0,4 №2 КТП-83 ВЛ-10 415 ПС 35 кВ КГ4 для технологического присоединения  энергопринимающих устройств жилого дома Заявителя Гриненко А.Н. Ростовская область, Кагальницкий р-н, с. Васильево-Шамшево, ул. Специалистов д.9 к.н. 61:14:0030104:26 (1 шт.)</t>
  </si>
  <si>
    <t>Установка прибора коммерческого учета электрической энергии (мощности) на границе земельного участка, подключенного от опоры №29-33 ВЛ-0,4 №2 КТП-29 ВЛ-10 605 ПС 35 кВ КГ6 для технологического присоединения  энергопринимающих устройств жилого дома Заявителя Елфимова Д.В. Ростовская область, Кагальницкий р-н, с. Новобатайск, ул. Северная д.4 к.н. 61:14:0000000:00 (1 шт.)</t>
  </si>
  <si>
    <t>Установка прибора коммерческого учета электрической энергии (мощности) на границе земельного участка, подключенного от опоры №126-6 ВЛ-0,4 №1 КТП-126 ВЛ-10 1608 ПС 35 кВ ЗР16 для технологического присоединения энергопринимающих устройств жилого дома Заявителя Жиляев М.А. Ростовская область, Зерноградский р-н, х. 1-й Россошинский, ул. Садовая д.50А к.н. 61:12:030308:2 (1 шт.)</t>
  </si>
  <si>
    <t>Установка прибора коммерческого учета электрической энергии (мощности) на границе земельного участка, подключенного от опоры №18-5 ВЛ-0,4 №1 КТП-18 ВЛ-10 605 ПС 35 кВ КГ6 для технологического присоединения  энергопринимающих устройств магазина Заявителя ИП Клименко В.В.,  Ростовская область, Кагальницкий р-н, с. Новобатайск, ул. Ленина д.66 к.н.: 61:14:0040124:4 (1 шт.)</t>
  </si>
  <si>
    <t>Установка прибора коммерческого учета электрической энергии (мощности) на границе земельного участка, подключенного от опоры №56-13 ВЛ-0,4 №1 КТП-56 ВЛ-10 1205 от ПС 110 кВ Манычская для технологического присоединения энергопринимающих устройств ЛПХ Заявителя  Кушнаревой А.Е., Ростовская обл., Зерноградский р-н., х. Булочкин, к.н. 1:12:0060601:19 (1 шт.)</t>
  </si>
  <si>
    <t>Установка прибора коммерческого учета электрической энергии (мощности) на границе земельного участка, подключенного от опоры № 85-67 ВЛ-0,4 №1 КТП-85 ВЛ-10 415 от ПС 35 кВ КГ4 для технологического присоединения энергопринимающих устройств жилого дома Заявителя Назырова М. Р., Ростовская обл., Кагальницкий р-н, х. Кагальничек, к.н. 61:14:0030401:116 (1 шт)</t>
  </si>
  <si>
    <t>Установка прибора коммерческого учета электрической энергии (мощности) на границе земельного участка, подключенного от опоры №117-18   ВЛ-0,4 № 1 КТП-117 ВЛ-10 805  ПС 110 кВ БОС для технологического присоединения энергопринимающих устройств нежилой постройки Заявителя Нарицына В.В., Ростовская область, Кагальницкий   р-н, п. Мокрый Батай ул. Садовая д.28Б,  к.н. земельного участка: 61:14:0060105:880(1 шт.)</t>
  </si>
  <si>
    <t>Установка прибора коммерческого учета электрической энергии (мощности) на границе земельного участка, подключенного от опоры №31-7 ВЛ-0,4 №4 КТП-31 ВЛ-10 1402 ПС 35 кВ ЗР14 для технологического присоединения  энергопринимающих устройств ЛПХ Заявителя Оганьян Г.А. Ростовская область, Кагальницкий р-н, ст. Кировская, ул. Кривошлыкова д.76 к.н. 61:14:0050150:80 (1 шт.)</t>
  </si>
  <si>
    <t>Установка прибора коммерческого учета электрической энергии (мощности) на границе земельного участка, подключенного от опоры №17-32   ВЛ-0,4 № 1 КТП-17 ВЛ-10 1608  ПС 35 кВ ЗР16 для технологического присоединения энергопринимающих устройств жилого дома Заявителя Пироженко Е.С., Ростовская область, Зерноградский   р-н, х. 1-й Россошиннский, ул. Заречная д. 5 к.н. земельного участка: 61:12:00666149:5(1 шт.)</t>
  </si>
  <si>
    <t>Установка прибора коммерческого учета электрической энергии (мощности) на границе земельного участка, подключенного от опоры  № 109-37 ВЛ-0,4  №2  КТП-109  ВЛ-10 805   ПС 110 кВ БОС для технологического присоединения энергопринимающих устройств жилого дома Заявителя Самойлов С.В. Ростовская область, Кагальницкий р-н. п. Мокрый Батай ул. Строителей д.25 к.н. 61:14:0060110:13 (1 шт.)</t>
  </si>
  <si>
    <t>Установка прибора коммерческого учета электрической энергии (мощности) на границе земельного участка, подключенного от опоры №122-105 ВЛ-0,4 №4 КТП-122 ВЛ-10 313 от ПС 35 кВ КГ3 для технологического присоединения энергопринимающих устройств садового дома Заявителя Селивестренко Ю.А., Ростовская обл., Аксайский р-н., СНТ «Железнодорожник», к.н. 61:02:0504801:1048 (1 шт.)</t>
  </si>
  <si>
    <t>Установка прибора коммерческого учета электрической энергии (мощности) на границе земельного участка, подключенного от опоры №96-76 ВЛ-0,4 №3 КТП-96 ВЛ-10 501 от ПС 35 кВ ЗР5 для технологического присоединения энергопринимающих устройств ЛПХ Заявителя Сухановой Н.Н., Ростовская обл., Зерноградский р-н, х. Гуляй-Борисовка к.н. 61:12:0011216:34 (1 шт.)</t>
  </si>
  <si>
    <t>Установка прибора коммерческого учета электрической энергии (мощности) на границе земельного участка, подключенного от опоры №14-16 ВЛ-0,4 №1 КТП-14 ВЛ-10 603  ПС 35 кВ ЗР6 для технологического присоединения энергопринимающих устройств малоэтажной жилой застройки Заявителя Харитонов Д.Е., Ростовская область, Зерноградский р-н, х. Чернышевка, пер. Березовый д.4  к.н. 61:12:0090110:232(1 шт.)</t>
  </si>
  <si>
    <t>Установка прибора коммерческого учета электрической энергии (мощности) на границе земельного участка, подключенного от опоры №137-63 ВЛ-0,4 №3 КТП-137 ВЛ-10 801 от ПС 35 кВ ЗР8 для технологического присоединения энергопринимающих устройств ЛПХ Заявителя Шаламова В.В., Ростовская обл., Зерноградский р-н, х. Пишванов, к.н. 61:12:0080302:105 (1 шт.)</t>
  </si>
  <si>
    <t>Установка прибора коммерческого учета электрической энергии (мощности) на границе земельного участка, подключенного от опоры №19-32 ВЛ-0,4 №2 КТП-19 ВЛ-10 612  ПС 35 кВ КГ6 для технологического присоединения энергопринимающих устройств малоэтажной жилой застройки Заявителя Шикуля Г.В. , Ростовская область, Кагальницкий р-н, с. Новобатайск , пер. Братский д.34  к.н. 61:14:0040108:64(1 шт.)</t>
  </si>
  <si>
    <t>Строительство ВЛ 0,4 кВ от проектируемой ВЛ 0,4 кВ (по договору ТП № 61-1-20-00549837 от 26.01.2021 г.) КТП 10/0,4 кВ №25 ВЛ 10кВ №1815 ПС 35/10 кВ А-18 и установка коммерческого учета электрической энергии (мощности) на границе земельных участков для электроснабжения жилого дома заявителя Севериновой Л.И., х.Курган, Азовский р-он Ростовская область (ориентировочная протяженность ЛЭП – 0,330 км</t>
  </si>
  <si>
    <t>Строительство ВЛ 10 кВ от опоры №104 по ВЛ 10 кВ №3113 ПС 110/35/10 кВ А-31, ТП 10/0,4 кВ, ВЛ 0,4 кВ и установка систем учета электрической энергии (мощности) на границе земельных участков для электроснабжения 10 жилых домов заявителя ООО «РСК Юг», с. Пешково, Азовский район, Ростовская область (ориентировочная трансформаторная мощность – 0,250 МВА, ориентировочная протяженность ЛЭП– 0,200 км)</t>
  </si>
  <si>
    <t>Строительство ЛЭП 10 кВ от опоры №6-1 по ВЛ 10 кВ №801 ПС 35/10 кВ А-8, ТП 10/0,4 кВ, ЛЭП 0,4 кВ и установка системы учета электрической энергии (мощности) на границе земельного участка для электроснабжения базы отдыха Савченко В.Ю., Ростовская область, Азовский район, х. Павло-Очаково (ориентировочная протяженность ЛЭП– 0,06 км, ориентировочная трансформаторная мощность – 0,250 МВА)</t>
  </si>
  <si>
    <t>Строительство ВЛ-10 кВ от оп. №57 по ВЛ-10кВ №1002 от ПС 110/35/10 кВ «Самарская», ТП-10/0,4 кВ, ВЛ-0,4 кВ и системы учета электрической энергии (мощности) на границе земельного участка для электроснабжения строительной площадки заявителя ООО "ДАУАВИН", Ростовская обл.  р-н. Азовский, в границах землепользования бывшего ТОО «Самарское» (ориентировочная протяженность ЛЭП– 0,410 км, ориентировочная трансформаторная мощность – 0,025 МВА)</t>
  </si>
  <si>
    <t>Техническое перевооружение ВЛ 0,4 кВ №1 от РУ-0,4 кВ КТП 10/0,4 кВ №143 ВЛ 10 кВ №1411 РП-14 ПС 110/35/10 кВ А-32 для обеспечения возможности технологического присоединения объектов заявителей Самойленко Д.М., Самойленко М.В., п. Новополтавский, Азовский район Ростовская область (ориентировочная протяженность ЛЭП – 0,590км)</t>
  </si>
  <si>
    <t>Строительство ВЛ 0,4 кВ от оп. №48-79 ВЛ 0,4 кВ № 1 КТП 10/0,4 кВ № 48 ВЛ 10кВ № 1815 ПС 35/10 кВ А-18 и установка коммерческого учета электрической энергии (мощности) на границе земельных участков для электроснабжения жилого дома заявителя Головина О.В, Рыболовецкий колхоз им.Ленина, Азовский р-он Ростовская область (ориентировочная протяженность ЛЭП – 0,215 км)</t>
  </si>
  <si>
    <t>Строительство ВЛ 0,4 кВ от оп. №48-70 ВЛ 0,4 кВ № 1 КТП 10/0,4 кВ № 48 ВЛ 10кВ № 1815 ПС 35/10 кВ А-18 и установка коммерческого учета электрической энергии (мощности) на границе земельных участков для электроснабжения трех жилых домов заявителя Головина О.В, Рыболовецкий колхоз им.Ленина, Азовский р-он Ростовская область (ориентировочная протяженность ЛЭП – 0,240 км)</t>
  </si>
  <si>
    <t>Строительство ЛЭП 10 кВ от опоры №57 по ВЛ 10 кВ №107Н ПС 110/10/6 кВ НС-1, ТП 10/0,4 кВ, ЛЭП 0,4 кВ и установка системы учета электрической энергии (мощности) на границе земельного участка для электроснабжения складского помещения ООО «СпецТех», Ростовская область, Азовский район, п. Овощной (ориентировочная протяженность ЛЭП– 0,03 км, ориентировочная трансформаторная мощность – 0,250 МВА)</t>
  </si>
  <si>
    <t>Строительство участка ВЛИ-0,4кВ от опоры №42-23 ВЛ-0,4 кВ №2 КТП-10/0,4 кВ №42 по ВЛ-10 кВ № 707 ПС 35/10 кВ Е-7 и установка системы учета электрической энергии (мощности) на границе земельного участка для электроснабжения сельского дома культуры заявителя МБУК Войновского сельского поселения Егорлыкского района «Войновский СДК», Егорлыкский р-он Ростовская область (1шт), (ориентировочная протяженность ЛЭП – 0,016 км)</t>
  </si>
  <si>
    <t>Установка прибора коммерческого учета электрической энергии (мощности) на границе земельного участка, подключенного от проектируемой ВЛИ-0,4 кВ проектируемой ТП 10/0,4 кВ (по договору ТП №61-1-21-00601903 от 15.09.2021г.) ВЛ 10кВ №2412 ПС 35/10 кВ А-24 для технологического присоединения энергопринимающих устройств жилого дома Заявителя Еременко С.А., х. Полушкин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</si>
  <si>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№27-4 ВЛ 0,4 кВ №1 КТП 10/0,4 кВ №27 ВЛ-10кВ №1815 ПС 35/10 кВ А-18 для технологического присоединения энергопринимающих устройств базовой станции сотовой связи Заявителя ПАО «Ростелеком» х. Городище, Азовский район Ростовская область (1 шт.)</t>
  </si>
  <si>
    <t>Установка коммерческого учета электрической энергии (мощности) на границе балансовой принадлежности, подключенного от опоры №16-99 ВЛ-10 кВ №805 ПС 110 кВ БОС, для электроснабжения объекта производственное здание заявителя АО «Кагальницкий мясокостный завод», Ростовская область, Кагальницкий р-н, 1.5 км северо-западнее п. Мокрый Батай (1 шт)</t>
  </si>
  <si>
    <t>Установка прибора коммерческого учета электрической энергии (мощности) на границе земельного участка, подключенного от опоры №11-23 ВЛ 0,4 кВ №2 КТП 10/0,4кВ №11 ВЛ 10кВ №202Н ПС 110/6/10 кВ НС-2 для технологического присоединения энергопринимающих устройств нежилого помещения Заявителя Подлесных В.В., п. Тимирязевский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</si>
  <si>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№8-107 ВЛ 0,4 кВ №4 КТП 10/0,4кВ №8 ВЛ 10кВ №3125 ПС 110/35/10 кВ А-31 для технологического присоединения энергопринимающих устройств магазина Заявителя Бугаенко С.А., с. Пешково Азовский район, Ростовская область (1 шт.)</t>
  </si>
  <si>
    <t>Строительство ВЛ 0,4 кВ от №120-40 ВЛ-0,4 кВ №1 КТП 10/0,4 кВ №120 ВЛ-10 кВ №1107 ПС 35/10 кВ А-11 и установка коммерческого учета электрической энергии (мощности) на границе земельного участка для электроснабжения жилого дома заявителя Павлова А.А., с. Кагальник, Азовский район, Ростовская область (ориентировочная протяженность ЛЭП – 0,05 км)</t>
  </si>
  <si>
    <t>Строительство ВЛ 0,4 кВ от проектируемой ВЛ 0,4 кВ (по договору ТП № 61-1-21-00580815 от 08.06.2021г.) МТП 10/0,4 кВ №311 ВЛ-10 кВ №106Н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Губиной С.О., ТСН «СНТ Белгорос» Азовский район, Ростовская область (ориентировочная протяженность ЛЭП – 0,025 км)</t>
  </si>
  <si>
    <t>Строительство ВЛ 0,4 кВ от проектируемой ВЛ 0,4 кВ (по договору ТП № 61-1-21-00589387 от 20.07.2021г.) КТП 10/0,4 кВ №329 ВЛ 10кВ №106Н ПС 110/6/10 кВ НС-1 и установка коммерческого учета электрической энергии (мощности) на границе земельных участков для электроснабжения жилого дома заявителя Стрюк В.А., ДНТ «Виктория», Азовский р-он Ростовская область (ориентировочная протяженность ЛЭП – 0,03 км)</t>
  </si>
  <si>
    <t>Строительство ВЛ 0,4 кВ от №160-19 ВЛ-0,4 кВ №1 КТП 10/0,4 кВ №160 ВЛ-10 кВ №1101 ПС 35/10 кВ А-11 и установка коммерческого учета электрической энергии (мощности) на границе земельных участков для электроснабжения жилых домов заявителей Наумова М.С., Наумовой Л.В., с. Кагальник, Азовский район, Ростовская область (ориентировочная протяженность ЛЭП – 0,03 км)</t>
  </si>
  <si>
    <t>Строительство ВЛ 0,4 кВ от опоры №217-57 ВЛ-0,4 кВ №2 КТП 10/0,4 кВ №217 ВЛ-10 кВ №1107 ПС 35/10 кВ А-11 и установка коммерческого учета электрической энергии (мощности) на границе земельного участка для электроснабжения жилого дома заявителя Нестеренко Д.А., с. Кагальник, Азовский район, Ростовская область (ориентировочная протяженность ЛЭП – 0,05 км)</t>
  </si>
  <si>
    <t>Установка прибора коммерческого учета электрической энергии (мощности) на границе земельного участка, подключенного от опоры №127-21 тех.перевооружаемой ВЛ 0,4 кВ №1 КТП 10/0,4кВ №127 ВЛ 10кВ №1310 ПС 35/10 кВ А-13 для технологического присоединения энергопринимающих устройств жилого дома Заявителя Дуюн С.В., с.Елизаветовка, Азовский район, Ростовская область, кадастровый (условный) номер объекта: 61-61-03/023/2008-237(1 шт.)</t>
  </si>
  <si>
    <t>Техническое перевооружение ВЛ 0,22 кВ от опоры №136-33 до опоры №136-35 по ВЛ-0,4 кВ №1 КТП-10/0,4 кВ №136 ВЛ-10 кВ №803 ПС 35/10 кВ А-8 для обеспечения возможности технологического присоединения жилого дома заявителя Горобовской Т.В., с. Семибалки, Азовский район Ростовская область (ориентировочная протяженность ЛЭП – 0,085км)</t>
  </si>
  <si>
    <t>Строительство ВЛ 0,4 кВ от опоры №7-11 ВЛ-0,4 №1 КТП-7 ВЛ-10 114 ПС 220 кВ Зерновая и установка коммерческого учета электрической энергии (мощности) на границе земельного участка для электроснабжения жилого дома заявителя Варнавского А.В., г. Зерноград, Зерноградский район, Ростовская область, к.н. 61:12:0040806:47 (ориентировочная протяженность ЛЭП – 0,03 км)</t>
  </si>
  <si>
    <t>Строительство ВЛ 0,4 кВ от опоры №202-37 ВЛ-0,4 №2 КТП-202 ВЛ-10 319 ПС 35 кВ КГ3 и установка коммерческого учета электрической энергии (мощности) на границе земельного участка для электроснабжения ЛПХ заявителя Петренко В.В., п. Мокрый Батай, Кагальницкий район, Ростовская область, к.н. 61:14:0060110:584 (ориентировочная протяженность ЛЭП – 0,03 км)</t>
  </si>
  <si>
    <t>Установка прибора коммерческого учета электрической энергии (мощности) на границе земельного участка, подключенного от опоры № 24-126 ВЛ-0,4 № 3 КТП-24  ВЛ-10 807 ПС 110кВ Роговская для технологического присоединения энергопринимающих устройств нежилого помещения № 8 Заявителя МБУ ЕР "ЦСОГПВиИ", ст.Новороговская, Егорлыкский район, Ростовская область, к.н. 61:10:0070101:797 (1 шт.)</t>
  </si>
  <si>
    <t>Строительство совместного подвеса ВЛИ-0,4 кВ от КТП-95 ВЛ 10кВ № 1106 ПС 35кВ Е-11 в пролетах опор № 95-1*95-13 ВЛ 10кВ № 1106 ПС 35кВ Е-11 и установка системы учета электрической энергии (мощности) на границе земельного участка для электроснабжения нежилого помещения заявителя ИП Волгина В.С., х.Изобильный Егорлыкский район, Ростовская область (1шт.), (ориентировочная протяженность ЛЭП – 0,500 км)</t>
  </si>
  <si>
    <t>Строительство ВЛ 0,4 кВ от опоры №134-5 ВЛ-0,4 №1 КТП-134 ВЛ-10 101 ПС 220 кВ Зерновая и установка коммерческого учета электрической энергии (мощности) на границе земельного участка для электроснабжения жилого дома заявителя Ерылкина С.А., Зерноградский р-н., Ростовская область, к.н. 61:12:0040573:55 (ориентировочная протяженность ЛЭП – 0,03 км)</t>
  </si>
  <si>
    <t>Строительство ЛЭП 10 кВ от опоры №224 по ВЛ 10 кВ №103 ПС 110/35/10 кВ Звонкая-110, ТП 10/0,4 кВ, ЛЭП 0,4 кВ и установка системы учета электрической энергии (мощности) на границе земельного участка для электроснабжения складского здания заявителя ИП Роговой Т.А., Ростовская область, Кагальницкий район, к.н.: 61:14:0600019:3331 (ориентировочная протяженность ЛЭП– 0,070 км, ориентировочная трансформаторная мощность – 0,250 МВА)</t>
  </si>
  <si>
    <t>Строительство ВЛ 0,4 кВ от опоры №136-48 ВЛ-0,4 кВ №2 КТП 10/0,4 кВ №136 ВЛ 10 кВ №3113 ПС 110/35/10 кВ А-31 и установка коммерческого учета электрической энергии (мощности) на границе земельного участка для электроснабжения жилого дома заявителя Бойко М.А., с. Пешково, Азовский район, Ростовская область, к.н. 61:01:0140101:8159 (ориентировочная протяженность ЛЭП – 0,08 км)</t>
  </si>
  <si>
    <t>Строительство ВЛ 0,4 кВ от опоры №311-1/10 ВЛ-0,4 кВ №3 МТП 10/0,4 кВ №311 ВЛ 10 кВ №106Н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Хачатуровой Е.С., Ростовская область, Азовский район, СХА "Кулешовское" поле III о, к.н. 61:01:0600006:5005 (ориентировочная протяженность ЛЭП – 0,060 км)</t>
  </si>
  <si>
    <t>Строительство ВЛ 0,4 кВ от опоры №4-93 ВЛ-0,4 №4 КТП-4 ВЛ-10 305 ПС 35 кВ КГ3 и установка коммерческого учета электрической энергии (мощности) на границе земельного участка для электроснабжения жилого дома заявителя Белова С.А., ст. Кировская, Кагальницкий р-н, Ростовская область, к.н. 61:14:0050150:456 (ориентировочная протяженность ЛЭП – 0,07 км)</t>
  </si>
  <si>
    <t>Строительство ВЛ 0,4 кВ от оп. №63-29 ВЛ-0,4 №2 от КТП-63 по ВЛ-10 319 ПС 35 кВ КГ3 и системы учета электрической энергии (мощности) на границе земельного участка для электроснабжения жилого дома заявителя Суриковой В.В., Ростовская область, Кагальницкий р-н. п. Новоракитный, к.н. 61:14:0050902:110 (ориентировочная протяженность – 0,05 км)</t>
  </si>
  <si>
    <t>Строительство ВЛ-10 кВ от оп. №11-48 по ВЛ-10кВ 318 ПС 35 кВ КГ3, ТП-10/0,4 кВ, ВЛ-0,4 кВ и системы учета электрической энергии (мощности) на границе земельного участка для электроснабжения гаражей, заявителя ИП Мизюковой Т. В., Ростовская обл.  р-н. Кагальницкий, х. Николаевский, ул. Луговая: д. 199А; 197А (ориентировочная протяженность ЛЭП– 0,10км, ориентировочная трансформаторная мощность – 0,250 МВА)</t>
  </si>
  <si>
    <t>Строительство участка ВЛИ 0,4 кВ от оп. №123-41 ВЛ-0,4 №1 от КТП-123 по ВЛ-10 114 ПС 220 кВ Зерновая и системы учета электрической энергии (мощности) на границе земельного участка для электроснабжения жилого дома заявителя Забей-Ворота И.Г., Ростовская область, Зерноградский р-н, г. Зерноград, пер. Волжский д.5 (ориентировочная протяженность ВЛИ-0,4  – 0,23 км)</t>
  </si>
  <si>
    <t>Строительство ВЛИ 0,4 кВ от РУ 0,4 кВ КТП -113 ВЛ 10 кВ №203 ПС 110 кВ Егорлыкская и установка коммерческого учета электрической энергии (мощности) на границе земельного участка для электроснабжения нежилого здания (склада) заявителя ИП Губиной В.Н., Егорлыкский район, Ростовская область, к.н. 61:10:0600014:2602 (ориентировочная протяженность ЛЭП – 0,550 км)</t>
  </si>
  <si>
    <t>Установка прибора коммерческого учета электрической энергии (мощности) на границе земельного участка, подключенного от опоры №121-14 ВЛ-0,4 №1 КТП-121 ВЛ-10 122 от ПС 220 кВ Зерновая для технологического присоединения энергопринимающих устройств садового дома Заявителя Денисенко А.И., Ростовская обл., Зерноградский р-н, х. Ракитный, СО «Селекционер» к.н.61:12:06000901:671 (1 шт.)</t>
  </si>
  <si>
    <t>Установка прибора коммерческого учета электрической энергии (мощности) на границе земельного участка, подключенного от опоры №74-77 ВЛ-0,4 №1 КТП-74 ВЛ-10 1209 от ПС 110 кВ Манычская для технологического присоединения энергопринимающих устройств жилого дома Заявителя Степанова А.А., Ростовская обл., Зерноградский р-н, п. Междупольный, к.н. 61:12:0060701:118 (1 шт.)</t>
  </si>
  <si>
    <t>Установка прибора коммерческого учета электрической энергии (мощности) на границе земельного участка, подключенного от опоры №8-7  ВЛ-0,4 № 1 КТП-8 ВЛ-10 305  ПС 35 кВ КГ3 для технологического присоединения  энергопринимающих устройств жилого дома Заявителя Шапаренко И.А. Ростовская область, п. Глубокий Яр, ул. Кленовая д.14 кв.1 , к.н. земельного участка: 61:14:0050301:43(1 шт.)</t>
  </si>
  <si>
    <t>Установка прибора коммерческого учета электрической энергии (мощности) на границе земельного участка, подключенного от опоры  № 3-48 ВЛ-0,4  №1  КТП-3  ВЛ-10 305   ПС 35 кВ КГ3 для технологического присоединения энергопринимающих устройств жилого дома Заявителя Лякина В.В. Ростовская область, Кагальницкий р-н. ст. Кировская ул. Подтелкова д.41  к.н. 61:14:0050148:358 (1 шт.)</t>
  </si>
  <si>
    <t>Установка прибора коммерческого учета электрической энергии (мощности) на границе земельного участка, подключенного от опоры №28-156   ВЛ-0,4 № 4 ЗТП-28 ВЛ-10 313  ПС 35 кВ КГЗ для технологического присоединения энергопринимающих устройств жилого дома Заявителя Синогиной О.В., Ростовская область, Кагальницкий   р-н, ст. Кировская ул. Спортивная д.5А,  к.н. земельного участка: 61:14:0050144:244(1 шт.</t>
  </si>
  <si>
    <t>Установка прибора коммерческого учета электрической энергии (мощности) на границе земельного участка, подключенного от опоры         №64-2 ВЛ-0,4 №1 КТП-64 ВЛ-10 319 ПС 35кВ КГ3 для технологического присоединения энергопринимающих устройств жилого дома Заявителя Бондаренко А.Н., Ростовская обл. Кавгальницкий р-н. п. Новоракитный ул. Климова д.4 кв.1 к.н. 61:14:18026208:350(1 шт.)</t>
  </si>
  <si>
    <t>Установка прибора коммерческого учета электрической энергии (мощности) на границе земельного участка, подключенного от опоры  №121-77 ВЛ-0,4  №1  КТП-121  ВЛ-10 313 ПС 35 кВ КГ3 для технологического присоединения энергопринимающих устройств жилого дома Заявителя Бучнева А.С. Ростовская область, Аксайский р-н, х.0Истомино СНТ «Железноророжник»  к.н. 61:02:0504801:1615 (1 шт.)</t>
  </si>
  <si>
    <t>Установка прибора коммерческого учета электрической энергии (мощности) на границе земельного участка, подключенного от опоры  №5-20 ВЛ-0,4  №1  КТП-5  ВЛ-10 1407   ПС 35 кВ ЗР14 для технологического присоединения энергопринимающих устройств жилого дома Заявителя Иванова И.И. Ростовская область, х. Гуляй-Борисовка ул. Заречная д.30  к.н. 61:12:0011228:1 (1 шт.)</t>
  </si>
  <si>
    <t>Установка прибора коммерческого учета электрической энергии (мощности) на границе земельного участка, подключенного от опоры №141-28  ВЛ-0,4 № 1 КТП-141 ВЛ-10 141  ПС 35 кВ КГ3 для технологического присоединения энергопринимающих устройств жилого дома Заявителя Соловьев В.Н., Ростовская область, Кагальницкий   р-н, ст. Кагальницкая п. Малиновка ул. Специалистов д.6а,  к.н. земельного участка: 61:14:0010302:876(1 шт.)</t>
  </si>
  <si>
    <t>Установка прибора коммерческого учета электрической энергии (мощности) на границе земельного участка, подключенного от опоры №141-28  ВЛ-0,4 № 1 КТП-141 ВЛ-10 141  ПС 35 кВ КГ3 для технологического присоединения энергопринимающих устройств жилого дома Заявителя Соловьев В.Н., Ростовская область, Кагальницкий   р-н, ст. Кагальницкая п. Малиновка ул. Специалистов д.6в,  к.н. земельного участка: 61:14:0010302:875(1 шт.)</t>
  </si>
  <si>
    <t>Установка прибора коммерческого учета электрической энергии     (мощности) на границе земельного участка, подключенного от опоры №141-28  ВЛ-0,4 № 1 КТП-141 ВЛ-10 141  ПС 35 кВ КГ3 для технологического присоединения энергопринимающих устройств жилого дома Заявителя Соловьев В.Н., Ростовская область, Кагальницкий   р-н, ст. Кагальницкая п. Малиновка ул. Специалистов д.6б,  к.н. земельного участка: 61:14:0010302:877(1 шт.)</t>
  </si>
  <si>
    <t>Установка прибора коммерческого учета электрической энергии (мощности) на границе земельного участка, подключенного от опоры №1 ВЛ 0,4 кВ №1 КТП 10/0,4кВ №5 ВЛ 10кВ №114 ПС 220/110/35/10 кВ Зерновая для технологического присоединения энергопринимающих устройств производственного здания Заявителя СППК «Донской Маяк», Ростовская область, Зерноградский район, п. Кленовый, к.н.61:12:0600801:1228 (1 шт)</t>
  </si>
  <si>
    <t>Установка прибора коммерческого учета электрической энергии (мощности) на границе земельного участка, подключенного от 157-78   ВЛ-0,4 № 3 КТП-157 ВЛ-10  807  ПС 110 кВ Роговская для технологического присоединения энергопринимающих устройств жилого дома Заявителя Даниелян В.А., Ростовская область, Егорлыкский р-он, ст.Новороговская, к.н. 61:10:0070101:650 (1 шт)</t>
  </si>
  <si>
    <t>Установка прибора коммерческого учета электрической энергии (мощности) на границе земельного участка, подключенного от № 115-51   ВЛ-0,4 № 2 КТП-115 ВЛ-10  801  ПС 110 кВ Роговская для технологического присоединения энергопринимающих устройств жилого дома Заявителя Коробка С.А., Ростовская область, Егорлыкский р-он, п.Роговский, к.н. 61:10:0110101:889 (1 шт)</t>
  </si>
  <si>
    <t>Установка прибора коммерческого учета электрической энергии (мощности) на границе земельного участка, подключенного от опоры № 62-7   ВЛ-0,4 № 1 КТП-62 ВЛ-10  405  ПС 35 кВ Е-4 для технологического присоединения энергопринимающих устройств жилого дома Заявителя Башатова Н.З., х.Ильинский, Егорлыкский район, Ростовская область, к.н. 61:10:0050301:115 (1 шт.)</t>
  </si>
  <si>
    <t>Строительство ВЛ-10 кВ от оп. №71 по ВЛ-10кВ №1815 ПС 35/10 кВ А-18, ТП-10/0,4 кВ, ВЛ-0,4 кВ и системы учета электрической энергии (мощности) на границе земельного участка для электроснабжения жилого дома заявителя Зубова А.В., в 850 м от ориентира ПТ «Городище» по направлению на юго-восток Азовский район, Ростовская область (ориентировочная протяженность ЛЭП– 0,230 км, ориентировочная трансформаторная мощность – 0,025 МВА)</t>
  </si>
  <si>
    <t>Строительство участка ВЛИ 0,4кВ от РУ-0,4кВ КТП 10/0,4 кВ №46 ВЛ 10 кВ №1815 ПС 35/10 кВ А-18 и системы учета электрической энергии (мощности) на границе земельного участка для электроснабжения жилого дома заявителя Кравченко В.Н., х.Обуховка, Азовский район, Ростовская область (ориентировочная протяженность ЛЭП – 0,270 км)</t>
  </si>
  <si>
    <t>Строительство ЛЭП 10 кВ от опоры № 41 по ВЛ 10 кВ №1002 ПС 110/35/10 кВ Самарская, ТП 10/0,4 кВ, ЛЭП 0,4 кВ и установка системы учета электрической энергии (мощности) на границе земельного участка для электроснабжения нежилой застройки заявителя ИП Высочина Г.В., Ростовская область, Азовский район, с.Самарское, пер.Жданова (ориентировочная протяженность ЛЭП– 0,380км, ориентировочная трансформаторная мощность – 0,250 МВА)</t>
  </si>
  <si>
    <t>Строительство участка ВЛИ 0,4кВ от опоры №43-45 ВЛ 0,4 кВ №2 КТП 10/0,4 кВ №43 ВЛ 10 кВ 105Н ПС 110/6/10 кВ НС-1 и системы учета электрической энергии (мощности) на границе земельного участка для электроснабжения жилого дома заявителя Рындина Ю.Б., х. Шмат, Азовский район, Ростовская область (ориентировочная протяженность ЛЭП – 0,205 км)</t>
  </si>
  <si>
    <t xml:space="preserve">Установка прибора коммерческого учета электрической энергии (мощности) на границе земельного участка, подключенного от опоры №14-31 ВЛ-0,4 кВ №1 КТП 10/0,4 кВ №14 по ВЛ 10 кВ №106Н ПС 35/10 кВ НС-1 для технологического присоединения энергопринимающих устройств административного здания Заявителя Акционерное общество «Почта России».,п. Овощной, Азовский район, Ростовская область, к.н. 61:01:0130101:3648 (1 шт) </t>
  </si>
  <si>
    <t xml:space="preserve">Установка прибора коммерческого учета электрической энергии (мощности) на границе земельного участка, подключенного от опоры №27-23 ВЛ-0,4 кВ №1 КТП 10/0,4 кВ №27 по ВЛ 10 кВ №1701 ПС 35/10 кВ А-17 для технологического присоединения энергопринимающих устройств административного здания Заявителя Акционерное общество «Почта России»., с. Круглое, Азовский район, Ростовская область, к.н. 61:01:0070101:4723 (1 шт) </t>
  </si>
  <si>
    <t xml:space="preserve">Установка прибора коммерческого учета электрической энергии (мощности) на границе земельного участка, подключенного от опоры №74-105 ВЛ-0,4 кВ №3 КТП 10/0,4 кВ №74 по ВЛ 10 кВ №613 ПС 35/10 кВ А-6 для технологического присоединения энергопринимающих устройств жилого дома Заявителя Борисова А.Д., с. Новомаргаритово, Азовский район, Ростовская область, к.н. 61:01:0100201:1749 (1 шт) </t>
  </si>
  <si>
    <t>Установка прибора коммерческого учета электрической энергии (мощности) на границе земельного участка, подключенного от опоры №160-33 ВЛ-0,4 кВ №1 КТП 10/0,4 кВ №160 по ВЛ 10 кВ №1101 ПС 35/10 кВ А-11 для технологического присоединения энергопринимающих устройств жилого дома Заявителя Волобуева Н.В., с. Кагальник, Азовский район, Ростовская область, к.н. 61:01:0060101:12663 (1 шт)</t>
  </si>
  <si>
    <t xml:space="preserve">Установка прибора коммерческого учета электрической энергии (мощности) на границе земельного участка, подключенного от опоры №64-27 ВЛ-0,4 кВ №1 КТП 10/0,4 кВ №64 по ВЛ 10 кВ №606 ПС 35/10 кВ А-6 для технологического присоединения энергопринимающих устройств жилого дома Заявителя Подсвирова К.И., с. Порт-Катон, Азовский район, Ростовская область, к.н. 61:01:0100301:645 (1 шт) (код объекта строительства 612001213439), </t>
  </si>
  <si>
    <t xml:space="preserve">Установка прибора коммерческого учета электрической энергии (мощности) на границе земельного участка, подключенного от опоры №66-12 ВЛ-0,4 кВ №1 КТП 10/0,4 кВ №66 по ВЛ 10 кВ №307Н ПС 110/35/10 кВ НС-3 для технологического присоединения энергопринимающих устройств объекта крестьянского хозяйства Заявителя Общество с Огранической Ответственностью «Фермерское хозяйства Лозовое»., Азовский район, Ростовская область, к.н. 61:01:0600013:2358 (1 шт) </t>
  </si>
  <si>
    <t xml:space="preserve">Установка прибора коммерческого учета электрической энергии (мощности) на границе земельного участка, подключенного от опоры №85-4 ВЛ-0,4 кВ №1 КТП 10/0,4 кВ №85 по ВЛ 10 кВ №2608 ПС 110/10 кВ А-26 для технологического присоединения энергопринимающих устройств жилого дома Заявителя Прочухан В.В., с. Кулешовка, Азовский район, Ростовская область, к.н. 61:01:0090102:287 (1 шт) </t>
  </si>
  <si>
    <t xml:space="preserve">Установка прибора коммерческого учета электрической энергии (мощности) на границе земельного участка, подключенного от опоры №61-13 ВЛ-0,4 кВ №1 КТП 10/0,4 кВ №61 по ВЛ 10 кВ №3127 ПС 110/35/10 кВ А-31 для технологического присоединения энергопринимающих устройств жилого дома Заявителя Фадеевой И.Л., с. Круглое, Азовский район, Ростовская область, к.н. 61:01:0070101:2444 (1 шт) </t>
  </si>
  <si>
    <t>Установка прибора коммерческого учета электрической энергии (мощности) на границе земельного участка, подключенного от опоры №182-10 ВЛ-0,4 кВ №1 КТП 10/0,4кВ №182 ВЛ-10кВ №3127 ПС 110/35/10 кВ А-31 для технологического присоединения энергопринимающих устройств строительной площадки Заявителя Егоркиной Т.М., с. Круглое, Азовский район, Ростовская область, к.н. 61:01:0070101:369 (1 шт.)</t>
  </si>
  <si>
    <t xml:space="preserve">Установка прибора коммерческого учета электрической энергии (мощности) на границе земельного участка, подключенного от опоры №8-44 ВЛ-0,4 кВ №2 КТП 10/0,4 кВ №8 по ВЛ 10 кВ №3125 ПС 110/35/10 кВ  А-31 для технологического присоединения энергопринимающих  устройств жилого дома Заявителя Горлановой В.Е., с. Пешково, Азовский район, Ростовская область,  к.н. 61:01:0140101:8774 (1 шт) </t>
  </si>
  <si>
    <t xml:space="preserve">Установка прибора коммерческого учета электрической энергии (мощности) на границе земельного участка, подключенного от опоры №172-14 ВЛ-0,4 кВ №1 КТП 10/0,4 кВ №172 по ВЛ 10 кВ №1702 ПС 35/10 кВ А-17 для технологического присоединения энергопринимающих устройств жилого дома Заявителя Самсоновой Е.А., с. Стефанидинодар, Азовский район, Ростовская область, к.н. 61:01:0070201:1389 (1 шт) </t>
  </si>
  <si>
    <t xml:space="preserve">Установка прибора коммерческого учета электрической энергии (мощности) на границе земельного участка, подключенного от опоры №48-13 ВЛ 0,4 кВ №1 КТП 10/0,4кВ №48 ВЛ 10кВ №1815 ПС 35/10 кВ А-18 для технологического присоединения энергопринимающих устройств объекта жилого дома Заявителя Сусоева А.И., х. Береговой, Азовский район, Ростовская область, к.н. 61:01:0600002:2549 (1 шт.)  </t>
  </si>
  <si>
    <t>Установка прибора коммерческого учета электрической энергии (мощности) на границе земельного участка, подключенного от опоры №358-11 ВЛ 0,4 кВ №2 КТП 10/0,4кВ №358 ВЛ 10кВ №202Н ПС 110/6/10 кВ НС-2 для технологического присоединения энергопринимающих устройств объекта жилого дома Заявителя Барушевой Л.Н., ЗАО «Обильное», Азовский район, Ростовская область, к.н. 61:01:0600006:7327 (1 шт.)</t>
  </si>
  <si>
    <t xml:space="preserve">Установка прибора коммерческого учета электрической энергии (мощности) на границе земельного участка, подключенного от опоры №106-5 ВЛ-0,4 кВ №1 КТП 10/0,4 кВ №106 по ВЛ 10 кВ №105Н ПС 110/6/10 кВ НС-1 для технологического присоединения энергопринимающих устройств жилого дома Заявителя Дзыс В.А., х. Усть-Койсуг, Азовский район, Ростовская область, к.н. 61-61-03/057/2006-226 (1 шт) </t>
  </si>
  <si>
    <t xml:space="preserve">Установка прибора коммерческого учета электрической энергии (мощности) на границе земельного участка, подключенного от опоры №64-61 ВЛ 0,4 кВ №3 КТП 10/0,4кВ №64 ВЛ 10кВ №606 ПС 35/10 кВ А-6 для технологического присоединения энергопринимающих устройств объекта жилого дома Заявителя Полтавцевой Е.В., с. Порт-Катон, Азовский район, Ростовская область, к.н. 61:01:0100301:4147 (1 шт.) </t>
  </si>
  <si>
    <t xml:space="preserve">Установка прибора коммерческого учета электрической энергии (мощности) на границе земельного участка, подключенного от опоры №48-70 ВЛ-0,4 кВ №1 КТП 10/0,4 кВ №48 по ВЛ 10 кВ №1815 ПС 35/10 кВ А-18 для технологического присоединения энергопринимающих устройств жилого дома Заявителя Родионовой Т.В., Рыболовецкий колхоз им.Ленина, Азовский район, Ростовская область, к.н. 61:01:0600002:3200 (1 шт) </t>
  </si>
  <si>
    <t xml:space="preserve">Установка прибора коммерческого учета электрической энергии (мощности) на границе земельного участка, подключенного от опоры №34-69 ВЛ 0,4 кВ №2 КТП 10/0,4кВ №34 ВЛ 10кВ №1707 ПС 35/10 кВ А-17 для технологического присоединения энергопринимающих устройств объекта жилого дома Заявителя Исоченко Л.Ш., с. Круглое, Азовский район, Ростовская область, к.н. 61:01:0070101:1587 (1 шт.) </t>
  </si>
  <si>
    <t xml:space="preserve">Установка прибора коммерческого учета электрической энергии (мощности) на границе земельного участка, подключенного от опоры №111-88 ВЛ 0,4 кВ №3 КТП 10/0,4кВ №111 ВЛ 10кВ №3113 ПС 110/35/10 кВ А-31 для технологического присоединения энергопринимающих устройств объекта жилого дома Заявителя Зворыкиной И.В., с. Пешково, Азовский район, Ростовская область, к.н. 61:01:0140101:2173 (1 шт.) </t>
  </si>
  <si>
    <t>Установка прибора коммерческого учета электрической энергии (мощности) на границе земельного участка, подключенного от опоры №48-6 ВЛ 0,4 кВ №1 КТП 10/0,4кВ №48 ВЛ 10кВ №1815 ПС 35/10 кВ А-18 для технологического присоединения энергопринимающих устройств объекта жилого дома Заявителя Холупенко Е.В., Рыболовецкий колхоз им.Ленина, Азовский район, Ростовская область, к.н. 61:01:0600002:2464 (1 шт.)</t>
  </si>
  <si>
    <t xml:space="preserve">Установка прибора коммерческого учета электрической энергии (мощности) на границе земельного участка, подключенного от опоры №27-53 ВЛ 0,4 кВ №1 КТП 10/0,4кВ №27 ВЛ 10кВ №1815 ПС 35/10 кВ А-18 для технологического присоединения энергопринимающих устройств объекта жилого дома и солнечных батарей Заявителя Желтобрюхова С.А., х. Городище, Азовский район, Ростовская область, к.н. 61:01:0600006:2076 (1 шт.) </t>
  </si>
  <si>
    <t xml:space="preserve">Установка прибора коммерческого учета электрической энергии (мощности) на границе земельного участка, подключенного от опоры №20-6 ВЛ 0,4 кВ №1 КТП 10/0,4кВ №20 ВЛ 10кВ №3127 ПС 110/35/10 кВ А-31 для технологического присоединения энергопринимающих устройств объекта административного здания Заявителя Акционерное общество «Почта России», с. Займо-Обрыв, Азовский район, Ростовская область, к.н. 61:01:0140401:17 (1 шт.) </t>
  </si>
  <si>
    <t xml:space="preserve">Установка прибора коммерческого учета электрической энергии (мощности) на границе земельного участка, подключенного от опоры №122-40 ВЛ 0,4 кВ №2 КТП 10/0,4кВ №122 ВЛ 10кВ №3017 ПС 220/110/10 кВ А-30 для технологического присоединения энергопринимающих устройств объекта административного здания Заявителя Акционерное общество «Почта России», с. Кугей, Азовский район, Ростовская область, к.н. 61:01:0080101:1373 (1 шт.) </t>
  </si>
  <si>
    <t>Установка прибора коммерческого учета электрической энергии (мощности) на границе земельного участка, подключенного от опоры №64-2 ВЛ 0,4 кВ №1 КТП 10/0,4кВ №64 ВЛ 10кВ №606 ПС 35/10 кВ А-6 для технологического присоединения энергопринимающих устройств объекта административного здания Заявителя Акционерное общество «Почта России», с. Порт-Катон, Азовский район, Ростовская область, к.н. 61:01:0100301:1564 (1 шт.)</t>
  </si>
  <si>
    <t>Установка прибора коммерческого учета электрической энергии (мощности) на границе земельного участка, подключенного от опоры №92-70 ВЛ 0,4 кВ №2 КТП 10/0,4кВ №92 ВЛ 10кВ №803 ПС 35/10 кВ А-8 для технологического присоединения энергопринимающих устройств объекта административного здания Заявителя Акционерное общество «Почта России», с. Семибалки, Азовский район, Ростовская область, к.н. 61:01:0180101:1533 (1 шт.)</t>
  </si>
  <si>
    <t xml:space="preserve">Установка прибора коммерческого учета электрической энергии (мощности) на границе земельного участка, подключенного от опоры №206-25 ВЛ-0,4кВ №2 КТП 10/0,4 кВ №206 ВЛ-10кВ №3113 ПС 110/35/10 кВ «А-31» для технологического присоединения энергопринимающих устройств жилого дома Заявителя Афониной Э.А., с. Пешково, Азовский район, Ростовская область, к.н. 61:01:0140101:8121 (1 шт.) </t>
  </si>
  <si>
    <t xml:space="preserve">Установка прибора коммерческого учета электрической энергии (мощности) на границе земельного участка, подключенного от опоры №111-31 ВЛ 0,4 кВ №2 КТП 10/0,4кВ №111 ВЛ 10кВ №3113 ПС 110/35/10 кВ А-31 для технологического присоединения энергопринимающих устройств жилого дома Заявителя Филимоновой О.И., с. Пешково, Азовский район, Ростовская область, к.н. 61:01:0140101:9131 (1 шт.) </t>
  </si>
  <si>
    <t xml:space="preserve">Установка прибора коммерческого учета электрической энергии (мощности) на границе земельного участка, подключенного от опоры №35-43 ВЛ-0,4 кВ №1 КТП 10/0,4кВ №35 ВЛ-10кВ №1904 РП-19 ПС 110/35/10 кВ Самарская для технологического присоединения энергопринимающих устройств жилого дома Заявителя Ведута С.Н., с. Новотроицкое, Азовский район, Ростовская область, к.н. 61:01:0040801:27 (1 шт.) </t>
  </si>
  <si>
    <t xml:space="preserve">«Установка прибора коммерческого учета электрической энергии (мощности) на границе земельного участка, подключенного от опоры №175-26 ВЛ 0,4 кВ №1 КТП 10/0,4кВ №175 ВЛ 10кВ №3105 ПС 110/35/10 кВ А-31 для технологического присоединения энергопринимающих устройств объекта жилого дома Заявителя Баландина А.Н., Азовский район, Ростовская область, к.н. 61:01:0140401:1081 (1 шт.) </t>
  </si>
  <si>
    <t>Установка прибора коммерческого учета электрической энергии (мощности) на границе земельного участка, подключенного от опоры №28-8 ВЛ 0,4 кВ №1 КТП 10/0,4кВ №28 ВЛ 10кВ №1411 ПС 110/35/10 кВ А-32 для технологического присоединения энергопринимающих устройств объекта жилого дома Заявителя Прохоров И.В., х. Полтава 1-я, Азовский район, Ростовская область, к.н. 61:01:0080201:1128 (1 шт.)</t>
  </si>
  <si>
    <t xml:space="preserve">Установка прибора коммерческого учета электрической энергии (мощности) на границе земельного участка, подключенного от опоры №б/н ВЛ 0,4 кВ КТП 10/0,4кВ №6 (на балансе Администрации Александровского сельского поселения) ВЛ 10кВ №1513 ПС 35/10 кВ А-15 для технологического присоединения энергопринимающих устройств объекта базовой станции сотовой связи Заявителя ПАО «Ростелеком»., п. Ленинский Лесхоз, Азовский район, Ростовская область, к.н. 61:01:0010401 (1 шт.) </t>
  </si>
  <si>
    <t xml:space="preserve">Установка прибора коммерческого учета электрической энергии (мощности) на границе земельного участка, подключенного от опоры №31-110 ВЛ 0,4 кВ №2 КТП 10/0,4кВ №31 ВЛ 10кВ №2907 РП-29 ПС 35/10 кВ А-18 для технологического присоединения энергопринимающих устройств объекта жилого дома Заявителя Степаненко М.Ю., х. Коса, Азовский район, Ростовская область, к.н. 61:01:0030601:7000 (1 шт.)  </t>
  </si>
  <si>
    <t xml:space="preserve">Установка прибора коммерческого учета электрической энергии (мощности) на границе земельного участка, подключенного от опоры №144-23 ВЛ 0,4 кВ №2 КТП 10/0,4кВ №144 ВЛ 10кВ №1107 ПС 35/10 кВ А-11 для технологического присоединения энергопринимающих устройств жилого дома Заявителя Рубанова А.П., с.Кагальник, Азовский район, Ростовская область, кадастровый (условный) номер объекта: 61:01:0060101:2894(1 шт.) </t>
  </si>
  <si>
    <t xml:space="preserve">Установка прибора коммерческого учета электрической энергии (мощности) на границе земельного участка, подключенного от опоры №32-7 ВЛ-0,4 кВ №1 КТП 10/0,4 кВ №32 по ВЛ 10 кВ №2907 РП-29 ПС 35/10 кВ А-18 для технологического присоединения энергопринимающих устройств магазина Заявителя Дергачева Д.В., х.Коса, Азовский район, Ростовская область, к.н. 61:01:0030601:7241 (1 шт.) </t>
  </si>
  <si>
    <t xml:space="preserve">Установка прибора коммерческого учета электрической энергии (мощности) на границе земельного участка, подключенного от опоры №36-85 ВЛ-0,4 кВ №3 КТП 10/0,4 кВ №36 по ВЛ 10 кВ №1702 ПС 35/10 кВ А-17 для технологического присоединения энергопринимающих устройств жилого дома Заявителя Перегудова В.В., с.Стефанидинодар, Азовский район, Ростовская область, к.н. 61:01:0070201:4404 (1 шт.) </t>
  </si>
  <si>
    <t xml:space="preserve">Установка прибора коммерческого учета электрической энергии (мощности) на границе земельного участка, подключенного от опоры №45-56 ВЛ-0,4 кВ №3 КТП 10/0,4 кВ №45 по ВЛ 10 кВ №2907 РП-29 ПС 35/10 кВ А-18 для технологического присоединения энергопринимающих устройств жилого дома Заявителя Сивцовой С.Р., х.Курган, Азовский район, Ростовская область, к.н. 61:01:0030701:1348 (1 шт.) </t>
  </si>
  <si>
    <t>Установка прибора коммерческого учета электрической энергии (мощности) на границе земельного участка, подключенного от опоры №14-132 ВЛ-0,4 кВ №4 КТП 10/0,4 кВ №14 по ВЛ 10 кВ №106Н ПС 110/6/10 кВ НС-1 для технологического присоединения энергопринимающих устройств хозяйственной постройки Заявителя Барсегян Г.А., п. Овощной, Азовский район, Ростовская область, к.н. 61:01:0130101:4067 (1 шт)</t>
  </si>
  <si>
    <t xml:space="preserve">Установка прибора коммерческого учета электрической энергии (мощности) на границе земельного участка, подключенного от опоры №29-30 ВЛ-0,4 кВ №1 КТП 10/0,4 кВ №29 по ВЛ 10 кВ №3113 ПС 110/35/10 кВ А-31 для технологического присоединения энергопринимающих устройств жилого дома Заявителя Зублева Е.А., с. Головатовка, Азовский район, Ростовская область, к.н. 61:01:0140301:2815 (1 шт) </t>
  </si>
  <si>
    <t xml:space="preserve">Установка прибора коммерческого учета электрической энергии (мощности) на границе земельного участка, подключенного от опоры №44-110 ВЛ-0,4 кВ №3 КТП 10/0,4 кВ №44 по ВЛ 10 кВ №803 ПС 35/10 кВ А-8 для технологического присоединения энергопринимающих устройств жилого дома Заявителя Селищевой С.Е., с. Семибалки, Азовский район, Ростовская область, к.н. 61:01:0180101:4741 (1 шт) , </t>
  </si>
  <si>
    <t xml:space="preserve">Установка прибора коммерческого учета электрической энергии (мощности) на границе земельного участка, подключенного от опоры №184-34 ВЛ-0,4 кВ №3 КТП 10/0,4 кВ №184 по ВЛ 10 кВ №3113 ПС 110/35/10 кВ А-31 для технологического присоединения энергопринимающих устройств жилого дома Заявителя Шерстобитова Е.А., с. Пешково, Азовский район, Ростовская область, к.н. 61:01:0140101:8817 (1 шт) </t>
  </si>
  <si>
    <t xml:space="preserve">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61-1-22-00624829 от 26.01.2022г. с заявителем Сониной Л.В.) КТП 10/0,4 кВ №10 ВЛ 10кВ №3125 ПС 110/35/10 кВ А-31 для технологического присоединения энергопринимающих устройств жилого дома Заявителя Григорьевой О.С., Ростовская область, Азовский район, с.Пешково, к.н. 61:01:0140101:8686 (1 шт.) </t>
  </si>
  <si>
    <t xml:space="preserve">Установка прибора коммерческого учета электрической энергии (мощности) на границе земельного участка, подключенного от опоры №7-55 ВЛ-0,4 кВ №2 КТП 10/0,4 кВ №7 по ВЛ 10 кВ №3125 ПС 110/35/10 кВ А-31 для технологического присоединения энергопринимающих устройств жилого дома Заявителя Гладкий А.В., с. Пешково, Азовский район, Ростовская область, к.н. 61:01:0140101:8259 (1 шт) </t>
  </si>
  <si>
    <t xml:space="preserve">Установка прибора коммерческого учета электрической энергии (мощности) на границе земельного участка, подключенного от опоры №43-16 ВЛ-0,4 кВ №1 КТП 10/0,4 кВ №43 по ВЛ 10 кВ №105Н ПС 110/6/10 кВ НС-1 для технологического присоединения энергопринимающих устройств жилого дома Заявителя Посиделовой Н.Н., х. Шмат, Азовский район, Ростовская область, к.н. 61:01:0031001:38 (1 шт) </t>
  </si>
  <si>
    <t>Установка прибора коммерческого учета электрической энергии (мощности) на границе земельного участка, подключенного от опоры №111-94 ВЛ-0,4 кВ №3 КТП 10/0,4 кВ №111 по ВЛ 10 кВ №3113 ПС 110/35/10 кВ А-31 для технологического присоединения энергопринимающих устройств жилого дома Заявителя Чебанова И.С., с. Пешково, Азовский район, Ростовская область, к.н. 61:01:0140101:7497 (1 шт)</t>
  </si>
  <si>
    <t xml:space="preserve">Установка прибора коммерческого учета электрической энергии (мощности) на границе земельного участка, подключенного от опоры №14-85 ВЛ-0,4 кВ №3 КТП 10/0,4 кВ №14 по ВЛ 10 кВ №106Н ПС 110/6/10 кВ НС-1 для технологического присоединения энергопринимающих устройств жилого дома Заявителя Степанцова Я.А., п. Овощной, Азовский район, Ростовская область, к.н. 61:01:0130101:4707 (1 шт) </t>
  </si>
  <si>
    <t xml:space="preserve">Установка прибора коммерческого учета электрической энергии (мощности) на границе земельного участка, подключенного от опоры №162-1 ВЛ-0,4 кВ №1 КТП 10/0,4 кВ №162 по ВЛ 10 кВ №1101 ПС 35/10 кВ А-11 для технологического присоединения энергопринимающих устройств сквера Заявителя Администрации Кагальницкого сельского поселения., с. Кагальник, Азовский район, Ростовская область, к.н. 61:01:0060101:9148 (1 шт) </t>
  </si>
  <si>
    <t>Установка прибора коммерческого учета электрической энергии (мощности) на границе земельного участка, подключенного от опоры №б/н ВЛ-0,4 кВ КТП 10/0,4 кВ №279 (балансовая принадлежность ИП Усачев В.И. (п. Беловодье) по ВЛ 10 кВ №1815 ПС 35/10 кВ А-18 для технологического присоединения энергопринимающих устройств жилого дома Заявителя Глазырина И.Л., х. Обуховка, Азовский район, Ростовская область, к.н. 61:01:0600002:3212 (1 шт)</t>
  </si>
  <si>
    <t>Установка прибора коммерческого учета электрической энергии (мощности) на границе земельного участка, подключенного от опоры №б/н ВЛ-0,4 кВ КТП 10/0,4 кВ №279 (балансовая принадлежность ИП Усачев В.И. (п. Беловодье) по ВЛ 10 кВ №1815 ПС 35/10 кВ А-18 для технологического присоединения энергопринимающих устройств жилого дома Заявителя Глазырина И.Л., х. Обуховка, Азовский район, Ростовская область, к.н. 61:01:0600002:3285 (1 шт)</t>
  </si>
  <si>
    <t>Установка прибора коммерческого учета электрической энергии (мощности) на границе земельного участка, подключенного от опоры №б/н ВЛ-0,4 кВ КТП 10/0,4 кВ №279 (балансовая принадлежность ИП Усачев В.И. (п. Беловодье) по ВЛ 10 кВ №1815 ПС 35/10 кВ А-18 для технологического присоединения энергопринимающих устройств жилого дома Заявителя Глазырина И.Л., х. Обуховка, Азовский район, Ростовская область, к.н. 61:01:0600002:3286 (1 шт)</t>
  </si>
  <si>
    <t>Установка прибора коммерческого учета электрической энергии (мощности) на границе земельного участка, подключенного от опоры №167-11 ВЛ-0,4 кВ №1 КТП 10/0,4 кВ №167 по ВЛ 10 кВ №106Н ПС 110/6/10 кВ НС-1 для технологического присоединения энергопринимающих устройств жилого дома Заявителя Переходько Н.Н., ДНТ «Кулешовка», Азовский район, Ростовская область, к.н. 61:01:0600006:1487 (1 шт)</t>
  </si>
  <si>
    <t xml:space="preserve">Установка прибора коммерческого учета электрической энергии (мощности) на границе земельного участка, подключенного от опоры №233-21 ВЛ-0,4 кВ №1 КТП 10/0,4 кВ №233 по ВЛ 10 кВ №1815 ПС 35/10 кВ А-18 для технологического присоединения энергопринимающих устройств жилого дома Заявителя Чернявской А.Ю., СТ «Надежда-4», Азовский район, Ростовская область, к.н. 61:01:0500301:235 (1 шт) </t>
  </si>
  <si>
    <t xml:space="preserve">Установка прибора коммерческого учета электрической энергии (мощности) на границе земельного участка, подключенного от опоры №187-1 ВЛ-0,4 кВ №1 КТП 10/0,4 кВ №187 по ВЛ 10 кВ №106Н ПС 110/6/10 кВ НС-1 для технологического присоединения энергопринимающих устройств жилого дома Заявителя Давидюк Т.М., ДНТ «Кулешовка», Азовский район, Ростовская область, к.н. 61:01:0600006:1644 (1 шт) </t>
  </si>
  <si>
    <t xml:space="preserve">Установка прибора коммерческого учета электрической энергии (мощности) на границе земельного участка, подключенного от опоры №18-6 ВЛ-0,4 кВ №1 КТП 10/0,4 кВ №18 по ВЛ 10 кВ №107Н ПС 110/6/10 кВ НС-1 для технологического присоединения энергопринимающих устройств нежилого здания Заявителя Перковой А.И., Азовский район, Ростовская область, к.н. 61:01:0600006:3487 (1 шт)  </t>
  </si>
  <si>
    <t xml:space="preserve">Установка прибора коммерческого учета электрической энергии (мощности) на границе земельного участка, подключенного от опоры №186-24 ВЛ-0,4 кВ №1 КТП 10/0,4 кВ №186 по ВЛ 10 кВ №3113 ПС 110/35/10 кВ А-31 для технологического присоединения энергопринимающих устройств жилого дома Заявителя Исаевой Е.А., с. Пешково, Азовский район, Ростовская область, к.н. 61:01:0140101:6897 (1 шт) </t>
  </si>
  <si>
    <t>Установка прибора коммерческого учета электрической энергии (мощности) на границе земельного участка, подключенного от опоры №21-72 ВЛ-0,4 кВ №2 КТП 10/0,4 кВ №21 по ВЛ 10 кВ №1411 ПС 110/35/10 кВ А-32 для технологического присоединения энергопринимающих устройств жилого дома Заявителя Свириденко А.М., х. Полтава 1-я, Азовский район, Ростовская область, к.н. 61:01:0080201:1440 (1 шт)</t>
  </si>
  <si>
    <t xml:space="preserve">Установка прибора коммерческого учета электрической энергии (мощности) на границе земельного участка, подключенного от опоры №213-23 ВЛ-0,4 кВ №1 КТП 10/0,4 кВ №213 по ВЛ 10 кВ №910 ПС 35/10 кВ А-9 для технологического присоединения энергопринимающих устройств жилого дома Заявителя Гусакова Д.В., СНТ «Южное», Азовский район, Ростовская область, к.н. 61:01:0000380:262 (1 шт) </t>
  </si>
  <si>
    <t xml:space="preserve">Установка прибора коммерческого учета электрической энергии (мощности) на границе земельного участка, подключенного от опоры №213-23 ВЛ-0,4 кВ №1 КТП 10/0,4 кВ №213 по ВЛ 10 кВ №910 ПС 35/10 кВ А-9 для технологического присоединения энергопринимающих устройств жилого дома Заявителя Юрковой Е.В., СНТ «Южное», Азовский район, Ростовская область, к.н. 61:45:0000380:263 (1 шт) </t>
  </si>
  <si>
    <t>Установка прибора коммерческого учета электрической энергии (мощности) на границе земельного участка, подключенного от опоры №212-29 ВЛ-0,4 кВ №2 КТП 10/0,4 кВ №212 по ВЛ 10 кВ №910 ПС 35/10 кВ А-9 для технологического присоединения энергопринимающих устройств жилого дома Заявителя Ефименко Е.С., СНТ «Южное», Азовский район, Ростовская область, к.н. 61:45:0000380:46 (1 шт)</t>
  </si>
  <si>
    <t>Установка прибора коммерческого учета электрической энергии (мощности) на границе земельного участка, подключенного от опоры №111-1 ВЛ-0,4 кВ №1 КТП 10/0,4 кВ №111 по ВЛ 10 кВ №801 ПС 35/10 кВ А-8 для технологического присоединения энергопринимающих устройств закусочной летнего типа Заявителя Зубарева П.Е., Павло-Очаковская коса, Азовский район, Ростовская область, к.н. 61:01:0600010:69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</si>
  <si>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61-1-21-00601851 от 20.09.2021г. с заявителем Ионовой А.В.) КТП 10/0,4 кВ №334 ВЛ 10кВ №202Н ПС 110/6/10 кВ НС-2 для технологического присоединения энергопринимающих устройств жилого дома Заявителя Айтекова А.К., Ростовская область, Азовский район, ЗАО «Обильное», к.н. 61:01:0600006:6819 (1 шт.)</t>
  </si>
  <si>
    <t>Установка прибора коммерческого учета электрической энергии (мощности) на границе земельного участка, подключенного от опоры №17-33 ВЛ-0,4 №1 КТП-17 ВЛ-10 1608  ПС 35 кВ ЗР16 для технологического присоединения энергопринимающих устройств нежилого помещения Заявителя АО «Почта России», Ростовская область, Зерноградский р-н, х. 1-й Россошинский, ул. Заречная д.4 кв.1  к.н. 61:12:0030306:128 (1 шт.)</t>
  </si>
  <si>
    <t>Установка прибора коммерческого учета электрической энергии (мощности) на границе земельного участка, подключенного от опоры  №141-29 ВЛ-0,4  №2  КТП-141 ВЛ-10 215 ПС 35 кВ КГ2 для технологического присоединения энергопринимающих устройств малоэтажной жилой застройки Заявителя Арутюнов О.В. Ростовская область, Кагальницкий р-н, п. Малиновка, ул. Специалистов д.6Г к.н. 61:14:001302:882 (1 шт.)</t>
  </si>
  <si>
    <t>Установка прибора коммерческого учета электрической энергии (мощности) на границе земельного участка, подключенного от опоры  № 74-15 ВЛ-0,4  №1  КТП-74  ВЛ-10 801 ПС 35 кВ ЗР8 для технологического присоединения энергопринимающих устройств малоэтажной жилой застройки Заявителя Деменин А.В. Ростовская область, Зерноградский р-н, х. Клюев, ул. Восточная д.1А к.н. 61:12:0090601:1259 (1 шт.)</t>
  </si>
  <si>
    <t>Установка прибора коммерческого учета электрической энергии (мощности) на границе земельного участка, подключенного от опоры  № 121-4 ВЛ-0,4  №1  КТП-121  ВЛ-10 122 ПС 220 кВ Зерновая для технологического присоединения энергопринимающих устройств малоэтажной жилой застройки Заявителя Денисенко А.И. Ростовская область, Зерноградский р-н, х. Ракитный, ул. Заречная д.28 к.н. 61:12:0051001:857 (1 шт.)</t>
  </si>
  <si>
    <t>Установка прибора коммерческого учета электрической энергии (мощности) на границе земельного участка, подключенного от опоры №80-16   ВЛ-0,4 № 1 КТП-80 ВЛ-10 501  ПС 35 кВ ЗР5 для технологического присоединения энергопринимающих устройств жилого дома Заявителя Железняк И.А., Ростовская область, Кагальницкий   р-н, х. Болдиновка ул. Пушкина д.79 ,  к.н. земельного участка: 61:12:0011101:8(1 шт.)</t>
  </si>
  <si>
    <t>Установка прибора коммерческого учета электрической энергии (мощности) на границе земельного участка, подключенного от опоры  №44-45 ВЛ-0,4  №3 МТП-44  ВЛ-10  1002   ПС 110 кВ ЗР10 для технологического присоединения энергопринимающих устройств жилого дома Заявителя Занина А.С. Ростовская область, Зерноградский р-н, г. Зерноград, ул. Пшеничная д.2А к.н. 61:12:0040105:768 (1 шт.)</t>
  </si>
  <si>
    <t>Установка прибора коммерческого учета электрической энергии (мощности) на границе земельного участка, подключенного от опоры №36-23 ВЛ-0,4  №1  КТП-36 ВЛ-10 313 ПС 35 кВ КГ3 для технологического присоединения энергопринимающих устройств малоэтажной жилой застройки Заявителя Иванченко В.А. Ростовская область, Кагальницкий р-н, ст. Кировская, ул. Кирова д. 119 к.н. 61:14:0050111:131 (1 шт.)</t>
  </si>
  <si>
    <t>Установка прибора коммерческого учета электрической энергии (мощности) на границе земельного участка, подключенного от опоры №61-128   ВЛ-0,4 №2 КТП-128 ВЛ-10 313  ПС 35 кВ КГ3 для технологического присоединения энергопринимающих устройств магазина Заявителя ИП Воронина С.В., Ростовская область, Кагальницкий   р-н, ст. Кировская ул. Кирова д.84В,  к.н.: 61:14:0050109:98(1 шт.)</t>
  </si>
  <si>
    <t>Установка прибора коммерческого учета электрической энергии (мощности) на границе земельного участка, подключенного от опоры №28-264  ВЛ-0,4 №3 ЗТП-28 ВЛ-10 313  ПС 35 кВ КГ3 для технологического присоединения  энергопринимающих устройств объекта торговли Заявителя ИП Адиханян А.А. Ростовская область, Кагальницкий р-н, ст. Кировская, ул. Кирова д.2С к.н.: 61:14:0050130:85 (1 шт.)</t>
  </si>
  <si>
    <t>Установка прибора коммерческого учета электрической энергии (мощности) на границе земельного участка, подключенного от опоры №194-5  ВЛ-0,4 №1 КТП-194 ВЛ-10 313  ПС 35 кВ КГ3 для технологического присоединения  энергопринимающих устройств нежилой застройки Заявителя ИП Адиханян А.А. Ростовская область, Кагальницкий р-н, ст. Кировская, ул. Кирова д.8Г к.н.: 61:14:0050129:390(1 шт.)</t>
  </si>
  <si>
    <t>Установка прибора коммерческого учета электрической энергии (мощности) на границе земельного участка, подключенного от опоры №90-85 ВЛ-0,4 №3 КТП-90 ВЛ-10 413  ПС 35 кВ КГ4 для технологического присоединения энергопринимающих устройств нежилой застройки Заявителя ИП Лиходедов В.Н., Ростовская область, Кагальницкий   р-н, с. Иваново-Шамшево, ул. Ростовская д.2А  к.н.: 61:14:0030301:48 (1 шт.)</t>
  </si>
  <si>
    <t>Установка прибора коммерческого учета электрической энергии (мощности) на границе земельного участка, подключенного от опоры № 18-24 ВЛ-0,4  №1  КТП-18  ВЛ-10 605 ПС 35 кВ КГ3 для технологического присоединения энергопринимающих устройств нежилой застройки Заявителя ИП Петров Л.В. Ростовская область, р-н. Кагальницкий с. Новобатайск ул. Ленина  д.15А к.н. 61:14:00672413:305 (1 шт.)</t>
  </si>
  <si>
    <t>Установка прибора коммерческого учета электрической энергии (мощности) на границе земельного участка, подключенного от опоры №22-50 ВЛ-0,4 №1 КТП-22 ВЛ-10 1006  ПС 110 кВ Полячки для технологического присоединения энергопринимающих устройств малоэтажной жилой застройки Заявителя ИП Соломко В.Т.,  Ростовская область, Кагальницкий р-н, х. Красный Яр, ул. Ветеранов д.3  к.н.: 61:14:0080301:1 (1 шт.)</t>
  </si>
  <si>
    <t>Установка прибора коммерческого учета электрической энергии (мощности) на границе земельного участка, подключенного от опоры №196-16 ВЛ-0,4 №1 КТП-196 ВЛ-10 606  ПС 35 кВ КГ6 для технологического присоединения энергопринимающих устройств малоэтажной жилой застройки Заявителя Исаков Е.Ю., Ростовская область, Кагальницкий р-н, с. Новобатайск, пер. Дачный д.35  к.н. 61:14:0040117:164 (1 шт.)</t>
  </si>
  <si>
    <t>Установка прибора коммерческого учета электрической энергии (мощности) на границе земельного участка, подключенного от опоры  № 135-161 ВЛ-0,4  №4  КТП-135  ВЛ-10 805 ПС 110 кВ БОС для технологического присоединения энергопринимающих устройств малоэтажной жилой застройки Заявителя Калиенко О.В. Ростовская область, Кагальницкий р-н, п. Мокрый Батай, ул. Майская д.3А к.н. 61:14:0060107:683 (1 шт.)</t>
  </si>
  <si>
    <t>Установка прибора коммерческого учета электрической энергии (мощности) на границе земельного участка, подключенного от опоры №80-52 ВЛ-0,4 №2 КТП-80 ВЛ-10 501  ПС 35 кВ ЗР5 для технологического присоединения энергопринимающих устройств нежилой застройки Заявителя Коношенко С.А., Ростовская область, Зерноградский р-н, х. Болдиновка , ул. Пушкина  д.41 к.н. 61:12:0011101:125 (1 шт.)</t>
  </si>
  <si>
    <t>Установка прибора коммерческого учета электрической энергии (мощности) на границе земельного участка, подключенного от опоры №23-18 ВЛ-0,4 №5 КТП-23 ВЛ-10 1507  ПС 110 кВ ЗР15 для технологического присоединения энергопринимающих устройств нежилой застройки Заявителя Кулешов А.А., Ростовская область, Зерноградский р-н, г. Зерноград, ул. им. Самохвалова д.23К  к.н. 61:12:0040102:786 (1 шт.)</t>
  </si>
  <si>
    <t>Установка прибора коммерческого учета электрической энергии (мощности) на границе земельного участка, подключенного от опоры №44-51 ВЛ-0,4 №3 КТП-44 ВЛ-10 1002 ПС 110 кВ ЗР10 для технологического присоединения  энергопринимающих устройств жилого дома Заявителя Левченко В.А. Ростовская область, Зерноградский р-н, ул. Пшеничная д.12 к.н. 61:14:0040105:518 (1 шт.)</t>
  </si>
  <si>
    <t>Установка прибора коммерческого учета электрической энергии (мощности) на границе земельного участка, подключенного от опоры  №4-97 ВЛ-0,4  №3  КТП-97 ВЛ-10 805 ПС 110 кВ БОС для технологического присоединения энергопринимающих устройств нежилой застройки Заявителя Марченко Н.А. Ростовская область, Кагальницкий р-н, п. Мокрый Батай, ул. Зеленая д.1-Д  к.н. 61:14:0060101:2531 (1 шт.)</t>
  </si>
  <si>
    <t>Установка прибора коммерческого учета электрической энергии (мощности) на границе земельного участка, подключенного от опоры №9-18 ВЛ-0,4 №2 КТП-9 ВЛ-10 612 ПС 35 кВ КГ6 для технологического присоединения  энергопринимающих устройств жилого дома Заявителя Новосельцев А.И. Ростовская область, Кагальницкий р-н, с. Новобатайск, ул. Садовая д.12 кв.1 к.н. 61:14:0040103:286 (1 шт.)</t>
  </si>
  <si>
    <t>Установка прибора коммерческого учета электрической энергии (мощности) на границе земельного участка, подключенного от опоры №1-14  ВЛ-0,4 №1 КТП-1 ВЛ-10 612  ПС 35 кВ КГ6 для технологического присоединения энергопринимающих устройств малоэтажной жилой застройки Заявителя Падалица А.Г., Ростовская область, Кагальницкий   р-н, с. Новобатайск,  ул. Октябрьская д.3 к.н.: 61:14:0040101:52(1 шт.)</t>
  </si>
  <si>
    <t>Установка прибора коммерческого учета электрической энергии (мощности) на границе земельного участка, подключенного от опоры  № 80-10 ВЛ-0,4  №1  КТП-80  ВЛ-10 501 ПС 35 кВ ЗР85для технологического присоединения энергопринимающих устройств малоэтажной жилой застройки Заявителя Степаненко В.П. Ростовская область, Зерноградский р-н, х. Болдиновка , ул. Пушкина  д.75 к.н. 61:12:0011101:897 (1 шт.)</t>
  </si>
  <si>
    <t>Установка прибора коммерческого учета электрической энергии (мощности) на границе земельного участка, подключенного от проектируемой опоры ВЛ 0,4 №1 КТП-65 ВЛ-10 1205 ПС 110 кВ Манычская для технологического присоединения энергопринимающих устройств базовой станции Заявителя ПАО "Ростелеком", Ростовская обл., р-н. Зерноградский, х. Средние Хороли (1 шт.)</t>
  </si>
  <si>
    <t>Установка прибора коммерческого учета электрической энергии (мощности) на границе земельного участка, подключенного от проектируемой опоры ВЛ 0,4 №1 КТП-163 ВЛ-10 202 ПС 110 кВ Краснолучинская для технологического присоединения энергопринимающих устройств базовой станции Заявителя ПАО"Ростелеком",  Ростовская обл., р-н. Зерноградский, х. Попов (1 шт.)</t>
  </si>
  <si>
    <t>Установка прибора коммерческого учета электрической энергии (мощности) на границе земельного участка, подключенного от проектируемой опоры ВЛ 0,4 №1 КТП-40 ВЛ-10 1706 ПС 35 кВ ЗР17 для технологического присоединения энергопринимающих устройств базовой станции Заявителя ПАО "Ростелеком", Ростовская обл., р-н. Зерноградский, х. Краснюков (1 шт.)</t>
  </si>
  <si>
    <t>Установка прибора коммерческого учета электрической энергии (мощности) на границе земельного участка, подключенного от проектируемой опоры №1 ВЛ 0,4 №1 КТП-83 ВЛ-10 1501 ПС 110 кВ ЗР15 для технологического присоединения энергопринимающих устройств базовой станции Заявителя ПАО "Ростелеком", Ростовская обл., р-н. Зерноградский, х. Каменный (1 шт.)</t>
  </si>
  <si>
    <t>Установка прибора коммерческого учета электрической энергии (мощности) на границе земельного участка, подключенного от проектируемой опоры ВЛ 0,4 №1 КТП-36 ВЛ-10 1704 ПС 35 кВ ЗР17 для технологического присоединения энергопринимающих устройств базовой станции Заявителя ПАО "Ростелеком", Ростовская обл., р-н. Зерноградский, х. Голубовка (1 шт.)</t>
  </si>
  <si>
    <t>Строительство КТП-10/0,4 кВ с трансформатором расчетной мощности (с учетом договоров об осуществлении технологического присоединения № 61-1-21-00569491 от 16.04.2021 г., № 61-1-21-00569665 от 16.04.2021г., № 61-1-21-00587533 от 19.07.2021г. и строительство ВЛ-0,4 кВ, от вновь построенной ТП, установка прибора учета электрической энергии (мощности) в точке поставки и установка шкафа (0,4 кВ) с коммутационным аппаратом (1 шт.), для технологического присоединения объекта торговли (магазина) Заявителя, Заика В.Н., расположенного в Ростовской области, Чертковский р-н, х. Нагибин, ул. Молодежная 49, (к.н.з.у. 61:42:0100201:1140), (ориентировочная   протяженность ЛЭП – 0,24 км, ориентировочная мощность ТП – 0,25 МВА)</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</si>
  <si>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Стрелец Т.В., расположенного по адресу: Ростовская область, Чертковский  район, х. Ястребиновский, ул. Ясная, д.15, кв. 2,  к.н.з.у. 61:42:0040501:45</t>
  </si>
  <si>
    <t>Установка прибора учета электрической энергии (мощности) в точке поставки и установка шкафа 0,4 кВ с коммутационным аппаратом для электроснабжения ВРУ-0,4 кВ для строительства МТФ №1, заявителя, ИП Глава К(Ф)Х Фомин В. В., расположенного по адресу: Ростовская область, Чертковский район, х. Ходаков, ул. Молодежная, д. 29, к.н.з.у. 61:42:0170301:105</t>
  </si>
  <si>
    <t>Установка прибора учета электрической энергии (мощности) в точке поставки и установка шкафа 0,4 кВ с коммутационным аппаратом для электроснабжения магазина, заявителя, ИП Коваленко О.Н., расположенного по адресу: Ростовская область, Чертковский район, с. Алексеево-Лозовское, ул. Лисичкина, д. 22-Г, к.н.з.у. 61:42:0010101:4487</t>
  </si>
  <si>
    <t>Установка прибора учета электрической энергии (мощности) в точке поставки и установка шкафа 0,4 кВ с коммутационным аппаратом для электроснабжения объекта туристической отрасли (гостиница), заявителя, ИП Курьянов С.В., расположенного по адресу: Ростовская область, Чертковский район х. Нагибин, ул. Молодежная, д. 60, к.н.з.у. 61:42:0100201:1132</t>
  </si>
  <si>
    <t>Строительство ВЛ-0,4 кВ от опоры №7/19 ВЛ 0,4 кВ  №3, КТП-10/0,4 кВ №26 по ВЛ-10 кВ №1 ПС 35/10 кВ «Базковская», установка приборов коммерческого учета электрической энергии (мощности) в точке поставки и установка шкафов 0,4 кВ с коммутационным аппаратом, (3 шт.) для технологического присоединения квартир заявителей, Тергалинской С.В., Богуновой Т.В., Котлярова Т.В., расположенных по адресу: Ростовская область, Шолоховский р-н, ст. Базковская, ул. Калинина, (ориентировочная протяженность ЛЭП – 0,11 км)</t>
  </si>
  <si>
    <t>Строительство ВЛ-0,4 кВ от опоры №14/5 по ВЛ-0,4 кВ №2 КТП-10/0,4 кВ №47 по ВЛ-10 кВ №5 ПС 35/10 кВ «Кружилинская»,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Поповниной Н.Р., расположенного по адресу: Ростовская область, Шолоховский р-н, х. Кружилинский, пер. Радужный, д. 1, (к.н.з.у. 61:43:0070101:1042) (ориентировочная протяженность ЛЭП – 0,04 км)</t>
  </si>
  <si>
    <t>Строительство ВЛ-0,4кВ от опоры №10 по ВЛ-0,4кВ №1 КТП-10/0,4 кВ №337 по ВЛ-10кВ №3 ПС 110/35/10кВ "Колодезянская",  установка прибора коммерческого учета электрической энергии (мощности) в точке поставки и установка шкафа 0,4кВ с коммутационным аппаратом (1 шт.) для технологического присоединения личного подсобного хозяйства заявителя, Хрипунова А.В., расположенного по адресу: Ростовская область, Миллеровский р-н , сл. Колодези, Колодезянское сельское поселение  (к.н.з.у. 61:22:0600001:730) (ориентировочная протяженность ЛЭП-0,037 км,)</t>
  </si>
  <si>
    <t>Установка прибора учета электрической энергии (мощности) в точке поставки и установка шкафа 0,4кВ с коммутационным аппаратом для электроснабжения квартиры заявителя Богатых Э.М., расположенного по адресу: Ростовская область, Шолоховский  район,ст.Базковская ,ул.Калинина д.62,кв.3 к.н.з.у. 61:43:0010102:1414</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</si>
  <si>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Ермилина А.К., расположенного по адресу: Ростовская область, Шолоховский район, х. Лебяженский, ул. Плоткина, д. 13, к.н.з.у. 61:43:0020501:156</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</si>
  <si>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Путрина В.Н., расположенного по адресу: Ростовская область, Миллеровский  район, х. Екатериновка, ул. Юбилейная, д. 82, к.н.з.у. 61:22:0050401:217</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</si>
  <si>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Шалакина Н.М., расположенного по адресу: Ростовская область, Миллеровский  район, х. Малотокмацкий, ул. Степная, д. 6, к.н.з.у. 61:22:0120101:88</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</si>
  <si>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Тончинского С.А., расположенного по адресу: Ростовская область, Миллеровский  район, сл. Волошино, ул. Межевая, д. 13, (61:22:0020101:189)</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</si>
  <si>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Ващук Д.В., расположенного по адресу: Ростовская область, Миллеровский  район, сл. Волошино, ул. Межевая, д. 14, (61:22:0020101:777)</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</si>
  <si>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 Садового А.Н., расположенного по адресу: Ростовская область, Миллеровский район, х. Сулин, ул. Набережная, д. 25, к.н.з.у. 61:22:140101:0161</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</si>
  <si>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Гирина В.А., расположенного по адресу: Ростовская область, Миллеровский район, х. Треневка, ул. Восточная, д.23, к.н.з.у. 61:22:0061101:186»</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</si>
  <si>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Омельченко Е.Г., расположенного по адресу: Ростовская область, Миллеровский район, сл. Поповка, ул. Жигулевская, д. 5, к.н.з.у. 61:22:0071001:39»</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</si>
  <si>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Мамедова С.А., расположенной по адресу: Ростовская область, Миллеровский район, х. Красная Заря, ул. Полевая, д. 8, кв, 1 к.н.з.у. 61:22:0010501:14»</t>
  </si>
  <si>
    <t>«Установка прибора учета электрической энергии (мощности) в точке поставки и установка шкафа 0,4 кВ с коммутационным аппаратом для электроснабжения личного подсобного хозяйства заявителя, Черенковой Г.Г., расположенного по адресу: Ростовская область, Миллеровский район, х. Кринички, Треневское сельское поселение, к.н.з.у. 61:22:0060701:328»</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</si>
  <si>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Бабенко А.А., расположенного по адресу: Ростовская область, Миллеровский  район, с.Зеленая Роща  ул.Центральная  д.24 к.н.з.у. 61:22:0070501:63»</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</si>
  <si>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Савченко В.И., расположенного по адресу: Ростовская область, Миллеровский  район, сл.Волошино ул.Северная  д.32 к.н.з.у. 61:22:0020101:762»</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</si>
  <si>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Савченко Н.П, расположенного по адресу: Ростовская область, Миллеровский  район, сл.Волошино ул.Северная  д.27 к.н.з.у. 61:22:0020101:788»</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</si>
  <si>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Папченко В.Г., расположенной по адресу: Ростовская область, Миллеровский район, сл. Никольская, ул. Молодежная, д. 8, кв./оф. 3, к.н.з.у. 61:22:0100101:222»</t>
  </si>
  <si>
    <t>«Установка прибора учета электрической энергии (мощности) в точке поставки и установка шкафа 0,4 кВ с коммутационным аппаратом для электроснабжения личного подсобного хозяйства заявителя, Хилько И.А., расположенного по адресу: Ростовская область, Миллеровский район, сл. Позднеевка, ул. Комсомольская, д. 3, к.н.з.у. 61:22:0050801:919»</t>
  </si>
  <si>
    <t>«Установка прибора учета электрической энергии (мощности) в точке поставки и установка шкафа 0,4 кВ с коммутационным аппаратом для электроснабжения нежилого здания заявителя, ООО "Поливенко", расположенного по адресу: Ростовская область, Миллеровский  район, х. Малотокмацкий, ул. Школьная, д. 9, корп. а,  к.н.з.у. 61:22:0020101:592»</t>
  </si>
  <si>
    <t>«Установка прибора учета электрической энергии (мощности) в точке поставки и установка шкафа 0,4 кВ с коммутационным аппаратом для электроснабжения личного подсобного хозяйства заявителя, Датченко О.Ю., расположенного по адресу: Ростовская область, Миллеровский район,  х. Каменка, ул. Школьная, к.н.з.у. 61:22:0100401:652»</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</si>
  <si>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Ганжина А.Н., расположенного по адресу: Ростовская область, Миллеровский район, х. Малотокмацкий, пер. Северный, д.2, к.н.з.у. 61:22:0120101:143»</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</si>
  <si>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Леонтьева В.И., расположенного по адресу: Ростовская область, Миллеровский  район, х. Треневка, ул. Заречная, д. 19,»</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</si>
  <si>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Головченко И.М., расположенного по адресу: Ростовская область,Кашарский  район, х. Лененский, ул. Заветная, д.7, к.н.з.у. 61:16:0170401:179</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</si>
  <si>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Арабаджиевой Л.А., расположенного по адресу: Ростовская область,Кашарский  район, с. Верхнекалиновка, ул. Центральная, д.30, к.н.з.у. 61:16:0100301:242 (1 шт.)</t>
  </si>
  <si>
    <t>«Строительство ВЛ-0,4 кВ от опоры № 4/14 по ВЛ-0,4 кВ № 1 КТП-10/0,4 кВ № 92 по ВЛ-10 кВ № 3 ПС 35/10 кВ "Боковская,  обеспечение коммерческим учетом электрической энергии (мощности) в точке поставки и установка  шкафа 0,4 кВ с коммутационным аппаратом, для технологического присоединения жилого дома заявителя, Головина И.Л., расположенного Ростовская область, Боковский р-н, х. Земцов, ул. Колхозная, д. 112 (к.н.з.у.61:05:0070504:396)  (ориентировочная протяженность ЛЭП-0,06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</si>
  <si>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Примакова А.Н., расположенного по адресу: Ростовская область, Боковский район, х. Дуленков, ул. Огородная, д. 18, к.н.з.у. 61:05:0000000:209»</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</si>
  <si>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Ишмахометовой Г.А., расположенного по адресу: Ростовская область, Боковский район, х. Коньков, ул. Коньковская, д. 71, к.н.з.у. 61:05:0040502:51»</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</si>
  <si>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Конкиной С.Д., расположенной по адресу: Ростовская область, Боковский район, х. Дуленков, ул. Песчаная, д. 34-а, кв. 3, к.н.з.у. 61:05:0010603:251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</si>
  <si>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Шевцова А.В., расположенного по адресу: Ростовская область, Боковский район, ст. Боковская, ул. Совхозная, д. 7Б, к.н.з.у. 61:05:0010104:1205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</si>
  <si>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метеостанции заявителя, ФГБУ «Северо-Кавказское управление по гидрометеорологии и мониторингу окружающей среды», расположенной по адресу: Ростовская область, Боковский район, ст. Боковская, пер. Виноградный, д. 34, к.н.з.у. 61:05:0600004:337»</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</si>
  <si>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Лошадкина Н.П., расположенного по адресу: Ростовская область, Боковский район, х. Климовка, ул. Заречная, д. 17, к.н.з.у. 61:05:0040402:31»</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</si>
  <si>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 Попова В.А., расположенного по адресу: Ростовская область, Боковский  район, х. Попов, ул. Заречная, д. 4,  к.н.з.у. 61:05:0040703:2»</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</si>
  <si>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Ступникова М.М., расположенной по адресу: Ростовская область, Боковский район, х. Большенаполовский, ул. Школьная, д. 105, кв. 2, к.н.з.у. 61:05:0020205:74»</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</si>
  <si>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 Тарасова В.Г., расположенного по адресу: Ростовская область, Боковский район, ст. Каргинская, ул. Соловьева, д. 24, к.н.з.у. 61:05:0040106:9»,</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</si>
  <si>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Пятиков Н.Ю., расположенного по адресу: Ростовская область, Боковский район, х.Вислогузов, ул. Вислогузовская, д. 26 В, к.н.з.у. 61:05:0000000:5819»</t>
  </si>
  <si>
    <t>«Строительство ВЛ-0,4 кВ от опоры №19 по ВЛ-0,4 кВ №1 КТП-10/0,4 кВ №144 по ВЛ-10 кВ №3 ПС 110/10 кВ "Новоселовская" , установка прибора коммерческого учета  электрической энергии (мощности) в точке поставки и установки шкафа 0,4кВ с коммутационным аппаратом, (1 шт.)  для технологического присоединения жилого дома заявителя, Сохненко В.А., расположенного по адресу: Ростовская область, Кашарский р-н , х. Второй Киевский, ул. Озерная, д 8., (к.н.з.у.00:00:000000), (ориентировочная протяженность ЛЭП-0,065 км)»</t>
  </si>
  <si>
    <t>«Строительство ВЛ-0,4 кВ от КТП-10/0,4 кВ №44 по ВЛ-10 кВ №6 ПС 110/35/10 кВ «Кашарская»,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нежилого здания заявителя, Дорохова А.А., расположенного по адресу: Ростовская область, Кашарский р-н, с. Верхнекалиновка, 500 м. на север от домовладения по ул. Центральная 136, (к.н.з.у. 61:16:0600010:377) (ориентировочная протяженность ЛЭП – 0,1 км)»</t>
  </si>
  <si>
    <t>«Установка прибора учета электрической энергии (мощности) в точке поставки и установка шкафа 0,4 кВ с коммутационным аппаратом (1 шт.), для электроснабжения уличного освещения Заявителя, Администрация Кашарского сельского поселения., расположенного по адресу: Ростовская область, Кашарский район, сл. Кашары, ул. Красноармейская, к.н.з.у. 61:16:00000003353»</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</si>
  <si>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Хаверев В.И., расположенной по адресу: Ростовская область, Кашарский район, х. Сычевка, ул. Новая, д. 4, кв. 1 к.н.з.у. 61:16:0060301:25»</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</si>
  <si>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Коваленко Е.Е., расположенного по адресу: Ростовская область, Кашарский район, с. Первомайское, ул. Почтовая, д. 16, к.н.з.у. 61:16:0110105:76»</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</si>
  <si>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Кошиковского Н.И., расположенного по адресу: Ростовская область, Кашарский район, с. Первомайское, ул. Советская, д. 12, к.н.з.у. 61:16:0110102:314»</t>
  </si>
  <si>
    <t>«Установка прибора учета электрической энергии (мощности) в точке поставки и установка шкафа 0,4 кВ с коммутационным аппаратом для электроснабжения личного подсобного хозяйства Заявителя, Закарлюка Т.А., расположенного по адресу: Ростовская область, Кашарский район, х. Краснояровка, ул. Центральная, д. 20, к.н.з.у. 61:16:0140301:108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</si>
  <si>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Борисова Н.И., расположенного по адресу: Ростовская область, Кашарский район, с. Первомайское, ул. Калинина, д. 67, к.н.з.у. 61:16:0110102:673»</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</si>
  <si>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Бреславец Е.Ф., расположенного по адресу: Ростовская область, Кашарский район, с. Первомайское, ул. Набережная, д. 3, к.н.з.у. 61:16:0110102:377»</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</si>
  <si>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Иванкова Т.Г., расположенного по адресу: Ростовская область, Кашарский район, с. Верхнекалиновка, ул. Центральная, д. 42, к.н.з.у. 61:16:0100301:580»</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</si>
  <si>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Лазаревой Р.И., расположенного по адресу: Ростовская область, Кашарский район, с. Россошь, ул. Центральная, 16, к.н.з.у. 61:16:0140101:149»</t>
  </si>
  <si>
    <t>«Строительство ВЛ-0,4 кВ от опоры №5 ВЛ 0,4 кВ  №2, КТП-10/0,4 кВ №173 по ВЛ-10 кВ №2 ПС 110/ 35/10 кВ «НС-3»,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Евгеньевой И.В., расположенного по адресу: Ростовская область, Шолоховский р-н, х. Затонский, пер. Стрелка, д. 13, (к.н.з.у. 61:43:0080401:137) (ориентировочная протяженность ЛЭП – 0,1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</si>
  <si>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Сысоева А.П., расположенного по адресу: Ростовская область, Шолоховский район, х. Кружилинский, ул. Садовая, д.21, к.н.з.у. 61:43:0070101:332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</si>
  <si>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Чернуха С.В., расположенного по адресу: Ростовская область, Кашарский район, сл. Верхнемакеевка, ул. Октябрьская, д. 100, к.н.з.у. 61:16:0030105:110»</t>
  </si>
  <si>
    <t>«Установка прибора учета электрической энергии (мощности) в точке поставки и установка шкафа 0,4 кВ с коммутационным аппаратом (1 шт.), для электроснабжения ВРУ 0,4 кВ базовой станции х. Вишневка, заявитель, ПАО «Ростелеком», расположенного по адресу: Ростовская область, Кашарский район, х. Вишневка к.н.з.у. 00:00:00000»</t>
  </si>
  <si>
    <t>«Установка прибора учета электрической энергии (мощности) в точке поставки и установка шкафа 0,4 кВ с коммутационным аппаратом (1 шт.), для электроснабжения ВРУ 0,4 кВ базовой станции с. Новопавловка, заявитель, ПАО «Ростелеком», расположенного по адресу: Ростовская область, Кашарский район, с. Новопавловка к.н.з.у. 00:00:00000»</t>
  </si>
  <si>
    <t>«Установка прибора учета электрической энергии (мощности) в точке поставки и установка шкафа 0,4 кВ с коммутационным аппаратом (1 шт.), для электроснабжения ВРУ 0,4 кВ базовой станции п. Теплые Ключи, заявитель, ПАО «Ростелеком», расположенного по адресу: Ростовская область, Кашарский район, п. Теплые Ключи к.н.з.у. 00:00:00000»</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</si>
  <si>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Саналатий Н.П., расположенного по адресу: Ростовская область, Кашарский район, пер. Школьный д.8 кв.1, ул. к.н.з.у. 61:16:0130105:112»</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</si>
  <si>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Печерской Е.В., расположенного по адресу: Ростовская область, Миллеровский район, х. Зеленая Роща, ул. Школьная, д. 21, к.н.з.у. 61:22:0070501:60</t>
  </si>
  <si>
    <t>«Установка прибора учета электрической энергии (мощности) в точке поставки и установка шкафа 0,4 кВ с коммутационным аппаратом для электроснабжения личного подсобного хозяйства заявителя, Козырева К.А., расположенного по адресу: Ростовская область, Миллеровский район, х. Новоталовка, ул. Солнечная, д. 3, к.н.з.у. 61:22:0011001:31»</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</si>
  <si>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Грищенко А.Ф., расположенной по адресу: Ростовская область, Миллеровский район, сл. Никольская, ул. Центральная, д. 22, кв. 2, к.н.з.у. 61:22:0100101:202»</t>
  </si>
  <si>
    <t>«Установка прибора учета электрической энергии (мощности) в точке поставки и установка шкафа 0,4 кВ с коммутационным аппаратом для электроснабжения базовой станции Заявителя, ПАО «Ростелеком», расположенной по адресу: Ростовская область, Миллеровский район, х. Зеленая Роща,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</si>
  <si>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базовой станции Заявителя, ПАО «Ростелеком», расположенной по адресу: Ростовская область, Миллеровский район, сл. Нижнекамышинка,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</si>
  <si>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базовой станции Заявителя, ПАО «Ростелеком», расположенной по адресу: Ростовская область, Миллеровский район, п. Ярский,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</si>
  <si>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Хрипко А.С., расположенного по адресу: Ростовская область, Миллеровский район, сл. Терновая, ул. Молодежная, д. 4, к.н.з.у. 61:22:0110501:1007»</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</si>
  <si>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Симонова И.И., расположенного по адресу: Ростовская область, Кашарский район, с. Новопавловка, ул. Южная, д. 6, к.н.з.у. 61:16:010303:0078»</t>
  </si>
  <si>
    <t>Строительство ВЛ-0,4 кВ от опоры №10, ВЛ 0,4 кВ №1, КТП-10/0,4 кВ №137 по ВЛ-10 кВ №3 ПС 110/35/10 кВ «Ал. Лозовская»,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ВРУ-0,4 кВ для строительства складов ангарного типа и двух автомобильных весов Заявителя, ООО «Луч», расположенного по адресу: Ростовская область, Чертковский р-н, с. Кутейниково, (к.н.з.у. 61:42:0600014:669) (ориентировочная протяженность ЛЭП – 0,07 км)</t>
  </si>
  <si>
    <t>«Строительство ВЛ-0,4 кВ от опоры №15 ВЛ-0,4 кВ №2 КТП-10/0,4 кВ №15 по ВЛ-10 кВ №4 ПС 110/35/10 кВ «Кашарская», установка прибора коммерческого учета электрической энергии (мощности) в точке поставки и установки шкафа 0,4 кВ с коммутационным аппаратом, (1 шт.) для технологического присоединения ЩРУ -0,4 кВ на земельном участке для сельскохозяйственных угодий заявителя, Скоробогатько Н.И., расположенного по адресу: Ростовская область, Кашарский р-н, сл. Кашары, 100 м. на юг от улицы Маршала Жукова, (к.н.з.у. 61:16:0600006:822 (ориентировочная протяженность ЛЭП – 0,17 км)»</t>
  </si>
  <si>
    <t>Установка прибора учета для технологического присоединения магазина № 61 заявителя, ИП Курдюмов В.П., расположенного по адресу: Ростовская область, Кашарский район, х. Пономарев, ул. Центральная, д. 5, к.н.з.у. 00:00:000000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</si>
  <si>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Соколовой Н.Б., расположенного по адресу: Ростовская область, Кашарский район, сл. Верхнемакеевка, ул. Октябрьская, д. 113, к.н.з.у. 61:16:0030105:28</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</si>
  <si>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Агуреев А.И., расположенного по адресу: Ростовская область, Кашарский район, сл. Верхнемакеевка ул Советская д. 26, к.н.з.у. 61:16:0030101:131</t>
  </si>
  <si>
    <t>Установка прибора учета электрической энергии (мощности) в точке поставки и установка шкафа 0,4 кВ с коммутационным аппаратом для электроснабжения пожарного депо на 2 автомобиля заявителя, ИП Глава КФХ Левина Н.А., расположенного по адресу: Ростовская область, Боковский район, ст. Краснокутская, ул. Социалистическая, д. 67,  к.н.з.у. 61:05:0060105:23</t>
  </si>
  <si>
    <t>Установка прибора учета электрической энергии (мощности) в точке поставки и установка шкафа 0,4 кВ с коммутационным аппаратом для электроснабжения магазина заявителя, ООО "Союз-А", расположенного по адресу: Ростовская область, Боковский район, ст. Краснокутская, ул. Социалистическая, д. 35, к.н.з.у. 61:05:00600106:44</t>
  </si>
  <si>
    <t>Установка прибора учета электрической энергии (мощности) в точке поставки и установка шкафа 0,4 кВ с коммутационным аппаратом для электроснабжения ЗАВа-20 заявителя, ИП (Глава КФХ) Сутуловой Н.И., расположенного по адресу: Ростовская область, Боковский район, х. Земцов, ул. Центральная, д. 53 а, к.н.з.у. 61:05:0070502:141</t>
  </si>
  <si>
    <t>Установка прибора учета электрической энергии (мощности) в точке поставки и установка шкафа 0,4 кВ с коммутационным аппаратом для электроснабжения базовой станции заявителя, ПАО «Ростелеком», расположенной по адресу: 346181 Российская Федерация, Ростовская обл., р-н. Верхнедонской, х. Казанская Лопатина ориентир №49.933030; Е41.241054,  кадастровый квартал 61:07:0020101</t>
  </si>
  <si>
    <t>Установка прибора учета электрической энергии (мощности) в точке поставки и установка шкафа 0,4 кВ с коммутационным аппаратом для электроснабжения базовой станции заявителя, ПАО «Ростелеком», расположенной по адресу: 346184 Российская Федерация, Ростовская обл., р-н. Верхнедонской, х. Быковский, ориентир №49.87402494; Е41.48465781, кадастровый квартал 61:07:0070101</t>
  </si>
  <si>
    <t>Установка прибора учета электрической энергии (мощности) в точке поставки и установка шкафа 0,4 кВ с коммутационным аппаратом для электроснабжения базовой станции заявителя, ПАО «Ростелеком», расположенного по адресу: 346166 Российская Федерация, Ростовская обл., р-н. Верхнедонской, х. Алексеевский, ориентир №49.452639-Е41.128167, кадастровый квартал 61:07:012070</t>
  </si>
  <si>
    <t>Установка прибора учета электрической энергии (мощности) в точке поставки и установка шкафа 0,4 кВ с коммутационным аппаратом для электроснабжения базовой станции заявителя, ПАО «Ростелеком», расположенного по адресу: 346166 Российская Федерация, Ростовская обл., р-н. Верхнедонской, х. Солонцовский, ориентир №49.788424; Е41.318429, кадастровый квартал 61:07:0060401</t>
  </si>
  <si>
    <t>Установка прибора учета электрической энергии (мощности)в точке поставки и установка шкафа 0,4 кВ с коммутационным аппаратом для электроснабжения Базовой станции сотовой связи (БС-2758) заявителя Общество с ограниченной ответственностью "Т2 Мобайл", расположенной по адресу: 346163 Российская Федерация, Ростовская обл., р-н. Верхнедонской, х. Мещеряковский, ул. Садовая, д. 27 б, кадастровый квартал 61:07:0120201</t>
  </si>
  <si>
    <t>Строительство ВЛ-0,4 кВ от опоры №6 по ВЛ-0,4кВ №1 КТП-10/0,4 кВ №398 по ВЛ-10 кВ №4 ПС 35/10 кВ "Колундаевская",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Курбатовой О.Ю., расположенного по адресу: Ростовская область, Шолоховский р-н, х. Ушаковский, ул. Центральная, д. 52, (к.н.з.у. 61:43:0060701:66) (ориентировочная протяженность ЛЭП-0,225 км)</t>
  </si>
  <si>
    <t>Строительство ВЛ-0,4 кВ от опоры №14 ВЛ 0,4кВ №1, КТП-10/0,4 кВ №249 по ВЛ-10 кВ №6 ПС 110/35/10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Шепеловой Н.Н., расположенного по адресу: Ростовская область, Шолоховский р-н, х. Черновский, пер. Центральный, д. 2, (к.н.з.у. 61:43:0060801:215) (ориентировочная протяженность ЛЭП-0,19 км)</t>
  </si>
  <si>
    <t>Строительство ВЛ-0,4 кВ от опоры №7 ВЛ 0,4 кВ  №1, КТП-10/0,4 кВ №148 по ВЛ-10 кВ №3 ПС 110/ 35/10 кВ «НС-3»,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Кривцовой Л.И., расположенного по адресу: Ростовская область, Шолоховский р-н, х. Альшанский, ул. Кооперативная, д. 3а, (к.н.з.у. 61:43:0010201:318) (ориентировочная протяженность ЛЭП – 0,03 км)</t>
  </si>
  <si>
    <t>Строительство ВЛ-0,4 кВ от опоры №3, ВЛ 0,4 кВ №3, КТП-10/0,4 кВ №236 по ВЛ-10 кВ №6 ПС 110/ 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строящегося жилого дома заявителя, Барладян А.О., расположенного по адресу: Ростовская область, Шолоховский р-н, х. Гороховский, ул. Южная, д. 7Б, (к.н.з.у. 61:43:0060401:1396) (ориентировочная протяженность ЛЭП – 0,03 км)</t>
  </si>
  <si>
    <t>Установка прибора учета для технологического присоединения жилого дома заявителя, Сысоева А.А., расположенного по адресу: Ростовская область, Шолоховский район, х. Кружилинский, ул. Садовая, д. 21а, к.н.з.у. 61:43:0070101:2616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</si>
  <si>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Иванченко Р.А., расположенной по адресу: Ростовская область, Шолоховский  район, х. Дубровский, пер. Школьный, д 11, кв. 1, к.н.з.у. 61:43:0030101:497»</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</si>
  <si>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Ушакова Н.П., расположенного по адресу: Ростовская область, Шолоховский район, х. Нижнекривской, ул. Родниковая, д. 93, к.н.з.у. 61:43:0050401:34»</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</si>
  <si>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Казьминой О.В., расположенного по адресу: Ростовская область, Шолоховский  район, х. Дударевский, ул. Набережная, д. 5, к.н.з.у. 61:43:0040101:567</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</si>
  <si>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Благородовой Л.В., расположенного по адресу: Ростовская область, Шолоховский  район, х. Дубровский, ул. Центральная, д. 40, к.н.з.у. 61:43:0030101:320</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</si>
  <si>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Топольскова С.В., расположенного по адресу: Ростовская область, Шолоховский  район, х. Дударевский, ул. Южная, д. 2, к.н.з.у. 61:43:0040101:242</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</si>
  <si>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Айгубова Р.М., расположенного по адресу: Ростовская область, Шолоховский район, х. Максаевский, ул. Южная, д.49, к.н.з.у. 61:43:0070301:116</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</si>
  <si>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Токина В.М., расположенного по адресу: Ростовская область, Шолоховский район, х. Гороховский, ул. Северная, д. 9, к.н.з.у. 61:43:0060401:78»</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</si>
  <si>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Бирюлиной Л.И., расположенного по адресу: Ростовская область, Шолоховский район, х. Дубровский, пер. Грибной, д. 4, к.н.з.у. 61:43:0030101:548»</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</si>
  <si>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Глазуновой Н.В., расположенной по адресу: Ростовская область, Шолоховский  район, х. Кружилинский, ул. Молодежная, д 7, кв. 1, к.н.з.у. 61:43:0070101:851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</si>
  <si>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Рябчикова А.В., расположенного по адресу: Ростовская область, Шолоховский  район, ст. Базковская, ул. Зотьева, д. 6, к.н.з.у. 61:43:0010102:1479</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</si>
  <si>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Афанасьева Р.А., расположенной по адресу: Ростовская область, Шолоховский район, х. Дубровский, пер. Школьный, д. 7, кв. 2, к.н.з.у. 61:43:0030101:0062</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</si>
  <si>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Галиловой Р.Д., расположенного по адресу: Ростовская область, Шолоховский  район, х. Пигаревский, ул. Красноселовская, д. 20, к.н.з.у. 61:43:0020602:81</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</si>
  <si>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Кривцова С.И., расположенного по адресу: Ростовская область, Шолоховский район, х. Альшанский, пер. Панский, д. 3, к.н.з.у. 61:43:0010201:282</t>
  </si>
  <si>
    <t>Строительство ВЛ-0,4 кВ от опоры №6 ВЛ 0,4 кВ №1 КТП-10/0,4 кВ №532 по ВЛ-10 кВ №18 ПС 110/35/10 кВ «ГОК»,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опоры двойного назначения заявителя, ООО «ДонСвязьКонструкция», расположенной по адресу: Ростовская область, Миллеровский р-н, с. Новоспасовка, в границах кадастрового квартала 61:22:0600028 (ориентировочная протяженность ЛЭП – 0,04 км)</t>
  </si>
  <si>
    <t>Строительство ВЛ-0,4 кВ от КТП-10/0,4 кВ №531 по ВЛ-10 кВ №7 ПС 110/10 кВ «Миллеровская»,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придорожного сервиса заявителя, ИП Лихачева А.С, расположенного по адресу: Ростовская область, г. Миллерово, в границах кадастрового квартала 61:54:0133401, к.н.з.у. 61:54:0133401:166, (ориентировочная протяженность ЛЭП – 0,15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</si>
  <si>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склада Заявителя, ООО "Миллеровский Торговый Комплекс", расположенного по адресу: Ростовская область, Миллеровский район, г. Миллерово, к.н.з.у. 61:54:0050001:227</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</si>
  <si>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Глущенко Т.Ф., расположенного по адресу: Ростовская область, Миллеровский район, сл. Нижнекамышинка, ул. Центральная, д. 19, к.н.з.у. 61:22:0020601:104</t>
  </si>
  <si>
    <t>Установка прибора учета электрической энергии (мощности) в точке поставки и установка шкафа 0,4 кВ с коммутационным аппаратом для электроснабжения личного подсобного хозяйства заявителя, Головятенко С.В., расположенного по адресу: Ростовская область, Миллеровский район, Дегтевское сельское поселение, к.н.з.у. 61:22:0030101:2333</t>
  </si>
  <si>
    <t>Строительство ВЛ-0,4 кВ от опоры №4 ВЛ 0,4 кВ  №1, КТП-10/0,4 кВ №57 по ВЛ-10 кВ №1 ПС 110/ 35/10 кВ «Ал. Лозовская»,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базовой станции заявителя, ПАО «Мобильные ТелеСистемы», расположенной по адресу: Ростовская область, Чертковский р-н, х. Зубрилинский, в границах кадастрового квартала 61:42:0060201) (ориентировочная протяженность ЛЭП – 0,23 км)</t>
  </si>
  <si>
    <t>Строительство ВЛ-0,4 кВ от опоры №10 по ВЛ-0,4кВ №1 КТП-10/0,4 кВ №46 по ВЛ-10 кВ №6 ПС 35/10 кВ "Боковская" обеспечение коммерческим учетом электрической энергии (мощности) в точке поставки и установка шкафа 0,4 кВ с коммутационным аппаратом, для технологического присоединения жилого дома заявителя, Магомедшариповой А.А., расположенного  Ростовская область, Боковский р-н, х. Ильин, ул. Ильинская, д. 5, (к.н.з.у. 61:05:0010701:6) (ориентировочная протяженность ЛЭП-0,095 км)</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</si>
  <si>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 Коршунова А.В., расположенного по адресу: Ростовская область, Верхнедонской  район, х. Макаровский, ул. Макаровская, д. 19, к.н.з.у. 61:07:0100101:67"</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</si>
  <si>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 Соколова Ф.Б., расположенного по адресу: Ростовская область, Верхнедонской  район, х. Поповка, ул. Атаманская, д. 31, к.н.з.у. 61:07:0040401:601"</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</si>
  <si>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Гурова М.В., расположенного по адресу: Ростовская область, Шолоховский  район, х. Затонский, ул. Центральная, д. 21, к.н.з.у. 61:43:0080401:111</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</si>
  <si>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Браташевой Н.В., расположенного по адресу: Ростовская область,Кашарский  район, х. Калашников, ул. Береговая, д. 28, к.н.з.у. 61:16:0040601:152</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</si>
  <si>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Радченко В.Ф., расположенного по адресу: Ростовская область, Чертковский  район, х. Могилянский, ул. Мира, д.18, к.н.з.у. 61:42:0040201:142</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</si>
  <si>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Горбачева В.Н., расположенного по адресу: Ростовская область,Кашарский  район, х. Талловеров, ул. Киевская, д.52, к.н.з.у. 61:16:00000003470</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</si>
  <si>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Скарга А.И., расположенного по адресу: Ростовская область,Кашарский  район, х. Федоровка, ул. Восточная, д.43, к.н.з.у. 61:16:0160501:37</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</si>
  <si>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Аникиной Н.А., расположенного по адресу: Ростовская область, Верхнедонской  район, ст. Мешковская, ул. Тихая, д. 2, к.н.з.у. 61:07:0110501:44</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</si>
  <si>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Еровенко А.В., расположенной по адресу: Ростовская область,Кашарский  район, п. Индустриальный, ул. Ждановская, д. 21, к.н.з.у. 61:16:060101:594</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</si>
  <si>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Бочкова А.И., расположенного по адресу: Ростовская область, Чертковский  район, с. Ольховчик, ул. Советская, д. 7, к.н.з.у. 61:42:110101:0103</t>
  </si>
  <si>
    <t>Строительство ВЛ-0,4 кВ от КТП-10/0,4 кВ №23 по ВЛ-10 кВ №1 ПС 35/10 кВ «Лазаревская»,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базовой станции/оборудование сотовой связи заявителя, АО «Первая башенная компания», расположенной по адресу: Ростовская область, Чертковский р-н, с. Новоселовка, ул. Школьная, участок в 200 метрах от дома №1, (ориентировочная протяженность ЛЭП – 0,27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</si>
  <si>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Погребан И.В., расположенного по адресу: Ростовская область,Кашарский  район, х. Талловеров, ул. Украдыженко, д.143, к.н.з.у. 61:16:0160101:487</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</si>
  <si>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Северинова П.В., расположенного по адресу: Ростовская область, Чертковский  район, х. Петровский, ул. Мира, д. 74, к.н.з.у. 61:42:01110201:145</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</si>
  <si>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Сердиченко Т.Г., расположенного по адресу: Ростовская область, Боковский  район, х. Попов, ул. Заречная, д. 8, к.н.з.у. 61:05:0040703:8</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</si>
  <si>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Киреевой И.П., расположенной по адресу: Ростовская область, Верхнедонской район, п. Придонский, ул. Придонская, д. 5, кв. 1, к.н.з.у. 61:07:0090101:57</t>
  </si>
  <si>
    <t>Строительство ВЛ-0,4 кВ от опоры №5 по ВЛ-0,4кВ №2 КТП-10/0,4 кВ №369 по ВЛ-10 кВ №2 ПС 35/10 кВ "Колундаевская"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Алферова М.А., расположенного  Ростовская область, Шолоховский р-н, х. Поповский, ул. Центральная, д. 15, (к.н.з.у. 61:43:0090701:210) (ориентировочная протяженность ЛЭП-0,05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</si>
  <si>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Бондаренко В.А., расположенной по адресу: Ростовская область,Кашарский  район, п. Красный Колос, ул. Пушкинская, д. 2, кв.1, к.н.з.у. 61:16:0080101:192 (1шт.)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</si>
  <si>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Ганеевой Н.И., расположенного по адресу: Ростовская область,Кашарский  район, с. Верхнегреково, ул. Центральная, д.17, к.н.з.у. 61:16:0020102:216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</si>
  <si>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Дьякова В.Н., расположенной по адресу: Ростовская область, Шолоховский  район, х. Дударевский, ул. Асфальтная, д 7, кв. 2, к.н.з.у. 61:43:0040101:714 (1 шт.)</t>
  </si>
  <si>
    <t>Строительство ВЛ-0,4 кВ от РУ 0,4кВ  КТП-10/0,4 кВ №237 по ВЛ-10 кВ №6 ПС 110/35/10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Исайкиной О.Н., расположенного по адресу: Ростовская область, Шолоховский р-н, х. Гороховский, ул. Асфальтная, д. 93, (к.н.з.у. 61:43:00604701:391) (ориентировочная протяженность ЛЭП-0,21 км)</t>
  </si>
  <si>
    <t>Строительство ВЛ-0,4 кВ от опоры №20 ВЛ 0,4 кВ №3, КТП-10/0,4 кВ №229 по ВЛ-10 кВ №2 ПС 110/35/10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Ващаева В.И., расположенного по адресу: Ростовская область, Шолоховский р-н, х. Дубровский, пер. Грибной, д. 21, (к.н.з.у. 61:43:0030101:554) (ориентировочная протяженность ЛЭП-0,03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</si>
  <si>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Василенко Г.Н., расположенного по адресу: Ростовская область,Кашарский  район, с. Усть- Мечетка, ул. Вербовая, д. 45, к.н.з.у. 61:16:160401:0154</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</si>
  <si>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Никишина Н.В., расположенного по адресу: Ростовская область, Чертковский  район, с. Маньково- Калитвенское, ул. Садовая, д.50, к.н.з.у. 61:42:0080128:40</t>
  </si>
  <si>
    <t>Установка прибора учета электрической энергии (мощности) в точке поставки и установка шкафа 0,4 кВ с коммутационным аппаратом для электроснабжения магазина заявителя ИП Любченко А.С., расположенного по адресу: Ростовская область,Кашарский  район, с. Первомайское, ул. Калинина, 23, к.н.з.у. 61:16:0110102:715</t>
  </si>
  <si>
    <t xml:space="preserve">Установка прибора учета электрической энергии (мощности) в точке поставки и установка шкафа 0,4 кВ с коммутационным аппаратом для электроснабжения базовой станции/оборудование сотовой связи заявителя, ООО "ТехноСтройГрупп"., расположенного по адресу: Ростовская область, Боковский  район, ст. Каргинская, ул. Совхозная, </t>
  </si>
  <si>
    <t xml:space="preserve">Установка прибора учета электрической энергии (мощности) в точке поставки и установка шкафа 0,4 кВ с коммутационным аппаратом для электроснабжения базовой станции сотовой связи заявителя, ООО "ТехноСтройГрупп"., расположенного по адресу: Ростовская область, Верхнедонской  район, х. Новониколаевский, ул. Новая, 11, к.н.з.у. 61:07:0010301 </t>
  </si>
  <si>
    <t>«Строительство ВЛ-0,4 кВ от опоры №21 ВЛ 0,4 кВ  №3, КТП-10/0,4 кВ №208 по ВЛ-10 кВ №1 ПС 110/ 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Долженко В.И., расположенного по адресу: Ростовская область, Шолоховский р-н, х. Дубровский, ул. Сосновая, д. 19, (к.н.з.у. 61:43:030101:0130) (ориентировочная протяженность ЛЭП – 0,03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</si>
  <si>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Черкасовой С.А., расположенного по адресу: Ростовская область, Кашарский район, с. Первомайское, ул. Кирова, д. 4, к.н.з.у. 61:16:0110102:648</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</si>
  <si>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Пугач Л.Г., расположенной по адресу: Ростовская область, Кашарский район, с. Первомайское, ул. Лермонтова, д. 18, кв. 4, к.н.з.у. 61:16:0110102:494</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</si>
  <si>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Абакумова А.И., расположенного по адресу: Ростовская область, Шолоховский район, х. Дударевский, ул. Набережная, д. 10, к.н.з.у. 61:43:0040101:577</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</si>
  <si>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Бортниковой С.А., расположенного по адресу: Ростовская область, Чертковский район, с. Греково-Степановка, ул. Дружбы, д. 39, к.н.з.у. 61:42:0040101:31»</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</si>
  <si>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Куркчи Г.В., расположенного по адресу: Ростовская область, Боковский район, ст. Каргинская, ул. Архиповская, д.9, к.н.з.у. 61:05:0040101:11»</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</si>
  <si>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Власенко Н.Н., расположенного по адресу: Ростовская область, Кашарский район, п. Дибровый, ул. Центральная, д. 7, к.н.з.у. 61:16:0130303:97</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</si>
  <si>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Лобанова Ю.В., расположенного по адресу: Ростовская область, Боковский район, х. Грачев, ул. Заречная, д. 34, к.н.з.у. 61:05:00301110:30</t>
  </si>
  <si>
    <t>Строительство ВЛ-0,4 кВ от РУ-0,4 кВ КТП-10/0,4 кВ №155 по ВЛ-10 кВ №2 ПС 110/35/10 кВ «НС-3», установка приборов коммерческого учета электрической энергии (мощности) в точке поставки и установка шкафов 0,4 кВ с коммутационным аппаратом, (2 шт.) для технологического присоединения жилых домов заявителей, Демидова Ю.В., Горюнова В.В., расположенных по адресу: Ростовская область, Шолоховский р-н, х. Меркуловский, пер. Донской, д. 14, д. 18 к.н.з.у. 61:43:0080101:838, 61:43:0080101:837 (ориентировочная протяженность ЛЭП – 0,13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</si>
  <si>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Кошелева А.В., расположенного по адресу: Ростовская область, Шолоховский район, х. Андроповский, ул. Агеева, д. 24, к.н.з.у. 61:43:0020201:220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</si>
  <si>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Кружилиной Н.Г., расположенного по адресу: Ростовская область, Шолоховский район, х. Кривской, ул. Кривская, д. 16, к.н.з.у. 61:43:0040201:45</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</si>
  <si>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Лопаткина А.С., расположенной по адресу: Ростовская область, Чертковский район, с. Маньково-Калитвенское, ул. Юбилейная, д. 9, кв. 2, к.н.з.у. 61:42:0080119:51</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</si>
  <si>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Стоколосова А.Н., расположенного по адресу: Ростовская область, Чертковский район, с. Греково-Степановка, ул. Подгорная, 17, к.н.з.у. 61:42:0040101:196</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</si>
  <si>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Гришиной А.М., расположенного по адресу: Ростовская область, Шолоховский район, х. Гороховский, ул. Асфальтная, д. 84, к.н.з.у. 61:43:0060401:631</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</si>
  <si>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Ярмакович Т.Г., расположенного по адресу: Ростовская область, Боковский район, х. Дуленков, ул. Песчаная, д. 30, кв. 1, к.н.з.у. 61:05:0010603:58</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</si>
  <si>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Колундаева С.Н., расположенного по адресу: Ростовская область, Боковский район, х. Грачев, ул. Заречная, д. 5, к.н.з.у. 61:05:0030109:102</t>
  </si>
  <si>
    <t>Строительство ВЛ-0,4 кВ от опоры №38 ВЛ 0,4 кВ  №1, КТП-10/0,4 кВ №276 по ВЛ-10 кВ №1 ПС 110/ 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Комарова А.М., расположенного по адресу: Ростовская область, Шолоховский р-н, х. Щебуняевский, ул. Песчаная, д. 27, (к.н.з.у. 61:43:0080601:33) (ориентировочная протяженность ЛЭП – 0,06 км)</t>
  </si>
  <si>
    <t>Строительство ВЛ-0,4 кВ от опоры №7/5 ВЛ 0,4 кВ  №3, КТП-10/0,4 кВ №287 по ВЛ-10 кВ №3 ПС 35/10 кВ «Дударевская»,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навеса для хранения сена заявителя, ИП Шаповалова В.В., расположенного по адресу: Ростовская область, Шолоховский р-н, х. Дударевский, ул. Южная, д. 13а, (к.н.з.у. 61:43:0040101:1059) (ориентировочная протяженность ЛЭП – 0,03 км)</t>
  </si>
  <si>
    <t>Строительство ВЛ-0,4 кВ от опоры №10 по ВЛ-0,4 кВ №2 КТП-10/0,4 кВ №288 по ВЛ-10 кВ №2 ПС 110/10 кВ «Макеевская», установка приборов коммерческого учета электрической энергии (мощности) в точке поставки и установка шкафов 0,4 кВ с коммутационными аппаратами, (2 шт.) для технологического присоединения жилых домов заявителей, Шкильнюк В.И.и Савченко Е.Ф. расположенных по адресу: Ростовская область, Кашарский р-н, х. Речка, ул. Тихомировская, д. 21, Тихомировская, д. 20, (к.н.з.у. 61:16:0030501:99), (61:16:0030501:212)  (ориентировочная протяженность ЛЭП – 0,42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</si>
  <si>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Авраменко А.А., расположенного по адресу: Ростовская область, Боковский район, х. Верхнечирский, ул. Мира, д. 91, к.н.з.у. 61:05:0000000:5823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</si>
  <si>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Бирюлина А.В., расположенной по адресу: Ростовская область, Боковский район, х. Грачев, ул. Молодежная, д. 19, кв. 2, к.н.з.у. 61:05:0030108:29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</si>
  <si>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Буханцова Н.Н., расположенного по адресу: Ростовская область, Боковский район, ст. Каргинская, пер. Козырина, д.3, к.н.з.у. 61:05:0040104:76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</si>
  <si>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Гуляченко А.Н., расположенного по адресу: Ростовская область, Кашарский район, п. Индустриальный, ул. Школьная, д.10, к.н.з.у. 61:16:060101:274,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</si>
  <si>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Токиной А.О., расположенного по адресу: Ростовская область, Боковский район, ст. Боковская, пер. Чкалова, д. 67, к.н.з.у. 61:05:0010102:691</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</si>
  <si>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Кривошлыковой Л.И., расположенного по адресу: Ростовская область, Боковский район, х. Каменка, ул. Песчаная, д. 6, к.н.з.у. 61:05:0060301:3</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</si>
  <si>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Турилина Р.Ф., расположенного по адресу: Ростовская область, Шолоховский район, х. Дударевский, ул. Школьная, д. 4, к.н.з.у. 61:43:0040101:402</t>
  </si>
  <si>
    <t>Установка прибора учета электрической энергии (мощности) в очке поставки и установка шкафа 0,4 кВ с коммутационным аппаратом для электроснабжения жилого дома заявителя, Авраменко А.А., расположенного по адресу: Ростовская область, Боковский район, х. Верхнечирский, ул. Мира, д. 79, к.н.з.у. 61:05:02 7(08 02):0009</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</si>
  <si>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Вошанова Н.М., расположенной по адресу: Ростовская область, Кашарский район, п. Дибровый, ул. Дружбы, д. 52, кв. 2,  к.н.з.у. 61:16:0130301:222</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</si>
  <si>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Егорова С.Г., расположенного по адресу: Ростовская область, Кашарский район, сл. Верхнемакеевка, ул. Горная, д. 1, к.н.з.у. 61:16:0030101:578</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</si>
  <si>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Вдовиченко Г.В., расположенной по адресу: Ростовская область,  Кашарский район, х. Вяжа, ул. Центральная, д. 19, кв.2, к.н.з.у. 61:16:0050102:138</t>
  </si>
  <si>
    <t>Установка прибора учета электрической энергии (мощности) в точке поставки и установка шкафа 0,4 кВ с коммутационным аппаратом для электроснабжения гаража, Заявителя Гордиенко В.А., расположенного по адресу: Ростовская область, Чертковский район, с. Маньково-Калитвенское, пер. Луначарского, д. 30, к.н.з.у. 61:42:0080116:37</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</si>
  <si>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Писковатсковой В.А., расположенного по адресу: Ростовская область, Шолоховский район,              х. Громковский, ул. Почтовая, д. 425, к.н.з.у. 61:43:0010501:1173</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</si>
  <si>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Осичкина Н.И., расположенной по адресу: Ростовская область, Верхнедонской район, х. Мещеряковский, ул. Больничная, д. 2, кв. 1, к.н.з.у. 61:07:0120201:0:27:2</t>
  </si>
  <si>
    <t>Установка прибора учета электрической энергии (мощности) в точке поставки и установка шкафа 0,4 кВ с коммутационным аппаратом для электроснабжения земельного участка для сельскохозяйственного производства заявителя, ИП Лысенко Р.В., расположенного по адресу: Ростовская область, Кашарский район, с. Первомайское, примерно 1 км. от здания Первомайского сельского поселения на северо-восток, к.н.з.у. 61:16:0600020:737</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</si>
  <si>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Саенко С.А., расположенного по адресу: Ростовская область, Кашарский район, с. Первомайское, ул. Калинина, д. 53, к.н.з.у. 61:16:0110102:685</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</si>
  <si>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Ряснова С.А., расположенного по адресу: Ростовская область, Чертковский район, с. Осиково, ул. Садовая д. 20, к.н.з.у. 61:42:0190101:529</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</si>
  <si>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Зубчик К.А., расположенного по адресу: Ростовская область, Чертковский район, с. Маньково-Калитвенское, ул. Заречная, д. 18, к.н.з.у. 61:42:0080125:10</t>
  </si>
  <si>
    <t>Строительство ВЛ-0,4 кВ от опры №11 по ВЛ 0,4 кВ №1, КТП-10/0,4 кВ №662 по ВЛ-10 кВ №1 ПС  35/10 кВ «Криворожская»,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ангара заявителя, ИП глава К(Ф)Х Павлов В.Н., расположенного по адресу: Ростовская область, Миллеровский р-н, Криворожское с.п., (к.н.з.у. 61:22:0600024:727) (ориентировочная протяженность ЛЭП – 0,235 км)</t>
  </si>
  <si>
    <t>Установка прибора учета электрической энергии (мощности) в точке поставки и установка шкафа 0,4 кВ с коммутационным аппаратом для технологического присоединения наружного освещения заявителя, Министерство транспорта Ростовской области, расположенного по адресу: Ростовская область, Кашарский р-н, с. Первомайское, участок автодороги 2+760, 3+620, к.н.з.у. 61:16:0110104:203</t>
  </si>
  <si>
    <t>Установка прибора учета электрической энергии (мощности) в точке поставки и установка шкафа 0,4 кВ с коммутационным аппаратом для технологического присоединения наружного освещения заявителя, Министерство транспорта Ростовской области, расположенного по адресу: Ростовская область, Кашарский р-н, с. Первомайское, участок автодороги 3+650, 4+415, к.н.з.у. 61:16:0110104:203</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</si>
  <si>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Ветчинкина А.А., расположенного по адресу: Ростовская область, Шолоховский район, х. Дударевский, ул. Центральная, д. 18, к.н.з.у. 61:43:0040101:443</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</si>
  <si>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Кравцова И.Н., расположенного по адресу: Ростовская область, Боковский район, ст. Боковская, пер. Абрикосовый, д. 1, к.н.з.у. 61:05:0600004:300</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</si>
  <si>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Данченко Н.И., расположенного по адресу: Ростовская область, Кашарский район, с. Россошь, ул. Лесная, д. 7, к.н.з.у. 61:16:0140101:218</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</si>
  <si>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Евсеенко П.П., расположенного по адресу: Ростовская область, Кашарский район, с. Первомайское, ул. Советская, д. 33, к.н.з.у. 61:16:0110102:290</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</si>
  <si>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Грицаева В.Н., расположенного по адресу: Ростовская область, Кашарский район, с. Первомайское, ул. Лермонтова, д. 55, к.н.з.у. 61:16:0110102:454</t>
  </si>
  <si>
    <t>Установка прибора учета электрической энергии (мощности) в точке поставки и установка шкафа 0,4 кВ с коммутационным аппаратом для электроснабжения земельного участка заявителя, ИП Полякова Н.В., расположенного по адресу: Ростовская область, Кашарский район, п. Теплые Ключи, ул. Прудная к.н.з.у. 61:16:0090101:586</t>
  </si>
  <si>
    <t>Установка прибора учета для технологического присоединения строящегося жилого дома заявителя, Гулян А.Н., расположенного по адресу: Ростовская область, Чертковский район, с. Маньково-Калитвенское, пер. Почтовый, д.14, к.н.з.у. 61:42:0080110:32</t>
  </si>
  <si>
    <t>Установка прибора учета для технологического присоединения дома охотника заявителя, Военно-охотничье общество Северо-Кавказского военного округа, межрегиональная спортивная общественная организация, расположенного по адресу: Ростовская область, Кашарский район, х. Ольховый, ул. Лесная, д. 33, к.н.з.у. 61:16:050302:0035</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</si>
  <si>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Шаповалова А.И., расположенного по адресу: Ростовская область, Миллеровский район, х. Луки, ул. Лесная, д. 26, к.н.з.у. 61:22:0100501:16</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</si>
  <si>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Лазаревой Е.М., расположенного по адресу: Ростовская область, Шолоховский район, х. Гороховский, ул. Северная, д. 1, к.н.з.у. 61:43:0060401:322</t>
  </si>
  <si>
    <t>Установка прибора учета электрической энергии (мощности) в точке поставки и установка шкафа 0,4 кВ с коммутационным аппаратом для электроснабжения земельного участка заявителя, Рудько А.М., расположенного по адресу: Ростовская область, Кашарский район, с. Верхнесвечниково, ул. Набережная, д. 10, к.н.з.у. 61:16:0040102:57</t>
  </si>
  <si>
    <t>Установка прибора учета для технологического присоединения жилого дома заявителя, Алексеев В.В., расположенного по адресу: Ростовская область, Верхнедонской район, х. Раскольный, ул. Раскольная, д. 5, к.н.з.у. 61:07:0010401:81</t>
  </si>
  <si>
    <t>Установка прибора учета для технологического присоединения земельного участка заявителя, Баглаев А.А., расположенного по адресу: Ростовская область, Верхнедонской район, х. Кукуевский, ул. Октябрьская, д. 5 А, к.н.з.у. 61:07:0040501:945</t>
  </si>
  <si>
    <t>Установка прибора учета для технологического присоединения нежилого помещения заявителя, ИП Грищенко Е.Г., расположенного по адресу: Ростовская область, Миллеровский район, г. Миллерово, ул. Котовского, д. 33, корп. б, к.н.з.у. 61:54:0050001:493</t>
  </si>
  <si>
    <t>Установка прибора учета для технологического присоединения жилого дома заявителя, Юркин В.А., расположенного по адресу: Ростовская область, Верхнедонской район, х. Мещеряковский, ул. Заречная, д. 16, к.н.з.у. 61:07:0120201:617</t>
  </si>
  <si>
    <t>Установка прибора учета для технологического присоединения объектов наружного освещения заявителя, Администрация муниципального образования «Алексеево-Лозовское сельское поселение», расположенного по адресу: Ростовская область, Чертковский район, с. Греково-Степановка, ул. Центральная, ул. Дружбы, ул. Веселая</t>
  </si>
  <si>
    <t>Установка прибора учета для технологического присоединения строящегося жилого дома заявителя, Ковалев А.С., расположенного по адресу: Ростовская область, Боковский район, ст. Каргинская, ул. Архиповская, д.48а, к.н.з.у. 61:05:0040110:171</t>
  </si>
  <si>
    <t>Установка прибора учета для технологического присоединения жилого дома заявителя, Опашко С.П., расположенного по адресу: Ростовская область, Чертковский район, с. Алексеево-Лозовское, ул. Кирова, д.70/2, к.н.з.у. 61:42:0010101:4804</t>
  </si>
  <si>
    <t>Установка прибора учета для технологического присоединения квартиры заявителя, Закиев А.Р., расположенной по адресу: Ростовская область, Боковский район, х. Попов, ул. Заречная, д.5, кв. 1, к.н.з.у. 61:05:0040703:4</t>
  </si>
  <si>
    <t>Строительство ВЛ-0,4 кВ от опоры №10/6, ВЛ 0,4 кВ №1, КТП-10/0,4 кВ №630 по ВЛ-10 кВ №2 ПС  110/27,5/10 кВ «Ст. Станица»,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дробильно-сортировочного комплекса Заявителя, ООО «АГРОДОН», расположенного по адресу: Ростовская область, Миллеровский р-н, х. Верхнеталовка, Верхнеталовское сельское поселение (к.н.з.у. 61:22:0600026:757) (ориентировочная протяженность ЛЭП – 0,22 км)</t>
  </si>
  <si>
    <t>Установка прибора учета для технологического присоединения складского здания заявителя, ООО «Поповское», расположенного по адресу: Ростовская область, Верхнедонской район, х. Поповка, ул. Петровского, д. 55-а, к.н.з.у. 61:07:0040401:1140</t>
  </si>
  <si>
    <t>1</t>
  </si>
  <si>
    <t>Установка прибора учета для технологического присоединения здания заявителя, ООО «Поповское», расположенного по адресу: Ростовская область, Верхнедонской район, х. Поповка, ул. Шолохова, д. 15, к.н.з.у. 61:07:0040401:715</t>
  </si>
  <si>
    <t>Установка прибора учета для технологического присоединения строящегося жилого дома, Заявителя Колесников М.П., расположенного по адресу: Ростовская область, Чертковский район, с. Маньково-Калитвенское, ул. Кирова, д.47, к.н.з.у. 61:42:0080112:79</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</si>
  <si>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Трофименко О.А., расположенной по адресу: Ростовская область, Кашарский район, с. Россошь, ул. Центральная, д. 45, к.н.з.у. 61:16:0140101:166</t>
  </si>
  <si>
    <t>Установка прибора учета для технологического присоединения жилого дома заявителя, Степчихин Я.А., расположенного по адресу: Ростовская область, Верхнедонской район, х. Быковский, ул. Быковская, д. 10, к.н.з.у. 61:07:0070101:81</t>
  </si>
  <si>
    <t>Установка прибора учета для технологического присоединения жилого дома заявителя Потапова И.С., расположенного по адресу: Ростовская область, Боковский район, х. Климовка, ул. Заречная, д. 9, к.н.з.у. 61:05:0040402:23</t>
  </si>
  <si>
    <t>Установка прибора учета для технологического присоединения жилого помещения заявителя, Коновалов В.А., расположенного по адресу: Ростовская область, Верхнедонской район, х. Верхняковский, ул. Квартал Новый, д. 6, кв. 1, к.н.з.у. 61:07:0100501:433</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</si>
  <si>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Варивода Ю.А., расположенной по адресу: Ростовская область, Кашарский район, х. Сычевка, ул. Средняя, д. 6, к.н.з.у. 61:16:060301:7</t>
  </si>
  <si>
    <t>Установка прибора учета для технологического присоединения строящегося жилого дома заявителя, Ковалев Д.С., расположенного по адресу: Ростовская область, Боковский район, ст. Каргинская, ул. Чирская, д.14, к.н.з.у. 61:05:0040102:130</t>
  </si>
  <si>
    <t>Установка прибора учета для технологического присоединения жилого дома заявителя, Аксенов А.И., расположенной по адресу: Ростовская область, Боковский район, х. Вислогузов, ул. Вислогузовская, д. 10, к.н.з.у. 61:05:0040201:83</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</si>
  <si>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Фоменко А.Л., расположенной по адресу: Ростовская область, Кашарский район, с. Первомайское, ул. Почтовая, д. 7, к.н.з.у. 61:16:0110102:360</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</si>
  <si>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Дмитриченко Е.А., расположенной по адресу: Ростовская область, Кашарский район, х. Драчевка, ул. Маслозаводская, д. 55, кв. 2 к.н.з.у. 61:16:0110202:147</t>
  </si>
  <si>
    <t>Установка прибора учета для технологического присоединения здания отделения почтовой связи заявителя, АО «Почта России», расположенного по адресу: Ростовская область, Боковский район, х. Грачев, ул. Школьная, д. 2, к.н.з.у. 61:05:0030108:85</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</si>
  <si>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Апанасенко Н.С., расположенной по адресу: Ростовская область, Кашарский район, х. Драчевка, ул. Маслозаводская, д. 63, к.н.з.у. 61:16:0110202:118</t>
  </si>
  <si>
    <t>Установка прибора учета для технологического присоединения жилого дома заявителя, Бедрин В.А., расположенного по адресу: Ростовская область, Чертковский район, с. Сохрановка, ул. Школьная, д.14, к.н.з.у. 61:42:0150101:217</t>
  </si>
  <si>
    <t>Установка прибора учета для технологического присоединения жилого дома заявителя, Ромащенко В.А., расположенного по адресу: Ростовская область, Миллеровский район, х. Банниково-Александровский, ул. Студенческая, д. 56, к.н.з.у. 61:22:01020:0127</t>
  </si>
  <si>
    <t>Установка прибора учета для технологического присоединения жилого дома заявителя, Гераськин А.С., расположенного по адресу: Ростовская область, Миллеровский район, сл. Дегтево, ул. Лесная, д. 29, к.н.з.у. 61:22:0030101:501</t>
  </si>
  <si>
    <t>Установка прибора учета для технологического присоединения жилого дома заявителя, Назаренко Ю.Н., расположенного по адресу: Ростовская область, Миллеровский район, х. Хмызов, ул. Шолохова, д. 77, к.н.з.у. 61:22:0080101:245</t>
  </si>
  <si>
    <t>Установка прибора учета для технологического присоединения жилого дома заявителя, Тончинская Т.В., расположенного по адресу: Ростовская область, Миллеровский район, сл. Волошино, ул. Украинская, д.14, к.н.з.у. 00:00:000000:0000</t>
  </si>
  <si>
    <t>Установка прибора учета для технологического присоединения здания правления заявителя, ООО «Агро-Союз», расположенного по адресу: Ростовская область, Чертковский район, с. Тихая Журавка, ул. Широкая, д.27, стр. 2, к.н.з.у. 61:42:0100101:1864</t>
  </si>
  <si>
    <t>Установка прибора учета для технологического присоединения жилого дома заявителя, Мокаев А.К., расположенного по адресу: Ростовская область, Чертковский район, с. Михайлово-Александровка, ул. Большевистская, д.30, к.н.з.у. 61:42:0090101:317</t>
  </si>
  <si>
    <t>Установка прибора учета для технологического присоединения жилого дома заявителя, Шевцов В.И., расположенного по адресу: Ростовская область, Миллеровский район, сл. Дегтево, ул. Степная, д. 29, к.н.з.у. 61:22:0030101:9</t>
  </si>
  <si>
    <t>Установка прибора учета для технологического присоединения личного подсобного хозяйства заявителя, Чертоева Т.Ф., расположенного по адресу: Ростовская область, Миллеровский район, х. Банниково-Александровский, пер. Новый, д. 8, к.н.з.у. 61:22:0010201:225</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</si>
  <si>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Сливина А.И., расположенного по адресу: Ростовская область, Миллеровский район, с. Сулин, ул. Набережная, д. 29, к.н.з.у. 00:00:000000:00 (1 шт.)</t>
  </si>
  <si>
    <t>Установка прибора учета для технологического присоединения жилого дома заявителя, Усманова Я.Х., расположенного по адресу: Ростовская область, Боковский район, п.Стожки, ул. Вишневая, д. 6, к.н.з.у. 61:05:0600009:204</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</si>
  <si>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Федорова А.С., расположенной по адресу: Ростовская область, Кашарский район, с. Первомайское, ул. Калинина, д. 4, к.н.з.у. 61:16:0110102:700</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</si>
  <si>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Глущенко А.И., расположенной по адресу: Ростовская область, Кашарский район, х. Драчевка, ул. Маслозаводская, д. 42, к.н.з.у. 61:16:0110202:0017</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</si>
  <si>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Кадыковой Е.А., расположенного по адресу: Ростовская область, Боковский район,ст.Боковская пер.Коньковский д.13-а,к.н.з.у. 61:05:0010104:1202</t>
  </si>
  <si>
    <t>Установка прибора учета электрической энергии (мощности) в точке поставки и установка шкафа 0,4 кВ с коммутационным аппаратом для электроснабжения личного подсобного хозяйства заявителя Бородиной Е.П., расположенного по адресу: Ростовская область, Верхнедонской  район ст.Мигулинская,ул.Пушкина д.9. 61:07:0090201:608</t>
  </si>
  <si>
    <t>Строительство ВЛ-0,4кВ от опоры №4 по ВЛ-0,4кВ №3 КТП-10/0,4кВ №119 по ВЛ-10кВ №6 ПС 35/10кВ "Боковская",установка прибора коммерческого учета электрической энергии (мощности) в точке поставки и установка шкафа 0,4кВ с коммутационным аппаратом (1шт.) для технологического присоединения жилого дома заявителя Соколовой М.А.,расположенного по адресу:Ростовская область,Боковский р-н,ст.Боковская,пер.Коньковский,д.4Б(к,н,з,у. 61:05:0010104:1251),(ориентировочная протяженность ЛЭП-0,076 км.)</t>
  </si>
  <si>
    <t>Строительство ВЛ-0,4кВ от опоры №2/12 по ВЛ-0,4кВ №1 КТП-10/0,4кВ №236 по ВЛ-10кВ №6 ПС 110/ 35/10кВ "Вешенская 1",установка прибора коммерческого учета электрической энергии (мощности) в точке поставки и установка шкафа 0,4кВ с коммутационным аппаратом (1шт.) для технологического присоединения жилого дома заявителя Гончаровой Л.Н.,расположенного по адресу:Ростовская область,Шолоховский р-н,х.Гороховский,ул.Асфальтная д.99 а(к,н,з,у. 61:43:0060401:949),(ориентировочная протяженность ЛЭП-0,14 км.)</t>
  </si>
  <si>
    <t>Строительство ВЛ-0,4кВ от поры №2/18 ВЛ-0,4кВ №1 КТП-10/0,4кВ №71 по ВЛ-10кВ №2 ПС 110/35/10 кВ "Каргинская",установка прибора коммерческого учета электрической энергии (мощности) в точке поставки и установка шкафа 0,4кВ с коммутационным аппаратом(1шт.) для технологического присоединения жилого дома заявителя,Бибик Н.В.,расположенного по адресу :Ростовская область,Боковский р-н,ст-ца Каргинская,ул.Слободская,д.45-Б(к.н.з.у.61:05:0000000:5499) (ориентировочная протяженность ЛЭП-0,08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</si>
  <si>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ШНО-1 х. Коноваловский, линии наружного освещения подъезда от автодороги "Магистраль Дон"- ст. Мешковская- ст.Казанская к х. Мещеряковский на участке км 4+730-км 6+235 заявителя, Министерство транспорта Ростовской области, расположенного по адресу: Ростовская область, Верхнедонской  район, х. Коноваловский, кв. к.н.з.у. 61:07:0000000:339</t>
  </si>
  <si>
    <t>Установка прибора учета электрической энергии (мощности) в точке поставки и установка шкафа 0,4 кВ с коммутационным аппаратом для электроснабжения ШНО-2 х. Мрыховский, линии наружного освещения подъезда от автодороги "Магистраль Дон" - ст. Мешковская - ст. Казанская к х. Мещеряковский на участке км 11+400-км 12+000 заявителя, Министерство транспорта Ростовской области, расположенного по адресу: Ростовская область, Верхнедонской район, х. Мрыховский, ул. Мрыховская. к.н.з.у. 61:07:0000000:339,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</si>
  <si>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Административного здания заявителя, Администрация Мещеряковского сельского поселения., расположенного по адресу: Ростовская область, Верхнедонской район, х. Мещеряковский, ул. Плешакова, д. 10 к.н.з.у. 61:07:0120201:921</t>
  </si>
  <si>
    <t>Строительство ВЛ-0,4 кВ от опоры №16/13 ВЛ 0,4 кВ  №1, КТП-10/0,4 кВ №220 по ВЛ-10 кВ №2 ПС 110/ 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Святовой А.П., расположенного по адресу: Ростовская область, Шолоховский р-н, х. Зубковский, ул. Заречная, д. 14, (к.н.з.у. 61:43:0030301:88) (ориентировочная протяженность ЛЭП – 0,045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</si>
  <si>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Колесниченко Е.И., расположенного по адресу: Ростовская область, Шолоховский район, х. Гороховский, ул. Северная, д. 2, к.н.з.у. 61:43:0060401:316 (1 шт.)</t>
  </si>
  <si>
    <t>Строительство ВЛ-0,4 кВ от опоры №5, ВЛ 0,4 кВ №1, КТП-10/0,4 кВ №242 по ВЛ-10 кВ №6 ПС  110/35/10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Спицина М.М., расположенного по адресу: Ростовская область, Шолоховский р-н, х. Гороховский, ул. Северная, д. 4, (к.н.з.у. 61:43:0060401:293) (ориентировочная протяженность ЛЭП – 0,04 км)</t>
  </si>
  <si>
    <t>Установка прибора учета для технологического присоединения Административного здания заявителя, ИП Гирун Н.А., расположенного по адресу: Ростовская область, Верхнедонской район, х. Павловский, ул. Павловская, д. 72, к.н.з.у. 61:07:0100401:103</t>
  </si>
  <si>
    <t>Установка прибора учета для технологического присоединения жилого дома, заявителя Колесникова Т.Г., расположенного по адресу: Ростовская область, Чертковский район, с. Маньково-Калитвенское, ул. Садовая, д. 46, к.н.з.у. 61:42:080128:0042</t>
  </si>
  <si>
    <t>Установка прибора учета для технологического присоединения базовой станции заявителя, ПАО "Ростелеком", расположенного по адресу: Ростовская область, Верхнедонской район, х. Колодезный, к.н.з.у. 61:07:0020301</t>
  </si>
  <si>
    <t>Установка прибора учета для технологического присоединения базовой станции заявителя, ПАО "Ростелеком", расположенного по адресу: Ростовская область, Верхнедонской район, х. Макаровский, к.н.з.у. 61:07:0100101:252</t>
  </si>
  <si>
    <t>Установка прибора учета для технологического присоединения базовой станции заявителя, ПАО "Ростелеком", расположенного по адресу: Ростовская область, Верхнедонской район, х. Михайловский, к.н.з.у. 61:07:0100203</t>
  </si>
  <si>
    <t>Установка прибора учета для технологического присоединения жилого дома заявителя, Сетракова Н.И., расположенного по адресу: Ростовская область, Верхнедонской район, ст. Мешковская, пер. Зеленый, д. 9, к.н.з.у. 61:07:0110501:29</t>
  </si>
  <si>
    <t>Установка прибора учета для технологического присоединения Административного здания заявителя АО «Почта России», расположенного по адресу: Ростовская область, Верхнедонской район, ст. Мешковская, пр-кт Победы, д. 21, к.н.з.у. 61:07:0110501:1832 (1 шт.)</t>
  </si>
  <si>
    <t>«Установка прибора учета для технологического присоединения здания МБУК Донского сельского поселения заявителя Донское сельское поселение, расположенного по адресу: Ростовская область, Чертковский район, х. Артамошкин, ул. Центральная, д. 6, к.н.з.у. 61:42:0050101:822»</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</si>
  <si>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Рогозина Р.А., расположенного по адресу: Ростовская область,Кашарский  район, с. Первомайское, ул. Ленина, д.5, к.н.з.у. 61:16:0110104:211</t>
  </si>
  <si>
    <t>Строительство ВЛ-0,4 кВ от опры №7 по ВЛ 0,4 кВ №2, КТП-10/0,4 кВ №363 по ВЛ-10 кВ №3 ПС  35/10 кВ «Киевская»,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строящегося жилого дома заявителя, Мешковой Н.Е., расположенного по адресу: Ростовская область, Кашарский р-н, х. Черниговка, ул. Песчаная, д. 3, (к.н.з.у. 61:43:0140401:40) (ориентировочная протяженность ЛЭП – 0,45 км)</t>
  </si>
  <si>
    <t>Строительство ВЛ-0,4 кВ от опры №7 по ВЛ 0,4 кВ №2, КТП-10/0,4 кВ №350 по ВЛ-10 кВ №2 ПС  35/10 кВ «Киевская»,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наружного освещения заявителя, Министерство транспорта Ростовской области, расположенного по адресу: Ростовская область, Кашарский р-н, х. Драчевка, участок автодороги 2+000, 22+730, (к.н.з.у. 61:16:0600020:425) (ориентировочная протяженность ЛЭП – 0,04 км)</t>
  </si>
  <si>
    <t>Строительство ВЛ-0,4 кВ от опры №14 по ВЛ 0,4 кВ №2, КТП-10/0,4 кВ №354 по ВЛ-10 кВ №2 ПС  35/10 кВ «Киевская»,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наружного освещения заявителя, Министерство транспорта Ростовской области, расположенного по адресу: Ростовская область, Кашарский р-н, х. Драчевка, участок автодороги 0+000, 0+600, (к.н.з.у. 61:16:0600020:328) (ориентировочная протяженность ЛЭП – 0,03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</si>
  <si>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Федориненко В.М., расположенного по адресу: Ростовская область, Кашарский район, с. Новопавловка, ул. Октябрьская, д. 2, к.н.з.у. 61:16:0010301:154</t>
  </si>
  <si>
    <t>Установка прибора учета для технологического присоединения жилого дома заявителя, Плужникова Л.И., расположенного по адресу: Ростовская область, Миллеровский район, сл. Дегтево, ул. Школьная, д. 17, к.н.з.у. 61:22:0030101:171</t>
  </si>
  <si>
    <t>Строительство ВЛ-0,4 кВ от опоры №4/4/2 по ВЛ-0,4 кВ №2 КТП-10/0,4 кВ №174 по ВЛ-10 кВ №2 ПС 110/35/10 кВ «НС-3», установка прибора коммерческого учета электрической энергии (мощности) в точке поставки и установка шкафа 0,4 кВ с коммутационным аппаратом, (1 шт.) для электроснабжения ВРУ 0,4 кВ базовой станции сотовой связи х. Затонский, 70 м по направлению на юго-запад от границы участка по адресу ул. Центральная, 58, заявитель, ПАО «Ростелеком», расположенной по адресу: Ростовская область, Шолоховский р-н, х. Затонский, (ориентировочная протяженность ЛЭП – 0,09 км), к.н.з.у. 61:43:0080401</t>
  </si>
  <si>
    <t>Строительство ВЛ-0,4 кВ от опоры №4/3 по ВЛ-0,4 кВ №1 КТП-10/0,4 кВ №367 по ВЛ-10 кВ №2 ПС 35/10 кВ «Колундаевская»,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электроснабжения ВРУ 0,4 кВ базовой станции сотовой связи х. Поповский, примерно 30 м по направлению на восток от границы участка по адресу: ул. Центральная, 7а, заявитель, ПАО «Ростелеком», расположенной по адресу: Ростовская область, Шолоховский р-н, х. Поповский, (ориентировочная протяженность ЛЭП – 0,035 км), к.н.з.у. 61:43:0090701</t>
  </si>
  <si>
    <t>Установка прибора учета для технологического присоединения объектов наружного освещения заявителя, Министерство транспорта Ростовской области, расположенных по адресу: Ростовская область, Кашарский район, автомобильная дорога с. Усть-Мечетка - х. Талловеров - с. Верхнесвечниково, на участке км 9+388-км 12+250  к.н.з.у. 61:16:0160101:1088</t>
  </si>
  <si>
    <t>Установка прибора учета для технологического присоединения личного подсобного хозяйства заявителя, Дегтярев И.А., расположенного по адресу: Ростовская область, Миллеровский район, х. Ореховка, ул. Терновая, д. 13, корп. а, к.н.з.у. 61:22:0120901:159</t>
  </si>
  <si>
    <t>Установка прибора учета для технологического присоединения жилого дома заявителя, Гришкова Н.В., расположенного по адресу: Ростовская область, Кашарский район, х. Ленинский, ул. Заветная, д.11, к.н.з.у. 00:16:0170401:174</t>
  </si>
  <si>
    <t>Установка прибора учета для технологического присоединения жилого дома заявителя, Колычев В.Н., расположенного по адресу: Ростовская область, Кашарский район, х. Вяжа, ул. Садовая, д. 50, к.н.з.у. 00:16:0050103:23</t>
  </si>
  <si>
    <t>Установка прибора учета для технологического присоединения жилого дома заявителя, Гриценко А.П., расположенного по адресу: Ростовская область, Миллеровский район, ст. Мальчевская, ул. Октябрьская, д.91, к.н.з.у. 61:22:0070101:1334</t>
  </si>
  <si>
    <t>Установка прибора учета для технологического присоединения жилого дома заявителя, Бережной А.А., расположенного по адресу: Ростовская область, Миллеровский район, сл. Кудиновка, ул. Мира, д.3, к.н.з.у. 00:00:000000:00</t>
  </si>
  <si>
    <t>«Установка прибора учета для технологического присоединения Свято-Никольского храма заявителя, Местная религиозная организация православный Приход Никольского храма сл. Кашары Ростовской области Шахтинской Епархии Русской Православной Церкви (Московский Патриархат) расположенного по адресу: Ростовская область, Кашарский район, сл. Кашары, ул. Антона Байдака, д. 16. к.н.з.у. 00:00:000000»</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</si>
  <si>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 Кузнецова А.В., расположенного по адресу: Ростовская область, Боковский  район, х. Большенаполовский, ул. Школьная,  д. 135,  к.н.з.у. 61:05:0020207:11</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</si>
  <si>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Лебедева Ю.Н., расположенного по адресу: Ростовская область, Чертковский  район, х. Терновский, ул. Мира, д.59, к.н.з.у. 61:42:0000000:2851</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</si>
  <si>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Дахновой Т.А., расположенного по адресу: Ростовская область, Боковский  район, ст. Боковская, ул. Ленина, д. 145, к.н.з.у. 61:05:0010101:99</t>
  </si>
  <si>
    <t>Строительство ВЛ-0,4 кВ от опоры №8 по ВЛ-0,4 кВ №2 КТП-10/0,4 кВ №64 по ВЛ-10 кВ №4 ПС 110/35/10 кВ «Каргинская»,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водозабора заявителя, Администрация Боковского района., расположенного по адресу: Ростовская область, Боковский р-н, х. Лиховидовский, ул. Школьная, д. 27, (к.н.з.у. 61:05:0030301:634) (ориентировочная протяженность ЛЭП – 0,035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</si>
  <si>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ВРУ-0,4 кВ, строительство автодороги по ул. Ленина от пер. Земцовский до а/д "ст. Обливская - ст. Советская -ст. Боковская - ст. Каргинская" в ст. Боковская, заявителя, Администрация Боковского района, расположенного по адресу: Ростовская область, Боковский  район, ст. Боковская, ул.Ленина</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</si>
  <si>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Соболькова Д.С., расположенной по адресу: Ростовская область, Шолоховский  район, х. Кружилинский, ул. Центральная, д. 52, кв. 1, к.н.з.у. 61:43:0070101:705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</si>
  <si>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Ковалевой В.Т., расположенного по адресу: Ростовская область, Шолоховский район, х. Дубровский, ул. Ольховая, д. 6, к.н.з.у. 61:43:0030101:435</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</si>
  <si>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Козловой Н.С., расположенной по адресу: Ростовская область, Шолоховский район, х. Верхнетокинский, ул. им. Анны Рассказовой, д. 16, кв. 2, к.н.з.у. 61:43:0010401:98»</t>
  </si>
  <si>
    <t>«Установка прибора учета электрической энергии (мощности) в точке поставки и установка шкафа 0,4 кВ с коммутационным аппаратом для электроснабжения нежилого здания Заявителя, Лиховидова И.А., расположенного по адресу: Ростовская область, Боковский район, х. Грачев, ул. Рожнова, д. 42, к.н.з.у. 61:05:0030102:403»</t>
  </si>
  <si>
    <t>«Установка прибора учета электрической энергии (мощности) в точке поставки и установка шкафа 0,4 кВ с коммутационным аппаратом для электроснабжения Базовой станции Заявителя, ПАО «Ростелеком», расположенной по адресу: Ростовская область, Чертковский район, х. Новостепановский,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</si>
  <si>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сквера Заявителя, Администрация Первомайского сельского поселения., расположенного по адресу: Ростовская область, Кашарский район, с. Первомайское, ул. Мира, к.н.з.у. 61:16:0110104:272</t>
  </si>
  <si>
    <t>Установка прибора учета электрической энергии (мощности) в точке поставки и установка шкафа 0,4 кВ с коммутационным аппаратом для электроснабжения магазина заявителя, Рабочей Н.Н., расположенного по адресу: Ростовская область, Миллеровский район, сл. Кудиновка, ул. Победы, д. 22, к.н.з.у. 61:22:0040401:1283</t>
  </si>
  <si>
    <t>Установка прибора учета электрической энергии (мощности) в точке поставки и установка шкафа 0,4 кВ с коммутационным аппаратом для электроснабжения склада, заявителя, ООО «Вектор-1», расположенного по адресу: Ростовская область, Чертковский район, х. Сетраки, ул. Подгорная, д. 27б, к.н.з.у. 61:42:0140101:2420</t>
  </si>
  <si>
    <t>«Установка прибора учета электрической энергии (мощности) в точке поставки и установка шкафа 0,4 кВ с коммутационным аппаратом для электроснабжения объекта незавершенного строительства заявителя, Лиховидовой С.В., расположенного по адресу: Ростовская область, Кашарский район, сл. Кашары, ул. Степана Товстика, д. 6, к.н.з.у. 61:16:0010104:64,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</si>
  <si>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нежилого здания (коровника) заявителя, ИП Глава К(Ф)Х Губарев В.В., расположенного по адресу: Ростовская область, Чертковский район, 750 м. на восток от х. Шевченковский, к.н.з.у. 61:42:0600007:1065</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</si>
  <si>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Осипова Н.Н., расположенного по адресу: Ростовская область, Кашарский район, х. Вишневка, ул. Заречная, д. 2, к.н.з.у. 61:16:140202:0022</t>
  </si>
  <si>
    <t>Строительство ВЛ-0,4 кВ от РУ 0,4 кВ, КТП-10/0,4 кВ №249 по ВЛ-10 кВ №6 ПС 110/ 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строящегося жилого дома заявителя, Гришина А.И., расположенного по адресу: Ростовская область, Шолоховский р-н, х. Черновский, ул. Песочная, д. 9А, (к.н.з.у. 61:43:0060801:226) (ориентировочная протяженность ЛЭП – 0,48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</si>
  <si>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Морозова Д.И., расположенного по адресу: Ростовская область, Шолоховский район, х. Дубровский, ул. Центральная, д. 8, к.н.з.у. 61:43:0030101:0169</t>
  </si>
  <si>
    <t>Строительство ВЛ-0,4 кВ от опры №15 по ВЛ 0,4 кВ №1, КТП-10/0,4 кВ №102 по ВЛ-10 кВ №6 ПС  35/10 кВ «Боковская»,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автомобильной мойки заявителя, Шарата К.В., расположенного по адресу: Ростовская область, Боковский р-н, ст. Боковская, ул. Совхозная, д. 13К, (к.н.з.у. 61:05:0010104:1356) (ориентировочная протяженность ЛЭП – 0,055 км)</t>
  </si>
  <si>
    <t>Установка прибора учета для технологического присоединения жилого дома заявителя, Ткаченко О.А., расположенного по адресу: Ростовская область, Боковский район, ст. Боковская, пер. Виноградный, д. 27, к.н.з.у. 61:05:0000000:5502</t>
  </si>
  <si>
    <t>Установка прибора учета для технологического присоединения жилого дома заявителя, Сапрыкин Ю.А., расположенного по адресу: Ростовская область, Шолоховский район, х. Дударевский, ул. Луговая, д. 14, к.н.з.у. 61:43:0040101:632</t>
  </si>
  <si>
    <t>Установка прибора учета для технологического присоединения жилого дома заявителя, Кайдалов В.В., расположенного по адресу: Ростовская область, Шолоховский район, х. Дударевский, ул. Восточная, д. 7, к.н.з.у. 61:43:0040101:679</t>
  </si>
  <si>
    <t>Строительство ВЛ-0,4 кВ от опоры №4, ВЛ 0,4 кВ №2, КТП-10/0,4 кВ №110 по ВЛ-10 кВ №2 ПС  35/10 кВ «Сетраковская»,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весовой и зернохранилища заявителя, ИП Глава К(Ф)Х Коваленко А.В., расположенных по адресу: Ростовская область, Чертковский р-н, х. Сетраки, ул. Подгорная, д. 24, (к.н.з.у. 61:42:0600019:882) (ориентировочная протяженность ЛЭП – 0,12 км)</t>
  </si>
  <si>
    <t>Строительство ВЛ-0,4 кВ от КТП-10/0,4 кВ №110 по ВЛ-10 кВ №3 ПС  110/35/10 кВ «Каргинская»,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наружного освещения заявителя, Министерство транспорта Ростовской области, расположенного по адресу: Ростовская область, Боковский р-н, п. Яблоновский, (к.н.з.у. 61:05:0000000:5279) (ориентировочная протяженность ЛЭП – 0,03 км)</t>
  </si>
  <si>
    <t>Установка прибора учета для технологического присоединения зарядной станции электромобилей заявителя, ИП Апонович К.С., расположенной по адресу: Ростовская область, Чертковский район, с. Алексеево-Лозовское, в 20 м на юг от границ земельного участка с кадастровым номером 61:42:0010101:3156, к.н.з.у. 61:42:0010101:4464</t>
  </si>
  <si>
    <t>Установка прибора учета для технологического присоединения квартиры заявителя, Негода И.А., расположенной по адресу: Ростовская область, Кашарский район, п. Дибровый, ул. Дружбы, д. 40, кв. 2, к.н.з.у. 61:16:0130301:235</t>
  </si>
  <si>
    <t>Установка прибора учета для технологического присоединения жилого дома заявителя, Вислогузов Г.И., расположенной по адресу: Ростовская обл, Боковский район, х. Попов, ул. Заречная, д. 20, к.н.з.у. 61:05:0040703:13</t>
  </si>
  <si>
    <t>Установка прибора учета для технологического присоединения жилого дома заявителя, Копачев С.Е., расположенного по адресу: Ростовская область, Боковский район, х. Попов, ул. Садовая, д.3, к.н.з.у. 61:05:0040701:8</t>
  </si>
  <si>
    <t>«Установка прибора учета для технологического присоединения жилого дома заявителя, Бадаева Н.М., расположенного по адресу: Ростовская область, Шолоховский район, х. Колундаевский, ул. Школьная, д. 39, к.н.з.у. 61:43:0060101:101» (1 шт.),</t>
  </si>
  <si>
    <t>«Строительство ВЛ-0,4 кВ от опоры №8/7, ВЛ 0,4 кВ №3, КТП-10/0,4 кВ №30 по ВЛ-10 кВ №4 ПС  35/10 кВ «Боковская», установка прибора коммерческого учета электрической энергии (мощности) в точке поставки и установка шкафа 0,22 кВ с коммутационным аппаратом, (1 шт.) для технологического присоединения  жилого дома заявителя, Клыковой Ю.А., расположенного по адресу: Ростовская область, Боковский р-н, х. Дуленков, ул. Левадная, д. 14, (к.н.з.у. 61:05:0010605:205) (ориентировочная протяженность ЛЭП – 0,035 км)».</t>
  </si>
  <si>
    <t>«Установка прибора учета для технологического присоединения административного здания, Заявителя ГКУ РО «Противопожарная служба Ростовской области», расположенного по адресу: Ростовская область, Чертковский район, с. Михайлово-Александровка, ул. Большевистская, д.38, к.н.з.у. 61:42:0090101:267 (1 шт.)»</t>
  </si>
  <si>
    <t>«Установка прибора учета для технологического присоединения жилого дома заявителя, Сапельников В.В., расположенного по адресу: Ростовская область, Боковский район, ст. Боковская, ул. Виноградная, д.4, к.н.з.у. 61:05:0010104:871»</t>
  </si>
  <si>
    <t>Установка прибора учета для технологического присоединения жилого дома заявителя, Бородаенко Н.Н., расположенного по адресу: Ростовская область, Кашарский район, п. Красный Колос, ул. Пушкинская, д. 8. к.н.з.у. 61:16:0080101:183</t>
  </si>
  <si>
    <t>"Установка прибора учета для технологического присоединения жилого дома заявителя Решетникова А А,расположенного по адресу: Ростовская область,Миллеровский район,сл.Титовка,ул.Колхозная д.2,к.н.з.у.61:22:0150101:320(1 шт.)</t>
  </si>
  <si>
    <t>"Установка прибора учета для технологического присоединения административного здания АО "Почта России",расположенного по адресу:Ростовская область,Миллеровский район,сл.Волошино,ул.Ленина д.26,к.н.з.у. 61:22:0020101:1101(1шт.)</t>
  </si>
  <si>
    <t>«Установка прибора учета для технологического присоединения административного здания заявителя, АО «Почта России», расположенного по адресу: Ростовская область, Шолоховский район, х. Меркуловский, пер. Победы, д. 7, к.н.з.у. 61:43:0080101:2973 (1 шт.)»</t>
  </si>
  <si>
    <t>Строительство ВЛ-0,4 кВ от опоры №1/19, ВЛ 0,4 кВ №2, КТП-10/0,4 кВ №239 по ВЛ-10 кВ №2 ПС 110/35/10 кВ «Ал. Лозовская»,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административного здания заявителя, АО «Почта России», расположенных по адресу: Ростовская область, Чертковский р-н, с. Алексеево-Лозовское, ул. Лисичкина, д. 22/9, (к.н.з.у. 61:42:0010101:3295) (ориентировочная протяженность ЛЭП – 0,032 км)</t>
  </si>
  <si>
    <t>«Установка прибора учета для технологического присоединения жилого дома заявителя, Корвякова В.Е., расположенного по адресу: Ростовская область, Миллеровский район, х. Туроверово-Глубокинский, ул. Береговая, д. 7, к.н.з.у. 61:22:0011401:51 (1 шт.)»</t>
  </si>
  <si>
    <t>«Установка прибора учета для технологического присоединения административного здания заявителя, АО «Почта России», расположенного по адресу: Ростовская область, Кашарский район, с. Первомайское, ул. Мира, д. 12, к.н.з.у. 61:16:0110104:253 (1 шт.)»</t>
  </si>
  <si>
    <t>Установка прибора учета для технологического присоединения ВРУ-0,4 кВ строящегося жилого дома заявителя, Мигуля О.В., расположенного по адресу: Ростовская область, Чертковский район, с. Маньково-Калитвенское, пер. Почтовый, д. 66а, к.н.з.у. 61:42:0080113:174 (1шт.)</t>
  </si>
  <si>
    <t>Установка прибора учета для технологического присоединения жилого дома заявителя Мурадбекова Р.А., расположенного по адресу: Ростовская область, Чертковский район, х. Артамошкин, ул. Ивановская, д. 1а, к.н.з.у. 61:42:0600020:473 (1шт.)</t>
  </si>
  <si>
    <t>«Установка прибора учета для технологического присоединения земельного участка под личное подсобное хозяйство заявителя, Думчев П.П., расположенного по адресу: Ростовская область, Кашарский район, п. Индустриальный, ул. Советская, 12, к.н.з.у. 61:16:00601:331 (1 шт.)»</t>
  </si>
  <si>
    <t>Установка прибора учета для технологического присоединения жилого дома заявителя, Бурмистров В.П., расположенного по адресу: Ростовская область, Миллеровский район, х. Новоандреевка, ул. Донецкая, д. 1, к.н.з.у. 61:22:0010801:376 (1 шт.)</t>
  </si>
  <si>
    <t>«Установка прибора учета для технологического присоединения жилого дома заявителя, Голубенко В.Н., расположенного по адресу: Ростовская область, Миллеровский район, х. Кринички, ул. Родниковая, д. 26, к.н.з.у. 61:22:060701:19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</si>
  <si>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ЩРУ-0,4 кВ на земельном участке, для ведения личного подсобного хозяйства заявителя, Гончарова Н.А., расположенного по адресу: Ростовская область, Кашарский  район, с. Каменка, ул. Песчаная, д. 23, к.н.з.у. 61:16:0130401:438</t>
  </si>
  <si>
    <t>Установка прибора учета электрической энергии (мощности) в точке поставки и установка шкафа 0,4 кВ с коммутационным аппаратом для электроснабжения ШНО-3 х. Мещеряковсий, линии наружного освещения подъезда от автодороги "Магистраль Дон"- ст. Мешковская- ст.Казанская к х. Мещеряковский на участке км 13+680-км 14+522 заявителя, Министерство транспорта Ростовской области, расположенного по адресу: Ростовская область, Верхнедонской  район, х. Мещеряковский, кв. к.н.з.у. 61:07:0000000:339</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</si>
  <si>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Галушко В.В., расположенного по адресу: Ростовская область, Чертковский  район, с. Осиково, ул. Садовая, д. 51, к.н.з.у. 61:42:0190101:110</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</si>
  <si>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Гончаровой Т.Н., расположенного по адресу: Ростовская область, Кашарский район, с. Каменка, ул. Песчаная, д. 15 А, к.н.з.у. 61:16:0130402:150</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</si>
  <si>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Жидковой В.Н., расположенного по адресу: Ростовская область,Кашарский  район, с. Первомайское, ул. Кирова, д.8, к.н.з.у. 61:16:0110102:644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</si>
  <si>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Сабадина Н.В., расположенного по адресу: Ростовская область, Боковский  район, ст. Каргинская, ул. Соловьева, д. 38, к.н.з.у. 61:05:040107:0002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</si>
  <si>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магазина, заявителя, ИП Зозуля Т.В., расположенного по адресу: Ростовская область, Чертковский  район, х. Тихая Журавка, ул. Широкая, д. 5 а,  к.н.з.у. 61:42:0100101:1879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</si>
  <si>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ШНО-4 х. Мрыховский, линии наружного освещения подъезда от автодороги "Магистраль Дон" - ст. Мешковская - ст. Казанская к х. Мещеряковский на участке км 12+500-км 12+800 заявителя, Министерство транспорта Ростовской области, расположенного по адресу: Ростовская область, Верхнедонской район, х. Мрыховский, ул. Мрыховская. к.н.з.у. 61:07:0000000:339</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</si>
  <si>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Калмыкова Н.В., расположенного по адресу: Ростовская область, Шолоховский район, х. Громковский, ул. Почтовая, д. 373, к.н.з.у. 61:43:0010501:349</t>
  </si>
  <si>
    <t>Установка прибора учета электрической энергии (мощности) в точке поставки и установка шкафа 0,4 кВ с коммутационным аппаратом для электроснабжения объектов оптовой и розничной торговли заявителя, ИП Репетунова А.С., расположенных по адресу: Ростовская область, Чертковский  район, с. Маньково- Калитвенское, ул. Кирова, д.10, к.н.з.у. 61:42:0080116:68</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</si>
  <si>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Полякова М.И., расположенного по адресу: Ростовская область, Шолоховский район, х. Колундаевский, ул. Школьная, д. 22, к.н.з.у. 61:43:0060101:285»</t>
  </si>
  <si>
    <t>«Установка прибора учета электрической энергии (мощности) в точке поставки и установка шкафа 0,4 кВ с коммутационным аппаратом для электроснабжения магазина Заявителя, ИП Марущенко С.Ш., расположенного по адресу: Ростовская область, Чертковский район, с. Алексеево-Лозовское, ул. Лисичкина, 22/1а, к.н.з.у. 61:42:0010101:4739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</si>
  <si>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Ковалева А.С., расположенного по адресу: Ростовская область, Боковский район, ст. Каргинская, ул. Архиповская, д.50, к.н.з.у. 61:05:040110:0050</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</si>
  <si>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Антонюк М.П., расположенной по адресу: Ростовская область, Боковский район, х. Попов, ул. Школьная, д. 29, кв. 1, к.н.з.у. 61:05:0040701:34</t>
  </si>
  <si>
    <t>Установка прибора учета электрической энергии (мощности) в точке поставки и установка шкафа 0,4 кВ с коммутационным аппаратом для электроснабжения ВРУ 0,4 кВ базовой станции х. Верхнечирский, заявитель, ПАО «Ростелеком», расположенной по адресу: Ростовская область, Боковский район, х. Верхнечирский, (№49.411890; Е41.324040) Ростовская область, Боковский район, х. Верхнечирский, (№49.411890; Е41.324040)</t>
  </si>
  <si>
    <t>Установка прибора учета электрической энергии (мощности) в точке поставки и установка шкафа 0,4 кВ с коммутационным аппаратом для электроснабжения ВРУ 0,4 кВ базовой станции х. Белавин, заявитель, ПАО «Ростелеком», расположенной по адресу: Ростовская область, Боковский район, х. Белавин, (№49.304124; Е42.005336)</t>
  </si>
  <si>
    <t>Установка прибора учета электрической энергии (мощности) в точке поставки и установка шкафа 0,4 кВ с коммутационным аппаратом для электроснабжения ВРУ 0,4 кВ базовой станции с. Пономаревка, заявитель, ПАО «Ростелеком», расположенной по адресу: Ростовская область, Боковский район, с. Пономаревка, (№49.191866; Е41.710339)</t>
  </si>
  <si>
    <t>Установка прибора учета электрической энергии (мощности) в точке поставки и установка шкафа 0,4 кВ с коммутационным аппаратом для электроснабжения ВРУ 0,4 кВ базовой станции х. Попов, заявитель, ПАО «Ростелеком», расположенной по адресу: Ростовская область, Боковский район, х. Попов, д.65, (№49.298790; Е41.793080)</t>
  </si>
  <si>
    <t>Установка прибора учета электрической энергии (мощности) в точке поставки и установка шкафа 0,4 кВ с коммутационным аппаратом для электроснабжения ВРУ-0,4 кВ для электроснабжения коровника, заявителя, ИП Глава К(Ф)Х Гайдамакина Е.Е., расположенного по адресу: Ростовская область, Чертковский район, с. Шептуховка, ул. Центральная, д. 59, к.н.з.у. 61:42:0600017:968</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</si>
  <si>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Баранова А.Н., расположенного по адресу: Ростовская область, Боковский район, х. Дуленков, ул. Заречная, д. 17, к.н.з.у. 61:05:0010606:18</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</si>
  <si>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Тамарадзе М.И., расположенного по адресу: Ростовская область, Чертковский район, с. Маньково-Калитвенское, пер. Почтовый, д. 7, к.н.з.у. 61:42:0080115:6</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</si>
  <si>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Быковой О.В., расположенного по адресу: Ростовская область, Боковский район, х. Илларионов, ул. Мигрицкого А.В., д. 31, к.н.з.у. 61-61-21/014/2009-172</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</si>
  <si>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Афанасьевой Е.А., расположенного по адресу: Ростовская область, Боковский район, ст. Боковская, ул. Гагарина, д. 15, к.н.з.у. 61:05:0010101:21</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</si>
  <si>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Калюжного В.А., расположенной по адресу: Ростовская область, Шолоховский район, х. Дударевский, ул. Молодежная, д. 14, кв. 2, к.н.з.у. 61:43:0040101:612</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</si>
  <si>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Сухоручко С.А., расположенной по адресу: Ростовская область, Боковский район, х. Попов, ул. Школьная, д. 25, кв. 2, к.н.з.у. 61:05:0040701:457</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</si>
  <si>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Глушковой Е.Н., расположенного по адресу: Ростовская область, Боковский район, х. Дуленков, ул. Песчаная, д. 82, к.н.з.у. 61:05:0010604:333</t>
  </si>
  <si>
    <t>Строительство ВЛ-0,4 кВ от опоры №13 по ВЛ 0,4 кВ №2, КТП-10/0,4 кВ №72 по ВЛ-10 кВ №5 ПС  35/10 кВ «Титовская»,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сооружения связи заявителя, ФГКУ Пограничное управление ФСБ РФ по Ростовской области, расположенного по адресу: Ростовская область, Миллеровский р-н, сл. Титовка, Титовское с.п., (к.н.з.у. 61:22:0600010:432) (ориентировочная протяженность ЛЭП – 0,106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</si>
  <si>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Кучеренко О.С., расположенного по адресу: Ростовская область, Чертковский район, с. Маньково-Калитвенское, ул. Ленина, д. 30, к.н.з.у. 61:42:0080133:63</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</si>
  <si>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Вишнякова Р.Ю., расположенного по адресу: Ростовская область, Боковский район, ст. Боковская, пер. Вольный, д. 7, к.н.з.у. 61:05:0010101:244</t>
  </si>
  <si>
    <t>Установка прибора учета для технологического присоединения квартиры заявителя, Стародымов Л.А., расположенной по адресу: Ростовская область, Боковский район, ст. Боковская, ул. Совхозная, д. 14, кв. 2, к.н. 61:05:0010101:0:265/2 (1 шт.)</t>
  </si>
  <si>
    <t>Установка прибора учета для технологического присоединения жилого дома заявителя, Дьяченко Л.И., расположенного по адресу: Ростовская область, Шолоховский район, х. Гороховский, ул. Школьная, д. 9, к.н.з.у. 61:43:060401:0580 (1 шт.)</t>
  </si>
  <si>
    <t>Установка прибора учета для технологического присоединения здания бани заявителя, ИП Козлов Е.И., расположенного по адресу: Ростовская область, Шолоховский район, х. Меркуловский, ул. Шолохова, д. 5, к.н.з.у. 61:43:0080101:1635 (1 шт.)</t>
  </si>
  <si>
    <t>Строительство ВЛ-0,4 кВ от опоры №16 по ВЛ- 0,4 кВ №2, КТП-10/0,4 кВ №196 по ВЛ-10 кВ №4 ПС  110/35/10 кВ «Каргинская»,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Калинина В.М., расположенного по адресу: Ростовская область, Боковский р-н, х. Лиховидовский, ул. Заречная, д. 23, (к.н.з.у. 61:05:0030301:304) (ориентировочная протяженность ЛЭП – 0,36 км)</t>
  </si>
  <si>
    <t>Установка прибора учета для технологического присоединения жилого дома заявителя, Доронина Л.С., расположенного по адресу: Ростовская область, Шолоховский район, х. Рубежинский, ул. Береговая, д. 33, к.н.з.у. 61:43:0060501:72 (1 шт.)</t>
  </si>
  <si>
    <t>Установка прибора учета для технологического присоединения жилого дома заявителя, Шведов Н.М., расположенного по адресу: Ростовская область, Боковский район, х. Верхнечирский, ул. Мира, д. 105, к.н.з.у. 61:05:0020102:47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</si>
  <si>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Кирилова С.Н., расположенного по адресу: Ростовская область, Боковский район, х. Земцов, ул. Луговая, д.61, к.н.з.у. 61:05:0070503:301 (1 шт.)</t>
  </si>
  <si>
    <t>Установка прибора учета для технологического присоединения жилого дома заявителя, Тисленко В.И., расположенного по адресу: Ростовская обл, Шолоховский район, х. Меркуловский, пер. Донской, д. 29, к.н.з.у. 61:43:080101:0625 (1 шт.)</t>
  </si>
  <si>
    <t>Установка прибора учета для технологического присоединения жилого дома заявителя, Семеновой Е.Н., расположенного по адресу: Ростовская область, Боковский район, ст. Боковская, пер. Строительный, д.1В, к.н.з.у. 61:05:0010104:1130 (1 шт.)</t>
  </si>
  <si>
    <t>Строительство ВЛ-0,4 кВ от опоры №5, ВЛ 0,4 кВ №1, КТП-10/0,4 кВ №228 по ВЛ-10 кВ №1 ПС  110/35/10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Хусаинова Р.Г., расположенного по адресу: Ростовская область, Шолоховский р-н, х. Пигаревский, ул. Красноселовская, д. 1Г, (к.н.з.у. 61:43:0020602:405) (ориентировочная протяженность ЛЭП – 0,045 км)</t>
  </si>
  <si>
    <t>Установка прибора учета для технологического присоединения строящегося склада заявителя, ИП Конак С.В., расположенного по адресу: Ростовская область, Боковский район, х. Малаховский, ул. Центральная, д. 1, кв. 2, к.н.з.у. 61:05:0600013:511 (1 шт.)</t>
  </si>
  <si>
    <t>Установка прибора учета для технологического присоединения квартиры заявителя, Симоновой О.А., расположенной по адресу: Ростовская область, Боковский район, ст. Боковская, ул. Совхозная, д. 7, кв. 1, к.н.з.у. 61:05:0010104:1026 (1 шт.)</t>
  </si>
  <si>
    <t>Установка прибора учета для технологического присоединения жилого дома заявителя, Савина М.П., расположенного по адресу: Ростовская область, Боковский район, х. Коньков, ул. Комунная, д.3, к.н.з.у. 61:05:0040501:3 (1 шт.)</t>
  </si>
  <si>
    <t>Установка прибора учета для технологического присоединения жилого дома заявителя, Линник А.И., расположенного по адресу: Ростовская область, Боковский район, ст. Боковская, пер. Виноградный, д.19, к.н.з.у. 61:05:0600004:229 (1 шт.)</t>
  </si>
  <si>
    <t>Установка прибора учета для технологического присоединения жилого дома заявителя, Антиповой С.Е., расположенного по адресу: Ростовская область, Шолоховский район, х. Кружилинский, ул. Шолохова, д. 39, к.н.з.у. 61:43:0070101:599 (1 шт.)</t>
  </si>
  <si>
    <t>Установка прибора учета для технологического присоединения гаража-склада, производственного здания заявителя, ООО «ТК Феникс», расположенного по адресу: Ростовская область, Миллеровский район, х. Новоспасовка, ул. Лесная, д. 49, к.н.з.у. 61:22:0120701:385( 1 шт)</t>
  </si>
  <si>
    <t>Установка прибора учета для технологического присоединения квартиры заявителя Жаркова В.А., расположенной по адресу: Ростовская область, Верхнедонской район, х. Новониколаевский, ул. Овражная, д. 1, корп.4 кв. 4, (1 шт.)</t>
  </si>
  <si>
    <t>Установка прибора учета для технологического присоединения нежилого помещения заявителя, АО «Почта России», расположенного по адресу: Ростовская область, Кашарский район, сл. Поповка, ул. Центральная, д. 24, к.н.з.у. 61:16:0130105:139 (1 шт.)</t>
  </si>
  <si>
    <t>Установка прибора учета для технологического присоединения жилого дома заявителя Кушнарева М.В., расположенного по адресу: Ростовская область, Кашарский район, х. Краснояровка, ул. Школьная, д. 6, к.н.з.у. 61:16:0140301:149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</si>
  <si>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склада тракторной бригады №5 заявителя, ИП Глава КФХ Лукьянцев А.Ю., расположенного по адресу: Ростовская область, Чертковский  район, с. Михайлово-Александровка, ул. Коммунарская, б/н,  к.н.з.у. 61:42:0600021:698</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</si>
  <si>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Полиенко Е.М., расположенного по адресу: Ростовская область, Миллеровский  район, сл. Волошино, ул. Партизанская, д. 54, к.н.з.у. 61:22:0020101:592</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</si>
  <si>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Даденко Г.П., расположенной по адресу: Ростовская область, Кашарский район, х. Вишневка, ул. Молодежная, д. 3, кв. 1, к.н.з.у. 61:16:0170101:165</t>
  </si>
  <si>
    <t>Строительство ВЛ-0,4 кВ от РУ 0,4 кВ, КТП-10/0,4 кВ №397 по ВЛ-10 кВ №4 ПС 35/10 кВ «Колундаевская»,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Фандеева В.В., расположенного по адресу: Ростовская область, Шолоховский р-н, х. Ушаковский, ул. Центральная, д. 89, (к.н.з.у. 61:43:0060701:45) (ориентировочная протяженность ЛЭП – 0,75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</si>
  <si>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объектов наружного освещения Заявителя, Администрация муниципального образования «Донское сельское поселение», расположенных по адресу: Ростовская область, Чертковский район, х. Артамошкин, ул. Безымянная, ул. Песчаная, к.н.з.у. 61:16:0110104:272</t>
  </si>
  <si>
    <t>Строительство ВЛ-0,4 кВ от опоры №2/8 по ВЛ-0,4 кВ №1 КТП-10/0,4 кВ №5 по ВЛ-10 кВ №1 ПС 35/10 кВ «Кружилинская»,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Омарова А.М., расположенного по адресу: Ростовская область, Шолоховский р-н, х. Сингиновский, ул. Западная, д. 54, (к.н.з.у. 61:43:0070401:49) (ориентировочная протяженность ЛЭП – 0,25 км)</t>
  </si>
  <si>
    <t>Строительство ВЛ-0,4 кВ от опоры №8/14 ВЛ 0,4 кВ  №1, КТП-10/0,4 кВ №224 по ВЛ-10 кВ №1 ПС 110/ 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склада заявителя, ИП Главы КФХ Ефимова В.М., расположенного по адресу: Ростовская область, Шолоховский р-н, х. Антиповский, ул. Асфальтная, д. 46, (к.н.з.у. 61:43:0600006:781) (ориентировочная протяженность ЛЭП – 0,56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</si>
  <si>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Буханцовой Н.В., расположенного по адресу: Ростовская область, Боковский район, ст. Каргинская, ул. Соловьева, д.52, к.н.з.у. 61:05:0040107:16</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</si>
  <si>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Калинкиной В.М., расположенного по адресу: Ростовская область, Боковский район, ст. Краснокутская, ул. Школьная, д. 48, к.н.з.у. 61:05:0060102:17</t>
  </si>
  <si>
    <t>Строительство ВЛ-0,4 кВ от опоры №17/14, ВЛ 0,4 кВ №3, КТП-10/0,4 кВ №210 по ВЛ-10 кВ №1 ПС  110/35/10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Сенякиной А.М., расположенного по адресу: Ростовская область, Шолоховский р-н, х. Антиповский, ул. Школьная, д. 67, (к.н.з.у. 61:43:0030201:220) (ориентировочная протяженность ЛЭП – 0,17 км)</t>
  </si>
  <si>
    <t>Строительство ВЛ-0,4 кВ от опоры №5, ВЛ 0,4 кВ №1, КТП-10/0,4 кВ №303 по ВЛ-10 кВ №3 ПС  35/10 кВ «Ольховская»,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Кубанова И.В., расположенного по адресу: Ростовская область, Кашарский р-н, х. Ольховый, ул. Лесная, д. 37, (к.н.з.у. 61:16:0050301:357) (ориентировочная протяженность ЛЭП – 0,04 км)</t>
  </si>
  <si>
    <t>Установка прибора учета для технологического присоединения строящегося жилого дома заявителя, Черноусов А.Г., расположенного по адресу: Ростовская область, Боковский район, ст. Боковская, ул. Энергетиков, д.1, к.н.з.у. 61:05:010101:217</t>
  </si>
  <si>
    <t>Установка прибора учета для технологического присоединения ВРУ 0,4 кВ ПТО заявителя, Мельников А.Н., расположенного по адресу: Ростовская область, Боковский район, х. Земцов, ул. Школьная, д.57 а, к.н.з.у. 61:05:0070502:180</t>
  </si>
  <si>
    <t>Установка прибора учета для технологического присоединения здания склада общего назначения заявителя, Шорин С.С., расположенного по адресу: Ростовская область, Боковский район, ст. Краснокутская, ул. Социалистическая, д.80, к.н.з.у. 61:05:0060104:227</t>
  </si>
  <si>
    <t>Установка прибора учета для технологического присоединения склада заявителя, Мурадбеков А.И., расположенного по адресу: Ростовская область Боковский район, х. Белавин, ул. Степная, д.46П, к.н.з.у. 61:05:0600006:682</t>
  </si>
  <si>
    <t>Строительство ВЛ-0,4 кВ от опоры№ 8, ВЛ 0,4 кВ №2, КТП-10/0,4 кВ №564 по ВЛ-10 кВ №18 ПС  110/35/10 кВ «ГОК»,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личного подсобного хозяйства Заявителя, Шевцова К.Ю., расположенного по адресу: Ростовская область, Миллеровский р-н, г. Миллерово, бывшее подсобное хозяйство общепита, (к.н.з.у. 61:22:0120501:65), (ориентировочная протяженность ЛЭП – 0,058 км)</t>
  </si>
  <si>
    <t>Строительство ВЛ-0,4 кВ от опоры №9, ВЛ 0,4 кВ №1, КТП-10/0,4 кВ №569 по ВЛ-10 кВ №18 ПС  110/35/10 кВ «ГОК», для технологического присоединения личного подсобного хозяйства заявителя, Литвинова Е.Е., расположенного по адресу: Ростовская область, Миллеровский р-н, х. Редкодуб, (к.н.з.у. 61:22:0011101:164) и технологического присоединения квартиры заявителя, Машталировой С.А., расположенной по адресу: Ростовская область, Миллеровский р-н, х. Редкодуб, ул. Созвучная, д. 7, кв. 2 (к.н.з.у. 61:22:01011101:32),  установка приборов коммерческого учета электрической энергии (мощности) в точке поставки и установка шкафов 0,4 кВ с коммутационными аппаратами, (2 шт.), (ориентировочная протяженность ЛЭП – 0,207 км)</t>
  </si>
  <si>
    <t>Строительство ВЛ-0,4 кВ от опоры №15, ВЛ 0,4 кВ №1, КТП-10/0,4 кВ №621 по ВЛ-10 кВ №1 ПС  110/27,5/10 кВ «Старая Станица», установка приборов коммерческого учета электрической энергии (мощности) в точке поставки и установка шкафов 0,4 кВ с коммутационными аппаратами, (3 шт.) для технологического присоединения жилых домов заявителей, Тачкова А.В., Санакоевой М.А. и Мирошниченко Н.М., расположенных по адресу: Ростовская область, Миллеровский р-н, х. Банниково-Александровский, ул. Восточная, д. 12, Восточная, д. 31, Восточная, д.15(к.н.з.у. 61:22:0010201:70), (61:22:0010201:91), (00:00:000000), (ориентировочная протяженность ЛЭП – 0,22 км)</t>
  </si>
  <si>
    <t>Установка прибора учета для технологического присоединения жилого дома заявителя, Надаева Р.С., расположенного по адресу: Ростовская область, Боковский район, п. Стожки, ул. Вишневая, д. 4, к.н.з.у. 61:05:0050301:77</t>
  </si>
  <si>
    <t>Строительство ВЛ-0,4 кВ от РУ-0,4 кВ КТП-10/0,4 кВ №284 по ВЛ-10 кВ №3 ПС 35/10 кВ «Дударевская», установка прибора коммерческого учета (1 шт.) электрической энергии (мощности) в точке поставки и установка шкафа 0,4 кВ с коммутационными аппаратами, для технологического присоединения объекта медицинского учреждения заявителя, Муниципальное бюджетное учреждение здравоохранения «Центральная районная больница», расположенного по адресу: Ростовская область, Шолоховский р-н, х. Дударевский, ул. Аптечная, д. 6А, (к.н.з.у. 61:43:0040101:733), (ориентировочная протяженность ЛЭП – 0,145 км)</t>
  </si>
  <si>
    <t>«Установка прибора учета для технологического присоединения земельного участка под личное подсобное хозяйство заявителя, Авсецин Н.Н., расположенного по адресу: Ростовская область, Боковский район, ст. Боковская, пер. Абрикосовый, 20, к.н.з.у. 61:05:0600004:306 (1 шт.)»</t>
  </si>
  <si>
    <t>«Установка прибора учета для электроснабжения сквера заявителя, Администрация муниципального образования «Боковское сельское поселение», расположенного по адресу: Ростовская область, Боковский район, ст. Боковская, пер. Чкалова, д. 106Е, к.н.з.у. 61:05:0010104:1552»</t>
  </si>
  <si>
    <t>Установка прибора учета для технологического присоединения жилого дома заявителя Ильенко А.А., расположенного по адресу: Ростовская область, Чертковский район, с. Осиково, ул. Садовая, д. 36, к.н.з.у. 61:42:0190101:100 (1шт.)</t>
  </si>
  <si>
    <t>Установка прибора учета для технологического присоединения личного подсобного хозяйства заявителя Опенченко К.А., расположенного по адресу: Ростовская область, Миллеровский район, х. Хмызов, ул. Ленина, д. 18, к.н.з.у. 61:22:0080101:141 (1шт.)</t>
  </si>
  <si>
    <t>Установка прибора учета для технологического присоединения объектов уличного освещения заявителя, Администрация Дубровского сельского поселения, расположенного по адресу: Ростовская область, Шолоховский район, х. Антиповский, ул. Заречная, к.н.з.у. 61:43:0030201 (1 шт.)</t>
  </si>
  <si>
    <t>«Установка прибора учета для технологического присоединения земельного участка заявителя, Ишмаметова Р.И., расположенного по адресу: Ростовская область, Кашарский район, сл. Поповка, к.н.з.у. 61:16:0600002:320 (1 шт.)».</t>
  </si>
  <si>
    <t>Установка прибора учета для технологического присоединения жилого дома заявителя Юрченко К.В., расположенного по адресу: Ростовская область, Чертковский район, с. Тарасово-Меловское, ул. Молодежная, д. 1а, к.н.з.у. 61:42:0160101:1147 (1шт.)</t>
  </si>
  <si>
    <t>Установка прибора учета для технологического присоединения жилого дома заявителя Клещ Е.И., расположенного по адресу: Ростовская область, Миллеровский район, х. Тарадинка, ул. Дружбы, д. 6, к.н.з.у. 61:22:0100701:3 (1шт.)</t>
  </si>
  <si>
    <t>Установка прибора учета для технологического присоединения личного подсобного хозяйства заявителя Бычковой О.Н., расположенного по адресу: Ростовская область, Миллеровский район, х. Терновой, ул. Школьная, д. 31, корп. а, к.н.з.у. 61:22:0061001:804 (1шт.)</t>
  </si>
  <si>
    <t>Установка прибора учета для технологического присоединения жилого дома заявителя Бондарева Н.В., расположенного по адресу: Ростовская область, Миллеровский район, х. Кумшацкий, ул. Майская, д. 9, к.н.з.у. 61:22:0010601:374 (1шт.)</t>
  </si>
  <si>
    <t>Установка прибора учета для технологического присоединения квартиры заявителя Никонова А.Г., расположенной по адресу: Ростовская область, Миллеровский район, х. Малотокмацкий, ул. Школьная, д. 4, к.н.з.у. 61:22:0120101:183 (1шт.)</t>
  </si>
  <si>
    <t>Установка прибора учета для технологического присоединения котельной заявителя ИП Балдина А.Н., расположенной по адресу: Ростовская область, Миллеровский район, сл. Кудиновка, ул. Победы, д. 18, к.н.з.у. 61:22:0040401:1222 (1шт.)</t>
  </si>
  <si>
    <t>Установка прибора учета для технологического присоединения жилого дома заявитель Рудой В.Н., расположенного по адресу: Ростовская область, Миллеровский район, сл. Колодези, ул. Ленина, д. 61, к.н.з.у. 61:22:040101:0025 (1шт.)</t>
  </si>
  <si>
    <t>Установка прибора учета для технологического присоединения жилого дома заявитель Горбаткова М.С, расположенного по адресу: Ростовская область, Миллеровский район, сл. Дегтево, ул. Российская, д. 4, к.н.з.у. 61:22:030101:0280 (1шт.)</t>
  </si>
  <si>
    <t>Установка прибора учета для технологического присоединения личного подсобного хозяйства заявитель Дикунов Н.Н, расположенного по адресу: Ростовская область, Миллеровский район, сл. Колодези, ул. Мира, д. 3, к.н.з.у. 61:22:0040101:122 (1шт.)</t>
  </si>
  <si>
    <t xml:space="preserve">Строительство ВЛ 0,4 кВ от проектиремой ВЛ 0,4 кВ (по договору №61-1-20-00544009 от 10.11.2020 г.) проектируемой КТПН 10/0,4 кВ ВЛ 10 кВ №1208 ПС 110 кВ АС12 для электроснабжения ВРУ 0,4 кВ жилых домов Казак Л.Д. на участках с КН 61:02:0600006:6725:6725, 61:02:0600006:6739 в п. Щепкин Аксайского района  Ростовской области </t>
  </si>
  <si>
    <t>Строительство ТП 6/0,4 кВ, ВЛ 0,4 кВ, ВЛ 10 кВ от ВЛ 6 кВ №807 ПС 35 кВ АС8 для электроснабжения объекта сельскохозяйственного объекта ООО НПФ «ФИТЭКО» на участке с КН 61:02:0600011:1808 в п. Мускатный Аксайского района Ростовской области</t>
  </si>
  <si>
    <t xml:space="preserve">Строительство ТП 10/0,4 кВ, ВЛ 0,4 кВ, ВЛ 10 кВ от ВЛ 10 кВ №403 ПС 110 кВ АС4 для электроснабжения объекта торговли ИП Сагоян А. С. на участке с КН 61:02:0060101:3644 в х. Ленина Аксайского района Ростовской области </t>
  </si>
  <si>
    <t>Строительство ВЛ 0,4 кВ от РУ 0,4 кВ КТП 10 кВ №131 по ВЛ 10 кВ №407 ПС 35 кВ В4 для электроснабжения павильонов Зинькова А. Е. и  Пенечко В. А находящихся в РО, Веселовского района, х. Малая Западенка. Территория ЗАО им. Черняховского</t>
  </si>
  <si>
    <t xml:space="preserve">Строительство ТП 10/0,4 кВ, ВЛ 0,4 кВ, ВЛ 10 кВ от ВЛ 10 кВ №208 ПС 110 кВ СМ2 для электроснабжения объекта сельхоз. производства заявителя Нуриева Аббоса Камоловича по адресу, Ростовская обл., р-н. Семикаракорский, месторасположение установлено относительно ориентира, расположенного в границах участка. Ориентир контур поля № 16 массива земель реорганизованного сельскохозяйственного предприятия ЗАО «Зелёная горка» </t>
  </si>
  <si>
    <t xml:space="preserve">Строительство ВЛ0,4 кВ от опоры №10 ВЛ0,4 кВ №2 КТП № 175 ВЛ10 кВ № 125 ПС 110 кВ СМ1 для электроснабжения жилых домов заявителей Абаимовой И.Л., по адресу: РО, г. Семикаракорск, ул. Солнечная, д.35 и Карабедьян О.А. по адресу: РО, г. Семикаракорск, ул. Солнечная, д.33 </t>
  </si>
  <si>
    <t xml:space="preserve">Техническое перевооружение ТП 10 кВ №447 ВЛ 10 кВ №1103 ПС 110 кВ АС11 и строительство ВЛ 0,4 кВ от РУ 0,4 кВ ТП 10 кВ №447 ВЛ 10 кВ №1103 ПС 110 кВ АС11 для электроснабжения ВРУ 0,4 кВ жилых домов по адресу: Ростовской обл., р-н Аксайский, с/х КСП им. М. Горького, участок с КН 61:02:0600009:1045, 61:02:0600009:1046 </t>
  </si>
  <si>
    <t xml:space="preserve">Строительство КТП 10/0,4 кВ, ВЛ 0,4 кВ, ВЛ 10 кВ от ВЛ 10 кВ №1006 ПС 110 кВ АС10 для электроснабжения складского комплекса ООО «ЮНИКОСМЕТИК» на участке с КН 61:02:0600002:3052 в ст-це Грушевская Аксайского района Ростовской области </t>
  </si>
  <si>
    <t xml:space="preserve">Строительство ВЛ 0,4 кВ от проектируемой ВЛ 0,4 кВ (по договору №61-1-21-00569891 от 13.04.2021 г.) ТП 10 кВ №448 ВЛ 10 кВ №1109 ПС 110 кВ АС11 для электроснабжения жилого дома Смирновой А. В. на участке с КН 61:55:0011022:782 в г. Новочеркасске Ростовской области </t>
  </si>
  <si>
    <t xml:space="preserve">Строительство ВЛ 0,4 кВ от ВЛ 0,4 кВ №3 ТП 10 кВ №60 ВЛ 10 кВ от КЛ 10 кВ №3ф5 РП 10 кВ №3 КЛ 10 кВ №1532 и №1546 ПС 110 кВ АС15 для электроснабжения ВРУ 0,4 кВ жилого дома Афанасьева А. В. на участке с КН 61:02:0600010:12381 в г. Аксае Аксайского района Ростовской области </t>
  </si>
  <si>
    <t xml:space="preserve">Строительство КТПН 10/0,4 кВ, ВЛ 0,4 кВ, ВЛ 10 кВ от ВЛ 10 кВ №111 ПС 110 кВ АС1 для электроснабжения ВРУ 0,4 кВ хозяйственного помещения АНО “Приют для безнадзорных животных “Добросфера” на участке с КН 61:02:0600017:4010 в нп. АО Луговое Аксайского района Ростовской области </t>
  </si>
  <si>
    <t xml:space="preserve">Строительство ВЛ 0,4 кВ от ВЛ 0,4 кВ №2 ТП 10 кВ №650 ВЛ 10 кВ №101 ПС 110 кВ АС1 для электроснабжения ВРУ 0,4 кВ жилого дома Коршунова В. Б. на участке с КН 61:02:0090103:3058 в ст-це Ольгинская Аксайского района РО </t>
  </si>
  <si>
    <t xml:space="preserve">Строительство КТП 10/0,4 кВ, ВЛ 0,4 кВ, ВЛ 10 кВ от ВЛ 10 кВ №1208 ПС 110 кВ АС12 для электроснабжения складского здания/помещения ООО «ПЛАСТ АВЕНЮ» на участке с КН 61:02:0080503:610 в п. Щепкин Аксайского района Ростовской области </t>
  </si>
  <si>
    <t xml:space="preserve">Строительство ВЛ 0,4 кВ от ВЛ 0,4 кВ №3 ТП 6 кВ №184 ВЛ 6 кВ №807 ПС 35 кВ АС8 для электроснабжения ВРУ 0,4 кВ жилого дома Максаевой Л. Ф. по ул. Фадеева, 147А в х. Большой Лог Аксайского района Ростовской области </t>
  </si>
  <si>
    <t xml:space="preserve">Строительство ВЛ 0,4 кВ по ВЛ 0,4 кВ № 1 от КТП 10 кВ №97, ВЛ 10 кВ №158 ПС 110 кВ В1 для электроснабжения жилого дома Гороховой Н.Ю. на участке с КН 61:06:0010138:828 в Веселовском районе Ростовской области, п. Веселый, ул. Пензенская, 3-б </t>
  </si>
  <si>
    <t xml:space="preserve">Строительство ТП 10/0,4 кВ, ВЛ 0,4 кВ, ВЛ 10 кВ от для электроснабжения ВРУ-0,4 кВ жилых домов заявителей Деревянко М.В. по адресу: РО., Семикаракорский р-н, х. Сусат, ул. Речная, 80 А к.н.: 61:35:0090101:3346, Рудник В.В. по адресу: РО., Семикаракорский р-н, х. Сусат, ул. Речная, 78 А к.н.: 61:35:0090101:736 </t>
  </si>
  <si>
    <t xml:space="preserve">Строительство ТП 10/0,4 кВ, ВЛ 0,4 кВ, ВЛ 10 кВ от для электроснабжения ВРУ-0,4 кВ объекта сельхоз производства заявителя Вакуленко Н.И.. по адресу: РО, р-н. Семикаракорский, п. Крымский, контуры полей № 35,38,41,50,51,53,55,67,68,66,74 массива земель, реорганизованного с/х предприятия ТОО "Крымское", к.н.: 61:35:0600009:152 </t>
  </si>
  <si>
    <t xml:space="preserve">Строительство ВЛ-0,4 кВ от ВЛ-0,4 кВ № 3, КТП № 952 ВЛ-10 кВ № 903 ПС СМ-9 для электроснабжения жилого дома заявителя Лысенко Т.В. адресу: РО, Семикаракорский район, х. Слободской, ул. Сальская, 53 к.н.:61:35:0090401:358 </t>
  </si>
  <si>
    <t xml:space="preserve">Строительство ВЛ 0,4 кВ от проектируемой ВЛ 0,4 кВ (по договору №61-1-21-00602295 от 23.09.2021 г.) КТП 10/0,4 кВ ВЛ 10 кВ №1208 ПС 110 кВ АС12 для электроснабжения ВРУ 0,4 кВ жилых домов Полулях С. А. в п. Щепкин Аксайского района Ростовской области </t>
  </si>
  <si>
    <t>Строительство ВЛ 0,4 кВ от проектируемой ВЛ 0,4 кВ ( по договру №61-1-20-00537033 от 13.10.2020 г.) от ВЛ 0,4 кВ №1 КТП №434 ВЛ 10 кВ №1103 ПС 110 кВ АС 11 для электроснабжения ВРУ 0,4 кВ жылых домов в ст-це Мишкинская Аксайского района Ростовской области</t>
  </si>
  <si>
    <t>Строительство ТП 10/0,4 кВ, ВЛ 0,4 кВ, ВЛ 10 кВ от ВЛ 10 кВ №106 ПС 110 кВ БГ1 для электроснабжения дачных домов Комаровской Е.Н., Берченко А.А., Кучеренко В.Н. по адресу: Ростовская обл., р-н. Багаевский, ст. Багаевская, ул. Береговая, д.184-а, д. 182, д. 170</t>
  </si>
  <si>
    <t xml:space="preserve">Строительство ВЛ 0,4 кВ от проектируемой КТПН 10/0,4 кВ (по договору №61-1-19-00424111 от 27.02.2019 г.) ВЛ 10 кВ №3 ПС 35 кВ Б. Салы с заменой силового трансформатора проектируемой КТПН 10/0,4 кВ (по договору №61-1-19-00424111 от 27.02.2019 г.) ВЛ 10 кВ №3 ПС 35 кВ Б. Салы для электроснабжения ВРУ 0,4 кВ жилых домов в п. Темерницкий Аксайского района Ростовской области </t>
  </si>
  <si>
    <t xml:space="preserve">Строительство ТП 10/0,4 кВ, ВЛ 0,4 кВ, ВЛ 10 кВ от ВЛ 10 кВ №1103 ПС 110 кВ АС11 для электроснабжения ВРУ 0,4 кВ жилого дома Костандян А. А. на участке с КН 61:02:0600009:2371 в ст-це Мишкинская Аксайского района Ростовской области </t>
  </si>
  <si>
    <t xml:space="preserve">Строительство ТП 10/0,4 кВ, ВЛ 0,4 кВ, ВЛ 10 кВ от ВЛ 10 кВ №111 ПС 110 кВ АС1 для электроснабжения ВРУ 0,4 кВ жилого дома Асланова М. В. в п. Дорожный Аксайского района Ростовской области </t>
  </si>
  <si>
    <t xml:space="preserve">Строительство ВЛ 0,4 кВ от ВЛ 0,4 кВ №2 ТП 10 кВ №89 ВЛ 10 кВ №706 ПС 35 кВ АС7 для электроснабжения ВРУ 0,4 кВ жилого дома Строганова А. В. на участке с КН 61:02:0600007:2879 в п. Красный Колос Аксайского района Ростовской области </t>
  </si>
  <si>
    <t xml:space="preserve">Строительство ВЛ 0,4 кВ от ВЛ 0,4 кВ №2 КТП №89 ВЛ 10 кВ №706 ПС 110 кВ АС7 для электроснабжения ВРУ 0,4 кВ жилого дома Маркова С. И. на участке с КН 61:02:600007:0026 в п. Красный Колос Аксайского района Ростовской области </t>
  </si>
  <si>
    <t xml:space="preserve">Строительство ВЛ 0,4 кВ от опоры № 1 ВЛ 0,4 кВ №2 КТП 6 /0,4 кВ № 125 ВЛ 6 кВ № 806 ПС 35/6 кВ АС-8 для электроснабжения ВРУ 0,4 кВ 29 садовых домика ТСН СНТ «Аксай» в п. Опытный, с/т «Аксай» Аксайского района, Ростовской области </t>
  </si>
  <si>
    <t xml:space="preserve">Строительство ВЛ 0,4 кВ от ВЛ 0,4 кВ №3 КТП №226 ВЛ 10 кВ №3 ПС 35 кВ Б. Салы с заменой силового трансформатора КТП №226 ВЛ 10 кВ №3 ПС 35 кВ Б. Салы для электроснабжения ВРУ 0,4 кВ жилого дома Гаркушина А. Н. на участке с КН 61:02:0080401:222 в х. Нижнетемерницкий Аксайского района Ростовской области </t>
  </si>
  <si>
    <t xml:space="preserve">Строительство ВЛ 0,4 кВ от ВЛ 0,4 кВ №2 ТП 10 кВ №645 ВЛ 10 кВ №102 ПС 110 кВ АС1 для электроснабжения жилого дома Шаталовой О. С. на участке с КН 61:02:0090101:3945 в ст-це Ольгинская Аксайского района Ростовской области </t>
  </si>
  <si>
    <t xml:space="preserve">Строительство ВЛ 0,4 кВ от проектируемой ВЛ 0,4 кВ (по договору №61-1-20-00530589 от 10.09.2020 г.) от ВЛ 0,4 кВ №1 техперевооружаемой ТП 10 кВ №425 ВЛ 10 кВ №1109 ПС 110 кВ АС11 для электроснабжения ВРУ 0,4 кВ жилого дома Денисова С. В. на участке с КН 61:02:0030301:228 в х. Веселый Аксайского района Ростовской области </t>
  </si>
  <si>
    <t xml:space="preserve">Строительство ВЛ 0,4 кВ от ВЛ 0,4 кВ №2 КТП №175 ВЛ 10 кВ №1208 ПС 110 кВ АС12 для электроснабжения ВРУ 0,4 кВ жилого дома Мурадян Л. Т. на участке с КН 61:02:0000000:6208 в п. Щепкин Аксайского района Ростовской области </t>
  </si>
  <si>
    <t>Строительство ВЛ 0,4 кВ от проектируемой ВЛ 0,4 кВ (по договору №61-1-20-00517585 от 23.07.2020 г.) от ВЛ 0,4 кВ №2 ТП 10 кВ №89 ВЛ 10 кВ №706 ПС 35 кВ АС7 для электроснабжения ВРУ 0,4 кВ жилого дома Шевченко Д. В. в п. Красный Колос Аксайского района Ростовской области</t>
  </si>
  <si>
    <t xml:space="preserve">Строительство ВЛ 0,4 кВ от ВЛ 0,4 кВ №2 ТП 10 кВ №448 ВЛ 10 кВ №1106 ПС 110 кВ АС11 для электроснабжения ВРУ 0,4 кВ жилого дома Чумаченко А. А. на участке с КН 61:55:0011023:252 в г. Новочеркасске Ростовской области </t>
  </si>
  <si>
    <t xml:space="preserve">Строительство ВЛ 0,4 кВ по ВЛ 0,4 кВ №2 ТП 10/0,4 кВ №181 ВЛ 10 кВ №307 ПС 35 кВ БГ3 для электроснабжения теплицы Маилевой Р.А. в Багаевском ра-не Елкинского сельского поселения К.Н. 61:03:0600002:660 </t>
  </si>
  <si>
    <t>Строительство ВЛ 0,4 кВ от опоры №17 ВЛ-0,4 кВ №2 КТП 10/0,4 кВ №950 ВЛ 10 кВ №903 ПС 35 кВ СМ9 для электроснабжения ВРУ-0,4 кВ Базовой станции сотовой связи (БССС) заявителя АО "Первая Башенная Компания" по адресу: РО., р-н. Семикаракорский, х. Слободской, ул. Ященко, 80 м от дома №22 з, кадастровый номер земельного участка: 61:35:0090401</t>
  </si>
  <si>
    <t xml:space="preserve">Строительство ВЛ-0,4 кВ от опоры № 23 ВЛ 0,4 кВ № 2, КТП № 429 ВЛ 10 кВ № 402 ПС СМ 4, с установкой прибора учета электрической энергии на границе балансовой принадлежности для электроснабжения жилого дома заявителя Макарян А.А. адресу: РО, Семикаракорский район, х. Сусат, ул. Речная, 32/1 к.н.:61:35:0090101:32 </t>
  </si>
  <si>
    <t xml:space="preserve">Строительство ТП 10/0,4 кВ, ВЛ 0,4 кВ, ВЛ 10 кВ от опоры №21 ВЛ 10 кВ №702 ПС 35 кВ СМ7 для электроснабжения ВРУ-0,4 кВ объекта КФХ заявителя ИП Глава КФХ Симаков Г.С. по адресу: РО., Семикаракорский р-н, х. Кузнецовка, примерно в 1,7 км на северо-запад от хутора к.н.: 61:35:0600016:291 </t>
  </si>
  <si>
    <t xml:space="preserve">Строительство ВЛ 0,4 кВ от ВЛ 0,4 кВ №1 ТП 10 кВ №1 ВЛ 10 кВ №657 ПС 110 кВ АС6 для электроснабжения нежилого здания ИП Семеновой И. И. на участке с КН 61:02:0600013:1638 в ст-це Старочеркасская Аксайского района Ростовской области </t>
  </si>
  <si>
    <t xml:space="preserve">Строительство ВЛ0,4 кВ от опоры №1 КТП № 1110 ВЛ10 кВ№1101 ПС СМ-11 с заменой силового трансформатора КТП№ 1110 ВЛ10 кВ№1101 ПС СМ-11  для электроснабжения ВРУ-0,4 кВ насосов для полива заявителей Тян Е.В.; Ли Е.Г., Ли А.Н. по адресу: РО., Семикаракорский р-н, к.н.: 61:35:0600013:390, к.н.: 61:35:0600013:387, к.н.: 61:35:0600013:389 </t>
  </si>
  <si>
    <t xml:space="preserve">Строительство ВЛ 0,4 кВ от ВЛ 0,4 кВ №3 ТП 6/0,4 кВ №72 ВЛ 6 кВ №804 ПС 35 кВ АС8 для электроснабжения ВРУ 0,4 кВ жилого дома Горяинова А. Д. на участке с КН 61:02:0600010:3516 в п. Российский Аксайского района Ростовской области </t>
  </si>
  <si>
    <t xml:space="preserve">Строительство ВЛ 0,4 кВ от проектируемой ВЛ 0,4 кВ проектируемой КТПН 6/0,4 кВ ВЛ 6 кВ №305 ПС 35 кВ АС3 (по договору №61-1-20-00436769 от 16.04.2020 г.)  для электроснабжения ВРУ 0,4 кВ жилых домов Телегина С. Е. в г. Аксае Аксайского района Ростовской области </t>
  </si>
  <si>
    <t xml:space="preserve">Строительство ВЛ 0,4 кВ от ВЛ 0,4 кВ проектируемой КТПН 10/0,4 кВ (по договору №61-1-19-00488343 от 16.12.2019 г.) ВЛ 10 кВ №107 ПС 110 кВ АС1 для электроснабжения ВРУ 0,4 кВ жилых домов по ул. Степная в ст-це Ольгинская Аксайского района Ростовской области </t>
  </si>
  <si>
    <t xml:space="preserve">Строительство ТП 10/0,4 кВ, ВЛ 0,4 кВ, ВЛ 10 кВ от ВЛ 10 кВ №655 ПС 110 кВ АС6 для электроснабжения нежилого здания АО “АКСАЙСКАЯ НИВА” на участке с КН 61:02:0600012:573 в Аксайском районе Ростовской области </t>
  </si>
  <si>
    <t xml:space="preserve">Строительство ВЛ 0,4 кВ по проектируемым опорам проектируемой ВЛ 0,4 кВ (по договору №61-1-20-00542111 от 30.10.2020 г.) от РУ 0,4 кВ КТП №176 ВЛ 10 кВ №1206 ПС 110 кВ АС12 для электроснабжения нежилого здания ИП Степанян М. М. на участке с КН 61:02:0600007:2682 в п. Красный Колос Аксайского района Ростовской области </t>
  </si>
  <si>
    <t xml:space="preserve">Строительство ВЛ 0,4 кВ от ВЛ 0,4 кВ №1 ТП 10 кВ №630 ВЛ 10 кВ №103 ПС 110 кВ АС1 для электроснабжения ВРУ 0,4 кВ жилого дома Фоминой И. В. на участке с КН 61:02:0600021:1678 в х. Островского Аксайского района Ростовской области </t>
  </si>
  <si>
    <t xml:space="preserve">Строительство ВЛ 0,4 кВ от РУ 0,4 кВ ТП 10 кВ №50А ВЛ 10 кВ №1208 ПС 110 кВ АС12 для электроснабжения нежилого здания ИП Живой Н. Ю. на участке с КН 61:02:0600006:7113 в п. Щепкин Аксайского района Ростовской области </t>
  </si>
  <si>
    <t xml:space="preserve">Строительство ВЛ 0,4 кВ от проектируемой ВЛ 0,4 кВ (по договору №61-1-19-00493223 от 23.01.2020 г.) КТПН 10/0,4 кВ ВЛ 10 кВ №414 ПС 220 кВ Р4 для электроснабжения ВРУ 0,4 кВ объекта сельскохозяйственного производства ИП Рябых О. Н. на участке с КН 61:02:0600010:8414 в х. Камышеваха Аксайского района Ростовской области </t>
  </si>
  <si>
    <t xml:space="preserve">Строительство ВЛ 0,4 кВ от ВЛ 0,4 кВ №1 ТП 10 кВ №488 ВЛ 10 кВ №1103 ПС 110 кВ АС11 для электроснабжения производственного здания/помещения ООО «Промэкосервис» на участке с КН 61:02:060009:2850 в Аксайском районе Ростовской области </t>
  </si>
  <si>
    <t xml:space="preserve">Строительство ВЛ 0,4 кВ от проектируемой ВЛ 0,4 кВ (по договору №61-1-20-00517323 от 25.06.2020 г.) техперевооружаемой КТПН 10/0,4 кВ ВЛ 10 кВ №1208 ПС 110 кВ АС12 для электроснабжения ВРУ 0,4 кВ жилого дома Казак Л. Д. в п. Октябрьский Аксайского района Ростовской области </t>
  </si>
  <si>
    <t>Строительство ВЛ 0,4 кВ от РУ 0,4 кВ проектируемой ТП 6/0,4 кВ (по договору №61-1-19-00469443 от 27.09.2020 г.) ВЛ 6 кВ №806 ПС 35 кВ АС8 для электроснабжения нежилого здания ИП Песенниковой Д. В. в п. Реконструктор Аксайского района Ростовской области (ориентировочная протяжённость ЛЭП 0,01 км)</t>
  </si>
  <si>
    <t xml:space="preserve">Строительство ТП 10/0,4 кВ, ВЛ 0,4 кВ, ВЛ 10 кВ от ВЛ 10 кВ №1208 ПС 110 кВ АС12 для электроснабжения ВРУ 0,4 кВ ИП Демьянова Ю. И. на участке с КН 61:02:0600004:3104 в АО “Октябрьское” Аксайского района Ростовской области </t>
  </si>
  <si>
    <t xml:space="preserve">Строительство СТП 6/0,4 кВ, ВЛ 0,4 кВ, ВЛ 6 кВ от ВЛ 6 кВ №805 ПС 35 кВ АС8 для электроснабжения ВРУ 0,4 кВ жилого дома Копылова В. В. на участке с КН 61:02:0010201:1343 в х. Большой Лог Аксайского района Ростовской области </t>
  </si>
  <si>
    <t xml:space="preserve">Строительство ВЛ 0,4 кВ от ВЛ 0,4 кВ №1 ТП 10 кВ №426 ВЛ 10 кВ №1109 ПС 110 кВ АС11 для электроснабжения ВРУ 0,4 кВ жилого дома Пикина А. А. на участке с КН 61:02:0030301:615 в х. Веселый Аксайского района Ростовской области </t>
  </si>
  <si>
    <t xml:space="preserve">Строительство ВЛ 0,4 кВ от проектируемой ВЛ 0,4 кВ (по договору №61-1-20-00496749 от 26.02.2020 г.) КТПН 10/0,4 кВ ВЛ 10 кВ №1203 ПС 110 кВ АС12 для электроснабжения ВРУ 0,4 кВ жилого дома Челидзе А. Г. в совх. Каменобродский Родионово-Несветайского района Ростовской области </t>
  </si>
  <si>
    <t xml:space="preserve">Строительство ВЛ 0,4 кВ от ВЛ 0,4 кВ №1 ТП 10 кВ №96 ВЛ 10 кВ №3 ПС 35 кВ Б. Салы для электроснабжения ВРУ 0,22 кВ жилого дома Горшкова В. Д. на участке с КН 61:02:0600005:9715 в п. Темерницкий Аксайского района Ростовской области </t>
  </si>
  <si>
    <t xml:space="preserve">Строительство ВЛ 0,4 кВ от проектируемой ВЛ 0,4 кВ (по договору №61-1-21-00596429 от 01.09.2021 г.) ТП 10 кВ №448 ВЛ 10 кВ №1109 ПС 110 кВ АС11 для электроснабжения ВРУ 0,4 кВ жилого дома Лобова Н. Е.  г. Новочеркасск КН 61:55:0011022:100 </t>
  </si>
  <si>
    <t xml:space="preserve">Строительство ВЛ 0,4 кВ от ВЛ 0,4 кВ №3 ТП 10/0,4 кВ №575 ВЛ 10 кВ №704 ПС 35 кВ БГ7 для электроснабжения жилого дома Тонкошкуровой В.Н. по адресу РО, Багаевский район, х. Красный, ул. Набережная, д. 2-е, к.н. 61:03:0060109:189. </t>
  </si>
  <si>
    <t xml:space="preserve">Строительство ВЛ 0,4 кВ от опоры №11 ВЛ-0,4 кВ №2 КТП 10/0,4 кВ №235 ВЛ 10 кВ №205 ПС 110 кВ СМ2 для электроснабжения ВРУ-0,4 кВ жилого дома заявителя Изотова П.А. по адресу: РО., р-н. Семикаракорский, ст-ца. Задоно-Кагальницкая, примерно в 48 м на север от ул. Набережная, 127 Б, к.н.: 61:35:0030101:4144 </t>
  </si>
  <si>
    <t xml:space="preserve">Строительство ВЛ 0,4 кВ от проектируемой ВЛ 0,4 кВ (по договору №61-1-20-00507601 от 16.04.2020 г.) проектируемой КТПН 10/0,4 кВ ВЛ 10 кВ №403 ПС 110 кВ АС4 для электроснабжения ВРУ 0,4 кВ жилых домов Савельевой М. В. в х. Ленина Аксайского района Ростовской области </t>
  </si>
  <si>
    <t xml:space="preserve">Строительство КТПН 10/0,4 кВ, ВЛ 0,4 кВ, ВЛ 10 кВ от ВЛ 10 кВ №1207 ПС 110 кВ АС12 для электроснабжения ВРУ 0,4 кВ линии наружного освещения на участке с КН 61:02:0000000:570 в п. Щепкин Аксайского района Ростовской области </t>
  </si>
  <si>
    <t xml:space="preserve">Строительство ТП 10/0,4 кВ, ВЛ 0,4 кВ, ВЛ 10 кВ от ВЛ 10 кВ №1207 ПС 110 кВ АС12 для электроснабжения ВРУ 0,4 кВ жилых домов по ул. Семейная, 8, ул. Небесная, 7 в п. Щепкин Аксайского района Ростовской области </t>
  </si>
  <si>
    <t xml:space="preserve">Строительство ВЛ 0,4 кВ от ВЛ 0,4 кВ №2 КТП 10/0,4 кВ №31 ВЛ 10 кВ №263 ПС 110 кВ БГ2 для электроснабжения жилого дома Соколовой Т.С. по адресу РО, Багаевский район, х. Арпачин, ул. Донская, д. 31-г, к.н. 61:03:0000000:4081. </t>
  </si>
  <si>
    <t xml:space="preserve">Строительство ВЛ 0,4 кВ от РУ 0,4 кВ КТП 10 кВ № 151 по ВЛ 10 кВ №405 ПС 35 кВ В4 для электроснабжения мастерской по ремонту и обслуживанию автомобилей, автомобильной мойки, гаражей, магазинов ИП Курбанова Э. К. на участке с КН 61:06:0010102:67 в Веселовском районе РО, п. Веселый, пер. Промышленный, 5-в </t>
  </si>
  <si>
    <t xml:space="preserve">Строительство ВЛ 0,4 кВ по ВЛ 0,4 кВ № 2, КТП 10 кВ № 433 по ВЛ 10 кВ №608 ПС 35 кВ В6 для электроснабжения магазина ИП Разгон А. И. на участке с КН 61:06:0020804:12 в Веселовском районе Р.О, п. Чаканиха, пер. Школьный, 13-а </t>
  </si>
  <si>
    <t xml:space="preserve">Строительство ВЛ 0,4 кВ по ВЛ 0,4 кВ № 1 от КТП 10/0,4 кВ №99, ВЛ 10 кВ №160 ПС 110 кВ В1 для электроснабжения жилого дома Шин А. А. на участке с КН 61:06:0010107:161 в Веселовском районе Ростовской области, п. Веселый, ул. Набережная, 73-а </t>
  </si>
  <si>
    <t xml:space="preserve">Строительство ВЛ 0,4 кВ по ВЛ 0,4 кВ № 1 от КТП 10 кВ №21, ВЛ 10 кВ №158 ПС 110 кВ В1 для электроснабжения магазина Кулиничева Е. А. на участке с КН 61:06:0010138:826 в Веселовском районе Ростовской области, п. Веселый, ул. Мира, 18-а </t>
  </si>
  <si>
    <t>Строительство ВЛ 0,4 кВ от КТП 10/0,4 кВ №642 ВЛ 10 кВ №608 ПС 35 кВ СМ6 для электроснабжения ВРУ-0,4 кВ нежилого здания заявителя Ненартович В.П. по адресу: РО, р-н. Семикаракорский, ст-ца. Новозолотовская, примерно в 5 км по направлению на северо-восток от ориентира, кадастровый номер земельного участка: 61:35:0600005:643</t>
  </si>
  <si>
    <t xml:space="preserve">Строительство ВЛ 0,4 кВ от ВЛ0,4 кВ №2 КТП №141 ВЛ10 кВ №125 ПС СМ1  с установкой на границе земельного участка Заявителя прибора учета для электроснабжения ВРУ-0,4 кВ жилого дома заявителя Лавлинской Л.А. по адресу: РО, г. Семикаракорск, ул. Мира, 1 а к.н.: 61:35:0110207:370  </t>
  </si>
  <si>
    <t xml:space="preserve">Строительство ВЛ 0,4 кВ от опоры №41 ВЛ-0,4 кВ №1 КТП 10/0,4 кВ №294 ВЛ 10 кВ №208 ПС 110 кВ СМ2 для электроснабжения ВРУ-0,4 кВ теплицы заявителя Афуз Б.Б. по адресу: РО., р-н. Семикаракорский, примерно в 118 м на северо-восток от х. Жуков пер. Доской, 8, к.н.: 61:35:0040201:1414. </t>
  </si>
  <si>
    <t xml:space="preserve">Установка приборов учета для присоединения ВРУ 0,4 кВ жилых домов, расположенных по адресу: Ростовская обл., р-н Аксайский, р-н Азовский, (93шт.)
</t>
  </si>
  <si>
    <t>Установка приборов учета для присоед. Заявителей расположенных по адресу: Ростовская обл. р-н Аксайский, г.Аксай, п.Темерницкий, п.Водопадный, п.Щепкин, п.Нижнетемерницкий,х.Большой Лог, п. Российский, ст-ца Ольгинская, ст-ца Мишкинская, х. Алескандровка, р-н Азовский п. Красный Сад (39шт)</t>
  </si>
  <si>
    <t>Установка приборов учета для присоединения ВРУ 0,4 кВ жилых домов, расположенных по адресу: Р.О., Аксайский р-н, Азовский р-н. КН: 61:33:0600015:1351; 61:02:0600005:11327; 61:02:0600005:8882;61:02:0600011:1705; 61:01:0600007:1613;  61:01:0600007:2085; 61:01:0600007:1612;61:01:0600007:1650;  61:02:0600006:2532; 61:02:0070201:1455; 61:01:0600007:1610; 61:01:0600007:1895; 61:01:0600007:1776; 61:01:0600007:1666; 61:01:0600007:1796; 61:01:0600007:1780 (33 шт.)</t>
  </si>
  <si>
    <t>Установка прибора учета для присоединения жилого дома Карапетян Ю.С., расположенного по адресу: Ростовская область, Багаевский район, ст. Манычская, ул. Горбачева, д. 46 (1 шт)</t>
  </si>
  <si>
    <t>Установка прибора учета для присоединения ВРУ 0,4 кВ жилого дома Зиненко А.И., расположенного по адресу: Ростовская обл., р-н Багаевский, х. Тузлуков, ул. Береговая, д. 1/1Н, к.н. 61:03:0600011:1065 (1шт.)</t>
  </si>
  <si>
    <t>Установка прибора учета для присоединения жилого дома Миркиной В. В. расположенного по адресу: РО, Веселовский район, п. Веселый, ул. Береговая, 1/10 к.н. 61:06:0010140:24 (1шт)</t>
  </si>
  <si>
    <t>Установка прибора учета для присоединения ВРУ 0,4 кВ жилого дома заявителя Симакиной В.Н., расположенного по адресу: РО., Семикаракорский р-н, х. Чебачий, ул. Школьная, 29, к.н.:61:35:0060201:66(1шт)</t>
  </si>
  <si>
    <t>Установка приборов учета для присоединения ВРУ 0,4 кВ жилых домов, расположенных по адресу: Р.О., г. Новочеркасск, г. Аксай, Аксайский р-н, Азовский р-н)» (75 шт.)</t>
  </si>
  <si>
    <t>Установке приборов учета для присоединения ВРУ 0,4 кВ заявителей, расположенных по адресу: Р.О., Аксайский р-н, Азовский р-н (к.н з/у 61:01:0600007:1966;61:01:0600007:1738;  61:02:0600010:15589;61:01:0600007:1959;61:01:0600007:1704;61:01:0130201:5220;61:01:0600007:2082;61:01:0600007:1701;61:02:0600009:1245;61:02:000000:0:217;61:02:0600010:12364;61:02:0600010:12355;61:02:0600010:9882;61:02:0600010:13251;61:02:0600010:14237;61:33:0600015:1067;61:02:001101:3390; 61:02:001101:3389;61:02:0080108:619;61:0260020401:1790;61:02:0600010:19603;61:01:0600007:2158;61:02:06000010:17703;61:02:0600005:8486;61:02:600011:1707;61:02:0600007:126;61:01:0600007:1907;61:02:0600006:4334;61:33:0600015:1028;61:02:600011:1041;61:01:0600007:1904;61:02:0110102:4280;61:01:0600007:1657, 61:02:0100501:75, 61:02:0600010:19568) (129 шт.)</t>
  </si>
  <si>
    <t>Установка приборов учета для присоединения жилых домов Самсонова А.Б., Самсонова Н.А. расположенных по адресу: Ростовская обл., р-н Багаевский, х. Кудинов, ул. Новая, д. 5, к.н. 61:03:0030201:240, ул. Новая, д. 55, к.н. 61:03:0030201:1172 (2шт.)</t>
  </si>
  <si>
    <t>Установка прибора учета для присоединения малоэтажной жилой застройки (индивидуальный жилой дом/садовый/дачный дом) Джарагян А.С. расположенных по адресу: Ростовская обл., х. Слава Труда, ул. Славянская, д. 8, к.н. 61:02:0020301:78 (1шт.)</t>
  </si>
  <si>
    <t>Установка прибора учета для присоединения жилого дома Фарапонова А. Ю. расположенного по адресу: РО, Веселовский район, п. Веселый, ул. Береговая, 1-е к.н. 61:06:0010140:416(1 шт.)</t>
  </si>
  <si>
    <t>Установка прибора учета для присоединения спасательного поста Администрации Веселовского сельского поселения, расположенного по адресу: РО., п. Веселый, пер. Волго-Донской, 66 а к.н. 61:06:0010101:687(1шт)</t>
  </si>
  <si>
    <t>Установка прибора учета для присоединения жилого дома Рябущенко Е. В. расположенного по адресу: РО, Веселовский район, х. Верхнесоленый, ул. Центральная, 52-г к.н. 61:06:0020106:607</t>
  </si>
  <si>
    <t>Установка прибора учета для присоединения жилого дома Веренич Э. А. расположенного по адресу: РО, Веселовский район, х. Нижнесоленый, ул. Казима Мустафаева, 15 к.н. 61:06:0020308:29</t>
  </si>
  <si>
    <t>Установка прибора учета для присоединения магазина Гусейнова С. Х. расположенного по адресу: РО, Веселовский район, х. Верхнесоленый, ул. Строителей, 35-а к.н. 61:06:0020105:814» (1 шт.)</t>
  </si>
  <si>
    <t>Установка прибора учета для присоединения модульного здания участкового пункта полиции Администрации Веселовского сельского поселения Веселовского района расположенного по адресу: РО, Веселовский район, п. Веселый, ул. Почтовая, 85 а к.н. 61:06:0010126:1012</t>
  </si>
  <si>
    <t>Установка прибора учета для присоединения магазина Чумаковой С. А. расположенного по адресу: РО, Веселовский район, п. Веселый, ул. Октябрьская, 104 к.н. 61:06:0010127:109 (1 шт)</t>
  </si>
  <si>
    <t>Установка прибора учета для присоединения магазина Махмудова Б. М. расположенного по адресу: РО, Веселовский район, п. Веселый, ул. Октябрьская, 18-а к.н. 61:06:0010135:245»(1шт)</t>
  </si>
  <si>
    <t>Установка прибора учета для присоединения жилого дома Поливенко В. С. расположенного по адресу: РО, Веселовский район, х. Каракашев, ул. Старая, 64-в к.н. 61:06:0600012:1104» (1шт.)</t>
  </si>
  <si>
    <t>Установка прибора учета для присоединения магазина ИП Авагян А. Ш. расположенного по адресу: РО, Веселовский район, п. Веселый, ул. Октябрьская, 62-а к.н. 61:06:0010130:648» (1 шт.)</t>
  </si>
  <si>
    <t>Установка прибора учета для присоединения жилого дома Харькова И. Л. расположенного по адресу: РО, Веселовский район, п. Веселый, ул. Береговая, 2-л к.н. 61:06:0600012:867</t>
  </si>
  <si>
    <t>Установка прибора учета для присоединения  жилого дома Гилевой Т.И., расположенного по адресу: Ростовская область, Багаевский район, х. Арпачин, ул. Ленина, д. 20А, к.н. 61:03:0040214:52</t>
  </si>
  <si>
    <t>Установка прибора учета для присоединения  нежилого дома Миненко А.В., расположенного по адресу: Ростовская область, Багаевский район, х. Арпачин, ул. Береговая, д. 2-к</t>
  </si>
  <si>
    <t>Установка прибора учета для присоединения жилого дома Дербановой Е. В. расположенного по адресу: Ростовская область, Веселовский район, х. Красное Знамя, ул. Дружбы, 63 к.н. 61:06:0060205:46</t>
  </si>
  <si>
    <t>Установка прибора учета для присоединения ВРУ 0,4 кВ нежилого здания Чагочкина С.Н., расположенного по адресу: РО, р-н. Семикаракорский, примерно в 20 м на запад от х. Маломечетный, к.н.: 61:35:060005:662</t>
  </si>
  <si>
    <t>Установка прибора учета для присоединения объекта жилой дом Богославцева И.А., жилого дома Еремеевой Е.Ф., жилого дома Ивановой Т.А., административного здания Администрации Задоно-Кагальницкого сельского поселения., Дома культуры Администрации Золотаревского сельского поселения., жилого дома Лефельбейн Н.И., жилого дома заявителя Мутиева А.Х., жилого дома Топилина С. С., жилого дома Костина И. И., жилого дома Куприковой В.Е., жилого дома Процевской Л.А., расположенных по адресу: р-н. Семикаракорский, х. Лиманский, пер. 2-й, д. 3, кв./оф. 1., ст-ца. Новозолотовская, ул. Октябрьская, д. 2/1., х. Лиманский, ул. Садовая, д. 42., ст-ца. Задоно-Кагальницкая, пер. Советский, д. 3., ст-ца. Новозолотовская, ул. Малиновского, д. 19/1., х. Кузнецовка, ул. Ленина, д.22., г. Семикаракорск, ул. Олега Кошевого, 11., г. Семикаракорск, ул. Солнечная, 1/31., х. Кузнецовка, ул. 50 лет Октября, д.52 кв.2., ст-ца Новозолотовская, ул. Речная, 4.  (11 шт)</t>
  </si>
  <si>
    <t>Установка прибора учета для присоединения жилого дома Абдулаевой С.И. расположенного по адресу: Ростовская область, Багаевский район, х. Елкин ул. Широкая , д.33 к.н. 61:03:0030149:1</t>
  </si>
  <si>
    <t>Установка прибора учета для присоединения ВРУ 0,4 кВ базовой станции заявителя ПАО «Ростелеком»., расположенного по адресу: Ростовская обл., р-н. Семикаракорский, х. Балабинка</t>
  </si>
  <si>
    <t>Установка прибора учета для присоединения ВРУ 0,4 кВ базовой станции заявителя ПАО «Ростелеком»., расположенного по адресу: Ростовская обл., р-н. Семикаракорский, х. Новоромановский</t>
  </si>
  <si>
    <t>Установка прибора учета для присоед. ВРУ 0,4кВ жил.дома заявит.Шмелевой О.В. р-н.Семикаракорский, х.Чебачий, ул.Малькова,33, к.н.:61:35:0060201:39</t>
  </si>
  <si>
    <t xml:space="preserve">Установка прибора учета для присоединения объекта медицинского учреждения МБУЗ "Центральная Районная Больница" Семикаракорского р-на, расположенного по адресу: Ростовская обл., Семикаракорский р-н, х. Слободской, ул. Ленина, 22 Б  </t>
  </si>
  <si>
    <t>Установка прибора учета для присоединения ВРУ 0,4 кВ производственного здания заявителя ООО «Агросегмент» расположенного по адресу: РО., р-н. Семикаракорский, примерно в 5,0 м на восток от г. Семикаракорск, ул. Авилова, 2</t>
  </si>
  <si>
    <t>Установка прибора учета для присоединения ВРУ 0,4 кВ нежилого помещения Шахова Д. В., расположенного по адресу: Ростовская обл., Аксайский р-н, х. Камышеваха, ул. Светлая, 2В, участок с КН 61:02:0600010:10306</t>
  </si>
  <si>
    <t>Установка прибора учета для присоединения нежилого здания Харченко Л.И., расположенного по адресу: Ростовская обл., р-н. Аксайский, ст-ца Ольгинская, ул. Красноармейская, кадастровый номер земельного участка: 61:02:0090103:3042</t>
  </si>
  <si>
    <t xml:space="preserve">Установка прибора учета для присоединения объекта торговли ИП Черный И. С., расположенного по адресу: Ростовская обл., р-н. Аксайский, г. Аксай, ул. Объездная, участок с КН 61:02:0120103:1243 </t>
  </si>
  <si>
    <t>Установка прибора учета для присоединения производственного здания/помещения ИП Сафарян А. А., расположенного по адресу: Ростовская обл., р-н Аксайский, х. Большой Лог, кадастровый номер земельного участка:  61:02:0600011:1922</t>
  </si>
  <si>
    <t xml:space="preserve">Установка прибора учета для присоединения объекта торговли Эйснер А. В., расположенного по адресу: Ростовская обл., р-н Аксайский, п. Щепкин, ул. Дорожная, 11А, кадастровый номер земельного участка:  61:02:0080505:887 </t>
  </si>
  <si>
    <t>Установка прибора учета для присоединения  нежилой застройки  Кахкцян А.Р. расположенного по адресу: Ростовская область, Аксайский район, х. Камышеваха, ул. Малахитовая, д. 36</t>
  </si>
  <si>
    <t>Установка прибора учета для присоединения  жилого дома Ни С.В., расположенного по адресу: Ростовская область, Багаевский район, х. Елкин, пер. Партизанский, д. 17-г</t>
  </si>
  <si>
    <t xml:space="preserve">Установка прибора учета для присоединения  дачного домика Федорова С.А., расположенного по адресу: Ростовская область, Багаевский район, ст. Манычская, ул. Береговая, д. 1-Р </t>
  </si>
  <si>
    <t>Установка прибора учета для присоединения магазина Мартиросян Г. Г. расположенного по адресу: Ростовская область, Веселовский район, п. Веселый, ул. Октябрьская, 132 а к.н. 61:06:060010125:467</t>
  </si>
  <si>
    <t>Установка прибора учета для присоединения жилого дома Сульженко И. В. расположенного по адресу: Ростовская область, Веселовский район, п. Веселый, ул. Береговая, 1-д к.н. 61:06:0000000:2536</t>
  </si>
  <si>
    <t>Установка прибора учета для присоединения жилого дома со встроенными нежилыми помещениями литер Д помещение №1 в магазин №1 и помещение №4 в магазин №2 ИП Хлгатяна М. Р. расположенного по адресу: Р.О., Веселовский район, п. Веселый, ул. Октябрьская, д.138</t>
  </si>
  <si>
    <t>Установка прибора учета для присоединения жилого дома Токарчук М. А. расположенного по адресу: Ростовская область, Веселовский район, п. Веселый, ул. Луговая, д.21, к. н. 61:06:0010138:821</t>
  </si>
  <si>
    <t xml:space="preserve">Установка прибора учета для присоединения жилого дома Новохатской Е. В. расположенного по адресу: Р.О., Веселовский район, п. Веселый, пер. Западный, д.44 </t>
  </si>
  <si>
    <t>Установка прибора учета для присоед. жил.дома Бочарова В.И. Веселовский район, х.Спорный, ул.Центральная,56 к.н.61:06:0040404:8</t>
  </si>
  <si>
    <t>Установка прибора учета для присоединения жилого дома Рыкова А. В. расположенного по адресу: Ростовская область, Веселовский район, п. Веселый, ул. Думенко, 155</t>
  </si>
  <si>
    <t xml:space="preserve">Установка прибора учета для присоединения квартиры Снипич А. И., расположенной по адресу: Ростовская обл., р-н. Веселовский, х. Маныч-Балабинка, ул. Озерная, д. 13. кв 1. К.Н. 61:06:0040204:8 </t>
  </si>
  <si>
    <t>Установка прибора учета для присоединения базовой станции ПАО «Ростелеком» расположенной по адресу: Ростовская область, Веселовский район, х. Верхний Хомутец</t>
  </si>
  <si>
    <t>Установка прибора учета для присоединения жилого дома Ивакиной Т. В. расположенного по адресу: Ростовская область, Веселовский район, х. Позднеевка, ул. Мира, 25</t>
  </si>
  <si>
    <t>Установка прибора учета для присоединения базовой станции ПАО «Ростелеком» расположенной по адресу: Ростовская область, Веселовский район, х. Каракашев</t>
  </si>
  <si>
    <t>Установка прибора учета для присоединения магазина ИП Туголуковой Е. Ю. расположенного по адресу: Ростовская область, Веселовский район, п. Веселый, ул. Октябрьская, 101-в к.н. 61:06:0010123:369</t>
  </si>
  <si>
    <t>Установка прибора учета для присоединения жилого дома Кравчук В. Г. расположенного по адресу: Ростовская область, Веселовский район, п. Веселый, пер. Кленовый, 24 к.н. 61:06:0600012:931</t>
  </si>
  <si>
    <t xml:space="preserve">Установка прибора учета для электроснабжения ВРУ-0,4 кВ Базовой станции сотовой связи заявителя АО "Первая Башенная Компания" по адресу: РО., р-н. Веселовский, х. Верхнесоленый, ул. Центральная, 73-а </t>
  </si>
  <si>
    <t>Установка прибора учета для присоединения жилых .домов, расположенных по адресу: Ростовская область, Веселовский район, п. Веселый, ул. Октябрьская, 130 к.н. 61:06:0010125:350, пер. Западный, 56 к.н. 61:06:0010110:68</t>
  </si>
  <si>
    <t>Установка прибора учета для присоединения ВРУ 0,4 кВ жилого дома заявителя Жук С.В., расположенного по адресу: Ростовская обл., р-н. Семикаракорский, х. Чебачий, ул. Шахтинская, д.9 кв.2 к.н.:61:35:0060201:615</t>
  </si>
  <si>
    <t>Установка прибора учета для присоединения ВРУ 0,4 кВ жилого дома заявителя Сироткина В.А., расположенного по адресу: Ростовская обл., г. Семикаракорск, ул. Серегина, 25, к.н.:61:35:0110208:256</t>
  </si>
  <si>
    <t xml:space="preserve">Строительство ТП 10/0,4 кВ, ВЛ0,4 кВ, ВЛ 10 кВ от ВЛ 10 кВ №3 ПС 35 кВ Б.Салы для электроснабжения малоэтажной жилой застройки расположенной по адресу: РО, район Аксайский, в границах плана земель АО «Темерницкое», поле №6 </t>
  </si>
  <si>
    <t>Строительство ВЛ 0,4 кВ от РУ 0,4 кВ ТП 10 кВ №82 ВЛ 10 кВ №1208 ПС 110 кВ АС12 для электроснабжения ВРУ 0,4 кВ жилого дома Пономарева К. В. на участке с КН 61:02:0600006:7781 в п. Щепкин Аксайского района Ростовской области</t>
  </si>
  <si>
    <t xml:space="preserve">Строительство ВЛ 0,4 кВ от проектируемой ВЛ 0,4 кВ проектируемой КТПН 10/0,4 кВ (по договору №61-1-19-00425577 от 09.04.2019 г.) ВЛ 10 кВ №706 ПС 35 кВ АС7 для электроснабжения ВРУ 0,4 кВ жилых домов по ул. Спортивная, Платова в п. Красный Колос Аксайского района Ростовской области </t>
  </si>
  <si>
    <t xml:space="preserve">Техническое перевооружение ТП 10 кВ №460 ВЛ 10 кВ №1103 ПС 110 кВ АС11 для электроснабжения ВРУ 0,4 кВ жилого дома Корнелюк О. А. по адресу: Ростовской обл., р-н Аксайский, х. Киров, ул. 50 лет Октября, 50, участок с КН 61:02:0070301:130 </t>
  </si>
  <si>
    <t>Строительство ВЛ 0,4 кВ от ВЛ 0,4 кВ №1 ТП 10 кВ №38 ВЛ 10 кВ №1203 ПС 110 кВ АС12 для электроснабжения ВРУ 0,4 кВ жилого дома Крюкова В. В. на участке с КН 61:33:0600015:1136 в Родионово-Несветайском районе Ростовской области</t>
  </si>
  <si>
    <t xml:space="preserve">Техническое перевооружение проектируемой ТП 10/0,4 кВ (по договору №61-1-19-00488413 от 05.12.2019 г.) ВЛ 10 кВ №1208 ПС 110 кВ АС12 и строительство ВЛ 0,4 кВ от проектируемого ТП 10/0,4 кВ для электроснабжения жилого дома Павленко Б. А. по адресу: Ростовская обл., р-н Аксайский, п. Щепкин, ул. Строителей, 190А, </t>
  </si>
  <si>
    <t xml:space="preserve">Строительство ВЛ 0,4 кВ от ВЛ 0,4 кВ №3 ТП 10 кВ №491 ВЛ 10 кВ №1103 ПС 110 кВ АС11 для электроснабжения индивидуального жилого дома Шидлос Н. А. в ст-це Мишкинская Аксайского района Ростовской области </t>
  </si>
  <si>
    <t xml:space="preserve">Строительство ВЛ 0,4 кВ от РУ 0,4 кВ ТП 10 кВ №36 ВЛ 10 кВ №657 ПС 110 кВ АС6 для электроснабжения ВРУ 0,4 кВ жилого дома Авалишвили Д. С. в ст-це Старочеркасская Аксайского района Ростовской области </t>
  </si>
  <si>
    <t>Строительство ВЛ 0,4 кВ от ВЛ 0,4 кВ №3 ТП 10 кВ №708 ВЛ 10 кВ №101 ПС 110 кВ АС1 для электроснабжения ВРУ 0,4 кВ жилого дома Даденко А. Е. на участке с КН 61:02:0090103:1898 в ст-це Ольгинская Аксайского района Ростовской области</t>
  </si>
  <si>
    <t xml:space="preserve">Строительство ВЛ 0,4 кВ от РУ 0,4 кВ ТП 6 кВ №101 ВЛ 6 кВ №805 ПС 35 кВ АС8, с заменой трансформатора в ТП №101 для электроснабжения объекта торговли ИП Штанько А. В. и объекта туристической отрасли ИП Кудрявцевой В. С. по адресу: РО, Аксайский, х. Большой Лог, участок с КН 61:02:0010201:614, КН 61:02:0010201:1616 </t>
  </si>
  <si>
    <t xml:space="preserve">Строительство ВЛ 0,4 кВ от РУ 0,4 кВ ТП 6 кВ №520 ВЛ 6 кВ №3 РП 6 кВ №3 КЛ 6 кВ №340 ПС 110 кВ БТ3 для электроснабжения нежилой застройки ИП Полторацкого Р. В. на участке с КН 61:01:0600007:1811 в Азовском районе Ростовской области </t>
  </si>
  <si>
    <t>Строительство ВЛ 0,4 кВ от ВЛ 0,4 кВ №1 КТП-10/0,4 кВ №129А ВЛ 10 кВ №414 ПС 220кВ Р-4 для электроснабжения административного/офисного здания ООО «ТермоПласт-В» в х. Камышеваха Аксайского района Ростовской области</t>
  </si>
  <si>
    <t xml:space="preserve">Установка приборов учета для присоединения ВРУ 0,4 кВ жилых домов расположенных по адресу: Ростовская обл. р-н Аксайский, п. Россйский, п. Янтарный, п. Водопадный, п. Нижнетемерницкий, х. Камышеваха (195 шт.) </t>
  </si>
  <si>
    <t>Установка приборов учета для присоединения ВРУ 0,4 кВ жилых домов расположенных по адресу: Ростовская обл. г. Батайск;  р-н Аксайский: п. Красный Сад, х. Ленина, х. Истомино. (65 шт.)</t>
  </si>
  <si>
    <t>Установка приборов учета для присоединения ВРУ 0,4 кВ жилых домов расположенных по адресу: Ростовская обл. р-н Аксайский, ст. Ольгинская, ст. Старочеркасская, х. Алитуб, х. Махин, п. Нижнеподпольный, п. Дорожный, п. Верхнеподпольный, п. Островский, п. Краснодворск (90 шт.)</t>
  </si>
  <si>
    <t>Установка приборов учета для присоединения ВРУ 0,4 кВ жилых домов расположенных по адресу: Ростовская обл.  р-н Аксайский, х. Каменный Брод, п. Красный Колос, п. Октябрьский, х. Александровка, ст. Мишкинская, х. Киров, ст. Грушевская, п. Рассвет, х. Веселый (99 шт.)</t>
  </si>
  <si>
    <t xml:space="preserve">Установка приборов учета для присоединения ВРУ 0,4 кВ жилых домов расположенных по адресу: Ростовская обл.  р-н Аксайский, г. Аксай, х. Большой Лог, п. Опытный, х. Пчеловодный, п. Реконструктор (83 шт.) </t>
  </si>
  <si>
    <t>Установка приборов учета для присоединения ВРУ 0,4 кВ жилых домов расположенных по адресу: Ростовская обл.  р-н Аксайский, п. Темерницкий, п. Щепкин, п. Возрожденный, (97 шт.)</t>
  </si>
  <si>
    <t>Установка приборов учета для присоединения ВРУ 0,22 кВ жилых домов расположенных по адресу: Ростовская обл. р-н Аксайский, г. Аксай, х. Большой Лог, п. Опытный,  (19 шт.)</t>
  </si>
  <si>
    <t xml:space="preserve">Установка приборов учета для присоединения ВРУ 0,22 кВ жилых домов расположенных по адресу: Ростовская обл. г. Новочеркасск;  р-н Аксайский, п. Красный Колос, ст. Мишкинская, п. Октябрьский, п. Александровка  (6 шт.) </t>
  </si>
  <si>
    <t>Установка приборов учета для присоединения ВРУ 0,22 кВ жилых домов расположенных по адресу: Ростовская обл. р-н Аксайский, п. Красный сад, х. Маяковского, х. Ленина. (43 шт.)</t>
  </si>
  <si>
    <t>Установка приборов учета для присоединения ВРУ 0,22 кВ жилых домов расположенных по адресу: Ростовская обл. р-н Аксайский, ст. Старочеркасская, ст. Ольгинская, х. Нижнеподпольный, п. Осторовский  (8 шт.)</t>
  </si>
  <si>
    <t>Установка приборов учета для присоединения ВРУ 0,22 кВ жилых домов расположенных по адресу: Ростовская обл., р-н Аксайский, х. Нижнетемерницкий, п. Щепкин (6 шт.)</t>
  </si>
  <si>
    <t>Установка приборов учета для присоединения ВРУ 0,22 кВ жилых домов расположенных по адресу: Ростовская обл. р-н Аксайский, п. Россйский, п. Янтарный, (4 шт.)</t>
  </si>
  <si>
    <t xml:space="preserve">Строительство ВЛ 0,4 кВ от ВЛ 0,4кВ №1 КТП 10/0,4 кВ №165 ВЛ 10 кВ №605 ПС110 кВ БГ6 для электроснабжения жилых домов по адресу: РО, Багаевский район, х. Карповка, ул. Береговая ,д. 8, д. 6 </t>
  </si>
  <si>
    <t>Установка прибора учета для присоединения столовой Недайвозова С.П. расположенных по адресу: Ростовская обл., р-н Багаевский, х. Ажинов, ул. Заярного, д. 4, к.н. 61:03:0020108:2 (1шт.)</t>
  </si>
  <si>
    <t>Установка прибора учета для присоединения жилого дома Давришева А.А. расположенного по адресу: Ростовская обл., р-н Багаевский, х. Елкин, пер. Партизанский, д. 17В, к.н. 61:03:0030147:389 (1шт.)</t>
  </si>
  <si>
    <t>Установка прибора учета для присоединения жилого дома Сердюкова А.А. расположенного по адресу: Ростовская обл., р-н Багаевский, х. Елкин, пер. Партизанский, д. 15-б, к.н. 61:03:0030147:98 (1шт.)</t>
  </si>
  <si>
    <t>Установка прибора учета для присоединения квартиры Симонян А.В. расположенной по адресу: Ростовская обл., р-н Багаевский, х. Карповка, ул. Центральная, д. 11, кв. 3, к.н. 61:03:0020203:149 (1шт.)</t>
  </si>
  <si>
    <t>Установка прибора учета для присоединения жилого дома Слижук В.Д. расположенного по адресу: Ростовская обл., р-н Аксайский, х. Слава Труда, ул. Степная, д. 2, к.н. 61:02:0020301:67 (1шт.)</t>
  </si>
  <si>
    <t>Установка прибора учета для присоединения жилого дома Процун С.Ю. расположенного по адресу: Ростовская обл., р-н Багаевский, п. Отрадный, ул. Ветеранов, д. 29, к.н. 61:03:0050106:112 (1шт.)</t>
  </si>
  <si>
    <t xml:space="preserve">Строительство ВЛ 0,4 кВ по ВЛ 0,4 кВ №1 от КТП 10 кВ №18, ВЛ 10 кВ №207 ПС 110 кВ В2 для электроснабжения жилого дома Соколюк Ю. В.  на участке с КН 61:06:0040201:78 в Веселовском районе Ростовской области, х. Маныч-Балабинка, ул. Озерная, 8-а </t>
  </si>
  <si>
    <t xml:space="preserve">Строительство ВЛ 0,4 кВ по ВЛ 0,4 кВ №2 от КТП 10 кВ №120, ВЛ 10 кВ №405 ПС 35 кВ В4 для электроснабжения газовой автозаправочной станции Тукуева А. А.  на участке с КН 61:06:0600012:1058 в Веселовском районе Ростовской области, п. Веселый, ул. Октябрьская, 228 </t>
  </si>
  <si>
    <t>Установка прибора учета для присоединения ВРУ 0,4 кВ жилого дома заявителя Шевелевой Н.С., расположенного по адресу: Ростовская обл., Семикаракорский р-н, ст-ца Новозолотовская, ул. Чкалова, 31 к.н.:61:35:0060101:3950 (1шт)</t>
  </si>
  <si>
    <t>Установка прибора учета для присоединения ВРУ 0,4 кВ магазина «Хозтовары» заявителя ИП Антоненко А.В., по адресу: ст-ца Задоно-Кагальницкая, ул. 30 лет Победы, 52-а к.н.:61:35:0030101:3942</t>
  </si>
  <si>
    <t>Установка прибора учета для присоединения жилого дома заявителя Архиповой С.Ф., расположенного по адресу: Семикаракорский р-н, х. Бакланники, пер. Школьный, д. 12/49, кв./оф. 1, к.н.: 61:35:0010101:409. (1шт)</t>
  </si>
  <si>
    <t>Установка прибора учета для присоединения ВРУ 0,4 кВ магазина заявителя Усмонова Турсуна по адресу: х. Большемечетный, ул. Октябрьская, 1-А к.н.:61:35:0020101:1845</t>
  </si>
  <si>
    <t>Установка прибора учета для присоединения жилого дома заявителя Фонтош Н.Н., расположенного по адресу: РО,. Семикаракорский р-н, ст-ца Задоно-Кагальницкая ул. Гагарина, д.62, к.н.: 61:35:0030101:758. (1шт)</t>
  </si>
  <si>
    <t>Установка прибора учета для присоединения жилых домов заявителей Агницкого С.С., по адресу: г. Семикаракорск, ул. Комарова, д.25-А, к.н.: 61:35:0110210:209.; Филимоновой И.А., по адресу: х. Шаминка, ул. Виноградная, д.19 кв.2 к.н.: 61:35:0100301:151; не жилого здания Кузьмичевой О.С. по адресу: пр. в 5 км на северо-восток от ст-цы Новозолотовская к.н.:61:35:0600005:648 (3шт)</t>
  </si>
  <si>
    <t xml:space="preserve">Строительство ВЛ 0,4 кВ от ВЛ 0,4 кВ №1 ТП 10 кВ №448 ВЛ 10 кВ №1109 ПС 110 кВ АС11 для электроснабжения ВРУ 0,4 кВ жилого дома Борцова А. Н. на участке с КН 61:55:0011022:770 в г. Новочеркасске Ростовской области </t>
  </si>
  <si>
    <t>Строительство ВЛ 0,4 кВ от РУ 0,4 кВ ТП 10 кВ №448 ВЛ 10 кВ №1109 ПС 110 кВ АС11 для электроснабжения земельного участка Чадиной Т. С. по ул. Тринадцатая, 19 в г. Новочеркасске Ростовской области</t>
  </si>
  <si>
    <t>Строительство ТП 10/0,4 кВ, ВЛ 0,4 кВ, ВЛ 10 кВ от ВЛ 10 кВ №1208 ПС 110 кВ АС12 для электроснабжения нежилой застройки Акопян Р. С. на участке с КН 61:02:0600006:7160 в п. Щепкин Аксайского района Ростовской области</t>
  </si>
  <si>
    <t>Строительство ТП 10/0,4 кВ, ВЛ 10 кВ по ВЛ 10 кВ №111 ПС 110 кВ АС1, ВЛ 0,4 кВ от РУ 0,4 кВ нового ТП 10/0,4 кВ для электроснабжения нежилой застройки ИП Шкарпитко О.Н. на участке с КН 61:02:0600016:4512 в Ростовской области,  Аксайского района х. Маяковского</t>
  </si>
  <si>
    <t xml:space="preserve">Строительство КВЛ 0,4 кВ от ВЛ 0,4 кВ №1 КТП №136А ВЛ 10 кВ №414 ПС 220 кВ Р4 для электроснабжения ВРУ 0,4 кВ нежилого помещения Кашка О. А. на участке с КН 61:02:0600010:16552 в х. Камышеваха Аксайского района Ростовской области </t>
  </si>
  <si>
    <t xml:space="preserve">Строительство ВЛ 0,4 кВ от проектируемой ВЛ 0,4 кВ проектируемой КТПН 10/0,4 кВ (по договору №61-1-19-00461385 от 25.09.2019 г.) ВЛ 10 кВ №1203 ПС 110 кВ АС12 для электроснабжения ВРУ 0,4 кВ жилого дома Безроднова А. М. в совх. Каменобродский Родионово-Несветайского района Ростовской области </t>
  </si>
  <si>
    <t xml:space="preserve">Строительство ВЛ 0,4 кВ от ВЛ 0,4 кВ проектируемой КТПН 10/0,4 кВ (по договору №61-1-19-00473099 от 07.11.2019 г.) ВЛ 10 кВ №706 ПС 35 кВ АС7 для электроснабжения ВРУ 0,4 кВ жилого дома Краснова И. Д. по ул. Куренная, 2 в п. Красный Колос Аксайского района Ростовской области </t>
  </si>
  <si>
    <t xml:space="preserve">Строительство ВЛ 0,4 кВ от проектируемой КТПН 10/0,4 кВ (по договору №61-1-20-00496501 от 20.02.2020 г.) ВЛ 10 кВ №1203 ПС 110 кВ АС12 для электроснабжения ВРУ 0,4 кВ жилого дома Ачакова В. В. в совх. Каменобродский Родионово-Несветайского района Ростовской области </t>
  </si>
  <si>
    <t>Строительство ВЛ 0,4 кВ от ВЛ 0,4 кВ №1 КТП №188 ВЛ 6 кВ №804 ПС 35 кВ АС8 для электроснабжения ВРУ 0,4 кВ жилого дома Свеженец Н. П. на участке с КН 61:02:0010301:938 в п. Российский Аксайского района Ростовской области</t>
  </si>
  <si>
    <t xml:space="preserve">Строительство ВЛ 0,4 кВ от проектируемой ВЛ 0,4 кВ (по договору №61-1-20-00518209 от 27.07.2020 г.) от ВЛ 0,4 кВ №3 КТП №613 ВЛ 10 кВ №101 ПС 110 кВ АС1 для электроснабжения ВРУ 0,4 кВ жилых домов Жукова В. И. по ул. Степная в ст-це Ольгинская Аксайского района Ростовской области </t>
  </si>
  <si>
    <t xml:space="preserve">Строительство ВЛ 0,4 кВ от ВЛ 0,4 кВ №1 ТП 10 кВ №451 ВЛ 10 кВ №1109 ПС 110 кВ АС11 для электроснабжения ВРУ 0,4 кВ жилого дома Тарасенко Н. В. на участке с КН 61:02:0000000:6674 в х. Веселый Аксайского района Ростовской области </t>
  </si>
  <si>
    <t>Строительство ВЛ 0,4 кВ от проектируемой ВЛ 0,4 кВ (по договору №61-1-21-00529991 от 05.09.2020 г.) КТПН 10/0,4 кВ ВЛ 10 кВ №1203 ПС 110 кВ АС12 для электроснабжения ВРУ 0,4 кВ жилого дома Кравцовой И. Ю. в Родионово-Несветайском районе Ростовской области</t>
  </si>
  <si>
    <t xml:space="preserve">Строительство ВЛ 0,4 кВ от ВЛ 0,4 кВ №1 ТП 10 кВ №242 ВЛ 10 кВ №3 ПС 35 кВ Б. Салы для электроснабжения нежилой застройки Ковшун Н. С. на участке с КН 61:02:0600005:4708 в п. Темерницкий Аксайского района Ростовской области </t>
  </si>
  <si>
    <t xml:space="preserve">Техническое перевооружение ТП 6 кВ №188 ВЛ 6 кВ №804 ПС 35 кВ АС8 и строительство ВЛ 0,4 кВ от РУ 0,4 кВ техперевооружаемой ТП 6 кВ №188 ВЛ 6 кВ №804 ПС 35 кВ АС8 для электроснабжения ВРУ 0,4 кВ жилых домов по адресу: Ростовская обл., р-н Аксайский, п. Российский, ул. Заповедная, пер. Широкий </t>
  </si>
  <si>
    <t xml:space="preserve">Строительство ВЛ 0,4 кВ от ВЛ 0,4 кВ №2 ТП 10 кВ №226 ВЛ 10 кВ №3 ПС 35 кВ Б. Салы для электроснабжения ВРУ 0,4 кВ жилого дома Кешишян Н. А. на участке с КН 61:02:0600005:11349 в х. Нижнетемерницкий Аксайского района Ростовской области </t>
  </si>
  <si>
    <t xml:space="preserve">Строительство ВЛ 0,4 кВ от ВЛ 0,4 кВ №2 ТП 10 кВ №163 ВЛ 10 кВ №1212 ПС 110 кВ АС12 для электроснабжения ВРУ 0,4 кВ жилого дома Ковалько Н. А. в п. Октябрьский Аксайского района Ростовской области </t>
  </si>
  <si>
    <t>Строительство ВЛ 0,4 кВ от проектируемой ВЛ 0,4 кВ (по договору №61-1-19-00461385 от 25.09.2019 г.) проектируемой КТПН 10/0,4 кВ ВЛ 10 кВ №1203 ПС 110 кВ АС12 для электроснабжения ВРУ 0,4 кВ жилых домов в Родионово-Несветайском районе Ростовской области</t>
  </si>
  <si>
    <t xml:space="preserve">Строительство ВЛ 0,4 кВ от концевой проектируемой опоры по договору № 61-1-21-00604167 от 01.10.2021г  ВЛ 0,4 кВ №1 КТП 10/0,4 кВ № 39 ВЛ 10 кВ № 1203 ПС 110/10 кВ АС-12 для электроснабжения ВРУ 0,4 кВ жилого дома Горского П.О. в границах плана х. Каменный Брод, уч. 409, Родионово-Несветайский район, Ростовской области </t>
  </si>
  <si>
    <t xml:space="preserve">Строительство ВЛ 0,4 кВ от ВЛ 0,4 кВ №1 ТП 10 кВ №448 ВЛ 10 кВ №1109 ПС 110 кВ АС11 для электроснабжения строительной площадки жилого дома Заводнова П. В. на участке с КН 61:55:0011023:219 в г. Новочеркасске Ростовской области </t>
  </si>
  <si>
    <t>Строительство ВЛ 0,4 кВ от кольцевой проектируемой опоры (по договору №61-1-20-00496749 от 26.02.2021 г) для электроснабжения жилого дома Фиско В.С. по адресу РО р-н Родионово-Несветайский, совх. Каменобродский, юго-западнее х. Каменный Брод, участок 398, К.Н. 61:33:0600015:995</t>
  </si>
  <si>
    <t xml:space="preserve">Строительство ВЛ 0,4 кВ от проектируемой ВЛ 0,4 кВ (по договору №61-1-21-00604431 от 05.10.2021 г.) от ВЛ 0,4 кВ №2 ТП 10 кВ №226 ВЛ 10 кВ №3 ПС 35 кВ Б. Салы для электроснабжения ВРУ 0,4 кВ жилого дома Бескоровайного С. А. на участке с КН 61:02:0600005:11166 в х. Нижнетемерницкий Аксайского района Ростовской области </t>
  </si>
  <si>
    <t>Строительство ТП 6/0,4 кВ, ВЛ 0,4 кВ, ВЛ 6 кВ от ВЛ 6 кВ №3 РП-6 КЛ 6кВ №340 ПС 110 кВ БТ3 для электроснабжения нежилой застройки ИП Кудина Ю. П. на участке с КН 61:01:0600007:2314 в п. Красный Сад Азовского района Ростовской области</t>
  </si>
  <si>
    <t xml:space="preserve">Строительство ВЛ 0,4 кВ, от РУ 0,4 кВ КТП 10/0,4 кВ №265 ВЛ 10 кВ №1208 ПС 110/10 кВ АС12 для электроснабжения ВРУ-0,4 кВ нежилой застройки на участке с КН 61:02:060004:3325 в пос. Октябрьский Аксайского района Ростовской области </t>
  </si>
  <si>
    <t>Строительство ВЛ 0,4 кВ по ВЛ 0,4 кВ №3 от КТП 10/0,4 кВ №159 ВЛ 10 кВ №1408 ПС 35/10 кВ АС14 для электроснабжения ВРУ-0,4 кВ жилых домов Бархоянц А.А. на участках с КН 61:02:0100201:885, КН 61:02:0100201:893, КН 61:02:0100201:896 по ул. Луговая в п. Рассвет Аксайского района Ростовской области</t>
  </si>
  <si>
    <t>Установка приборов учета для присоединения ВРУ 0,4 кВ жилых домов, расположенных по адресу: РО, р-н Аксайский, п. Российский, ст-ца Мишкинская, х. Островского, п. Водопадный, п. Янтарный, п. Красный, п. Темерницкий, с/х. АО "Аксайское", г. Аксай,  совх. Каменобродский, р-н Родионово-Несветайский, р-н Азовский, п. Красный Сад (90 шт.)</t>
  </si>
  <si>
    <t>Установка прибора учета для присоединения жилого дома Игнатовой Полины Константиновны расположенного по адресу: РО,р-н Аксайский, п. Российский, ул. Парковая, 891 КН 61:02:0600010:4795</t>
  </si>
  <si>
    <t>Установка приборов учета для присоединения ВРУ 0,4 кВ жилых домов, расположенных по адресу: РО., х. Нижнетемерницкий, п. Щепкин, КН: 61:02:0600006:4374, 61:02:0600006:3929, 61:02:0080501:1550, (3шт.)</t>
  </si>
  <si>
    <t>Установка приборов учета для присоединения ВРУ 0,4 кВ нежилой застройки и жилых домов, расположенных по адресу: РО., х. Ленина, ст-ца Ольгинская, КН: 61:02:0060101:459, 61:02:0090101:4237, 61:02:0090103:3459, (3шт.)</t>
  </si>
  <si>
    <t>Установка приборов учета для присоединения ВРУ 0,4 кВ жилых домов, расположенных по адресу: РО., ст-ца Ольгинская, п. Щепкин, КН: 61:02:0090103:3462, 61:02:0080501:150, (2шт.)</t>
  </si>
  <si>
    <t>Установка приборов учета для присоединения ВРУ 0,4 кВ жилых домов, расположенных по адресу: РО, п. Янтарный, ст-ца Мишкинская, г. Аксай, п. Красный Колос, ст-ца Старочеркасская, п. Рассвет, (8шт.)</t>
  </si>
  <si>
    <t xml:space="preserve">Строительство ВЛ 0,4 кВ от проектируемой ВЛ 0,4 кВ проектируемой КТП 10/0,4 кВ ( по договорам №61-1-19-00447651, №61-1-19-00447957, №61-1-19-00448113 ООО «РИТМ»),ВЛ 10 кВ №255 ПС 110 кВ БГ2 для электроснабжения ВРУ 0,4 кВ (бытовка) Сон В.Ж. по адресу РО, Аксайский район, х. Слава Труда, АО «Заречное», поле №32-34 га, к.н. 61:02:0600019:1214. </t>
  </si>
  <si>
    <t>Установка прибора учета для присоединения фермы ИП Линченко С.В. расположенных по адресу: Ростовская обл., р-н Багаевский, ст. Багаевская, ул. Семашко, д. 212, к.н. 61:03:0600004:1574 (1шт.)</t>
  </si>
  <si>
    <t>Установка прибора учета для присоединения жилого дома Максуди М.Г. расположенного по адресу: Ростовская обл., р-н Багаевский, х. Арпачин, ул. Подтелкова, д. 19-а, к.н. 61:03:0040208:88 (1шт.)</t>
  </si>
  <si>
    <t>Установка прибора учета для присоединения жилого дома заявителя Соколюк В.Ю. расположенного по адресу ростовская обл., Веселовский р-н, п. Веселый, ул. Октябрьская, 199-а к.н. 61:06:0010114:152 (1шт)</t>
  </si>
  <si>
    <t>Установка прибора учета для присоединения жилого дома заявителя Ким Л. Т., расположенного по адресу: Ростовская обл., Веселовский р-н, п. Веселый, пер. Кленовый, 62 к.н.:61:06:0600012:957 (1шт)</t>
  </si>
  <si>
    <t>Установка прибора учета для присоединения жилого дома заявителя Аширали А. Э, расположенного по адресу: Ростовская обл., Веселовский р-н, х. Каракашев, ул. Старая, 64-а к.н.:61:06:0010307:95 (1шт)</t>
  </si>
  <si>
    <t>Установка прибора учета для присоединения ВРУ 0,4 кВ магазина заявителя ИП Янова Г.П., по адресу: г. Семикаракорск, примерно в 2518 м на юго-восток от строения по адресу: в райцоне Пождепо, к.н.: 61:35:0600012:722</t>
  </si>
  <si>
    <t>Установка прибора учета для присоединения ВРУ 0,4 кВ жилого дома заявителя Борисова В.В. по адресу: Семикаракорский р-н, х. Чебачий, ул. Школьная, д. 6 к.н.:61:35:0060201:19</t>
  </si>
  <si>
    <t>Установка прибора учета для присоединения ВРУ 0,4 кВ жилого дома заявителя Крыловой Р.А. по адресу: ст-ца Задоно-Кагальницкая, ул. Гагарина, д.92 к.н.:61:35:0030101:249</t>
  </si>
  <si>
    <t xml:space="preserve">Строительство ТП 10/0,4 кВ, ВЛ 0,4 кВ, ВЛ 10 кВ от ВЛ 10 кВ №1103 ПС 110 кВ АС11 для электроснабжения ВРУ 0,22 кВ и ВРУ 0,4 кВ жилых домов по ул. Новороссийская/ул. Лесная, 1/17, ул. Смоленская, 14 в ст-це Мишкинская Аксайского района Ростовской области </t>
  </si>
  <si>
    <t xml:space="preserve">Строительство двух ТП 10/0,4 кВ, ВЛ 0,4 кВ, ВЛ 10 кВ от ВЛ 10 кВ №307 ПС 35 кВ БГ3 для электроснабжения дачных домов Аристовой М.И., Бабаян Г.А. и теплиц Адамовой З.Д., Мухлисова М.Л., Ашрафова Х.Ф., Эминова М.С. по адресу: Ростовская обл., р-н. Багаевский, Елкинское сельское поселение, </t>
  </si>
  <si>
    <t>Установка приборов учета для присоединения ВРУ 0,4 кВ жилых домов, расположенных по адресу: РО., ст-ца Ольгинская, С/Т «Энергетик», г. Аксай, х. Большой Лог, п. Российский, п. Красный Сад, п. Щепкин, п. Янтарный, п. Рассвет, ст-ца Старочеркасская, х. Нижнеподпольный, п. Возрожденный, п. Опытный, х. Истомино, п. Октябрьский, ст-ца Старочеркасская, х. Ленина, п. Темерницкий, п. Красный Колос, х. Нижнетемерницкий, х. Каменный Брод, г. Новочеркасск, , ст-ца Грушевская, ст-ца Мишкинская (80 шт.)</t>
  </si>
  <si>
    <t>Установка прибора учета для присоед. жил.дома Дьяченко А.В., п.Красный, ул.Островского, д.27 кадастр.номер зем. участка: 61:02:0080601:1715» (1 шт)</t>
  </si>
  <si>
    <t>Установка прибора учета для присоединения ВРУ 0,4 кВ  бытовки Харжиева В. С., расположенной по адресу: Ростовская обл., Аксайский р-н, ст-ца Ольгинская, участок с КН 61:02:0600014:1817</t>
  </si>
  <si>
    <t>Установка прибора учета для присоединения жилого дома Новиковой Н.А., расположенного по адресу: Ростовская обл., р-н. Аксайский, п. Темерницкий, ул. Сосновая, д. 18, кадастровый номер земельного участка: 61:02:0081101:2630</t>
  </si>
  <si>
    <t>Установка прибора учета для присоединения бойни ИП Кононенко П. А., расположенного по адресу: Ростовская обл., р-н. Аксайский, ст-ца Грушевская, ул. Данилова, 2А, участок с КН 61:02:0030106:14 (1 шт.)</t>
  </si>
  <si>
    <t>Установка прибора учета для присоединения объекта торговли Аксайского районного потребительского кооператива, расположенного по адресу: РО, р-н Аксайский, х. Большой Лог, ул. Советская, 41А (1шт)</t>
  </si>
  <si>
    <t>Установка прибора учета для присоединения объекта торговли Полуяна С.П. расположенного по адресу: Ростовская обл., р-н Азовский, п. Красный Сад, ул. Центральная, д.2А КН 61:01:0130201:4728 (1шт.)</t>
  </si>
  <si>
    <t>Установка прибора учета для присоединения жилого дома Глотова Ю. В., расположенного по адресу: Ростовская обл., р-н Аксайский, ст-ца Старочеркасская, ул. Речная, кадастровый номер земельного участка 61:02:0110102:3850 (1 шт.)</t>
  </si>
  <si>
    <t>Установка прибора учета для присоединения объекта торговли ИП Сагоян А. С., расположенного по адресу: Ростовская обл., р-н Аксайский, ст-ца. Ольгинская, ул. Ленина, д. 198 В, кадастровый номер земельного участка: 61:02:0090102:3838 (1 шт.)</t>
  </si>
  <si>
    <t>Установка приборов учета для присоединения  ВРУ 0,4 кВ жилых домов, расположенных по адресу: РО, ст-ца Мишкинская, п. Октябрьский, п. Щепкин, КН: 61:02:0600009:1083, 61:02:0080102:280, 61:02:0080505:1009. (3шт)</t>
  </si>
  <si>
    <t>Установка приборов учета для присоединения ВРУ 0,4 кВ торгового павильона и жилых домов, расположенных по адресу: РО., п. Красный Сад, ст-ца Ольгинская, ул. Ленина, д.50, КН: 61:01:0600007:1847, 61:01:0600007:1926, (3шт.)</t>
  </si>
  <si>
    <t>Установка приборов учета для присоединения ВРУ 0,4 кВ базовой станции/оборудования сотовой связи, нежилой застройки и жилых домов, расположенных по адресу: РО., п. Щепкин, п. Рассвет, п. Янтарный, п. Темерницкий, ст-ца Старочеркасская, п. Красный Сад, п. Красный Колос, (9шт.)</t>
  </si>
  <si>
    <t>Установка приборов учета для присоединения ВРУ 0,4 кВ жилых домов, расположенных по адресу: РО., ст-ца Ольгинская, п. Красный Сад, п. Янтарный, х. Нижнетемерницкий, Красный Колос, г. Новочеркасск, ст-ца Грушевская, (44 шт)</t>
  </si>
  <si>
    <t>Установка прибора учета для присоединения жилого дома Садовского А.Ю. расположенного по адресу: Ростовская обл., р-н Аксайский, х. Слава Труда, ул. Степная, д. 25, к.н. 61:02:0020301:5 (1шт.)</t>
  </si>
  <si>
    <t>Установка приборов учета для присоединения административных/офисных зданий АО «Почта России» расположенных по адресу: Ростовская обл., р-н Багаевский, х. Ажинов, ул. Заярного, д. 18/1, к.н. 61:03:0020107:141, х. Арпачин, ул. Советская, д. 40, кв. 1,2,3, к.н. 61:03:0040204:394, п. Первомайский, ул. Мира, д. 2, кв. 1,2,3,4, к.н. 61:03:0060201:118, х. Елкин, ул. Тимирязева, д. 23, к.н. 61:03:0030122:51 (4 шт.)</t>
  </si>
  <si>
    <t>Установка прибора учета для присоединения склада Ахметова А.У. расположенного по адресу: Ростовская обл., р-н Багаевский, х. Красный, пер. Рабочий, д. 1, к.н. 61:03:0060101:442 (1шт.)</t>
  </si>
  <si>
    <t>Установка прибора учета для присоединения нежилого помещения заявителя АО «Почта России», расположенного по адресу: Ростовская обл., Веселовский р-н, п. Средний Маныч, ул. Ленина, 4 к.н.:61:06:0050102:175 (1шт)</t>
  </si>
  <si>
    <t>Установка прибора учета для присоединения пешеходной зоны от ул. Октябрьская до пер. Комсомольский, 72 заявителя Администрации Веселовского сельского поселения Веселовского района, расположенной по адресу: Ростовская обл., Веселовский р-н, п. Веселый, пер. Комсомольский, д. 61 б, к.н. 61:06:0010126:1021 (1шт)</t>
  </si>
  <si>
    <t>Строительство ВЛ 0,4 кВ от ВЛ 0,4 кВ №2 ТП 10 кВ №82 ВЛ 10 кВ №1208 ПС 110 кВ АС12 для электроснабжения ВРУ 0,4 кВ жилых домов Полулях С. А. на участках с КН 61:02:0600006:7476, 61:02:0600006:7510 в п. Щепкин Аксайского района Ростовской области</t>
  </si>
  <si>
    <t xml:space="preserve">Строительство ВЛ 0,4 кВ от проектируемой ВЛ 0,4 кВ (по договору №61-1-20-00499235 от 03.03.2020 г.) от техперевооружаемой ТП 10 кВ №78 ВЛ 10 кВ №3 ПС 35 кВ Б. Салы для электроснабжения ВРУ 0,4 кВ жилого дома Мкртчян В. П. на участке с КН 61:02:0600006:6880 в п. Щепкин Аксайского района Ростовской области </t>
  </si>
  <si>
    <t xml:space="preserve">Строительство ТП 10/0,4 кВ, ВЛ 0,4 кВ, ВЛ 10 кВ от проектируемой опоры (по договору №61-1-19-00485963 от 25.11.2019 г.) ВЛ 10 кВ №1109 ПС 110 кВ АС11 для электроснабжения стоянки Юдина Я. О. на участке с КН 61:02:0600002:1727 в ст-це Грушевская Аксайского района Ростовской области </t>
  </si>
  <si>
    <t xml:space="preserve">Строительство ТП 10/0,4 кВ, ВЛ 0,4 кВ, ВЛ 10 кВ от проектируемой ВЛ 10 кВ (по договору №61-1-19-00488413 от 05.12.2019 г.) от ВЛ 10 кВ №1208 ПС 110 кВ АС12 для электроснабжения ВРУ 0,4 кВ жилых домов Казак С. Г. на тер. АО «Щепкинское» Аксайского района Ростовской области </t>
  </si>
  <si>
    <t xml:space="preserve">Строительство ТП 10/0,4 кВ, ВЛ 0,4 кВ, ВЛ 10 кВ по ВЛ 10 кВ №211 ПС 110 кВ СМ2 для электроснабжения жилого дома Патыка А.Г. по адресу: РО, р-н. Семикаракорский, ст-ца. Задоно-Кагальницкая, к.н.:61:35:0030101:4550  </t>
  </si>
  <si>
    <t>Строительство ВЛ 0,4 кВ от РУ 0,4 кВ ТП 10 кВ №927 ВЛ 10 кВ №1207 ПС 110 кВ АС12 с заменой тр-ра в ТП №927 для электроснабжения жилых домов по адресу: РО., р-н Аксайский, п. Щепкин, ул. Гармоничная, ул. Солнечная, ул. Благодатная КН 61:02:0600006:4630, 61:02:0600006:7086, 61:02:0600006:4643 , 61:02:0600006:4635, 61:02:0600006:4622, 61:02:0600006:5836,   61:02:0600006:4660, 61:02:0600006:4640.</t>
  </si>
  <si>
    <t xml:space="preserve">Строительство ВЛ 0,4 кВ от проектируемой ВЛ 0,4 кВ (по договору №61-1-20-00507601 от 16.04.2020 г.) проектируемой КТПН 10/0,4 кВ ВЛ 10 кВ №403 ПС 110 кВ АС4 для электроснабжения ВРУ 0,4 кВ жилых домов по ул. Крымская, 39, 44 в х. Ленина Аксайского района Ростовской области </t>
  </si>
  <si>
    <t xml:space="preserve">Строительство ВЛ 0,4 кВ от ВЛ 0,4 кВ №1 КТП №29 ВЛ 10 кВ №657 ПС 110 кВ АС6 с заменой силового трансформатора КТП №29 ВЛ 10 кВ №657 ПС 110 кВ АС6 для электроснабжения ВРУ 0,4 кВ жилого дома Дружбиной С. А. на участке с КН 61:02:0110102:2833 в ст-це Старочеркасская Аксайского района Ростовской области </t>
  </si>
  <si>
    <t xml:space="preserve">Строительство ВЛ 0,4 кВ по ВЛ 0,4 кВ №2 ТП 6/0,4 кВ №287 ВЛ 6 кВ №805 ПС 35 кВ АС-8 для электроснабжения жилого дома Мамедярова Н.Ф.  на участке с КН 61:02:0600011:1020 в Ростовской области Аксайского р-на,  х. Большой Лог, </t>
  </si>
  <si>
    <t xml:space="preserve">Строительство ВЛ 0,4 кВ от ВЛ 0,4 кВ №2 ТП 10 кВ №119 ВЛ 10 кВ №1212 ПС 110 кВ АС12 для электроснабжения ВРУ 0,4 кВ жилого дома Парфененко Ю. М. на участке с КН 61:02:0080106:322 в п. Октябрьский Аксайского района Ростовской области </t>
  </si>
  <si>
    <t xml:space="preserve">Техперевооружение существующего КТП-10/04 кВ № 191, строительство ВЛ 0,4 кВ от опоры № 6 ВЛ 0,4 кВ № 2 КТП 10/0,4 кВ №191 ВЛ 10 кВ №701 ПС 35кВ АС 7 для электроснабжения жилого дома Лисовского А.В. по адресу Ростовская обл., р-н. Аксайский, п. Красный, ул. Островского, кадастровый номер земельного участка: 61:02:0080601:1714. </t>
  </si>
  <si>
    <t xml:space="preserve">Техническое перевооружение ТП 10 кВ №9 ВЛ 10 кВ №657 ПС 110 кВ АС6 и строительство ВЛ 0,4 кВ от ВЛ 0,4 кВ №2 ТП 10 кВ №9 ВЛ 10 кВ №657 ПС 110 кВ АС6 для электроснабжения ВРУ 0,4 кВ жилого дома Дикун В. М. по адресу: Ростовская обл., р-н Аксайский, ст-ца Старочеркасская, ул. Донская, 14, </t>
  </si>
  <si>
    <t xml:space="preserve">Строительство ВЛ 0,4 кВ от ВЛ 0,4 кВ №2 ТП 10 кВ №129 ВЛ 10 кВ №1208 ПС 110 кВ АС12 для электроснабжения ВРУ 0,4 кВ жилого дома Веселова Е. В. в п. Октябрьский Аксайского района Ростовской области </t>
  </si>
  <si>
    <t xml:space="preserve">Строительство ВЛ 0,4 кВ по ВЛ 0,4 кВ № 1 КТП №260 ВЛ 10 кВ №3 ПС 35 кВ Б. Салы для электроснабжения ВРУ 0,4 кВ жилого дома Свищевой О.Р. в границах плана х. Нижнетемерницкий, ул. Озерная, к.н. 61:02:0600005:12058, Аксайский район, Ростовской области </t>
  </si>
  <si>
    <t xml:space="preserve">Строительство ВЛ 0,4 кВ по ВЛ 0,4 кВ № 1 КТП №260 ВЛ 10 кВ №3 ПС 35 кВ Б. Салы для электроснабжения ВРУ 0,4 кВ жилого дома Степанова М.В. в границах плана х. Нижнетемерницкий, ул. Озерная, к.н. 61:02:0600005:12059, Аксайский район, Ростовской области </t>
  </si>
  <si>
    <t xml:space="preserve">Строительство ТП 10/0,4 кВ, ВЛ 0,4 кВ, ВЛ 10 кВ от ВЛ 10 кВ №1212 ПС 110 кВ АС12 для электроснабжения ВРУ 0,4 кВ нежилой застройки Алексаньян Т. В. на участке с КН 61:02:0600004:2989 в п. Октябрьский Аксайского района Ростовской области </t>
  </si>
  <si>
    <t xml:space="preserve">Строительство ВЛ 0,4 кВ от ВЛ 0,4 кВ №2 ТП 10 кВ №254 ВЛ 10 кВ №1208 ПС 110 кВ АС12 для электроснабжения ВРУ 0,4 кВ нежилых зданий на участках с КН 61:02:0600006:5863, 61:02:0600006:5864 на тер. АО «Щепкинское» Аксайского района Ростовской области </t>
  </si>
  <si>
    <t xml:space="preserve">Строительство ВЛ 0,4 кВ от ВЛ 0,4 кВ №1 ТП 10 кВ №927 ВЛ 10 кВ №1207 ПС 110 кВ АС12 для электроснабжения ВРУ 0,4 кВ жилого дома Сень Ю. Е. на участке с КН 61:02:0600006:4690 в п. Щепкин Аксайского района Ростовской области </t>
  </si>
  <si>
    <t xml:space="preserve">Строительство ВЛ 0,4 кВ от РУ 0,4 кВ ТП 10 кВ №926 ВЛ 10 кВ №1208 ПС 110 кВ АС12 для электроснабжения производственного здания/помещения ИП Гуляев М. С. на участке с КН 61:02:0600004:3081 в АО «Октябрьское» Аксайского района Ростовской области </t>
  </si>
  <si>
    <t xml:space="preserve">Строительство ВЛ 0,4 кВ от ВЛ 0,4 кВ №1 ТП 10 кВ №39 ВЛ 10 кВ №1203 ПС 110 кВ АС12 для электроснабжения жилого дома Кащеевой О. Ю. на участке с КН 61:33:0600015:993 в Родионово-Несветайском районе Ростовской области </t>
  </si>
  <si>
    <t xml:space="preserve">Строительство ВЛ 0,4 кВ от опоры №15 ВЛ 0,4 кВ №1 КТП 10/0,4 кВ №749 ВЛ 10 кВ №403 ПС 110/10 кВ АС4 для электроснабжения ВРУ 0,4 кВ жилого дома Шкель Ф.Е. на участке с КН 61:02:0060101:4075 в Аксайском районе Ростовской области </t>
  </si>
  <si>
    <t>Установка прибора учета для присоединения объекта торговли ИП Черный И. С., расположенного по адресу: Ростовская обл., р-н Аксайский, х. Большой Лог, ул. Советская, 60, участок с КН 61:02:0010201:7334 (1 шт.)</t>
  </si>
  <si>
    <t>Учет электрической энергии в РУ 0,4 кВ ТП 10/0,4 кВ ВЛ 10 кВ №1547 ПС 110 АС-15 заявителя ИП Манукян Ю.Э. расположенной по адресу: Ростовская обл., Аксайский  р-н, г. Аксай, севернее ул. Ермолова, к.н.:61:02:0600010:11402 (1шт)</t>
  </si>
  <si>
    <t>Учет электрической энергии в РУ 0,4 кВ ТП 10/0,4 кВ ВЛ 10 кВ №1547 ПС 110 АС-15 заявителя ИП Шепель В.С. расположенной по адресу: Ростовская обл., Аксайский  р-н, АОЗТ «Янтарное», поле №44, к.н.:61:02:0600010:6639 (1шт)</t>
  </si>
  <si>
    <t>Установка приборов учета для присоединения ВРУ 0,22 кВ малоэтажной жилой застройки и жилого дома, расположенных по адресу: РО., х. Большой Лог, п. Красный Колос, КН:61:02:0600010:15854, 61:02:0100101:169 (2шт.)</t>
  </si>
  <si>
    <t>Установка приборов учета для присоединения ВРУ 0,4 кВ жилых домов, расположенных по адресу: РО., х. Нижнетемерницкий, п. Октябрьский, п. Щепкин, Родионово-Несветайский р-н, п. Красный Сад, х. Ленина, п. Российский, , х. Камышеваха, п. Водопадный, п. Красный Колос, х. Каменный Брод, п. Янтарный, ст-ца Мишкинская, г. Новочеркасск (25 шт)</t>
  </si>
  <si>
    <t>Установка приборов учета для присоединения ВРУ 0,4 кВ жилых домов, расположенных по адресу: РО., х. Нижнетемерницкий, ст-ца Мишкинская, ст-ца Старочеркасская, с/х АО «Аксайское», п. Янтарный, ст-ца Ольгинская, г. Аксай, п. Октябрьский, п. Темерницкий  (46 шт.)</t>
  </si>
  <si>
    <t xml:space="preserve">Строительство ВЛ 0,4 кВ по ВЛ 0,4 кВ №3 КТП 10/0,4 кВ №587 ВЛ 10 кВ №704 ПС 35 кВ БГ7 для электроснабжения малоэтажной жилой застройки Аскерова А.М. по адресу РО, Багаевский район, х. Красный, ул. Садовая, д. 36, к.н. 61:03:0060111:25. </t>
  </si>
  <si>
    <t xml:space="preserve">Строительство ВЛ 0,4 кВ по ВЛ 0,4 кВ №2 КТП 10/0,4 кВ №587 ВЛ 10 кВ №704 ПС 35 кВ БГ7 для электроснабжения квартиры Дроздовой Е.Р. по адресу РО, Багаевский район, х. Красный, ул. Полевая, д. 20, кв. 1, к.н. 61:03:0060111:22. </t>
  </si>
  <si>
    <t xml:space="preserve">Строительство ВЛ 0,4 кВ от РУ 0,4 кВ ТП 10/0,4 кВ №682 ВЛ 10 кВ №255 ПС 110 кВ БГ2 для электроснабжения объекта сельскохозяйственного производства Сирый М.Н. по адресу РО, Аксайский район, х. Слава Труда, поле №1, к.н. 61:02:0600019:1187. </t>
  </si>
  <si>
    <t xml:space="preserve">Строительство ВЛ 0,4 кВ от ВЛ 0,4 кВ №1 КТП 10/0,4 кВ №41 ВЛ 10 кВ №263 ПС 110 кВ БГ2 для электроснабжения жилого дома Хотнянского С.С. по адресу РО, Багаевский район, х. Арпачин, ул. Донская, д. 33-и, к.н. 61:03:0040215:106. </t>
  </si>
  <si>
    <t>Установка приборов учета для присоединения жилых домов Хотнянского С.С. расположенных по адресу: Ростовская обл., р-н Багаевский, х. Арпачин, ул. Донская, д. 33-р, к.н. 61:03:0040215:104, ул. Донская, д. 33-з, к.н. 61:03:0040215:105 (2 шт.)</t>
  </si>
  <si>
    <t>Установка прибора учета для присоединения административного/офисного здания АО «Почта России» расположенного по адресу: Ростовская обл., р-н Багаевский, х. Красный, ул. Центральная, д. 10/2, кв. 3, к.н. 61:03:0060101:311 (1 шт.)</t>
  </si>
  <si>
    <t>Установка приборов учета для присоединения базовых станций/оборудования сотовой связи ПАО «Ростелеком» расположенных по адресу: Ростовская обл., р-н Багаевский, х. Калинин, примерно 10 м по направлению на юго-восток от границы участка по адресу: ул. Широкая, 54а, к.к. 61:03:0020402, п. Ясный, примерно 7 м по направлению на запад от границы участка по адресу: ул. Южная, №2, кв. 1, к.к. 61:03:0040401 (2 шт.)</t>
  </si>
  <si>
    <t xml:space="preserve">Строительство ВЛ 0,4 кВ по ВЛ 0,4 кВ №2 от КТП 10 кВ №2, ВЛ 10 кВ №151 ПС 110 кВ В1 для электроснабжения жилого дома Живого В. А.  на участке с КН 61:06:0600012:1101 в Веселовском районе РО, х. Каракашев, ул. Старая, 64-н </t>
  </si>
  <si>
    <t>Строительство ВЛ 0,4 кВ по ВЛ 0,4кВ №2 КТП 10 кВ №58, ВЛ 10 кВ №157 ПС 110 кВ В1 для электроснабжения жилого дома Иваненковой Т. С. на участке с КН 61:06:0010132:137 в Веселовском районе, РО, п. Веселый, ул. Красноармейская, 14 А</t>
  </si>
  <si>
    <t>Установка прибора учета для присоединения жилого дома заявителя Носовой Н. Н., расположенного по адресу: Ростовская обл., Веселовский р-н, х. Красный Кут, ул. Набережная, д. 19, к.н. 61:06:0060310:8</t>
  </si>
  <si>
    <t xml:space="preserve">Строительство ВЛ 0,4 кВ от опоры №7 ВЛ-0,4 кВ № 1 КТП 10/0,4 кВ №174 ВЛ-10 кВ № 125 ПС СМ-1 для электроснабжения жилого дома заявителя Шрамко Н.И., по адресу: Семикаракорский р-н, ст-ца Новозолотовская, ул. Энергетиков, 10 к.н.: 61:35:0000000:10347 </t>
  </si>
  <si>
    <t>Установка прибора учета для присоединения административных зданий заявителя АО «Почта России»., по адресу: х. Слободской, ул. Ященко, 22 Е к.н.: 61:35:0090401:1937, х. Чебачий, ул. Гагарина, 7/2 к.н.:61:35:0060201:2357, х. Сусат, ул. Гагарина, 30 Б к.н.:61:35?0090101:3023 (3шт)</t>
  </si>
  <si>
    <t>Установка прибора учета для присоединения ВРУ 0,4 кВ жилого дома заявителя Бабкина А.А. по адресу: Семикаракорский р-н, х. Чебачий, ул. Малькова, д.28 А к.н.:61:35:0060201:2434</t>
  </si>
  <si>
    <t>Установка прибора учета для присоединения ВРУ 0,4 кВ жилых домов заявителя Процевская Л.А., по адресу: Семикаракорский р-н, х. Чебачий, ул. Парковая, д.8 к.н.:61:35:0060201:2899; ул. Парковая, д.10 к.н.: 61:35:0060201:2911</t>
  </si>
  <si>
    <t>Установка прибора учета для присоединения ВРУ 0,4 кВ Базовой станции/оборудования сотовой связи заявителя ПАО «Ростелеком». по адресу: Семикаракорский р-н, х. Лиманский, примерно в 16 м на восток от ул. Школьная, д.21 к.н.:61:35:0050401</t>
  </si>
  <si>
    <t>Установка прибора учета для присоединения ВРУ 0,4 кВ жилого дома заявителя Петрук Н.В. по адресу: Семикаракорский р-н, х. Лиманский, ул. Школьная, д.14 к.н.:61:35:0050401:66</t>
  </si>
  <si>
    <t xml:space="preserve">Строительство ТП 10/0,4 кВ, ВЛ 0,4 кВ, ВЛ 10 кВ от ВЛ 10 кВ №106 ПС 110 кВ БГ1 для электроснабжения дачных домов Котова И.Н., Бородина Д.Д.,Гелядова Ю.Б., Пономаренко В.С., Камышановой О.С., Станкович Н.В., Беляева Р.А. по адресу: Ростовская обл., р-н. Багаевский, участок находится примерно в 900 метрах от ст. Багаевская. </t>
  </si>
  <si>
    <t>Строительство ВЛ 0,4 кВ от проектируемой ВЛ 0,4 кВ (по договору №61-1-20-00511571 от 05.06.2020 г.) проектируемой КТПН 10/0,4 кВ ВЛ 10 кВ №101 ПС 110 кВ АС1 для электроснабжения ВРУ 0,4 кВ жилого дома Соловьевой Е. В. на участке с КН 61:02:0600015:7123 в ст-це Ольгинская Аксайского района Ростовской области (ориентировочная протяжённость ЛЭП 0,31 км)</t>
  </si>
  <si>
    <t xml:space="preserve">Строительство ВЛ 0,4 кВ от проектируемой ВЛ 0,4 кВ (по договору №61-1-20-00507601 от 16.04.2020 г.) проектируемой КТПН 10/0,4 кВ ВЛ 10 кВ №403 ПС 110 кВ АС4 для электроснабжения ВРУ 0,4 кВ жилого дома Дьяченко Н. О. в х. Ленина Аксайского района Ростовской области </t>
  </si>
  <si>
    <t xml:space="preserve">Строительство ВЛ 0,4 кВ от проектируемой ВЛ 0,4 кВ (по договору №61-1-21-00569679 от 13.05.2021 г.) от РУ 0,4 кВ ТП 10 кВ №447 ВЛ 10 кВ №1103 ПС 110 кВ АС11 для электроснабжения ВРУ 0,4 кВ жилого дома Яхьева А. А. на участке с КН 61:02:0600009:2931 в ст-це Мишкинская Аксайского района Ростовской области </t>
  </si>
  <si>
    <t xml:space="preserve">Строительство ВЛ 0,4 кВ от проектируемой ВЛ 0,4 кВ (по договору №61-1-20-00511571 от 05.06.2020 г.) проектируемой КТПН 10/0,4 кВ ВЛ 10 кВ №101 ПС 110 кВ АС1 для электроснабжения ВРУ 0,4 кВ жилого дома Веретенниковой О. А. на участке с КН 61:02:0600015:7103 в ст-це Ольгинская Аксайского района Ростовской области </t>
  </si>
  <si>
    <t xml:space="preserve">Строительство ВЛ 0,4 кВ от проектируемой ВЛ 0,4 кВ (по договору №61-1-20-00604561 от 02.10.2021 г.) проектируемой КТПН 10/0,4 кВ ВЛ 10 кВ №101 ПС 110 кВ АС1 для электроснабжения ВРУ 0,4 кВ жилого дома Губенко Л. П. на участке с КН 61:02:0600015:7078 в ст-це Ольгинская Аксайского района РО </t>
  </si>
  <si>
    <t xml:space="preserve">Строительство ВЛ 0,4 кВ от ВЛ 0,4 кВ №1 ТП 10 кВ №925 ВЛ 10 кВ №1208 ПС 110 кВ АС12 для электроснабжения жилого дома Волошина Д. Д. на участке с КН 61:02:0080503:1512 в п. Щепкин Аксайского района Ростовской области </t>
  </si>
  <si>
    <t>Строительство ВЛ 0,4 кВ от проектируемой ВЛ 0,4 кВ (по договору №61-1-20-00511571 от 05.06.2020 г.) проектируемой КТПН 10/0,4 кВ ВЛ 10 кВ №101 ПС 110 кВ АС1 для электроснабжения ВРУ 0,4 кВ жилого дома Дорошева А. И. на участке с КН 61:02:0600015:7939 в ст-це Ольгинская Аксайского района Ростовской области</t>
  </si>
  <si>
    <t xml:space="preserve">Строительство ВЛ 0,4 кВ от ВЛ 0,4 кВ №2 ТП 6 кВ №76 ВЛ 6 кВ №807 ПС 35 кВ АС8 для электроснабжения ВРУ 0,4 кВ жилого дома Барсегян А. А. на участке с КН 61:02:0600010:7866 в п. Российский Аксайского района Ростовской области </t>
  </si>
  <si>
    <t xml:space="preserve">Строительство ВЛ 0,4 кВ от проектируемой ВЛ 0,4 кВ (по договору №61-1-21-00589229 от 21.07.2021 г.) от ВЛ 0,4 кВ №2 ТП 10 кВ №78 ВЛ 10 кВ №3 ПС 35 кВ Б. Салы для электроснабжения ВРУ 0,4 кВ жилого дома Бандура Ю. С. на участке с КН 61:02:0600006:6879 в п. Щепкин Аксайского района Ростовской области </t>
  </si>
  <si>
    <t xml:space="preserve">Строительство ВЛ 0,4 кВ по ВЛ 0,4 кВ №1 КТП 10/0,4 кВ №1 ВЛ 10 кВ №657 ПС 110 кВ АС-6, для электроснабжения жилого дома Шемякина Ю.П. расположенного на земельном участке КН 61:02:0600013:3766, в Аксайском районе </t>
  </si>
  <si>
    <t xml:space="preserve">Строительство ВЛ 0,4 кВ от проектируемой ВЛ 0,4 кВ (по договору № 61-1-21-00616821 от 02.12.2021) ТП 0,4/10 кВ ВЛ 10 кВ № 1212 ПС 110 кВ АС12  для электроснабжения объекта торговли ООО «РУСДАР» на участке с КН 61:02:0600004:2988 в Аксайском р-не, п. Октябрьский, ул. Рубежная, д. 4 </t>
  </si>
  <si>
    <t xml:space="preserve">Строительство ВЛ 0,4 кВ по ВЛ 0,4 кВ №1 КТП-10/0,4 кВ №406 ВЛ 10 кВ №1003 ПС 110 кВ АС-10 для электроснабжения ВРУ 0,4 кВ жилого дома Сухоруковой О.А. на участке с КН 61:02:0030103:408 в станице Грушевская Аксайского района Ростовской области </t>
  </si>
  <si>
    <t xml:space="preserve">Строительство ВЛ 0,4 кВ по ВЛ 0,4 кВ №2 КТП-6/0,4 кВ №76 ВЛ 6 кВ №807 ПС 35/6 кВ АС8 для электроснабжения ВРУ 0,4 кВ жилого дома Полякова В.А. на участке с КН 61:02:600010:8299 в п. Российский Аксайского района Ростовской области </t>
  </si>
  <si>
    <t xml:space="preserve">Строительство ВЛ 0,4 кВ по ВЛ 0,4 кВ №1 ТП-10/0,4 кВ №39 ВЛ 10 кВ №1203 ПС 110 кВ АС12 для электроснабжения ВРУ 0,4 кВ жилого дома Мурадян В.А. на участке с КН 61:33:0600015:983 Родионово-Несветайского района Ростовской области </t>
  </si>
  <si>
    <t xml:space="preserve">Строительство ВЛ 0,4 кВ по ВЛ 0,4 кВ №2 ТП-10/0,4 кВ №633 ВЛ 10 кВ №111 ПС 110 кВ АС1 для электроснабжения ВРУ 0,4 кВ жилого дома Филимонова М.Н. на участке с КН 61:02:0050101:2695 Аксайского района Ростовской области </t>
  </si>
  <si>
    <t xml:space="preserve">Строительство ВЛ 0,4 кВ от проектируемой ВЛ 0,4 кВ (по договору №61-1-21-00615425 от 03.12.2021 г.) от РУ 0,4 кВ ТП 10 кВ №629 ВЛ 10 кВ №501 ПС 35 кВ АС5 для электроснабжения ВРУ 0,4 кВ жилого дома Черникова С. Г. на участке с КН 61:02:0020101:715 в х. Алитуб Аксайского района Ростовской области </t>
  </si>
  <si>
    <t xml:space="preserve">Строительство ВЛ 0,4 кВ от РУ 0,4 кВ ТП 10 кВ №271 ВЛ 10 кВ №1513 ПС 110 кВ АС15 для электроснабжения ВРУ 0,4 кВ жилых домов по пер. Клубничный, 5А, ул. Ландышевая, 23 в п. Янтарный Аксайского района Ростовской области </t>
  </si>
  <si>
    <t>Установка приборов учета для присоединения ВРУ 0,4 кВ малоэтажных жилых застроек, отделение почтовой связи, административного/офисного здания, расположенных по адресу: РО, п. Российский, х. Александровка, ст-ца Мишкинская, (8шт.)</t>
  </si>
  <si>
    <t>Установка приборов учета для присоединения ВРУ 0,4 кВ малоэтажных жилых застроек, административного/офисного здания, нежилой застройки, расположенных по адресу: РО., х. Большой Лог, п. Щепкин, п. Реконструктор, (5шт.)</t>
  </si>
  <si>
    <t>Учет электрической энергии в РУ 0,4 кВ КТП-6/0,4 кВ ВЛ 6 кВ №802 ПС 35/6 кВ АС-8 заявителя Лисихина А. Ю., расположенной по адресу: РО., р-н Аксайский, с/т «Надежда», уч.28, к.н:61:02:0503701:69</t>
  </si>
  <si>
    <t>Установка приборов учета для присоединения ВРУ 0,4 кВ жилых домов, расположенных по адресу: РО., РО, х. Нижнетемерницкий, х. Большой Лог, ст-ца Грушевская, ст-ца Старочеркасская, п. Янтарный, п. Российский, п. Щепкин, х. Каменный Брод (41 шт)</t>
  </si>
  <si>
    <t xml:space="preserve">Строительство ВЛ 0,4 кВ от ВЛ 0,4 кВ №3 КТП 10/0,4 кВ №88 ВЛ 10 кВ №301 ПС 35 кВ БГ3 для электроснабжения жилого дома Мамонова Д.О. по адресу РО, Багаевский район, п. Дачный, ул. Набережная, д. 3-б, к.н. 61:03:0010602:345. </t>
  </si>
  <si>
    <t xml:space="preserve">Строительство ВЛ 0,4 кВ от ВЛ 0,4 кВ №1 КТП 10/0,4 кВ №163 ВЛ 10 кВ №605 ПС 110 кВ БГ6 для электроснабжения храма Местной религиозной организации православного Прихода храма Рождества Пресвятой Богородицы х. Ажинов Багаевского района РО Шахтинской Епархии Русской Православной Церкви (Московский Патриархат) по адресу РО, Багаевский район, х. Карповка, ул. Зеленая, д. 15. </t>
  </si>
  <si>
    <t>Строительство ВЛ 0,4 кВ по ВЛ 0,4 кВ №1 КТП 10/0,4 кВ №58 ВЛ 10 кВ №261 ПС 110 кВ БГ2 с заменой трансформатора ТП 10/0,4 кВ №58 для электроснабжения жилого дома Бабиной О.О. по адресу РО, Багаевский район, х. Арпачин, ул. Советская, д. 5, к.н. 61:03:0040211:13.</t>
  </si>
  <si>
    <t>Установка прибора учета для присоединения магазина ИП Третьякова С. расположенного по адресу: Ростовская обл., р-н Багаевский, п. Отрадный, ул. Победы, д. 12А, к.н. 61:03:0050102:490 (1шт.)</t>
  </si>
  <si>
    <t>Установка прибора учета для присоединения объекта туристической отрасли (гостиница, база отдыха, гостевой дом, прочее) ИП Рогальского А.В. расположенного по адресу: Ростовская обл., р-н Багаевский, х. Арпачин, ул. Береговая, д. 2-ж, к.н. 61:03:0040215:52 (1шт.)</t>
  </si>
  <si>
    <t>Установка прибора учета для присоединения жилого дома заявителя Лебедева А. В., расположенного по адресу: Ростовская обл., Веселовский р-н, п. Веселый, ул. Набережная, д. 71, к.н. 61:06:0010107:163</t>
  </si>
  <si>
    <t>Строительство ВЛ 0,4 кВ (по существующим опорам) от опоры №29 ВЛ-0,4 кВ № 1 КТП 10/0,4 кВ №175 ВЛ-10 кВ № 125 ПС СМ-1 для электроснабжения жилого дома заявителя Токаревой М.А., по адресу: РО, г. Семикаракорск, ул. Свободы, д.14а к.н.: 61:35:0110205:862</t>
  </si>
  <si>
    <t>Установка прибора учета для присоединения нежилого здания АО «Почта России» расположенного по адресу: Ростовская обл., р-н Семикаракорский, ст-ца Задоно-Кагальницкая, пер. Советский, д.3 к.н. 61:35:0030101:2255» (1шт.)</t>
  </si>
  <si>
    <t>Установка прибора учета для присоединения ВРУ 0,4 кВ жилого дома заявителя Корначева Сергея Александровича по адресу: Семикаракорский р-н, х. Бакланники, ул. Набережная, д.11-а к.н.:61:35:0010101:351</t>
  </si>
  <si>
    <t>Установка приборов учета для присоединения ВРУ 0,4 кВ жилых домов Хапаловой Э. А., Кашириной Н. Д., Братишова В. Г., Флягина Д. А., расположенных по адресу: Ростовская обл., р-н Аксайский, х. Нижнеподпольный, х. Большой Лог, Родионово-Несветайский район (4 шт.)</t>
  </si>
  <si>
    <t>«Установка системы учета для технологического присоединения «квартира», расположенного по адресу:347556, Российская Федерация, Ростовская обл., р-он Пролетарский, х. Николаевский 2-й, ул. Школьная, д.25/1, кадастровый номер земельного участка: 61:31:0060101:1512, заявитель Зозуля О.А.» (1 шт.)</t>
  </si>
  <si>
    <t xml:space="preserve"> «Установка системы учета для технологического присоединения объекта «жилой дом», расположенного по адресу: 347525, РФ, Ростовская область, Орловский район, х. Камышевка, ул. Мира, д. 131 к.н.з.у.: 61:29:0050101:92, заявитель Близняков С.П.  (1 шт.</t>
  </si>
  <si>
    <t>«Установка системы учета для технологического присоединения объекта «жилой дом», расположенного по адресу: Российская Федерация, Ростовская обл., р-н. Пролетарский, х. Николаевский 2-й, ул. Школьная, д. 27, к.н. 61:31:0060101:674, заявитель Могильная В.А.» (1 шт.)</t>
  </si>
  <si>
    <t>«Установка системы учета для технологического присоединения объекта «объект с/х назначения», расположенного по адресу: 347603 Российская Федерация, Ростовская обл., р-н. Сальский, п. Конезавод имени Буденного,  ул. Молодежная, д. 15 а, кадастровый номер земельного участка: 61:34:0040101:4531, заявитель Богданова Т.К.» (1 шт.)</t>
  </si>
  <si>
    <t>«Установка системы учета для технологического присоединения объекта «жилой дом», расположенного по адресу: 347605 Российская Федерация, Ростовская обл., р-н. Сальский, с. Шаблиевка, ул. Привокзальная, д. 30, кадастровый номер земельного участка: 61:34:0050201:1185, заявитель Яровая А. И.» (1 шт.)</t>
  </si>
  <si>
    <t>«Установка системы учета для технологического присоединения объекта «Нежилая застройка», расположенного по адресу: Российская Федерация, Ростовская обл., р-н. Сальский, п. Степной Курган, в кадастровом квартале 61:34:60 00 01 с условным центром в п. Степной Курган, кадастровый номер земельного участка: 61:34:0600001:2620, заявитель Столбунова Елена Геннадьевна» (1 шт.)</t>
  </si>
  <si>
    <t>«Установка системы учета для технологического присоединения объекта «жилой дом», расположенного по адресу: Российская Федерация, Ростовская обл., р-н. Сальский, п. Белозерный, ул. Юбилейная, д. 18, кадастровый номер земельного участка: 61:57:0080101:499, заявитель Потапов П.В.» (1 шт.)</t>
  </si>
  <si>
    <t>«Установка системы учета для технологического присоединения объекта «жилой дом», расположенного по адресу: Российская Федерация, Ростовская обл., р-н. Сальский, п. Белозерный, ул. Пионерская,  д. 30, кадастровый номер земельного участка: 61:34:0080101:294, заявитель Новиков М.Н.» (1 шт.)</t>
  </si>
  <si>
    <t>«Установка системы учета для технологического присоединения объекта «Ангар», расположенного по адресу: 347612 Российская Федерация, Ростовская обл, р-н Сальский, х. Крупский, ул. Горького, д. 1, кадастровый номер земельного участка 61:34:0170201:81, заявитель ИП заявитель ИП глава К(Ф)Х Елисеев А.Г.» (1 шт.)</t>
  </si>
  <si>
    <t>«Установка системы учета для технологического присоединения объекта «жилой дом», расположенного по адресу: 347602 Российская Федерация, Ростовская обл., р-н. Сальский, п. Степной Курган, ул. Октябрьская, д. 3, кадастровый номер земельного участка: 61:34:0100101:170, заявитель Безукладный Е.Н.» (1 шт.)</t>
  </si>
  <si>
    <t>«Установка системы учета для технологического присоединения объекта «жилой дом», расположенного по адресу: Ростовская область, Целинский район, с. Лопанка, ул. Широкая, д. 8, к.н.з.у.: 61:40:0040101:882, заявитель Пшеничная Е.С.» (1 шт.)</t>
  </si>
  <si>
    <t xml:space="preserve">«Установка системы учета для технологического присоединения «общественная территория поселка Вороново», расположенной по адресу: 347763, РФ, Ростовская область, Целинский район, п. Вороново, ул. Набережная, к.н. з. у.: 61:40:0030101:3500(1), 61:40:0030101:3500(2), заявитель Администрация Кировского сельского поселения» </t>
  </si>
  <si>
    <t>«Установка системы учета для технологического присоединения «жилого дома», расположенного по адресу: 347564, РФ, Ростовская область, Песчанокопский район, с. Николаевка, ул. Партизанская, 5 к.н.з.у.:61:30:0070101:201, заявитель Гридякин И.И.» (1 шт.)</t>
  </si>
  <si>
    <t>«Установка системы учета для технологического присоединения «жилого дома», расположенного по адресу: 347560, РФ, Ростовская область, Песчанокопский район, с. Развильное, ул. Школьная, 77 к.н.з.у.:61:30:0090101:9681, заявитель Гурьева А.Н.»    (1 шт.)</t>
  </si>
  <si>
    <t>«Установка системы учета для технологического присоединения «жилого дома», расположенного по адресу: 347563, РФ, Ростовская область, Песчанокопский район, с. Поливянка, ул. Юбилейная, 17 к.н.з.у.:61:30:0080101:153, заявитель Лозовой А.В.»     (1 шт.)</t>
  </si>
  <si>
    <t>«Установка системы учета для технологического присоединения «нежилого помещения», расположенного по адресу: 347565, РФ, Ростовская область, Песчанокопский район, с. Красная Поляна, ул. Кирова, 6 к.н.:61:30:0050101:3257, заявитель АО «Почта России» (1 шт.)</t>
  </si>
  <si>
    <t xml:space="preserve"> «Установка системы учета для технологического присоединения «нежилого помещения», расположенного по адресу: 347562, РФ, Ростовская область, Песчанокопский район, с. Богородицкое, пер. Советский, 78 к.н.:61:30:0020101:3305, заявитель АО «Почта России» (1 шт.)</t>
  </si>
  <si>
    <t>«Установка системы учета для технологического присоединения «жилого дома», расположенного по адресу: 347564, РФ, Ростовская область, Песчанокопский район, с. Николаевка, пер. Колхозный, 5 к.н.з.у.:61:30:0070101:1, заявитель Лозовой А.А.» (1 шт.)</t>
  </si>
  <si>
    <t>«Установка системы учета для технологического присоединения объекта «нежилое помещение», расположенного по адресу: 347524, РФ, Ростовская область, Орловский район, х. Пролетарский, пер. Почтовый, д. 4, к.н.з.у.:, заявитель Акционерное общество «Почта России» (1 шт.)»</t>
  </si>
  <si>
    <t>«Установка системы учета для технологического присоединения объекта «нежилое помещение», расположенного по адресу: 347523, РФ, Ростовская область, Орловский район, х. Островянский, ул. Советская, д. 16а, к.н.з.у.:, заявитель Акционерное общество «Почта России» (1 шт.)</t>
  </si>
  <si>
    <t>«Установка системы учета для технологического присоединения объекта «нежилое помещение», расположенного по адресу: 347525, РФ, Ростовская область, Орловский район, х. Камышевка, ул. Школьная, д. 63, к.н.з.у.:, заявитель Акционерное общество «Почта России» (1 шт.)</t>
  </si>
  <si>
    <t xml:space="preserve"> «Установка системы учета для технологического присоединения объекта «нежилое помещение», расположенного по адресу: 347521, РФ, Ростовская область, Орловский район, х. Быстрянский, ул. Мира, д. 24, к.н.з.у.:, заявитель Акционерное общество «Почта России» (1 шт.)»</t>
  </si>
  <si>
    <t>«Установка системы учета для технологического присоединения объекта «складское здание», расположенного по адресу: 347505, РФ, Ростовская область, Орловский район, х. Каменная Балка, 0,94 км от х. Каменная Балка на запад, к.н.з.у.: 61:29:0600003:1851, заявитель ИП Бутов Р.В. глава К(Ф)Х (1 шт)»</t>
  </si>
  <si>
    <t>«Установка системы учета для технологического присоединения объекта «жилой дом», расположенного по адресу: 347523, РФ, Ростовская область, Орловский район, х. Островянский, ул. Победы, д. 2, к.н.з.у.: 61:29:0070101:0031, заявитель Пальок И.Д.  (1 шт.)</t>
  </si>
  <si>
    <t>«Установка системы учета для технологического присоединения объекта «нежилое помещение», расположенного по адресу: 347500, РФ, Ростовская область, Орловский район, п. Красноармейский, пер. Красноармейский, д. 42, к.н.з.у.:, заявитель Акционерное общество «Почта России» (1 шт.)»</t>
  </si>
  <si>
    <t>«Установка системы учета для технологического присоединения объекта «квартира», расположенного по адресу: Ростовская область, Целинский район, п. Коренной, ул. Абрикосовая, д. 29, кв. 1, к.н.з.у.:61:40:0010201, заявитель Золотухин В.П.» (1 шт.)</t>
  </si>
  <si>
    <t>«Установка системы учета для технологического присоединения объекта «жилой дом», расположенного по адресу: Ростовская область, Целинский район, с. Степное, ул. Школьная, д. 6, к.н.з.у.:61:40:0090101:182, заявитель Якишева И.А.» (1 шт.)</t>
  </si>
  <si>
    <t xml:space="preserve"> «Установка системы учета для технологического присоединения «жилой дом», расположенного по адресу: РФ, Ростовская область, Целинский район, с. Михайловка, ул. Комсомольская, д. 13, к.н.з.у.:61:40:0050101:619, заявитель Арсанукаев Х.С.» (1 шт.)</t>
  </si>
  <si>
    <t>«Установка системы учета для технологического присоединения объекта «магазин», расположенного по адресу: Ростовская область, Целинский район, с. Михайловка, ул. Советская, д. 12, к.н.з.у.:61:40:0050101:85, заявитель ИП Максименко С.В.» (1 шт.)</t>
  </si>
  <si>
    <t>«Установка системы учета для технологического присоединения объекта «жилой дом», расположенного по адресу: РФ, Ростовская область, Целинский район, х. Родионовка, ул. Центральная, д. 30, к.н.з.у.:61:40:0060601:47, заявитель Колодин И.В.» (1 шт.)</t>
  </si>
  <si>
    <t>«Установка системы учета для технологического присоединения объекта «Здание отделения почтовой связи», расположенного по адресу: 347615 Российская Федерация, Ростовская обл., р-н. Сальский, с. Новый Егорлык, ул. Терешковой, д. 14, кадастровый номер земельного участка: 61:34:0110101:6489, заявитель АО «Почта России» (1 шт.)</t>
  </si>
  <si>
    <t>«Установка системы учета для технологического присоединения объекта «Нежилое помещение», расположенного по адресу: 347626 Российская Федерация, Ростовская обл., р-н. Сальский, с. Романовка, ул. Ленина, д. 9, кадастровый номер земельного участка: 61:34:0140101:1288, заявитель АО «Почта России» (1 шт.)</t>
  </si>
  <si>
    <t>«Установка системы учета для технологического присоединения объекта «строительная площадка», расположенного по адресу: 347500, РФ, Ростовская область, Орловский район, п. Красноармейский, ул. Горького, д. 50, к.н.з.у.: 61:29:0060124:8, заявитель Макеев Д.Ю.  (1 шт.)»</t>
  </si>
  <si>
    <t>«Установка системы учета для технологического присоединения объекта «Нежилое помещение», расположенного по адресу: 347609 Российская Федерация, Ростовская обл., р-н. Сальский, п. Белозерный, ул. Дружбы, д. 1а, кадастровый номер земельного участка: 61:34:0080101:1569, заявитель АО «Почта России» (1 шт.)</t>
  </si>
  <si>
    <t>«Установка системы учета для технологического присоединения объекта «Нежилое помещение», расположенного по адресу: Российская Федерация, Ростовская обл., р-н. Сальский, п. Юловский, ул. Ленина, д. 14, кадастровый номер земельного участка: 61:34:0190101:2704, заявитель АО «Почта России» (1 шт.)</t>
  </si>
  <si>
    <t>«Установка системы учета для технологического присоединения объекта «Нежилое помещение», расположенного по адресу: Российская Федерация, Ростовская обл., р-н. Сальский, с. Екатериновка, 60 лет СССР, д. 17, кадастровый номер земельного участка: 61:34:0050101:3664, заявитель АО «Почта России» (1 шт.)</t>
  </si>
  <si>
    <t>«Установка системы учета для технологического присоединения объекта «Нежилое помещение», расположенного по адресу: 347613 Российская Федерация, Ростовская обл., р-н. Сальский, с. Ивановка, ул. Ленина, д. 63, кадастровый номер земельного участка: 61:34:0060101:1080, заявитель АО «Почта России» (1 шт.)</t>
  </si>
  <si>
    <t>«Установка системы учета для технологического присоединения объекта «Отделение почтовой связи», расположенного по адресу: 347612 Российская Федерация, Ростовская обл., р-н. Сальский, с. Сандата, ул. Ленина, д. 43, кадастровый номер земельного участка: 61:34:0170101:6183, заявитель АО «Почта России» (1 шт.)</t>
  </si>
  <si>
    <t>"Установка системы учета для технологического присоединения объекта «жилой дом», расположенного по адресу: Российская Федерация, Ростовская обл., р-н. Пролетарский, п. Опенки, ул. Мира, д. 66, к.н. 61:31:0080101:272, заявитель Степанько Е.Б.» (1 шт.)"</t>
  </si>
  <si>
    <t xml:space="preserve"> «Установка системы учета для технологического присоединения объекта «дачный дом», расположенного по адресу: Российская Федерация, Ростовская обл., р-н. Пролетарский, х. Уютный, ул. Первомайская, д. 2а, к.н. 61:31:0100201:16, заявитель Жарков С.А.» (1 шт.)</t>
  </si>
  <si>
    <t>«Установка системы учета для технологического присоединения объекта «жилой дом», расположенного по адресу: Российская Федерация, Ростовская обл., р-н. Пролетарский, г. Пролетарск, ул. Никифорова, д. 31, к.н. з.у.: 61:31:0110471:342, заявитель Брейкин О.Н.»</t>
  </si>
  <si>
    <t>«Установка системы учета для технологического присоединения объекта «жилой дом», расположенного по адресу: Российская Федерация, Ростовская обл., р-н. Пролетарский, х. Уютный, ул. Первомайская, д. 16, к.н. 61:31:0100101:1551, заявитель Сорокин А.А.» (1 шт.)</t>
  </si>
  <si>
    <t>«Установка системы учета для технологического присоединения объекта «нежилое помещение», расположенного по адресу: 347527, РФ, Ростовская область, Орловский район, п. Волочаевский, ул. Садовая, д. 2, заявитель Акционерное общество «Почта России» (1 шт.)»</t>
  </si>
  <si>
    <t xml:space="preserve">«Установка системы учета для технологического присоединения объекта «квартира», расположенного по адресу: 347526, РФ, Ростовская область, Орловский район, х. Курганный, ул. Молочинского, д. 20, кв.1, к.н.з.у.: 61:29:0050301:204, заявитель Сахарнян А.П.  (1 шт.)» </t>
  </si>
  <si>
    <t>«Установка системы учета для технологического присоединения объекта «жилой дом», расположенного по адресу: Российская Федерация, Ростовская обл., р-н. Пролетарский п. Опенки, ул. Каштанов, д. 12, к.н. з.у.: 61:31:0080101:2794, заявитель Мякинченко А.Н.» (1 шт.)</t>
  </si>
  <si>
    <t>«Установка системы учета для технологического присоединения объекта «квартира», расположенного по адресу: Российская Федерация, Ростовская обл., р-н. Пролетарский, х. Ганчуков, ул. Степная, д. 2, кв. 1, к.н. 61:31:0070101:1087, заявитель Завгородний С.В.» (1 шт.)</t>
  </si>
  <si>
    <t>«Установка системы учета для технологического присоединения «жилой дом», расположенного по адресу: РФ, Ростовская область, Целинский район, х. Карла Маркса, ул. Мирная, д. 38, к.н.з.у.:61:40:0060501, заявитель Бабенко Н.С.»  (1 шт.)</t>
  </si>
  <si>
    <t>«Установка системы учета для технологического присоединения объекта «базовая станция сотовой связи», расположенного по адресу: 347523, РФ, Ростовская область, Орловский район, х. Веселый, ул. Победы, участок в 35м от дома №1, к.н.з.у.: 61:29:0070401, заявитель Акционерное общество «Первая Башенная Компания» (1 шт.)</t>
  </si>
  <si>
    <t>«Установка системы учета для технологического присоединения объекта «наружного освещения», расположенного по адресу: РФ, Ростовская область, Целинский район, с. Ольшанка, к.н.з.у.:61:40:0000000:6162, заявитель Министерство транспорта Ростовской области» (1 шт.)</t>
  </si>
  <si>
    <t>«Установка системы учета для технологического присоединения «жилой дом», расположенного по адресу: РФ, Ростовская область, Целинский район, х. Васильевка, ул. Солнечная, д. 92, к.н.з.у.:61:40:0100201:216, заявитель Бондарев А.С.» (1 шт.)</t>
  </si>
  <si>
    <t>«Установка системы учета для технологического присоединения объекта «жилой дом», расположенного по адресу: Российская Федерация, Ростовская обл., р-н. Пролетарский, ДНТ «Ручеек №3», ул. Зеленая, д. 77, к.н. 61:31:0500101:126, заявитель Межинский Д.В.» (1 шт.)</t>
  </si>
  <si>
    <t>«Установка системы учета для технологического присоединения объекта «административное/офисное здание», расположенного по адресу: Ростовская область, Целинский район, п. Вороново, ул. Молодежная, д. 10, кв./оф. 1,2,3,4,5, к.н.з.у.:61:40:0030101:2082, заявитель АО «Почта России» (1 шт.)</t>
  </si>
  <si>
    <t>«Установка системы учета для технологического присоединения объекта «жилой дом», расположенного по адресу: Российская Федерация, Ростовская обл., р-н. Пролетарский, х. Мокрая Ельмута, пер. Поливановский, д. 10, к.н. 61:31:0050101:37, заявитель Рыбалко Л.А.» (1 шт.)</t>
  </si>
  <si>
    <t>«Установка системы учета для технологического присоединения объекта «административное/офисное здание», расположенного по адресу: Ростовская область, Целинский район, п. Юловский, ул. Спортивная, д. 4, кв./оф. 1,2,3,4, к.н.з.у.:61:40:0091001:1509, заявитель АО «Почта России»  (1 шт.)</t>
  </si>
  <si>
    <t>«Установка системы учета для технологического присоединения «жилой дом», расположенного по адресу: РФ, Ростовская область, Целинский район, х. Владикарс, ул. Возрождения, д. 19, к.н.з.у.:61:40:0050201:9, заявитель Родин Д.А.»  (1 шт.)</t>
  </si>
  <si>
    <t>«Установка системы учета для технологического присоединения объекта «жилой дом», расположенного по адресу: 347612 Российская Федерация, Ростовская обл., р-н. Сальский, с. Сандата, ул. Мира, д. 47, кадастровый номер земельного участка: 61:34:0170101:1367, заявитель Буйленко Г.В.» (1 шт.)</t>
  </si>
  <si>
    <t>«Установка системы учета для технологического присоединения «жилого дома», расположенного по адресу: 347562, РФ, Ростовская область, Песчанокопский район, с. Богородицкое, ул. Набережная, 29 к.н.з.у.:61:30:0020101:688, заявитель Хрыкин В.И.» (1 шт.)</t>
  </si>
  <si>
    <t xml:space="preserve">«Установка системы учета для технологического присоединения «объекта торговли», расположенного по адресу: 347612 Российская Федерация, Ростовская обл., р-н Сальский, с. Сандата, ул. Калинина, д. 112, кадастровый номер земельного участка: 61:34:0170101:1581, заявитель Лохов И.В. (1 шт.)» </t>
  </si>
  <si>
    <t xml:space="preserve">«Установка системы учета для технологического присоединения «жилого дома», расположенного по адресу: 347613 Российская Федерация, Ростовская обл.,   р-н. Сальский, с. Ивановка, ул. Буденного, д. 100, кадастровый номер земельного участка: 61:34:0060101:54, заявитель Никитина Н.Ю. (1 шт.)» </t>
  </si>
  <si>
    <t>«Установка системы учета для технологического присоединения «склад», расположенного по адресу: 347774, РФ, Ростовская область, Целинский район, х. Калинин, ул. Дорожная, 1 к.н. з. у.: 61:40:0020201:14, заявитель Маргарян А.О.» (1 шт.)</t>
  </si>
  <si>
    <t>«Установка системы учета для технологического присоединения «квартира», расположенного по адресу: 347771, РФ, Ростовская область, Целинский район, х. Кугульта, ул. Дружбы, д. 9, кв. 3, к.н.з.у.:61:40:0090601:70, заявитель Кирингишиев Т.М.» (1 шт.)</t>
  </si>
  <si>
    <t>«Установка системы учета для технологического присоединения «жилой дом», расположенного по адресу: РФ, Ростовская область, Целинский район, х. Васильевка, ул. Солнечная, д. 34, к.н.з.у.:61:40:0100201:157, заявитель Зулумханова А.М.»  (1 шт.)</t>
  </si>
  <si>
    <t>«Установка системы учета для технологического присоединения «жилой дом», расположенного по адресу: РФ, Ростовская область, Целинский район, х. Васильевка, ул. Солнечная, д. 46, к.н.з.у.:61:40:0100201:240, заявитель Джамадов М.Д.» (1 шт.)</t>
  </si>
  <si>
    <t>«Установка системы учета для технологического присоединения «жилой дом», расположенного по адресу: РФ, Ростовская область, Целинский район, х. Васильевка, ул. Солнечная, д. 42, к.н.з.у.:61:40:0100201:242, заявитель Джамадов Д.Д.» (1 шт.)</t>
  </si>
  <si>
    <t>«Установка системы учета для технологического присоединения «жилой дом», расположенного по адресу: РФ, Ростовская область, Целинский район, с. Ольшанка, ул. Восточная, д. 38, к.н.з.у.:61:40:0060101:488, заявитель Бабышев В.В.»  (1 шт.)</t>
  </si>
  <si>
    <t>«Установка системы учета для технологического присоединения объекта «жилой дом», расположенного по адресу: Российская Федерация, Ростовская обл., г., Сальск, СНТ «Железнодорожник», бригада 4 д. 12, кадастровый номер земельного участка: 61:57:0010977:1315, заявитель Долгополов С.С.» (1 шт.)</t>
  </si>
  <si>
    <t xml:space="preserve"> «Установка системы учета для технологического присоединения объекта «жилой дом», расположенного по адресу: Российская Федерация, Ростовская обл., Г. Сальск, СНТ «Железнодорожник», бригада №2, участок 46, кадастровый номер земельного участка: 61:57:0010977:718, заявитель Шкатова И.Н.» (1 шт.)</t>
  </si>
  <si>
    <t>«Установка системы учета для технологического присоединения объекта «жилой дом», расположенного по адресу:347606 Российская Федерация, Ростовская обл., р-н. Сальский, с. Екатериновка, ул. Новостройка, Д. 3, кадастровый номер земельного участка: 61:34:0050101:993, заявитель Паталаха Г.В» (1 шт.</t>
  </si>
  <si>
    <t>«Установка системы учета для технологического присоединения «нестационарного торгового объекта», расположенного по адресу: Ростовская область, р-н Сальский, с. Сандата, рядом с земельным участком с кадастровым номером 61:34:0170101:7208, заявитель Маматов Х.А» (1 шт.)</t>
  </si>
  <si>
    <t>«Установка системы учета для технологического присоединения «объекта сельскохозяйственного производства», расположенного по адресу: 347608, Ростовская область, р-н Сальский, с. Бараники, ул. Дружбы, д. 4, корп. в, кадастровый номер земельного участка: 61:34:0020101:1804, заявитель Костырин А.С.» (1 шт.)</t>
  </si>
  <si>
    <t>«Установка системы учета для технологического присоединения «жилого дома», расположенного по адресу: 347567, РФ, Ростовская область, Песчанокопский район, с. Жуковское, ул. Карла Маркса, 121 к.н.з.у.:61:30:0030101:190, заявитель Овчинникова Л.А.» (1 шт.)</t>
  </si>
  <si>
    <t>"Установка системы учета от опоры №2-00/4 ВЛ 0,4 кВ Л-2 КТП 10/0,4 кВ № 327 по ВЛ 10 кВ Л-1 Майорская, для электроснабжения объекта – «Базовая станция сотовой связи», расположенного по адресу: РФ, Ростовская область, Орловский район, х. Успенский, в границах кадастрового квартала 61:29:0041301, заявитель ПАО «Ростелеком» (1 шт.)"</t>
  </si>
  <si>
    <t>"Установка системы учетаот опоры №3-01/2 ВЛ 0,4 кВ Л-3 КТП 10/0,4 кВ № 8 по ВЛ 10 кВ Л-2 Кундрюченская, для электроснабжения объекта – «Базовая станция сотовой связи», расположенного по адресу: РФ, Ростовская область, Орловский район, х. Кундрюченский, в границах кадастрового квартала 61:29:0010301, заявитель ПАО «Ростелеком» (1 шт.)"</t>
  </si>
  <si>
    <t>«Установка системы учета для технологического присоединения объекта «Базовая станция сотовой связи», расположенного по адресу: 347506, РФ, Ростовская область, Орловский район, х. Романовский, координаты 46,7477929 41,9758006, в кадастровом квартале 61:29:0030401, заявитель ПАО «Ростелеком» (1 шт.)»</t>
  </si>
  <si>
    <t>«Установка системы учета для технологического присоединения объекта «жилой дом», расположенного по адресу: 347527, РФ, Ростовская область, Орловский район, п. Волочаевский, ул. Сердюкова, д. 7, к.н. з.у.: 61:29:0020101:0003, заявитель Клец А.Н.  (1 шт.)»</t>
  </si>
  <si>
    <t>«Установка системы учета для технологического присоединения объекта «квартира», расположенного по адресу: 347525, РФ, Ростовская область, Орловский район, х. Камышевка, ул. Школьная, д. 24, кв. 2 к.н. з.у.: 61:29:0050101:331, заявитель Чернолихов С.С.  (1 шт.)»</t>
  </si>
  <si>
    <t>«Установка системы учета для технологического присоединения «жилого дома», расположенного по адресу: 347606 Российская Федерация, Ростовская обл.,   р-н. Сальский, с. Екатериновка, ул. Кирова, д. 69, кадастровый номер земельного участка: 61:34:0050101:757, заявитель Халидова Х.Ш. (1 шт.)»</t>
  </si>
  <si>
    <t>«Установка системы учета для технологического присоединения объекта «жилой дом», расположенного по адресу: 347602 Российская Федерация, Ростовская обл., р-н. Сальский, п. Степной Курган, ул. Береговая, Д. 1б, помещение 5, кадастровый номер земельного участка: 61:34:0100101:400, заявитель Доля И.Е.» (1 шт.)</t>
  </si>
  <si>
    <t>«Установка системы учета для технологического присоединения объекта «Базовая станция сотовой связи», расположенного по адресу: 347523, РФ, Ростовская область, Орловский район, х. Веселый, в границах кадастрового квартала 61:29:0070401, заявитель ПАО «Ростелеком»  (1 шт.)»</t>
  </si>
  <si>
    <t>«Установка системы учета для технологического присоединения объекта «жилой дом», расположенного по адресу: 347525, РФ, Ростовская область, Орловский район, х. Камышевка, пер. Социалистический, д. 8, к.н. з.у.: 61:29:0050101:2284, заявитель Бабкова Е.Д.  (1 шт.)»</t>
  </si>
  <si>
    <t>«Установка системы учета для технологического присоединения «нежилого здания», расположенного по адресу: 347570, РФ, Ростовская область, Песчанокопский район, вблизи с. Песчанокопского, земельные участки граничат с землями СПК "Заря", КФХ "Альфа", КФХ "Инесса", КФХ "Контакт", дороги, КФХ "Береза", к.н.з.у.:61:30:0600004:6130, заявитель ООО "Агрос» (1 шт.)</t>
  </si>
  <si>
    <t>«Установка системы учета для технологического присоединения «жилого дома», расположенного по адресу: 347565, РФ, Ростовская область, Песчанокопский район, с. Красная Поляна, ул. Колхозная, 68 к.н.з.у.:61:30:0050101:563, заявитель Ковтунов В.П.» (1 шт.)</t>
  </si>
  <si>
    <t>«Установка системы учета для технологического присоединения объекта «Автомойка», расположенного по адресу: 347500, РФ, Ростовская область, Орловский район, п. Красноармейский, ул. Деповская,28-а, к.н. з.у.: 61:29: 0060123:115, заявитель ИП Драгелев И.А. глава К(Ф)Х  (1 шт.)»</t>
  </si>
  <si>
    <t>«Установка системы учета для технологического присоединения объекта «дом животновода», расположенного по адресу: 347501, РФ, Ростовская область, Орловский район, Майорское сельское поселение, примерно 1,8 км от х. Успенский по направлению на юго-запад к.н. з.у.: 61:29:0600001:608, заявитель Зайтаев А.В.  (1 шт.)»</t>
  </si>
  <si>
    <t>«Установка системы учета для технологического присоединения «жилой дом», расположенного по адресу: РФ, Ростовская область, Целинский район, п. Новая Целина, ул. Свердлова, д. 27а, к.н.з.у.:61:40:0010150:711, заявитель Хомутова Е.П.»  (1 шт.)</t>
  </si>
  <si>
    <t>«Установка системы учета для технологического присоединения «жилой дом», расположенного по адресу: РФ, Ростовская область, Целинский район, с. Лопанка, ул. Советская, д. 61, к.н.з.у.:61:40:0040101:1219, заявитель Колосов В.И.» (1 шт.)</t>
  </si>
  <si>
    <t>«Установка системы учета для технологического присоединения объекта «жилой дом», расположенного по адресу: 347525, РФ, Ростовская область, Орловский район, х. Камышевка, пер. Социалистический, д. 7, к.н. з.у.: 61:29:0050101:105, заявитель Чуб Е.Д.  (1 шт.)»</t>
  </si>
  <si>
    <t>«Установка системы учета для технологического присоединения объекта «квартира», расположенного по адресу: 347521, РФ, Ростовская область, Орловский район, х. Луганский, ул. Московская, д. 39/10, кв. 2, к.н. з.у.: 61:29:0010501:2606, заявитель Тумко Е.В. (1 шт.)»</t>
  </si>
  <si>
    <t>«Установка системы учета для технологического присоединения объекта «жилой дом», расположенного по адресу: 347526, РФ, Ростовская область, Орловский район, х. Курганный, ул. Молочинского, д. 18, к.н. з.у.: 61:29:000050301:0205, заявитель Молчанов Д.Н.  (1 шт.)»</t>
  </si>
  <si>
    <t>«Установка системы учета для технологического присоединения объекта «квартира», расположенного по адресу: 347526, РФ, Ростовская область, Орловский район, х. Курганный, пер. Театральный, д. 9, кв. 2 к.н. з.у.: 61:29:000050301:141, заявитель Масюк З.В.  (1 шт.)»</t>
  </si>
  <si>
    <t>«Установка системы учета для технологического присоединения объекта «квартира», расположенного по адресу: 347525, РФ, Ростовская область, Орловский район, х. Камышевка, ул. А. Муравина, д. 28, кв. 2, к.н. з.у.: 61:29:0050101:390, заявитель Калантырь Н.И. (1 шт.)»</t>
  </si>
  <si>
    <t>«Установка системы учета для технологического присоединения объекта «жилой дом», расположенного по адресу: 347527, РФ, Ростовская область, Орловский район, п. Волочаевский, ул. Степная, д. 24, к.н. з.у.: 61:29:0020101:761, заявитель Дудаев Ш.Ш.  (1 шт.)»</t>
  </si>
  <si>
    <t>«Установка системы учета для технологического присоединения объекта «жилой дом», расположенного по адресу: 347500, РФ, Ростовская область, Орловский район, х. Широкий, ул. Весенняя, д. 25, к.н. з.у.: 61:29:0061101:62, заявитель Челик В.Н.  (1 шт.)»</t>
  </si>
  <si>
    <t>«Установка системы учета для технологического присоединения объекта «квартира», расположенного по адресу: 347526, РФ, Ростовская область, Орловский район, х. Курганный, ул. Молочинского, д. 14, кв. 1, к.н. з.у.:61:29: 0050301:116, заявитель Рогов Г.В.  (1 шт.)»</t>
  </si>
  <si>
    <t>«Установка системы учета для технологического присоединения объекта «Нежилое строение», расположенного по адресу: 347512, РФ, Ростовская область, Орловский район, п. Орловский, ул. Транспортная,10, к.н. з.у.:   61:29: 0600007:4, заявитель ИП Галушко А.В.  (1 шт.)»</t>
  </si>
  <si>
    <t>«Установка системы учета для технологического присоединения объекта «Зерносклад», расположенного по адресу: 347506, РФ, Ростовская область, Орловский район, примерно в 2,93 км по направлению на северо-восток от ориентира х. Ребричанский, к.н. з.у.:61:29: 0600005:1733, заявитель ИП Барышников В.В. глава К(Ф)Х (1 шт.)»</t>
  </si>
  <si>
    <t>Установка системы учета для технологического присоединения объекта «жилой дом», расположенного по адресу: Российская Федерация, Ростовская обл., р-н. Пролетарский, х. Ганчуков, ул. Школьная, д. 12, кв. 2, к.н. з.у.: 61:31:0070101:216, заявитель Зима С.П.» (1 шт.)</t>
  </si>
  <si>
    <t>Установка системы учета для технологического присоединения объекта «жилой дом», расположенного по адресу: Российская Федерация, Ростовская обл., р-н. Пролетарский, п. Опенки, ул. Мира, д.81, к.н. з.у.: 61:31:0080101:286, заявитель Пыженко Ю.В.» (1 шт.)</t>
  </si>
  <si>
    <t>«Установка системы учета для технологического присоединения объекта «жилой дом», расположенного по адресу: Российская Федерация, Ростовская обл., р-н. Пролетарский, х. Уютный, ул. Фрунзе, д. 75, кв.1, к.н. 61:31:0100101:0:57, заявитель Никулкин Ю.М.» (1 шт.)</t>
  </si>
  <si>
    <t>Установка системы учета для технологического присоединения объекта «жилой дом», расположенного по адресу: 347541 Российская Федерация, Ростовская обл., р-н. Пролетарский, г. Пролетарск, ул. Никифорова, д. 21, к. н. з. у.: 61:31:0000000:10267, заявитель Кузнецов Н.Е.» (1 шт.)</t>
  </si>
  <si>
    <t>"Установка системы учета для технологического присоединения для электроснабжения объекта – «базовая станция сотовой связи», расположенного по адресу: РФ, Ростовская область, Пролетарский район, х. Хирный, к.н.: 61:31:0030401, заявитель ПАО «Ростелеком» (1 шт.)"</t>
  </si>
  <si>
    <t>"Установка системы учета для технологического присоединения объекта «базовая станция сотовой связи», расположенного по адресу: Российская Федерация, Ростовская обл., р-н. Пролетарский, х. Татнинов, к.н. з.у.: 61:31:0070301, заявитель ПАО «Ростелеком» (1 шт.)"</t>
  </si>
  <si>
    <t>«Установка системы учета для технологического присоединения объекта «базовая станция сотовой связи», расположенного по адресу: Российская Федерация, Ростовская обл., р-н. Пролетарский, х. Привольный, к.н. з.у.: 61:31:0050201, заявитель ПАО «Ростелеком» (1 шт.)</t>
  </si>
  <si>
    <t>«Установка системы учета для технологического присоединения объекта «базовая станция сотовой связи», расположенного по адресу: Российская Федерация, Ростовская обл., р-н. Пролетарский, х. Наумовский, к.н. з.у.: 61:31:0020201, заявитель ПАО «Ростелеком» (1 шт.)</t>
  </si>
  <si>
    <t>«Установка системы учета для технологического присоединения объекта «базовая станция сотовой связи», расположенного по адресу: Российская Федерация, Ростовская обл., р-н. Пролетарский, х. Красный Скотовод, к.н. з.у.: 61:31:0060301, заявитель ПАО «Ростелеком» (1 шт.)</t>
  </si>
  <si>
    <t>«Установка системы учета для технологического присоединения объекта «дачный дом», расположенного по адресу: Российская Федерация, Ростовская обл., р-н. Пролетарский, Садоводческое товарищество «Заречное», 380, к.н. з.у.: 61:31:0500401:67, заявитель Северчуков А.А.» (1 шт.)</t>
  </si>
  <si>
    <t>«Установка системы учета для технологического присоединения объекта «дачный дом», расположенного по адресу: Российская Федерация, Ростовская обл., р-н. Пролетарский, садовое товарищество «Заречное», 323, к.н. з.у.: 61:31:0500401:78, заявитель Донцов А.Н.» (1 шт.)</t>
  </si>
  <si>
    <t>«Установка системы учета для технологического присоединения «жилого дома», расположенного по адресу: 347560, РФ, Ростовская область, Песчанокопский район, с. Развильное, ул. Колхозная, 75-а к.н.з.у.:61:30:0090101:9349, заявитель Мораш С.В.» (1 шт.)</t>
  </si>
  <si>
    <t>«Установка системы учета для технологического присоединения «магазина», расположенного по адресу: 347568, РФ, Ростовская область, Песчанокопский район, с. Летник, ул. Тихвинская, 31-а к.н.з.у.:61:30:0060101:4892, заявитель ИП Каширина И.Н.» (1 шт.)</t>
  </si>
  <si>
    <t>«Установка системы учета для технологического присоединения «жилого дома», расположенного по адресу: 347565, РФ, Ростовская область, Песчанокопский район, с. Красная Поляна, ул. Талаева, 24  к.н.з.у.: 61:30:0050101:381, заявитель Серова Н.В.» (1 шт.)</t>
  </si>
  <si>
    <t>"Установка системы учета для технологического присоединения «жилого дома», расположенного по адресу: 347569, РФ, Ростовская область, Песчанокопский район, с. Рассыпное, пер. Веселый, д. 8 к.н. з. у.: 61:30:0100101:435, заявитель Горбуненко Р.Г.» (1 шт.)"</t>
  </si>
  <si>
    <t>«Установка системы учета для технологического присоединения «жилого дома», расположенного по адресу: 347567, РФ, Ростовская область, Песчанокопский район, с.  Жуковское, ул. Ленина, 71  к.н.з.у.: 61:30:0030101:572, заявитель Головатая А.А.» (1 шт.)</t>
  </si>
  <si>
    <t>"Установка системы учета для технологического присоединения объекта «жилой дом», расположенного по адресу: 347566, РФ, Ростовская область, Песчанокопский район, п. Раздельный, ул. Цветная, д. 7, к.н. з.у.: 61:30:0000000:3264, заявитель Абакумов К.В." (1 шт.)</t>
  </si>
  <si>
    <t>«Установка системы учета для технологического присоединения «жилого дома», расположенного по адресу: Российская Федерация, Ростовская обл., г. Сальск, СНТ «Железнодорожник», 11 бригада, участок 39, кадастровый номер земельного участка: 61:57:0010977:266, заявитель  Мурина Е.И.» (1 шт.)</t>
  </si>
  <si>
    <t>«Установка системы учета для технологического присоединения «жилого дома», расположенного по адресу: Российская Федерация, Ростовская обл., г. Сальск, СНТ «Железнодорожник», Бригада 12, дом 14 кадастровый номер земельного участка: 61:57:0010977:827, заявитель Луговой А.А.» (1 шт.)</t>
  </si>
  <si>
    <t>«Установка системы учета для технологического присоединения «жилого дома», расположенного по адресу: 347605 Российская Федерация, Ростовская обл., р-н. Сальский, с. Шаблиевка, ул. Димитрова, д. 2, корп. в, кадастровый номер земельного участка: 61:34:0050201:1, заявитель  Ковжогина Т.В.» (1 шт.)</t>
  </si>
  <si>
    <t>«Установка системы учета для технологического присоединения «жилого дома», расположенного по адресу: 347611 Российская Федерация, Ростовская обл., р-н. Сальский, х. Маяк, ул. Молодежная, д. 19, кадастровый номер земельного участка: 61:34:0160101:84, заявитель Коваленко В.В.» (1 шт.)</t>
  </si>
  <si>
    <t>«Установка системы учета для технологического присоединения «жилого дома», расположенного по адресу: Российская Федерация, Ростовская обл.,   г. Сальск, СНТ «Бровки», ул. Шоссейная, 38, кадастровый номер земельного участка: 61:34:0500801:128, заявитель  Карпенко О.А.» (1 шт.)</t>
  </si>
  <si>
    <t>«Установка системы учета для технологического присоединения «жилого дома», расположенного по адресу: Российская Федерация, Ростовская обл., г. Сальск, СНТ «Приток», ул. 27 Садовая, д. 18, кадастровый номер земельного участка: 61:34:0500401:651, заявитель Грибан Е.А.» (1 шт.)</t>
  </si>
  <si>
    <t>«Установка системы учета для технологического присоединения объекта «жилой дом», расположенного по адресу: 347609 Российская Федерация, Ростовская обл., р-н. Сальский, п. Белозерный, жт. Приманычская, д. 1, кадастровый номер земельного участка: 61:34:0600002:3688, заявитель Аскеров Т. Я.» (1 шт.)</t>
  </si>
  <si>
    <t xml:space="preserve">«Установка системы учета для технологического присоединения «базовая станция сотовой связи», расположенного по адресу: Российская Федерация, Ростовская обл., р-н. Сальский, п. Роща, GPS координаты 46.6219122, 41.3791228, заявитель ПАО «Ростелеком» (1 шт.) </t>
  </si>
  <si>
    <t xml:space="preserve">«Установка системы учета для технологического присоединения «базовая станция сотовой связи», расположенного по адресу: Российская Федерация, Ростовская обл., р-н. Сальский, п. Прогресс, GPS координаты 46.4318286, 41.6953418, заявитель ПАО «Ростелеком» (1 шт.)   </t>
  </si>
  <si>
    <t>«Установка системы учета для технологического присоединения «базовая станция сотовой связи», расположенного по адресу: Российская Федерация, Ростовская обл., р-н. Сальский, п. Поливной, GPS координаты 46.6093557, 41.5748258, заявитель ПАО «Ростелеком» (1 шт.)</t>
  </si>
  <si>
    <t>«Установка системы учета для технологического присоединения «базовая станция сотовой связи», расположенного по адресу: Российская Федерация, Ростовская обл., р-н. Сальский, п. Логвиновский, GPS координаты 46.5476416, 41.3946454, заявитель ПАО «Ростелеком» (1 шт.)</t>
  </si>
  <si>
    <t>«Установка системы учета для технологического присоединения «базовая станция сотовой связи», расположенного по адресу: Российская Федерация, Ростовская обл., р-н. Сальский, п. Загорье, GPS координаты 46.57154, 41.257771, заявитель ПАО «Ростелеком» (1 шт.)</t>
  </si>
  <si>
    <t xml:space="preserve">«Установка системы учета для технологического присоединения «Базовая станция сотовой связи», расположенного по адресу: 347612 Российская Федерация, Ростовская обл., р-н. Сальский, с. Сандата, ул. Красная, д. 2, корп. а, кадастровый номер земельного участка: 61:34:0170101:8102, заявитель ООО «Т2 Мобайл» (1 шт.)    </t>
  </si>
  <si>
    <t>«Установка системы учета для технологического присоединения «объекта торговли», расположенного по адресу: 347616 Российская Федерация, Ростовская обл., р-н Сальский, с. Новый Егорлык, ул. Советская, д. 4, корп. п, кадастровый номер земельного участка: 61:34:0110101:6649, заявитель Доценко М.Н.» (1 шт.)</t>
  </si>
  <si>
    <t>«Установка системы учета для технологического присоединения «жилого дома», расположенного по адресу: Российская Федерация, Ростовская обл., р-н. Сальский, СНТ Победа, Линия 4, д. 4, кадастровый номер земельного участка: 61:34:0500301:680, заявитель Клименко А.В.» (1 шт.)</t>
  </si>
  <si>
    <t>«Установка системы учета для технологического присоединения «строительная площадка», расположенного по адресу: Российская Федерация, Ростовская обл., Сальский р-н, в кадастровом квартале 61:34:0600002 с условным центром в п. Белозерный, поле 6о, кадастровый номер земельного участка: 61:34:0600002:3479, заявитель Казаков Р.А.»  (1 шт.)</t>
  </si>
  <si>
    <t>«Установка системы учета для технологического присоединения «квартира», расположенного по адресу: РФ, Ростовская область, Целинский район, с. Михайловка, ул. Комсомольская, д. 30, кв. 2, к.н.з.у.:61:40:0050101:587, заявитель Кучков С.И.»  (1 шт.)</t>
  </si>
  <si>
    <t>«Установка системы учета для технологического присоединения объекта «объект медицинского учреждения (врачебная амбулатория)», расположенного по адресу: 347525, РФ, Ростовская область, Орловский район, х. Камышевка, ул. Мира, д. 86 б, к.н.з.у.: 61:29:0050101:3337, заявитель МБУЗ «Центральная районная больница», Орловского района, Ростовской области.» (1 шт.)</t>
  </si>
  <si>
    <t>«Установка системы учета для технологического присоединения «здание СТФ корпус №2", расположенного по адресу: 347760, РФ, Ростовская область, Целинский район, п. Лиманный, Северная окраина, к.н. з.у.:61:40:0600011:637, заявитель Репьев Иван Михайлович» (1 шт.)</t>
  </si>
  <si>
    <t>«Установка системы учета для технологического присоединения «складское здание», расположенного по адресу: РФ, Ростовская область, Целинский район, х. Северный, ул. Молодежная, д. 90, к.н.з.у.:61:40:0031101:2443, заявитель Горишний А.А.»  (1 шт.)</t>
  </si>
  <si>
    <t>«Установка системы учета для технологического присоединения «базовая станция сотовой связи», расположенного по адресу: РФ, Ростовская область, Целинский район, п. Холодные Родники, в границах кадастрового квартала 61:40:0010701, заявитель ПАО «Ростелеком» (1 шт.)</t>
  </si>
  <si>
    <t>«Установка системы учета для технологического присоединения «базовая станция сотовой связи», расположенного по адресу: РФ, Ростовская область, Целинский район, х. Свободный, ул. Зеленая, в границах кадастрового квартала 61:40:0600013, заявитель ПАО «Ростелеком» (1 шт.)</t>
  </si>
  <si>
    <t>«Установка системы учета для технологического присоединения «базовая станция сотовой связи», расположенного по адресу: РФ, Ростовская область, Целинский район, х. Самарский, ул. Садовая, в границах кадастрового квартала 61:40:0030901, заявитель ПАО «Ростелеком» (1 шт.)</t>
  </si>
  <si>
    <t>«Установка системы учета для технологического присоединения «базовая станция сотовой связи», расположенного по адресу: РФ, Ростовская область, Целинский район, х. Ивановка, в границах кадастрового квартала 61:40:0100301, заявитель ПАО «Ростелеком» (1 шт.)</t>
  </si>
  <si>
    <t>«Установка системы учета для технологического присоединения «благоустройство парка по ул. Рубликова п. Вороново Целинского района Ростовской области», расположенной по адресу: 347763, РФ, Ростовская область, Целинский район, п. Вороново, ул. Рубликова, к.н. з. у.: 61:40:0000000:6306, заявитель Администрация Кировского сельского поселения» (1 шт.)</t>
  </si>
  <si>
    <t>"Установка системы учета для технологического присоединения «жилого дома», расположенного по адресу: 347603 Российская Федерация, Ростовская обл., р-н. Сальский, п. 25 лет Военконезавода, ул. Урожайная, д. 3, кадастровый номер земельного участка: 61:34:0040601:44, заявитель Чалый Н.Н."</t>
  </si>
  <si>
    <t>Установка системы учета для технологического присоединения объекта «нежилое здание», расположенного по адресу: 347512, РФ, Ростовская область, Орловский район, п. Орловский, ул. Комсомольская, д. 183-р, к.н. з.у.: 61:29:0600007:2392, заявитель Рыбальченко И.А. (1 шт.)</t>
  </si>
  <si>
    <t>Установка системы учета для технологического присоединения объекта «квартира», расположенного по адресу: 347525, РФ, Ростовская область, Орловский район, х. Камышевка, пер. Садовый, д. 2, кв. 2, к.н. з.у.: 61:29:0050101:266, заявитель Силкин В.П. (1 шт.)</t>
  </si>
  <si>
    <t>Установка системы учета для технологического присоединения объекта «жилой дом», расположенного по адресу: 347500, РФ, Ростовская область, Орловский район, х. Токмацкий, пер. Короткий, д. 1, к.н. з.у.: 61:29:0061001:556, заявитель Сербиненко А.И. (1 шт.)</t>
  </si>
  <si>
    <t>Установка системы учета для технологического присоединения объекта «жилой дом», расположенного по адресу: 347525, РФ, Ростовская область, Орловский район, х. Камышевка, ул. Мира, 34, к.н. з.у.: 61:29:0050101:239, заявитель Свириденко А.Н. (1 шт.)</t>
  </si>
  <si>
    <t>Установка системы учета для технологического присоединения объекта «Жилой дом», расположенного по адресу: 347525, РФ, Ростовская область, Орловский район, х. Камышевка, ул. А. Муравина, д. 30, к.н. з.у.: 61:29:0050101:389, заявитель Лупиногина Е.С. (1 шт.)</t>
  </si>
  <si>
    <t>Установка системы учета для технологического присоединения объекта «жилой дом», расположенного по адресу: 347500, РФ, Ростовская область, Орловский район, х. Широкий, ул. Весенняя, д. 16, к.н. з.у.: 61:29:0061101:55, заявитель Кузнеченкова О.М. (1 шт.)</t>
  </si>
  <si>
    <t>Установка системы учета для технологического присоединения объекта «Жилой дом», расположенного по адресу: 347526, РФ, Ростовская область, Орловский район, х. Курганный, пер. Театральный,10, к.н. з.у.: 61:29:0050301:170, заявитель Апарин В.И. (1 шт.)</t>
  </si>
  <si>
    <t>«Установка системы учета для технологического присоединения «водонапорная башня №2 с артезианской скважиной на воду №70012», расположенного по адресу: 347763, РФ, Ростовская область, Целинский район, п. Вороново, ул. 7-я линия, д. 6, к.н.з.у.:61:40:0030101:2935, заявитель муниципальное унитарное предприятие "Водо-Коммунальное хозяйство" Ростовской области Целинского района» (1 шт.)</t>
  </si>
  <si>
    <t>«Установка системы учета для технологического присоединения «квартиры», расположенного по адресу: 347760, РФ, Ростовская область, Целинский район, п. Новая Целина, ул. Ленина, д. 24, кв. 3, к.н.з.у.:61:40:0010149:49, заявитель Пляс Сергей Александрович» (1 шт.)</t>
  </si>
  <si>
    <t xml:space="preserve">«Установка системы учета для технологического присоединения «магазина с навесом», расположенного по адресу: 347612, Российская Федерация, Ростовская обл., р-н. Сальский, с. Сандата, ул. Калинина, д. 40, корп. «б», кадастровый номер земельного участка: 61:34:0170101:8113, заявитель Светличная С.И. (1 шт.)» </t>
  </si>
  <si>
    <t>«Установка системы учета для технологического присоединения «жилой дом», расположенного по адресу: 347602 Российская Федерация, Ростовская обл., р-н. Сальский, п. Степной Курган, ул. Пролетарская, д.69, корп. А, кадастровый номер земельного участка: 61:34:0100101:2452, заявитель Бойченко А.В. (1 шт.)»</t>
  </si>
  <si>
    <t>«Установка системы учета для технологического присоединения «жилой дом», расположенного по адресу: 347602 Российская Федерация, Ростовская обл., р-н. Сальский, п. Степной Курган, ул. Пролетарская, д.69, кадастровый номер земельного участка: 61:34:0100101:2451, заявитель Бойченко А.В. (1 шт.)»</t>
  </si>
  <si>
    <t>«Установка системы учета для технологического присоединения «объекта торговли», расположенного по адресу: 347609 Российская Федерация, Ростовская обл., Сальский р-н., п. Белозёрный, ул. Пионерская, д. 10, кадастровый номер земельного участка: 61:34:0080101:23, заявитель Тиунова Н.А. (1 шт.)»</t>
  </si>
  <si>
    <t xml:space="preserve">«Установка системы учета для технологического присоединения объекта «жилой дом», расположенного по адресу: 347523, РФ, Ростовская область, Орловский район, х. Верхнезундов, ул. Майская,6, к.н. з.у.: 61:29:0070301:32, заявитель Семенов И.А.  (1 шт.)»  </t>
  </si>
  <si>
    <t>«Установка системы учета для технологического присоединения объекта «жилой дом», расположенного по адресу: 347521, РФ, Ростовская область, Орловский район, х. Луганский, пер. Дальний,24, к.н. з.у.: 61:29:0010501:556, заявитель Захаров А.В.» (1 шт.)</t>
  </si>
  <si>
    <t>«Установка системы учета для технологического присоединения объекта «жилой дом», расположенного по адресу: 347523, РФ, Ростовская область, Орловский район, х. Веселый, ул. Степная, д. 43а, к.н. з.у.: 61:29:0070401:916, заявитель Степанов В.В. (1 шт.)»</t>
  </si>
  <si>
    <t>«Установка системы учета для технологического присоединения объекта «жилой дом», расположенного по адресу: 347524, РФ, Ростовская область, Орловский район, х. Черкесский, пер. Центральный, д. 22, к.н. з.у.: 61:29:0080401:1328, заявитель Бережной А.А.  (1 шт.)»</t>
  </si>
  <si>
    <t>«Установка системы учета для технологического присоединения «жилого дома», расположенного по адресу: 347566, РФ, Ростовская область, Песчанокопский район, п. Дальнее Поле, ул. Советская, 9 к.н.з.у.:61:30:0040101:203, заявитель Васютин Г.П.» (1 шт.)</t>
  </si>
  <si>
    <t>«Установка системы учета для технологического присоединения «жилого дома», расположенного по адресу: 347562, РФ, Ростовская область, Песчанокопский район, с. Богородицкое, пер. Советский, 84 к.н.з.у.:61:30:0020101:335, заявитель Ветров В.И.» (1 шт.)</t>
  </si>
  <si>
    <t>«Установка системы учета для технологического присоединения «жилого дома», расположенного по адресу: 347602, Российская Федерация, Ростовская обл., р-н. Сальский, п. Степной Курган, ул. Энгельса, 13, кадастровый номер земельного участка: 61:34:0100101:336, заявитель Васканова Т.М. (1 шт.)»</t>
  </si>
  <si>
    <t>«Установка системы учета для технологического присоединения «жилого дома», расположенного по адресу: 347612 Российская Федерация, Ростовская обл.,   р-н. Сальский, с. Сандата, ул. Калинина, д. 91, кадастровый номер земельного участка: 61:34:0170101:1623, заявитель Потапенко В.А. (1 шт.)»</t>
  </si>
  <si>
    <t>«Установка системы учета для технологического присоединения «жилого дома», расположенного по адресу: Российская Федерация, Ростовская обл.,   г. Сальск, СНТ «Железнодорожник», Бригада 2, дом 1, кадастровый номер земельного участка: 61:57:0010977:1160, заявитель Кравченко Т.Б. (1 шт.)»</t>
  </si>
  <si>
    <t>«Установка системы учета для технологического присоединения объекта «жилой дом», расположенного по адресу: 347527, РФ, Ростовская область, Орловский район, п. Правобережный, ул. Молодежная,19, к.н.з.у.: 61:29:0020301:4, заявитель   Хасанов А.С.  (1 шт.)»</t>
  </si>
  <si>
    <t>«Установка системы учета для технологического присоединения объекта «квартира», расположенного по адресу: 347527, РФ, Ростовская область, Орловский район, п. Волочаевский, ул. Молодежная,12, кв.2, к.н. з.у.: 61:29:0020101:214, заявитель Дейко В.М. (1шт.)»</t>
  </si>
  <si>
    <t>«Установка системы учета для технологического присоединения объекта «квартира», расположенного по адресу: 347526, РФ, Ростовская область, Орловский район, х. Курганный, пер. Театральный,7, кв.2 к.н.з.у.: 61:29:0050301:1389, заявитель   Донченко В.В.   (1шт.)»</t>
  </si>
  <si>
    <t>«Установка системы учета для технологического присоединения объекта «жилой дом», расположенного по адресу: 347525, РФ, Ростовская область, Орловский район, х. Камышевка, ул. Муравина,23, кв.2 к.н.з.у.: 61:29:0050101:373, заявитель Муравина Л.Г. (1 шт.)»</t>
  </si>
  <si>
    <t>«Установка системы учета для технологического присоединения объекта – «жилой дом», расположенного по адресу: 347525, РФ, Ростовская область, Орловский район, х. Камышевка, ул. Школьная,12/1, к.н.з.у.: 61:29:0050101:3331, заявитель Грициенко С.Ю.  (1 шт.)»</t>
  </si>
  <si>
    <t xml:space="preserve">«Установка системы учета для технологического присоединения объекта «Мастерская РМЦ», расположенного по адресу: 347512, РФ, Ростовская область, Орловский район, п. Орловский, ул. Южная.1, к.н.з.у.: 61:29:0101160:6, заявитель ИП Мединцов А.А.» (1 шт. ) </t>
  </si>
  <si>
    <t>«Установка системы учета для технологического присоединения объекта «Гундоровский сельский дом культуры», расположенного по адресу: 347506, РФ, Ростовская область, Орловский район, х. Гундоровский, ул. Центральная, д. 15, к.н. з.у.: 61:29:0030101:52, заявитель Муниципальное казенное учреждение культуры Донского сельского поселения Орловского района «Гундоровский сельский дом культуры» (1 шт.)»</t>
  </si>
  <si>
    <t>«Установка системы учета для технологического присоединения объекта «нежилое здание», расположенного по адресу: 347521, РФ, Ростовская область, Орловский район, х. Луганский, пер. Центральный, 5, к.н. з.у.:61:29:0010501:2279, заявитель ИП Ефремов В.А. (1шт.)»</t>
  </si>
  <si>
    <t>"Установка системы учета для технологического присоединения объекта «жилой дом», расположенного по адресу: 347500, РФ, Ростовская область, Орловский район, п. Красноармейский, ул. Восточная, 74 к.н. з.у.: 61:29:0060118:27, заявитель Астапенко С.В." (1шт.)</t>
  </si>
  <si>
    <t>«Установка системы учета для технологического присоединения объекта «склад», расположенного по адресу: 347501, РФ, Ростовская область, Орловский район, территория земель Майорского сельского поселения, примерно 200м на север от х. Майорский к.н. з.у.: 61:29:0600001:1775, заявитель ИП Казьменко А.Н. глава К(Ф)Х» (1шт.)</t>
  </si>
  <si>
    <t xml:space="preserve">"Установка системы учета для технологического присоединения «складское здание/помещение)», расположенного по адресу: 347760, РФ, Ростовская область, Целинский район, х. Северный, (Район МТМ), к.н.з.у.:61:40:0031101:818, заявитель ООО "Заречье" (1 шт.) </t>
  </si>
  <si>
    <t>"Установка системы учета для технологического присоединения «жилой дом», расположенного по адресу: 347763, РФ, Ростовская область, Целинский район, х. Самарский, ул. Садовая. Д. 68, к.н. з.у.: 61:40:0030901:2, заявитель Нуриева Гулноз Вохитовна" (1 шт.)</t>
  </si>
  <si>
    <t xml:space="preserve">"Установка системы учета для технологического присоединения «склад», расположенного по адресу: 347772, РФ, Ростовская область, Целинский район, х. Селим, ул. Луговая, 41 к.н. з. у.: 61:40:0050501:33, заявитель ИП Ковешников В.П." (1 шт.) </t>
  </si>
  <si>
    <t xml:space="preserve">"Установка системы учета для технологического присоединения «мастерская», расположенного по адресу: РФ, Ростовская область, Целинский район, с. Лопанка, ул. Октябрьская, д. 42, к.н.з.у.:61:40:0040101:1140, заявитель Дзреев Н.И." (1 шт.) </t>
  </si>
  <si>
    <t xml:space="preserve">"Установка системы учета для технологического присоединения «жилой дом», расположенного по адресу: РФ, Ростовская область, Целинский район, с. Средний Егорлык, ул. Советская, д. 63, к.н. з.у.: 61:40:0080101:69, заявитель Богрянцев Александр Юрьевич" (1 шт.) </t>
  </si>
  <si>
    <t xml:space="preserve">"Установка системы учета для технологического присоединения «Уличное освещение», расположенного по адресу: РФ, Ростовская область, Целинский район, п. Вороново, ул. С.М. Кирова, с к.н. 61:40:0030101:1978, заявитель Администрация Целинского района Ростовской области" (1 шт.) </t>
  </si>
  <si>
    <t>«Установка системы учета для технологического присоединения «жилого дома», расположенного по адресу: 347612 Российская Федерация, Ростовская обл., Сальский р-н., с. Сандата, ул. Калинина, д. 13, кадастровый номер земельного участка: 61:34:0170101:359, заявитель Супиянова А.А.» (1 шт.)</t>
  </si>
  <si>
    <t>"Установка системы учета для технологического присоединения «жилого дома», расположенного по адресу: 347567, РФ, Ростовская область, Песчанокопский район, с. Жуковское, ул. Социалистическая, д. 2-а к.н. з. у.: 61:30:0030101:4360, заявитель Музалев А.С." (1 шт)</t>
  </si>
  <si>
    <t>"Установка системы учета для технологического присоединения «здания», расположенного по адресу: 347569, РФ, Ростовская область, Песчанокопский район, с. Рассыпное, ул. Ленина, 1 к.н.з. у.: 61:30:0100101:2401, заявитель Капшуков В.И. (1 шт.)"</t>
  </si>
  <si>
    <t>"Установка системы учета для технологического присоединения объекта «Зерносклад», расположенного по адресу: 347505, РФ, Ростовская область, Орловский район, х. Греков, примерно в 300 м по направлению на восток от ориентира х. Греков, к.н. з.у.: 61:29:0600003:1435, заявитель ИП Чеботарев С.Д. глава К(Ф)Х  (1 шт.)"</t>
  </si>
  <si>
    <t>"Установка системы учета для технологического присоединения объекта «жилой дом», расположенного по адресу: 347525, РФ, Ростовская область, Орловский район, х. Камышевка, ул. А. Муравина, д. 16, кв. 1, к.н. з.у.: 61:29:0050101:403, заявитель Калей Н.Я.  (1 шт.)"</t>
  </si>
  <si>
    <t>"Установка системы учета для технологического присоединения объекта «квартира», расположенного по адресу: 347525, РФ, Ростовская область, Орловский район, х. Камышевка, пер. Мирный, д. 2, кв. 1, к.н. з.у.: 61:29:0050101:3067, заявитель Борисова Е.В.  (1 шт.)"</t>
  </si>
  <si>
    <t>«Установка системы учета для технологического присоединения «жилой дом», расположенного по адресу: Российская Федерация, Ростовская обл., р-он Пролетарский, х. Уютный, ул. Первомайская, д. 30, к.н. з.у.: 61:31:0100201:59, заявитель Максименко М.В.» (1 шт.)</t>
  </si>
  <si>
    <t>"Установка системы учета для технологического присоединения «жилой дом», расположенного по адресу: Российская Федерация, Ростовская обл., р-он Пролетарский, 4,1 км северо-западнее п.п. 1163 (х. Сухая Ельмута), к.н. з.у.: 61:31:0600009:614, заявитель Магомедов Ш.Р" (1 шт.)</t>
  </si>
  <si>
    <t>«Установка системы учета для технологического присоединения электроснабжения объекта «гараж», расположенного по адресу: РФ, Ростовская область, Пролетарский район, г. Пролетарск, ул. Матвеева, д.11/70, к.н. 61:31:0110262:53, заявитель Лысенко В. И.» (1 шт.)</t>
  </si>
  <si>
    <t>«Установка системы учета для технологического присоединения объекта «жилой дом», расположенного по адресу: 347527, РФ, Ростовская область, Орловский район, п. Правобережный, ул. Молодежная,19/2, к.н.з.у.: 61:29:0020301:4, заявитель   Элесханова С.К. (1 шт.)»</t>
  </si>
  <si>
    <t>«Установка системы учета для технологического присоединения объекта «жилой дом», расположенного по адресу: 347524, РФ, Ростовская область, Орловский район, х. Пролетарский, ул. Молодежная,23, к.н.з.у.: 61:29:0080101:232, заявитель   Гаммаева З.М.  (1 шт.)»</t>
  </si>
  <si>
    <t xml:space="preserve">«Установка системы учета для технологического присоединения объекта «жилой дом», расположенного по адресу: 347500, РФ, Ростовская область, Орловский район, х. Токмацкий, ул. Речная, д. 11, к.н. з.у.: 61:29:0061001:38, заявитель Сардак Л.П. (1 шт.)» </t>
  </si>
  <si>
    <t>«Установка системы учета для технологического присоединения «жилого дома», расположенного по адресу: 347560, РФ, Ростовская область, Песчанокопский район, с. Развильное, ул. Ростовская, 246 к.н.з.у.:61:30:0090101:218, заявитель Иванова Ю.В.» (1 шт.)</t>
  </si>
  <si>
    <t>«Установка системы учета для технологического присоединения «жилого дома», расположенного по адресу: 347567, РФ, Ростовская область, Песчанокопский район, с. Жуковское, ул. Ленина, 140, к.н.з.у.:61:30:0030101:617, заявитель Жуков А.В.» (1 шт.)</t>
  </si>
  <si>
    <t xml:space="preserve"> «Установка системы учета для технологического присоединения «жилой дом», расположенного по адресу: Российская Федерация, Ростовская обл.,    р-он Пролетарский, ст-ца Будённовская, ул. Гремучая, д. 1, кв./оф. 2 к.н. з.у.: 61:31:020101:0023, заявитель Губанова Л.А.» (1 шт.)</t>
  </si>
  <si>
    <t>«Установка системы учета для технологического присоединения объекта «нежилое здание», расположенного по адресу: Российская Федерация, Ростовская обл., р-он Пролетарский, в 840 м юго-запад от западной границы х. Уютный, к.н. з.у.: 61:31:0600011:866, заявитель ИП глава К(Ф)Х Форост Ю.И.» (1 шт.)</t>
  </si>
  <si>
    <t>«Установка системы учета для технологического присоединения объекта медицинского учреждения, расположенного по адресу: Российская Федерация, Ростовская обл., р-н. Пролетарский, х. Мокрая Ельмута, ул. Городовикова, д. 1/6, к.н. з.у.: 61:31:0050101:1064, заявитель МБУЗ «ЦРБ» Пролетарского района» (1 шт.)</t>
  </si>
  <si>
    <t xml:space="preserve">«Установка системы учета для технологического присоединения «жилого дома», расположенного по адресу: Российская Федерация, Ростовская обл., г. Сальск, СНТ «Железнодорожник», 11 бригада, участок 48, кадастровый номер земельного участка: 61:57:0010977:1116, заявитель Лучинина А.С. (1 шт.)» </t>
  </si>
  <si>
    <t xml:space="preserve">«Установка системы учета для технологического присоединения «дома», расположенного по адресу: Российская Федерация, Ростовская обл., р-н. Сальский, х. Бровки, СНТ №2 «Бровки», ул. 6-я линия, 18, кадастровый номер земельного участка: 61:34:0500801:625, заявитель Сенчакова Л.И. (1 шт.)» </t>
  </si>
  <si>
    <t>«Установка системы учета для технологического присоединения «жилого дома», расположенного по адресу: 347626 Российская Федерация, Ростовская обл., р-н. Сальский, с. Романовка, ул. Комсомольская, д. 18, кадастровый номер земельного участка: 61:34:0140101:1696, заявитель Харченко В.Н.» (1 шт.)</t>
  </si>
  <si>
    <t xml:space="preserve">«Установка системы учета для технологического присоединения «жилого дома», расположенного по адресу: 347628 Российская Федерация, Ростовская обл., р-н Сальский, п. Клёны, ул. Солнечная, д.52, кадастровый номер земельного участка: 61:34:0010401:261, заявитель Деловаров Н.Т. (1 шт.)» </t>
  </si>
  <si>
    <t>«Установка системы учета для технологического присоединения «магазин», расположенного по адресу: 347762, РФ, Ростовская область, Целинский район, с. Средний Егорлык, ул. Советская, д. 49 а, к.н. з.у.: 61:40:0080101:5437, заявитель Карташова Лариса Викторовна» (1 шт.)</t>
  </si>
  <si>
    <t xml:space="preserve">"Установка системы учета для технологического присоединения «жилой дом», расположенного по адресу: 347762, РФ, Ростовская область, Целинский район, с. Средний Егорлык, ул. Первомайская, д. 173, к.н.з.у.:61:40:0080101:1269, заявитель Емельянцев Б.Г." (1 шт.) </t>
  </si>
  <si>
    <t xml:space="preserve">"Установка системы учета для технологического присоединения «квартира», расположенного по адресу: 347763, РФ, Ростовская область, Целинский район, х. Первомайский, ул. Механизаторов, д. 11, кв. 1, к.н. з.у.: 61:40:0030701:77, заявитель Рудый Игорь Алексеевич" (1 шт.) </t>
  </si>
  <si>
    <t>«Установка системы учета для технологического присоединения «магазин», расположенного по адресу: 347775, РФ, Ростовская область, Целинский район, с. Ольшанка, ул. Торговая, д.7/1, к.н.з.у.:61:40:060101:35, заявитель ИП Конышева В.В.» (1 шт.)</t>
  </si>
  <si>
    <t>«Установка системы учета для технологического присоединения «гаражи», расположенного по адресу: 347760, РФ, Ростовская область, Целинский район, п. Целина, ул. Строителей, д. 3, к.н.з.у.:61:40:0010102:61, заявитель ИП Ивченко А.А.» (1 шт.)</t>
  </si>
  <si>
    <t>«Установка системы учета для технологического присоединения объекта «скважина», расположенного по адресу: 347527, РФ, Ростовская область, Орловский район, примерно в 1,6 км по направлению на юго-запад от ориентира п. Правобережный, к.н. з.у.: 61:29:600012:0040, 61:29:600012:0041, заявитель ООО «Солнечное (1шт.)»</t>
  </si>
  <si>
    <t>«Установка системы учета для технологического присоединения объекта «Общежитие», расположенного по адресу: 347527, РФ, Ростовская область, Орловский район, п. Рунный, примерно в 6 км по направлению на север от п. Рунный, к.н. з.у.: 61:29:600012:0050, заявитель ООО «Солнечное» (1-шт.)»</t>
  </si>
  <si>
    <t>«Установка системы учета для технологического присоединения «Административное здание», расположенного по адресу: 347525, РФ, Ростовская область, Орловский район, х. Камышевка, ул. Школьная, д. 57, к.н. з.у.: 61:29:0050101:3307, заявитель Двойнянский торгово-производственный потребительский кооператив (1 шт.)»</t>
  </si>
  <si>
    <t>«Установка системы учета для технологического присоединения объекта «жилой дом», расположенного по адресу: 347525, РФ, Ростовская область, Орловский район, х. Камышевка, пер. Кооперативный, д. 6, к.н. з.у.: 61:29:0050101:165, заявитель Куделина А.Н. (1 шт.)»</t>
  </si>
  <si>
    <t xml:space="preserve">«Установка системы учета для технологического присоединения объекта «жилой дом», расположенного по адресу: 347524, РФ, Ростовская область, Орловский район, х. Черкесский, ул. Транспортная, д. 63, к.н. з.у.: 61:29:0080401:77, заявитель Фирсова Л.Г. (1шт.)» </t>
  </si>
  <si>
    <t>«Установка системы учета для технологического присоединения объекта «жилой дом», расположенного по адресу: 347500, РФ, Ростовская область, Орловский район, п. Красноармейский, ул. Кирова, д. 14, к.н. з.у.: 61:29:060113:0001, заявитель Бондарь С.Н. (1шт.)»</t>
  </si>
  <si>
    <t>«Установка системы учета для технологического присоединения объекта «жилой дом», расположенного по адресу: 347500, РФ, Ростовская область, Орловский район, п. Красноармейский, ул. Ленина, д. 81, к.н. з.у.: 61:29:0060130:7, заявитель Бойко А.Н. (1 шт.)»</t>
  </si>
  <si>
    <t>«Установка системы учета для технологического присоединения объекта «жилой дом», расположенного по адресу: 347506, РФ, Ростовская область, Орловский район, х. Донской, ул. Цветочная, д. 9, к.н. з.у.: 61:29:0030201:41, заявитель Шишкин А.И. (1 шт.)»</t>
  </si>
  <si>
    <t>«Установка системы учета для технологического присоединения «Бойни (убойного пункта)», расположенного по адресу: 347505, РФ, Ростовская область, Орловский район, х. Каменная Балка, 9-тый км. автодороги п. Орловский-х. Майорский, 200м по направлению на юго-запад от х. Каменная Балка, к.н. з.у.: 61:29:06000031:1524, заявитель ИП Овсянников С.С. глава К(Ф)Х (1 шт.)»</t>
  </si>
  <si>
    <t>«Установка системы учета для технологического присоединения объекта «квартира», расположенного по адресу: 347506, РФ, Ростовская область, Орловский район, х. Гундоровский, ул. Вишневая, д. 1, кв. 2 к.н. з.у.: 61:29:0030101:2, заявитель Шинкаренко С.В. (1-шт.)»</t>
  </si>
  <si>
    <t>«Установка системы учета для технологического присоединения объекта «жилой дом», расположенного по адресу: 347505, РФ, Ростовская область, Орловский район, х. Журавлев, ул. Транспортная, д. 11 к.н. з.у.: 61:29:0040401:50, заявитель Матвеенко С.А. (1 шт.)»</t>
  </si>
  <si>
    <t xml:space="preserve">«Установка системы учета для технологического присоединения объекта «жилой дом», расположенного по адресу: 347512, РФ, Ростовская область, Орловский район, п. Орловский, примерно в 2,0 км по направлению на северо-восток от п. Орловский и 2,0 км 750 м на северо-восток от дороги  п. Орловский-Киевка-Ремонтное, к.н. з.у.: 61:29:0101078:287, заявитель Пикалов С.А.» (1 шт.)» </t>
  </si>
  <si>
    <t>"Установка системы учета для технологического присоединения «жилого дома», расположенного по адресу: 347569, РФ, Ростовская область, Песчанокопский район, с. Рассыпное, ул. Набережная, 6  к.н.з.у.: 61:30:0100101:532, заявитель Ковалев П.П.» (1 шт.)"</t>
  </si>
  <si>
    <t>«Установка системы учета для технологического присоединения «жилого дома», расположенного по адресу: 347569, РФ, Ростовская область, Песчанокопский район, с. Рассыпное, ул. Набережная, д. 23 к.н. з. у.: 61:30:0100101:500, заявитель Ковалёв П.П.» (1 шт)</t>
  </si>
  <si>
    <t>"Установка системы учета для технологического присоединения «жилого дома», расположенного по адресу: 347569, РФ, Ростовская область, Песчанокопский район, с. Рассыпное, ул. Котовского, д. 10 к.н. з. у.: 61:30:0100101:164, заявитель Крылова Л.В. (1 шт)"</t>
  </si>
  <si>
    <t>«Установка системы учета для технологического присоединения «жилой дом", расположенного по адресу: 347769, РФ, Ростовская область, Целинский район, с. Лопанка, ул. Мира, д.3, к.н. з.у.:61:40:0040101:1375, заявитель Панамарчук Владимир Александрович» (1 шт.)</t>
  </si>
  <si>
    <t>«Установка системы учета для технологического присоединения «жилой дом», расположенного по адресу: 347760, РФ, Ростовская область, Целинский район, х. Северный, ул. Новая, д. 1а/1, к.н.з.у.:61:40:0031101:2437, заявитель Аладинова С.М.» (1 шт.)</t>
  </si>
  <si>
    <t>«Установка системы учета для технологического присоединения «жилой дом», расположенного по адресу: РФ, Ростовская область, Целинский район, с. Михайловка, ул. Комсомольская, д. 39, к.н. з.у.: 61:40:0050101:478, заявитель Дворцов Павел Дмитриевич» (1 шт.)</t>
  </si>
  <si>
    <t>«Установка системы учета для технологического присоединения «жилой дом», расположенного по адресу: 347776, РФ, Ростовская область, Целинский район, х. Ивановка, ул. Интернациональная, д. 32, к.н.з.у.:61:40:0100301:11, заявитель Мухаммедова Д.Б.» (1 шт.)</t>
  </si>
  <si>
    <t>«Установка системы учета для технологического присоединения «жилой дом», расположенного по адресу: 347776, РФ, Ростовская область, Целинский район, х. Ивановка, ул. Интернациональная, д.23, к.н.з.у.:61:40:0100301:1, заявитель Мухаммедов К.Т.» (1 шт.)</t>
  </si>
  <si>
    <t>«Строительство ВЛ 0,4 кВ от опоры №1-00/2-5 ВЛ 0,4 кВ Л-1 КТП 10/0,4 кВ №1 по ВЛ 10 кВ Л-9 Трубецкая для электроснабжения объекта –«объект животноводства», расположенного по адресу: Ростовская обл., Сальский район, п. Нижнеянинский, в кадастровом квартале 61:34:0600005 с условным центром в п. Нижнеянинском, кадастровый номер земельного участка: 61:34:0600005:3993, заявитель Юркин И.А.»</t>
  </si>
  <si>
    <t>«Строительство ВЛ 10 кВ от опоры №7-00/333 по ВЛ 10 кВ Л-7 Сандатовская, строительство КТП 10/0,4 и ВЛ 0,4 кВ для электроснабжения объекта –здание МТФ, расположенного по адресу: РФ, Ростовская область, Сальский район, х.Крупский, 500 м на юг от х.Крупский, к.н. 61.34.0600019:3163, заявитель Магомедов М.М.» (Ориентировочная протяженность ЛЭП - 0,29 км, ориентировочная мощность ТП – 0,025 МВА)</t>
  </si>
  <si>
    <t>"Строительство ВЛ 10 кВ от опоры №4-01/135 ВЛ 10 кВ Л-4 Лопанская, строительство КТП 10/0,4 и ВЛ 0,4 кВ для электроснабжения объекта – «объект сельскохозяйственного производства», расположенного по адресу: РФ, Ростовская область, Целинский район, с. Средний Егорлык, СПК «Московский», к.н.: 61:40:0600015:3628, заявитель ИП глава КФХ Давиденко Александр Павлович. (Ориентировочная протяженность ЛЭП – 0,16 км, ориентировочная мощность ТП – 0,025 МВА)"</t>
  </si>
  <si>
    <t>Строительство ВЛ 10 кВ от опоры №13-00/11 ВЛ 10 кВ Л-13 Пролетарская, строительство КТП 10/0,4 и ВЛ 0,4 кВ для электроснабжения объекта – «производственное здание/помещение», расположенного по адресу: РФ, Ростовская область, Пролетарский район, г. Пролетарск, пер Чкалова, д. 22-в, к.н.: 61:31:0110470:12, заявитель ООО «Импульс». (Ориентировочная протяженность ЛЭП – 0,015 км, ориентировочная мощность ТП – 0,25 МВА)</t>
  </si>
  <si>
    <t>Строительство ВЛ 0,4 кВ от опоры № 1-00/1 ВЛ 0,4 кВ Л-1 ТП 10/0,4 кВ № 102 по ВЛ 10 кВ Л-4 Уютная, для электроснабжения объекта – «дачный дом», расположенного по адресу: РФ, Ростовская область, Пролетарский район, СА «Уютная», отделение 3, контур 310, к.н.: 61:31:0600011:939, заявитель Федоряченко Е.С.» (Ориентировочная протяженность ЛЭП – 0,065 км)</t>
  </si>
  <si>
    <t xml:space="preserve">«Строительство ВЛ 0,4 кВ от опоры №3-00/7 ВЛ 0,4 кВ Л-3 КТП 10/0,4 кВ № 297 по ВЛ 10 кВ Л-7 Ленинец, для электроснабжения объекта – «Базовая станция сотовой связи», расположенного по адресу: 347629, РФ, Ростовская область, р-н. Сальский, п. Приречный, ул. Школьная, д. 16б, кадастровый номер земельного участка: 61:34:0130101:1829, заявитель ООО «Т2 Мобайл» (Ориентировочная протяженность ЛЭП – 0,03 км)» </t>
  </si>
  <si>
    <t>«Строительство ВЛ 0,4 кВ от ЗТП 10/0,4 кВ № 65 по ВЛ 10 кВ Л-7 Пролетарская, для электроснабжения объекта – «Базовая станция сотовой связи БС 61-01611», расположенного по адресу: 347540 Российская Федерация, Ростовская обл., р-н. Пролетарский., г. Пролетарск, переулок Красный, в районе дома №98, к.н.з.у. 61:31:0110116:307., заявитель Филиал публичного акционерного общества «Мобильные ТелеСистемы» в Ростовской области.» (Ориентировочная протяженность ЛЭП – 0,20 км)</t>
  </si>
  <si>
    <t>«Строительство ВЛ 0,4 кВ от опоры №4-00/1 ВЛ 0,4 кВ Л-4 КТП 10/0,4 кВ №17 по ВЛ 10 кВ Л-1 Красный Партизан для электроснабжения объекта – «объект сельскохозяйственного производства», расположенного по адресу: Ростовская обл., Сальский район, в кадастровом квартале 61:34:0600001 с условным центром в п. Новостепной, кадастровый номер земельного участка: 61:34:0600001:2605, заявитель ИП Глава К(Ф)Х Брыкунов С.А. (Ориентировочная протяженность ЛЭП - 0,15 км)»</t>
  </si>
  <si>
    <t xml:space="preserve">«Установка системы учета для технологического присоединения «крытый ток», расположенного по адресу: 347615 Российская Федерация, Ростовская обл., р-н. Сальский, с. Новый Егорлык, ул. Ленина, д. 10, корп. е, кадастровый номер земельного участка: 61:34:0110101:6629, заявитель ООО «Русь» (1 шт.)» </t>
  </si>
  <si>
    <t>«Строительство ВЛ 6 кВ от опоры 1-00/117 по ВЛ 6 кВ Л-1 Екатериновская, СТП 6/0,4 кВ и ВЛ 0,4 кВ для электроснабжения: объекта «домик отдыха», расположенного по адресу: Российская федерация, Ростовская обл., р-н. Сальский, п. Манычстрой, Левый берег реки Маныч 6 км. + 540 северо-западнее от разъезда «Маныч», кадастровый номер земельного участка 61:34:0600006:301, заявитель Перевозченко Н.А.» (Ориентировочная протяженность ЛЭП-0,07 км, ориентировочная мощность ТП-0,025 МВА)</t>
  </si>
  <si>
    <t>«Строительство участка ВЛИ 0,4 кВ от опоры 3-00/13 ВЛ 0,4 кВ Л-3  КТП 10/0,4 кВ №235 по ВЛ 10 кВ Л-2 Целинский ССК для электроснабжения объекта – «базовая станция сотовой связи БС-2701», расположенного по адресу: РФ, Ростовская область, Целинский район, х. Северный, ул. Молодежная, д. 92, с к.н. з.у.: 61:40:0031101:2459, заявитель ООО «Т2 Мобайл» (Ориентировочная протяженность ЛЭП-0,19 км)</t>
  </si>
  <si>
    <t>«Установка системы учета для технологического присоединения «объекта заявителя», расположенного по адресу: Российская Федерация, Ростовская обл., р-н. Пролетарский, х. Русский, ул. Центральная, д.1, к.н. з.у.:61:31:0030301:148, заявитель ООО «Лерон» (1 шт.)</t>
  </si>
  <si>
    <t>«Строительство ВЛ 0,4 кВ от опоры №2-00/15 ВЛ 0,4 кВ Л-2 КТП 10/0,4 кВ №215 по ВЛ 10 кВ Л-6 Ново-Егорлыкская для электроснабжения: «земельного участка», расположенного по адресу: 347615 Ростовская обл., р-н. Сальский, с. Новый Егорлык, ул. Фрунзе, д. 35, кадастровый номер земельного участка: 61:34:0110101:6958, заявитель Попчин Т.В.» (Ориентировочная протяженность ЛЭП - 0,02 км)</t>
  </si>
  <si>
    <t>«Строительство ВЛ 0,4 кВ от опоры №2-00/9 ВЛ-0,4 кВ Л-2 КТП-10/0,4кВ №892 по ВЛ-10 кВ Л-4 ПС Буденновская для электроснабжения объекта – «объект видеонаблюдения», расположенного по адресу: РФ, Ростовская обл., р-н. Пролетарский, СПК им. Красных Партизан, поле VII, py 29, к.н.: 61:31:0600009:673, заявитель ООО «Авис-Юг» (Ориентировочная протяженность ЛЭП – 0,165 км)</t>
  </si>
  <si>
    <t>«Строительство ВЛ 0,4 кВ от опоры №2-00/3-3 ВЛ 0,4 кВ Л-2 КТП 10/0,4 кВ №234 по ВЛ 10 кВ Л-3 Березовская для электроснабжения объекта –«объект сельскохозяйственного производства», расположенного по адресу: Ростовская обл., Сальский район, в кадастровом квартале 61:34:0600016 с условным центром в с. Березовка, кадастровый номер земельного участка 61:34:0600016:1321, заявитель Тесленко С.Н.» (Ориентировочная протяженность ЛЭП – 0,09 км)</t>
  </si>
  <si>
    <t>Строительство ВЛ 0,4 кВ от опоры №2-00/9 ВЛ 0,4 кВ Л-2 КТП 10/0,4 кВ № 416 по ВЛ 10 кВ Л-1 Южная, установка системы учета для технологического присоединения – «БС №61-03028», расположенной по адресу: РФ, Ростовская область, Песчанокопский район, п. Дальнее Поле, южнее земельного участка ул. Садовая, 2/1 к.н.: 61:30:0040101:93, заявитель ПАО «МТС» (Ориентировочная протяженность ЛЭП – 0,080 км)</t>
  </si>
  <si>
    <t>«Строительство ВЛИ 0,4кВ от существующей опоры 1-00/15 ВЛ 0,4кВ Л-1 КТП 10/0,4кВ №130 ВЛ 10кВ Л-2 Целинский ССК для технологического присоединения «жилой дом», расположенного по адресу: РФ, Ростовская область, Целинский район, х. Северный, ул. Молодежная, д. 44/1, к.н.з.у.:61:40:0031101:2414, заявитель Лохматов С.Н.»  (Ориентировочная протяженность ЛЭП-0,05 км)</t>
  </si>
  <si>
    <t>«Строительство ВЛИ 0,4 кВ от РУ 0,4 кВ КТП 10/0,4 кВ №239 ВЛ 10 кВ Л-1 Ольшанская и установка системы учета электрической энергии (мощности) на границе земельного участка для технологического присоединения «объект крестьянского (фермерского) хозяйства», расположенного по адресу: РФ, Ростовская область, Целинский район, с. Васильевка, Ольшанское сельское поселение, восточная окраина, к.н.з.у.:61:40:0600001:788, заявитель ИП глава КФХ Соннов А.А.» (Ориентировочная протяженность ЛЭП - 0,3 км)</t>
  </si>
  <si>
    <t>«Строительство ВЛ 0,4 кВ от опоры №1-00/10-2 ВЛ 0,4 кВ Л-2 КТП 10/0,4 кВ №160 по ВЛ 10 кВ Л-2 РП 21 С, для электроснабжения объекта – «автомобильная мойка», расположенного по адресу: Российская Федерация, Ростовская обл, р-н Сальский, п. Конезавод имени Буденного, ул. Комсомольская, д. 1-а, кадастровый номер земельного участка 61:34:0040101:3702, заявитель Мурсалиев Р.К.» (Ориентировочная протяженность ЛЭП – 0,03 км)</t>
  </si>
  <si>
    <t>«Строительство ВЛ 0,4 кВ от опоры №2-01/14 ВЛ 0,4 кВ Л-2 КТП 10/0,4 кВ    № 301 по ВЛ 10 кВ Л-3 Волочаевская, для электроснабжения объекта – «Вводно-распределительное устройство», расположенного по адресу: РФ, Ростовская область, Орловский район, п. Волочаевский, ул. Октябрьская, д. 49, к.н. з.у.: 61:29:0020101:1896, заявитель ИП Головко В.А. глава К(Ф)Х» (Ориентировочная протяженность ЛЭП – 0,046 км)</t>
  </si>
  <si>
    <t>«Строительство ТП 10/0,4 кВ от опоры №4-00/222 по ВЛ 10 кВ Л-4 Ново-Егорлыкская, строительство ВЛ 0,4 кВ от РУ 0,4 кВ вновь строящейся ТП 10/0,4 кВ для электроснабжения объекта –«жилой дом», расположенного по адресу: 347626 Российская Федерация, Ростовская область, Сальский район, с. Романовка, жт. Канал, д.1, кадастровый номер земельного участка 61:34:0140101:402, заявитель Хантуева З.М.» (Ориентировочная протяженность ЛЭП – 0,025 км, ориентировочная мощность ТП – 0,025 МВА)</t>
  </si>
  <si>
    <t>«Установка системы учета для технологического присоединения «строительная площадка», расположенной по адресу: 347561, РФ, Ростовская область, Песчанокопский район, с. Развильное, от пер. Березовый, д.2  300 м на восток, к.н.з.у.:61:30:0090101:9584, заявитель ООО "Югагромаш» (1 шт.)</t>
  </si>
  <si>
    <t>«Строительство ВЛ 0,4 кВ от опоры №1-00/2-3 ВЛ 0,4 кВ Л-1 КТП №76 по ВЛ 10 кВ Л-6 РП-1-6П для электроснабжения объекта «гараж», расположенного по адресу: Российская Федерация, Ростовская обл., р-н. Пролетарский, г. Пролетарск, ул. Московская, д. 23/45, заявитель Бабкин М.И.»</t>
  </si>
  <si>
    <t>«Строительство ВЛ 0,4 кВ от КТП 10/0,4 кВ №304 по ВЛ 10 кВ Л-1 Краснополянская для электроснабжения объекта –«ангар», расположенного по адресу: 347565 Российская Федерация, Ростовская обл., р-н. Песчанокопский, с. Красная Поляна, ул. Владимирова, д. 38, к.н.з.у. 61:30:0050101:5442, заявитель ИП глава КФХ Ковтунов Е.Н.» (Ориентировочная протяженность ЛЭП – 0,025 км)</t>
  </si>
  <si>
    <t>Строительство ВЛ 10 кВ от опоры №1-00/183 ВЛ 10 кВ Л-1 Ивановская, строительство КТП 10/0,4 и ВЛ 0,4 кВ для электроснабжения объекта –«насосная станция», расположенного по адресу: РФ, Ростовская область, Сальский район, с. Ивановка, 6 км от с. Ивановка, стр. б/н, к.н.з.у. 61.34.0600018:0966, заявитель Колесников М.М.» (Ориентировочная протяженность ЛЭП - 4,41 км, ориентировочная мощность ТП – 0,025 МВА)</t>
  </si>
  <si>
    <t>Строительство ВЛ 0,4 кВ от опоры №3-00/16 ВЛ 0,4 кВ Л-3 КТП 10/0,4 кВ №182 по ВЛ 10 кВ Л-10 Сандатовская, для электроснабжения объекта – «ангар», расположенного по адресу: 347612 Российская Федерация, Ростовская обл, р-н Сальский, с. Сандата, ул. Социалистическая, д. 34, кадастровый номер земельного участка 61:34:0170101:2315, заявитель ИП Елисеев А.Г.» (Ориентировочная протяженность ЛЭП – 0,03 км)</t>
  </si>
  <si>
    <t>«Строительство ВЛИ 0,4 кВ от существующей опоры №1-00/10 ВЛ 0,4 кВ  Л-1 КТП 10/0,4 кВ №268 по ВЛ 10 кВ Л-3 Летницкая и установка системы учета электрической энергии (мощности) на границе земельного участка для электроснабжения объекта  «нежилого помещения», расположенного по адресу: 347568, РФ, Ростовская область, Песчанокопский район, с. Летник, ул. Мичурина, д. 43, кв 2, 3, 4, к.н.: 61:30:0060101:3576, заявитель АО «Почта России» (Ориентировочная протяженность ЛЭП-0,04 км)</t>
  </si>
  <si>
    <t>«Строительство ВЛИ 0,4 кВ от существующей опоры 1-00/10 ВЛ 0,4 кВ Л-1 КТП 10/0,4 кВ №296 ВЛ 10 кВ Л-3 Целинская для технологического присоединения «база строительных материалов», расположенного по адресу: РФ, Ростовская область, Целинский район, п. Целина, ул. Продольная, д. 7/1, к.н.з.у.:61:40:0010155:41, заявитель ИП Горлов С.А.» (Ориентировочная протяженность ЛЭП – 0,1 км)</t>
  </si>
  <si>
    <t>«Строительство ВЛ 0,4 кВ от опоры №4-00/3 ВЛ 0,4 кВ Л-4 КТП 10/0,4 кВ №389 по ВЛ 10 кВ Л-3 Чапаевская, для электроснабжения объекта – «объект крестьянского (фермерского) хозяйства», расположенного по адресу: 347626 Российская Федерация, Ростовская обл, р-н Сальский, с. Романовка, ул. Юбилейная, д. 16 а, кадастровый номер земельного участка 61:34:0140101:1587, заявитель ИП Ковалев А.А.» (Ориентировочная протяженность ЛЭП – 0,08 км)</t>
  </si>
  <si>
    <t>«Строительство ВЛ 10 кВ от опоры №16-00/22 ВЛ 10 кВ Л-16 Сальская, строительство ТП 10/0,4 и ВЛ 0,4 кВ для электроснабжения объекта – «объект сельскохозяйственного производства», расположенного по адресу: Российская Федерация, Ростовская обл., р-н Сальский, г. Сальск, ул. Мелиоративная, 9, кадастровый номер земельного участка 61:57:0010214:22, заявитель ООО «Сальская ярмарка»</t>
  </si>
  <si>
    <t>«Строительство ВЛ 10 кВ от опоры №6-00/59 ВЛ 10 кВ Л-6 Шаблиевская, строительство КТП 10/0,4 и ВЛ 0,4 кВ для электроснабжения объекта – «нежилая застройка», расположенного по адресу: РФ, Ростовская обл, р-н Сальский, 800м. на северо-запад от с. Шаблиевка, строение б/н, кадастровый номер земельного участка 61:34:0600009:5, заявитель Рыжков И.С.» (Ориентировочная протяженность ЛЭП – 0,260 км, ориентировочная мощность ТП – 0,025 МВА)»</t>
  </si>
  <si>
    <t>«Строительство ВЛ 10 кВ от опоры 1-01/36 ВЛ 10 кВ Л-1 ПС Уютная, строительство КТП 10/0,23 и ВЛ 0,23 кВ для электроснабжения объекта – «дачный дом», расположенного по адресу: РФ, Ростовская обл.,р-н. Пролетарский, СА "Уютная", отделение 3, контур 304, кадастровый номер земельного участка: 61:31:0600011:860, заявитель Огрызько Ю.В. (Ориентировочная протяженность ЛЭП – 1,11 км, ориентировочная мощность ТП – 0,010 МВА)»</t>
  </si>
  <si>
    <t>«Строительство ВЛ 0,4 кВ от ЗТП-10/0,4кВ №1248 по ВЛ-10 кВ Л-4 ПС КРС для электроснабжения объекта-«жилой дом», расположенного по адресу: РФ, Ростовская обл., р-н. Пролетарский, п. Опенки, ул. Каштанов, д.1, заявитель Просяная Т.Д.» (Ориентировочная протяженность ЛЭП-0,35 км)»</t>
  </si>
  <si>
    <t>«Строительство ВЛИ 0,4 кВ от существующей опоры 1-00/1 ВЛ 0,4 кВ Л-1 КТП 10/0,4 кВ №267 ВЛ 10 кВ Л-1 Ольшанская для технологического присоединения «складское здание/помещение», расположенного по адресу: РФ, Ростовская область, Целинский район, с. Ольшанка, Ольшанское сельское поселение, в границах СПК «Победа», поле №42, к.н.з.у.:61:40:0600001:1363, заявитель ИП глава КФХ Соннов А.А.»   (Ориентировочная протяженность ЛЭП-0,04 км)</t>
  </si>
  <si>
    <t>«Реконструкция ВЛ 0,4 кВ от опоры №1-00/19 ВЛ 0,4 кВ Л-1 КТП 10/0,4 кВ    № 325 по ВЛ 10 кВ Л-8 Орловская, для электроснабжения объекта – «Незавершенный строительством садовый дом», расположенного по адресу: РФ, Ростовская область, Орловский район, садовый массив «Луганка-1»,  ул. 1 линия, д. 25, к.н. з.у.: 61:29:500401:0017, заявитель Рыбалко В.В.»</t>
  </si>
  <si>
    <t>«Строительство ВЛ 0,4 кВ от опоры №2-01/4 ВЛ 0,4 кВ Л-2 КТП 10/0,4 кВ №148 по ВЛ 10 кВ Л-3 Уютная и установка системы учета электрической энергии (мощности) на границе земельного участка для электроснабжения объекта «нежилое помещение», расположенного по адресу: Российская Федерация, р-н. Пролетарский, х. Уютный, ул. Ленина, д. 29, кв.3, 3а, 4, кадастровый номер земельного участка: 61:31:0100101:1132, заявитель АО «Почта России» (Ориентировочная протяженность ЛЭП – 0,04 км)</t>
  </si>
  <si>
    <t>«Строительство ВЛ 0,4 кВ от опоры №2-00/15 ВЛ 0,4 кВ Л-2 КТП 10/0,4 кВ №131 по ВЛ 10 кВ Л-7 Ново-Егорлыкская, для электроснабжения объекта – «базовой станции сотовой связи №1058», расположенного по адресу: Российская Федерация, Ростовская обл, р-н Сальский, с. Новый Егорлык, рядом с земельным участком с кадастровым номером 61:31:0110101:6706, координаты: широта – 46,385018, долгота – 41,874968, кадастровый номер земельного участка 61:31:0110101, заявитель ООО «Т2 Мобайл» (Ориентировочная протяженность ЛЭП – 0,11 км)</t>
  </si>
  <si>
    <t>«Установка системы учета для технологического присоединения объекта «дом рыбака», расположенного по адресу: Российская Федерация, Ростовская обл., р-н. Пролетарский, Суховское сельское поселение, 2,0 км южнее п.п. 1308 (Воронежский) к.н.з.у.: 61:31:0600003:537, заявитель Дендиберя А.В.» (1 шт.)</t>
  </si>
  <si>
    <t xml:space="preserve">«Установка системы учета для технологического присоединения объекта «квартира», расположенного по адресу: 347500, РФ, Ростовская область, Орловский район, х. Широкий, ул. Южная, д. 7, кв.1, к.н. з.у.: 61:29:0061101:203, заявитель Раковец А.Н. (1 шт.)»  </t>
  </si>
  <si>
    <t>«Установка системы учета для технологического присоединения объекта «квартира», расположенного по адресу: 347527, РФ, Ростовская область, Орловский район, х. Стрепетов, ул. Степная, д. 8, кв.2, к.н. з.у.: 61:29:0020501:14, заявитель Никаева Л.А.  (1 шт.)»</t>
  </si>
  <si>
    <t>«Установка системы учета для технологического присоединения объекта «квартира», расположенного по адресу: 347526, РФ, Ростовская область, Орловский район, х. Курганный, ул. Молочинского, д. 7, кв.1, к.н. з.у.: 61:29:0050301:223, заявитель Молчанов А.И.» (1 шт.)</t>
  </si>
  <si>
    <t>«Установка системы учета для технологического присоединения объекта «квартира», расположенного по адресу: 347526, РФ, Ростовская область, Орловский район, х. Курганный, пер. Школьный, д. 5, кв.1, к.н. з.у.: 61:29:0050301:222, заявитель Молчанов А.И.  (1 шт.)»</t>
  </si>
  <si>
    <t xml:space="preserve">«Установка системы учета для технологического присоединения объекта «жилой дом», расположенного по адресу: 347524, РФ, Ростовская область, Орловский район, х. Черкесский, ул. Транспортная, д. 55, к.н.з.у.: 61:29:0080401:7, заявитель Дарморезов С.В.  (1 шт.)» </t>
  </si>
  <si>
    <t>«Установка системы учета для технологического присоединения объекта «нежилое здание», расположенного по адресу: Российская Федерация, Ростовская обл., р-н. Пролетарский, примерно в 18 км. на юго-запад от г. Пролетарска, к.н. з. у.: 61:31:0600008:540, заявитель Литвинов Д.Д.» (1 шт.)</t>
  </si>
  <si>
    <t>«Установка системы учета для технологического присоединения «мастерская», расположенного по адресу: РФ, Ростовская область, Целинский район, п. Малая Роща, ул. Лазурная, д. 31А, к.н.з.у.:61:40:0600011:2550, заявитель Фередин В.О.» (1 шт.)</t>
  </si>
  <si>
    <t>«Установка системы учета для технологического присоединения объекта «дачный дом», расположенного по адресу: Российская Федерация, Ростовская обл., р-н. Пролетарский, Садоводческое товарищество «Заречное», к.н. 61:31:0500401:86, заявитель Федоров В.Н.» (1 шт.)</t>
  </si>
  <si>
    <t>«Установка системы учета для технологического присоединения объекта «нежилое помещение», расположенного по адресу: Российская Федерация, Ростовская обл., р-н. Пролетарский, ст-ца. Буденновская, ул. Ленина, д. 51/2, кв. 1,2,3,4,5, к.н. 61:31:0020101:2499, заявитель АО «Почта России» (1 шт.)</t>
  </si>
  <si>
    <t>«Установка системы учета для технологического присоединения объекта «нежилое помещение», расположенного по адресу: Российская Федерация, Ростовская обл., р-н. Пролетарский, х. Дальний, ул. Ленина, д. 21, к.н. 61:31:0030101:1234, заявитель АО «Почта России» (1 шт.)</t>
  </si>
  <si>
    <t>«Установка системы учета для технологического присоединения объекта «нежилое помещение», расположенного по адресу: Российская Федерация, Ростовская обл., р-н. Пролетарский, х. Коврино, ул. Ленина, д. 40а, кв. 1,2,3,4, к.н. 61:31:0040101:1039, заявитель АО «Почта России» (1 шт.)</t>
  </si>
  <si>
    <t xml:space="preserve"> «Установка системы учета для технологического присоединения объекта «жилой дом», расположенного по адресу: 347614 Российская Федерация, Ростовская обл., р-н. Сальский, с. Березовка, ул. Залазаева, д. 5, кадастровый номер земельного участка: 61:34:600016:488, заявитель Партолина Н.Н.» (1 шт.)</t>
  </si>
  <si>
    <t xml:space="preserve">  «Установка системы учета для технологического присоединения «жилого дома», расположенного по адресу: 347566, РФ, Ростовская область, Песчанокопский район, п. Дальнее Поле, ул. Советская, 9 к.н.з.у.:61:30:0040101:203, заявитель Васютин Г.П.» (1 шт.)</t>
  </si>
  <si>
    <t>«Установка системы учета для технологического присоединения объекта «жилой дом», расположенного по адресу: Российская Федерация, Ростовская обл., р-н. Пролетарский, х. Уютный, ул. Первых Коммунаров, д. 12, к.н. 61:31:0100101:92, заявитель Шкадина С.С.» (1 шт.)</t>
  </si>
  <si>
    <t>«Установка системы учета для технологического присоединения «продовольственного магазина», расположенного по адресу: 347568, РФ, Ростовская область, Песчанокопский район, с. Летник, ул. Мичурина, 55-а к.н.з.у.:61:30:0060101:4935, заявитель ИП Семёнов Н.В.» (1 шт.)</t>
  </si>
  <si>
    <t>Установка системы учета для технологического присоединения объекта «дачный дом», расположенного по адресу: Российская Федерация, Ростовская обл., р-н. Пролетарский, садоводческое товарищество «Заречное», ул. Северная, д. 717, к.н. 61:31:0500401:26, заявитель Крюков А.Я.» (1 шт.)</t>
  </si>
  <si>
    <t>«Установка системы учета для технологического присоединения «жилого дома», расположенного по адресу: 347568, РФ, Ростовская область, Песчанокопский район, с. Летник, ул. Московская, 102 к.н.з.у.:61:30:0060101:326, заявитель Крамской В.А.» (1 шт.)</t>
  </si>
  <si>
    <t>«Установка системы учета для технологического присоединения «офисного здания», расположенного по адресу: 347563, РФ, Ростовская область, Песчанокопский район, с. Поливянка, ул. Первомайская, 10-а к.н.з.у.:61:30:0080101:28, заявитель ИП Ковтунова Л.С.» (1 шт.)</t>
  </si>
  <si>
    <t>«Установка системы учета для технологического присоединения объекта «дачный дом», расположенного по адресу: Российская Федерация, Ростовская обл., р-н. Пролетарский, Садоводческое товарищество «Заречное», к.н. з.у.: 61:31:00500401:40, заявитель Мотренко Р.А.» (1 шт.)</t>
  </si>
  <si>
    <t>«Установка системы учета для технологического присоединения «жилого дома», расположенного по адресу: 347567, РФ, Ростовская область, Песчанокопский район, с. Жуковское, ул. 1 Мая, 16 к.н.з.у.:61:30:0030101:949, заявитель Овчинников М.Н.» (1 шт.)</t>
  </si>
  <si>
    <t xml:space="preserve"> «Установка системы учета для технологического присоединения объекта «жилой дом», расположенного по адресу: Российская Федерация, Ростовская обл., р-н. Пролетарский, х. Сухой, ул. Мокроусова, д. 22, к.н. 61:31:0090101:57, заявитель Кариев Г.Х.» (1 шт.)</t>
  </si>
  <si>
    <t>«Установка системы учета для технологического присоединения объекта «дачный дом», расположенного по адресу: Российская Федерация, Ростовская обл., р-н. Пролетарский, Садоводческое товарищество «Заречное», к.н. 61:31:0500401:49, заявитель Найда О.П.» (1 шт.)</t>
  </si>
  <si>
    <t>«Установка системы учета для технологического присоединения объекта «дачный дом», расположенного по адресу: Российская Федерация, Ростовская обл., р-н. Пролетарский, рядом с земельным участком с кадастровым № 61:31:0600011:887, расположенным по адресу: Ростовская область, Пролетарский район, 5,55 км юго-западнее х. Уютный, к.н. 61:31:0600011:903, заявитель Хайленко А.Н.» (1 шт.)</t>
  </si>
  <si>
    <t>«Установка системы учета для технологического присоединения объекта «жилой дом», расположенного по адресу: 347614 Российская Федерация, Ростовская обл., р-н. Сальский, с. Березовка, пер. Трудовой, д. 12, кадастровый номер земельного участка: 61:34:00301:882, заявитель Короткова Е.Ф.» (1 шт.)</t>
  </si>
  <si>
    <t xml:space="preserve"> «Установка системы учета для технологического присоединения объекта «жилой дом», расположенного по адресу: Российская Федерация, Ростовская обл., р-н. Пролетарский, х. Николаевский 2-й, ул. Комсомольская, д. 34, кв. 2, к.н. 61:31:060101:0014, заявитель Крохмальный М.В» (1 шт.)</t>
  </si>
  <si>
    <t>Установка прибора коммерческого учета электрической энергии (мощности) на границе земельного участка, подключенного от опоры №б/н ВЛ 0,4 кВ КТП 10/0,4кВ №9 ВЛ 10кВ №1815 ПС 35/10 кВ А-18 для технологического присоединения энергопринимающих устройств жилого дома Заявителя Аванесовой Т.Р., х. Городище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</si>
  <si>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№45-67 технически перевооружаемой ВЛ 0,4 кВ №2 КТП 10/0,4 кВ №45 ВЛ 10 кВ №803 ПС 35/10 кВ А-8 для технологического присоединения энергопринимающих устройств жилого дома Заявителя Орлова О.Ю., с. Семибалки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</si>
  <si>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№б/н ВЛ 0,4 кВ КТП 10/0,4кВ №94 ВЛ 10кВ №2907 РП-29 ПС 35/10 кВ А-18 для технологического присоединения энергопринимающих устройств жилого дома Заявителя Терзиевой Н.С., х. Казачий Ерик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</si>
  <si>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№9-39 ВЛ 0,4 кВ КТП 10/0,4кВ №9 (балансовая принадлежность ООО «Рыбколхоз им. Ленина») ВЛ 10кВ №1815 ПС 35/10 кВ А-18 для технологического присоединения энергопринимающих устройств жилого дома Заявителя Шляхова В.Н., х. Городище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</si>
  <si>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№8-20 ВЛ-0,4 кВ №1 КТП 10/0,4 кВ №8 по ВЛ 10 кВ №502 ПС 35/10 кВ А-5 для технологического присоединения энергопринимающих устройств жилого дома Заявителя Мацейко Э., с. Отрадовка,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</si>
  <si>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№305-17 ВЛ 0,4 кВ №1 КТП 10/0,4кВ №305 ВЛ 10кВ №2608 ПС 110/10 кВ А-26 для технологического присоединения энергопринимающих устройств жилого дома Заявителя Александрова А.Н.,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</si>
  <si>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№217-41 ВЛ-0,4 кВ №2 КТП 10/0,4 кВ №217 по ВЛ 10 кВ №1107 ПС 35/10 кВ А-11 для технологического присоединения энергопринимающих устройств личного подсобного хозяйства Заявителя Благодарной Т.А., с. Кагальник,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</si>
  <si>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№154-73 ВЛ 0,4 кВ №3 КТП 10/0,4кВ №154 ВЛ 10кВ №1101 ПС 35/10 кВ А-11 для технологического присоединения энергопринимающих устройств жилого дома Заявителя Бойко Д.А., с. Кагальник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</si>
  <si>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№217-45 ВЛ-0,4 кВ №2 КТП 10/0,4 кВ №217 по ВЛ 10 кВ №1107 ПС 35/10 кВ А-11 для технологического присоединения энергопринимающих устройств жилого дома Заявителя Бутко В.И., с. Кагальник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</si>
  <si>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№115-33 ВЛ-0,4 кВ №2 КТП 10/0,4 кВ №115 по ВЛ 10 кВ №3125 ПС 110/35/10 кВ А-31 для технологического присоединения энергопринимающих устройств жилого дома Заявителя Воронина С.А., с. Пешково, Азовский район, Ростовская область (1 шт.)</t>
  </si>
  <si>
    <t xml:space="preserve">Установка прибора коммерческого учета электрической энергии (мощности) на границе земельного участка, подключенного от опоры №162-14 ВЛ-0,4 кВ №2 КТП 10/0,4кВ №162 ВЛ-10кВ №1101 ПС 35/10 кВ А-11 для технологического присоединения энергопринимающих устройств жилого дома Заявителя Кислякова М.Г., с. Кагальник Азовский район, Ростовская область (1 шт.) </t>
  </si>
  <si>
    <t>Установка прибора коммерческого учета электрической энергии (мощности) на границе земельного участка, подключенного от опоры №334-8 ВЛ-0,4 кВ №1 КТП 10/0,4 кВ №334 по ВЛ 10 кВ №202Н ПС 100/6/10 кВ НС-2 для технологического присоединения энергопринимающих устройств жилого дома Заявителя Леоновой Я.М., ЗАО «Обильное», поля 86-88, 1 км от с.Кулешовка,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</si>
  <si>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№б/н ВЛ-0,4кВ КТП-10/0,4 кВ №279 (балансовая принадлежность ИП Усачев В.И. (п. Беловодье) по ВЛ-10кВ №1815 ПС 35/10 кВ «А-18» для технологического присоединения энергопринимающих устройств жилого дома Заявителя Липчанской А.Г., х. Обуховка,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</si>
  <si>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№188-27 ВЛ-0,4 кВ №2 КТП 10/0,4кВ №188 ВЛ-10кВ №3125 ПС 110/35/10 кВ А-31 для технологического присоединения энергопринимающих устройств жилого дома Заявителя Мащенко Ю.П.,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</si>
  <si>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№213-84 ВЛ 0,4 кВ №3 КТП 10/0,4кВ №213 ВЛ 10кВ №910 ПС 35/10 кВ А-9 для технологического присоединения энергопринимающих устройств жилого дома Заявителя Медведевой М.В., г. Азов, ДНТ «Южное»,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</si>
  <si>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№174-12 ВЛ-0,4 кВ №1 КТП 10/0,4 кВ №174 по ВЛ 10 кВ №3105 ПС 110/35/10 кВ А-31 для технологического присоединения энергопринимающих устройств жилого дома Заявителя Мулюкина А.М., с. Займо-Обрыв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</si>
  <si>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№166-6 ВЛ-0,4 кВ №1 КТП 10/0,4кВ №166 ВЛ-10кВ №1701 ПС 35/10 кВ А-17 для технологического присоединения энергопринимающих устройств жилого дома Заявителя Романенко К.Е., с. Круглое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</si>
  <si>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№б/н ВЛ-0,4 кВ КТП 10/0,4 кВ №29 по ВЛ 10 кВ №2907 РП-29 ПС 35/10 кВ А-18 для технологического присоединения энергопринимающих устройств жилого дома Заявителя Череповской Е.Н., х.Казачий Ерик,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</si>
  <si>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№184-70 ВЛ-0,4 кВ №4 КТП 10/0,4 кВ №184 по ВЛ 10 кВ №3113 ПС 110/35/10 кВ А-31 для технологического присоединения энергопринимающих устройств жилого дома Заявителя Щекотиной Т.А.,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</si>
  <si>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№105-91 ВЛ-0,4 кВ №2 КТП 10/0,4 кВ №105 по ВЛ 10 кВ №2608 ПС 110/10 кВ А-26 для технологического присоединения энергопринимающих устройств жилого дома Заявителя Алексеенко С.В., х.Новоалександровка,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</si>
  <si>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№174-70 ВЛ 0,4 кВ №6 КТП 10/0,4кВ №174 ВЛ 10кВ №1011 ПС 110/35/10 кВ Самарская для технологического присоединения энергопринимающих устройств жилого дома Заявителя Артемовой Е.П., с.Самарское, Азовский район, Ростовская область, кадастровый (условный) номер объекта: 61:01:0600014:3755 (1 шт.)</t>
  </si>
  <si>
    <t>Установка прибора коммерческого учета электрической энергии (мощности) на границе земельного участка, подключенного от опоры №34-1 ВЛ-0,4 кВ №1 КТП 10/0,4 кВ №34 по ВЛ 10 кВ №1707 ПС 35/10 кВ А-17 для технологического присоединения энергопринимающих устройств жилого дома Заявителя Болотовой Н.В., с. Круглое,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</si>
  <si>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№9-113 ВЛ 0,4 кВ №2 КТП 10/0,4кВ №9 ВЛ 10кВ №3209 ПС 110/35/10 кВ А-32 для технологического присоединения энергопринимающих устройств жилого дома Заявителя Волошина Н.Н., х. Христичево, Азовский район, Ростовская область, кадастровый (условный) номер объекта: 61:1:5500 УН:51:1 (1 шт.)</t>
  </si>
  <si>
    <t>Установка прибора коммерческого учета электрической энергии (мощности) на границе земельного участка, подключенного от опоры №76-36 ВЛ-0,4 кВ №1 КТП 10/0,4 кВ №76 по ВЛ 10 кВ №606 ПС 35/10 кВ А-6 для технологического присоединения энергопринимающих устройств жилого дома Заявителя Дубовиковой С.В., с. Порт-Катон,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</si>
  <si>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№б/н ВЛ 0,4кВ КТП 10/0,4 кВ №279 (балансовая принадлежность ИП Усачев В.И. (п. Беловодье) по ВЛ 10кВ №1815 ПС 35/10 кВ А-18 для технологического присоединения энергопринимающих устройств жилого дома Заявителя Дяур О.Н., х. Обуховка, Азовский район, Ростовская область, к.н. 61:01:0600002:915 (1 шт.)</t>
  </si>
  <si>
    <t>Установка прибора коммерческого учета электрической энергии (мощности) на границе земельного участка, подключенного от опоры №49-59 ВЛ 0,4 кВ №2 КТП 10/0,4кВ №49 ВЛ 10кВ №3016 ПС 220/110/10 кВ А-30 для технологического присоединения энергопринимающих устройств жилого дома Заявителя Капитановой А.Ф., с.Кугей, Азовский район, Ростовская область, кадастровый (условный) номер объекта: 61:01:0080101:3170 (1 шт.)</t>
  </si>
  <si>
    <t>Установка прибора коммерческого учета электрической энергии (мощности) на границе земельного участка, подключенного от опоры №89-4 ВЛ 0,4 кВ №1 КТП 10/0,4кВ №89 ВЛ 10кВ №1014 ПС 110/35/10 кВ Самарская для технологического присоединения энергопринимающих устройств жилого дома Заявителя Кривцова А.Г., х.Ельбузд, Азовский район, Ростовская область, кадастровый (условный) номер объекта: 61:01:0041301:901(1 шт.)</t>
  </si>
  <si>
    <t>Установка прибора коммерческого учета электрической энергии (мощности) на границе земельного участка, подключенного от опоры №184-33 ВЛ 0,4 кВ №2 КТП 10/0,4кВ №184 ВЛ 10кВ №3113 ПС 110/35/10 кВ А-31 для технологического присоединения энергопринимающих устройств жилого дома Заявителя Медведева А.В., с.Пешково, Азовский район, Ростовская область, кадастровый (условный) номер объекта: 61:01:0140101:1987(1 шт.)</t>
  </si>
  <si>
    <t>Установка прибора коммерческого учета электрической энергии (мощности) на границе земельного участка, подключенного от опоры №48-24 ВЛ 0,4 кВ №2 КТП 10/0,4кВ №48 ВЛ 10кВ №1815 ПС 35/10 кВ А-18 для технологического присоединения энергопринимающих устройств жилого дома Заявителя Мирошниченко Я.А., Рыболовецкий колхоз им.Ленина, Азовский район, Ростовская область, кадастровый (условный) номер объекта: 61:01:0600002:2501(1 шт.)</t>
  </si>
  <si>
    <t>Установка прибора коммерческого учета электрической энергии (мощности) на границе земельного участка, подключенного от опоры №98-6 ВЛ-0,4 кВ №1 КТП 10/0,4 кВ №98по ВЛ 10 кВ №3127 ПС 110/35/10 кВ А-31 для технологического присоединения энергопринимающих устройств жилого дома Заявителя Новикова А.А., с.Займо-Обрыв,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</si>
  <si>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№28-72 ВЛ 0,4 кВ №2 КТП 10/0,4кВ №28 ВЛ 10кВ №1310 ПС 35/10 кВ А-13 для технологического присоединения энергопринимающих устройств жилого дома Заявителя Пыжьянова М.И., с. Елизаветовка, Азовский район, Ростовская область, к.н. 61:01:0020101:917 (1 шт.)</t>
  </si>
  <si>
    <t>Установка прибора коммерческого учета электрической энергии (мощности) на границе земельного участка, подключенного от опоры №67-18 ВЛ-0,4 кВ №2 КТП 10/0,4кВ №67 ВЛ-10кВ №606 ПС 35/10 кВ А-6 для технологического присоединения энергопринимающих устройств жилого дома Заявителя Романова К.Д., с. Порт-Катон, Азовский район, Ростовская область, к.н. 61:01:0100301:4424 (1 шт.)</t>
  </si>
  <si>
    <t>Установка прибора коммерческого учета электрической энергии (мощности) на границе земельного участка, подключенного от опоры №105-11 ВЛ-0,4 кВ №1 КТП 10/0,4 кВ №105 по ВЛ 10 кВ №1913 РП-19 ПС 110/35/10 кВ Самарская для технологического присоединения энергопринимающих устройств жилого дома Заявителя Рыбенцева А.А., х. Степнянский, Азовский район, Ростовская область, к.н. 61:01:0041101:251(1 шт.)</t>
  </si>
  <si>
    <t>Установка прибора коммерческого учета электрической энергии (мощности) на границе земельного участка, подключенного от опоры №206-22 ВЛ-0,4 кВ №2 КТП 10/0,4кВ №206 ВЛ-10кВ №3113 ПС 110/35/10 кВ А-31 для технологического присоединения энергопринимающих устройств жилого дома Заявителя Твердохлебовой О.Е., с. Пешково, Азовский район, Ростовская область, к.н. 61:01:0140101:8813 (1 шт.)</t>
  </si>
  <si>
    <t>Установка прибора коммерческого учета электрической энергии (мощности) на границе земельного участка, подключенного от опоры №9-73 ВЛ-0,4 кВ №2 КТП 10/0,4кВ №9 ВЛ-10кВ №3125 ПС 110/35/10 кВ А-31 для технологического присоединения энергопринимающих устройств жилого дома Заявителя Улитина В.В., с. Пешково, Азовский район, Ростовская область, к.н. 61:01:0140101:9016 (1 шт.)</t>
  </si>
  <si>
    <t>Установка прибора коммерческого учета электрической энергии (мощности) на границе земельного участка, подключенного от опоры №54-89 ВЛ 0,4 кВ №2 КТП 10/0,4кВ №54 ВЛ 10кВ №1702 ПС 35/10 кВ А-17 для технологического присоединения энергопринимающих устройств жилого дома Заявителя Усенко Л.Н., с.Стефанидинодар, Азовский район, Ростовская область, кадастровый (условный) номер объекта: 61:01:0070201:130:49 (1 шт.)</t>
  </si>
  <si>
    <t>Установка прибора коммерческого учета электрической энергии (мощности) на границе земельного участка, подключенного от опоры №78-120 ВЛ-0,4 кВ №2 КТП 10/0,4 кВ №78 по ВЛ 10 кВ №613 ПС 35/10 кВ А-6 для технологического присоединения энергопринимающих устройств жилого дома Заявителя Фоменко А.Ю., с. Новомаргаритово,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</si>
  <si>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№75-11 ВЛ 0,4 кВ №1 КТП 10/0,4кВ №75 ВЛ 10кВ №3125 ПС 110/35/10 кВ А-31 для технологического присоединения энергопринимающих устройств жилого дома Заявителя Шевченко Е.Ю., с.Пешково, Азовский район, Ростовская область, кадастровый (условный) номер объекта: 61:01:0140101:8968(1 шт.)</t>
  </si>
  <si>
    <t>Установка прибора коммерческого учета электрической энергии (мощности) на границе земельного участка, подключенного от опоры №105-1 ВЛ 0,4 кВ №1 КТП 10/0,4кВ №105 ВЛ 10кВ №1705 ПС 35/10 кВ А-17 для технологического присоединения энергопринимающих устройств объекта сельскохозяйственного производства Заявителя Ивахненко В.В., в границах землепользования СХА Ленинское знамя, пашня-поля 20.33.12 сенокосы-поле 2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</si>
  <si>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№18-56 ВЛ-0,4 кВ №2 КТП 10/0,4 кВ №18 по ВЛ 10 кВ №3017 ПС 220/110/10 кВ А-30 для технологического присоединения энергопринимающих устройств магазина Заявителя Набиева Х., с. Кугей,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</si>
  <si>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№108-15 ВЛ 0,4 кВ №1 КТП 10/0,4кВ №108 ВЛ 10кВ №1908 РП-19 ПС 110/35/10 кВ Самарская для технологического присоединения энергопринимающих устройств жилого дома Заявителя Михалева А.И., х.Большевик, Азовский район, Ростовская область(1 шт.)</t>
  </si>
  <si>
    <t>Установка прибора коммерческого учета электрической энергии (мощности) на границе земельного участка, подключенного от опоры №2-30 ВЛ 0,4 кВ №1 КТП 10/0,4кВ №2 ВЛ 10кВ №606 ПС 35/10 кВ А-6 для технологического присоединения энергопринимающих устройств жилого дома Заявителя Кудряшова П.И., с.Порт-Катон, Азовский район, Ростовская область, кадастровый (условный) номер объекта: 61:01:0100301:3968(1 шт.)</t>
  </si>
  <si>
    <t>Установка прибора коммерческого учета электрической энергии (мощности) на границе земельного участка, подключенного от опоры №5-43 ВЛ 0,4 кВ №1 КТП 10/0,4кВ №5 ВЛ 10кВ №1702 ПС 35/10 кВ А-17 для технологического присоединения энергопринимающих устройств жилого дома Заявителя Панчеха А.А., с.Стефанидинодар, Азовский район, Ростовская область, кадастровый (условный) номер объекта: 61:01:0070201:3975(1 шт.)</t>
  </si>
  <si>
    <t>Установка прибора коммерческого учета электрической энергии (мощности) на границе земельного участка, подключенного от опоры №128-4 ВЛ 0,4 кВ №1 КТП 10/0,4кВ №128 ВЛ 10кВ №1815 ПС 35/10 кВ А-18 для технологического присоединения энергопринимающих устройств жилого дома Заявителя Пахомова А.В., х.Курган, Азовский район, Ростовская область, кадастровый (условный) номер объекта: 61:01:0030701:1590(1 шт.)</t>
  </si>
  <si>
    <t>Установка прибора коммерческого учета электрической энергии (мощности) на границе земельного участка, подключенного от опоры №136-21 ВЛ-0,4 кВ №1 КТП 10/0,4 кВ №136 по ВЛ 10 кВ №1107 ПС 35/10 кВ А-11 для технологического присоединения энергопринимающих устройств жилого дома Заявителя Примаченко Д.В., х.Узяк, Азовский район, Ростовская область, к.н. 61:01:0060501:132 (1 шт.)</t>
  </si>
  <si>
    <t>Установка прибора коммерческого учета электрической энергии (мощности) на границе земельного участка, подключенного от опоры №124-74 ВЛ 0,4 кВ №2 КТП 10/0,4кВ №124 ВЛ 10кВ №3016 ПС 220/110/10 кВ А-30 для технологического присоединения энергопринимающих устройств жилого дома Заявителя Евсеева В.Е., с.Кугей, Азовский район, Ростовская область, кадастровый номер объекта: 61:01:0080101:1469(1 шт.)</t>
  </si>
  <si>
    <t>Установка прибора коммерческого учета электрической энергии (мощности) на границе земельного участка, подключенного от опоры №51-84 ВЛ 0,4 кВ №2 КТП 10/0,4кВ №51 ВЛ 10кВ №211 ПС 35/10 кВ А-2 для технологического присоединения энергопринимающих устройств жилого дома Заявителя Карапетян Г.Г., х.Новоалександровка, Азовский район, Ростовская область, кадастровый номер объекта: 61:01:0110101:3532(1 шт.)</t>
  </si>
  <si>
    <t>Установка прибора коммерческого учета электрической энергии (мощности) на границе земельного участка, подключенного от опоры №93-42 ВЛ 0,4 кВ №1 КТП 10/0,4кВ №93 ВЛ 10кВ №802 ПС 35/10 кВ А-8 для технологического присоединения энергопринимающих устройств жилого дома Заявителя Угленко Г.Ю., с.Семибалки, Азовский район, Ростовская область, кадастровый (условный) номер объекта: 61:01:0180101:5022(1 шт.)</t>
  </si>
  <si>
    <t>Установка прибора коммерческого учета электрической энергии (мощности) на границе земельного участка, подключенного от опоры №115-82 ВЛ 0,4 кВ №4 КТП 10/0,4кВ №115 ВЛ 10кВ №3125 ПС 110/35/10 кВ А-31 для технологического присоединения энергопринимающих устройств жилого дома Заявителя Кудрина В.И., с.Пешково, Азовский район, Ростовская область, кадастровый (условный) номер объекта: 61:01:0140101:6986(1 шт.)</t>
  </si>
  <si>
    <t>Установка прибора коммерческого учета электрической энергии (мощности) на границе земельного участка, подключенного от опоры №329-9 ВЛ 0,4 кВ №1 КТП 10/0,4кВ №329 ВЛ 10кВ №106Н ПС 110/6/10 кВ НС-1 для технологического присоединения энергопринимающих устройств жилого дома Заявителя Литвиненко С.П., ДНТ «Виктория», Азовский район, Ростовская область, кадастровый (условный) номер объекта: 61:01:0600006:6088(1 шт.)</t>
  </si>
  <si>
    <t>Установка прибора коммерческого учета электрической энергии (мощности) на границе земельного участка, подключенного от опоры №146-20 ВЛ 0,4 кВ №1 КТП 10/0,4кВ №146 ВЛ 10кВ №1701 ПС 35/10 кВ А-17 для технологического присоединения энергопринимающих устройств жилого дома Заявителя Данилова С.В., с.Круглое, Азовский район, Ростовская область, кадастровый (условный) номер объекта: 61:01:0070101:2325(1 шт.)</t>
  </si>
  <si>
    <t>Установка прибора коммерческого учета электрической энергии (мощности) на границе земельного участка, подключенного от опоры №44-36 ВЛ 0,4 кВ №2 КТП 10/0,4кВ №44 ВЛ 10кВ №1107 ПС 35/10 кВ А-11 для технологического присоединения энергопринимающих устройств жилого дома Заявителя Гребенщиковой Я.А., с.Кагальник, Азовский район, Ростовская область, кадастровый (условный) номер объекта: 61:01:0060101:5141(1 шт.)</t>
  </si>
  <si>
    <t>Установка прибора коммерческого учета электрической энергии (мощности) на границе земельного участка, подключенного от опоры №169-6 ВЛ 0,4 кВ №1 КТП 10/0,4кВ №169 ВЛ 10кВ №3127 ПС 110/35/10 кВ А-31 для технологического присоединения энергопринимающих устройств жилого дома Заявителя Падецкой Ю.Ю., х.Береговой, Азовский район, Ростовская область, кадастровый (условный) номер объекта: 61:01:0140201:232(1 шт.)</t>
  </si>
  <si>
    <t>Установка прибора коммерческого учета электрической энергии (мощности) на границе земельного участка, подключенного от опоры №187-7 ВЛ-0,4 кВ №4 КТП 10/0,4 кВ №187 по ВЛ 10 кВ №106Н ПС 110/6/10 кВ НС-1 для технологического присоединения энергопринимающих устройств жилого дома Заявителя Егоровой А.Е., ДНТ «Кулешовка», Азовский район, Ростовская область, к.н. 61:01:0600006:1624 (1 шт.)</t>
  </si>
  <si>
    <t>Установка прибора коммерческого учета электрической энергии (мощности) на границе земельного участка, подключенного от опоры №350-57/6 ВЛ-0,4 кВ №2 КТП 6/0,4 кВ №350 по ВЛ 6 кВ №207Н ПС 110/6/10 кВ НС-2 для технологического присоединения энергопринимающих устройств хозяйственной постройки Заявителя Сафонова В.А., СТ «Квант», Азовский район, Ростовская область, к.н. 61:01:0502901:1110 (1 шт.)</t>
  </si>
  <si>
    <t>"Установка прибора коммерческого учета электрической энергии (мощности) на границе земельного участка, подключенного от опоры №358-11 ВЛ-0,4 кВ №2 КТП 10/0,4 кВ №358 по ВЛ 10 кВ №202Н ПС 110/6/10 кВ НС-2 для технологического присоединения энергопринимающих устройств жилого дома Заявителя Лаптевой Е.П., ЗАО «Обильное», Азовский район, Ростовская область, к.н. 61:01:0600006:7326 (1 шт.)"</t>
  </si>
  <si>
    <t>Установка прибора коммерческого учета электрической энергии (мощности) на границе земельного участка, подключенного от опоры №102-141 ВЛ-0,4 кВ №2 КТП 10/0,4 кВ №102 по ВЛ 10 кВ №2907 РП-29 ПС 35/10 кВ А-18 для технологического присоединения энергопринимающих устройств жилого дома Заявителя Скиба М.Д., х.Обуховка, Азовский район, Ростовская область, к.н. 61:01:0030801:2334 (1 шт.)</t>
  </si>
  <si>
    <t>Установка прибора коммерческого учета электрической энергии (мощности) на границе земельного участка, подключенного от опоры №48-62 ВЛ-0,4 кВ №1 КТП 10/0,4 кВ №48 по ВЛ 10 кВ №1815 ПС 35/10 кВ А-18 для технологического присоединения энергопринимающих устройств жилого дома Заявителя Беляковой Н.А., Азовский район, Ростовская область, к.н. 61:01:0600002:2774 (1 шт.)</t>
  </si>
  <si>
    <t>Установка прибора коммерческого учета электрической энергии (мощности) на границе земельного участка, подключенного от опоры №316-19 ВЛ-0,4 кВ №1 МТП 10/0,4 кВ №316 по ВЛ 10 кВ №211 ПС 35/10 кВ А-2 для технологического присоединения энергопринимающих устройств жилого дома Заявителя Меланьиной С.П., Азовский район, Ростовская область, к.н. 61:01:0600005:1822 (1 шт.)</t>
  </si>
  <si>
    <t>Установка прибора коммерческого учета электрической энергии (мощности) на границе земельного участка, подключенного от опоры №40-72 ВЛ-0,4кВ №1 КТП-10/0,4 кВ №40 ВЛ-10кВ №1802 ПС 35/10 кВ А-18 для технологического присоединения энергопринимающих устройств жилого дома Заявителя Кан Л.Г., х.Рогожкино, Азовский район, Ростовская область, к.н. 61:01:0160101:737(1 шт.)</t>
  </si>
  <si>
    <t>Установка прибора коммерческого учета электрической энергии (мощности) на границе земельного участка, подключенного от опоры №111-101 ВЛ-0,4 кВ №3 КТП 10/0,4 кВ №111 по ВЛ 10 кВ №3113 ПС 110/35/10 кВ А-31 для технологического присоединения энергопринимающих устройств жилого дома Заявителя Арутин М.А., с.Пешково, Азовский район, Ростовская область, к.н. 61:01:0140101:2035 (1 шт.)</t>
  </si>
  <si>
    <t>Установка прибора коммерческого учета электрической энергии (мощности) на границе земельного участка, подключенного от опоры №75-1 ВЛ-0,4 кВ №1 КТП 10/0,4 кВ №75 по ВЛ 10 кВ №3125 ПС 110/35/10 кВ А-31 для технологического присоединения энергопринимающих устройств жилого дома Заявителя Смирновой Е.А., с.Пешково, Азовский район, Ростовская область, к.н. 61:01:0140101:8066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</si>
  <si>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61-1-21-00598243 от 30.08.2021г. с заявителем Гиносян М.В.) ВЛ-0,4 кВ № 3 ЗТП 10/0,4 кВ №41 (бесхозная) ВЛ 10кВ №2608 ПС 110/10 кВ А-26 для технологического присоединения энергопринимающих устройств жилого дома Заявителя Гладущенко Л.П., Ростовская область, Азовский район, с.Кулешовка, к.н. 61:01:66 00 УН:199:1 (1 шт.)</t>
  </si>
  <si>
    <t>Установка прибора коммерческого учета электрической энергии (мощности) на границе земельного участка, подключенного от опоры №67-31 ВЛ-0,4 кВ №2 КТП 10/0,4 кВ №67 по ВЛ 10 кВ №3127 ПС 110/35/10 кВ А-31 для технологического присоединения энергопринимающих устройств жилого дома Заявителя Лесняк А.И., х.Береговой, Азовский район, Ростовская область, к.н. 61:01:0140201:1050 (1 шт.)</t>
  </si>
  <si>
    <t>Установка прибора коммерческого учета электрической энергии (мощности) на границе земельного участка, подключенного от опоры №187-4 ВЛ-0,4 кВ №3 КТП 10/0,4 кВ №187 по ВЛ 10 кВ №106 Н ПС 110/6/10 кВ НС-1 для технологического присоединения энергопринимающих устройств жилого дома Заявителя Яцкова А.С., ДНТ «Кулешовка», Азовский район, Ростовская область, к.н. 61:01:0600006:1714 (1 шт.)</t>
  </si>
  <si>
    <t>Установка прибора коммерческого учета электрической энергии (мощности) на границе земельного участка, подключенного от опоры №41-30 ВЛ-0,4 кВ №2 КТП 10/0,4 кВ №41 по ВЛ 10 кВ №2608 ПС 110/10 кВ А-26 для технологического присоединения энергопринимающих устройств жилого дома Заявителя Ольшанского С.В.,с.Кулешовка, Азовский район, Ростовская область, к.н. 61:01:0090102:2609 (1 шт.)</t>
  </si>
  <si>
    <t>Установка прибора коммерческого учета электрической энергии (мощности) на границе земельного участка, подключенного от опоры №111-74 ВЛ-0,4 кВ №3 КТП 10/0,4 кВ №111 по ВЛ 10 кВ №3113 ПС 110/35/10 кВ А-31 для технологического присоединения энергопринимающих устройств жилого дома Заявителя Иванова В.Л., с.Пешково, Азовский район, Ростовская область, к.н. 61:01:0140101:2198 (1 шт.)</t>
  </si>
  <si>
    <t>Установка прибора коммерческого учета электрической энергии (мощности) на границе земельного участка, подключенного от опоры №45-36 ВЛ-0,4 кВ №2 КТП 10/0,4 кВ №45 по ВЛ 10 кВ №211 ПС 35/10 кВ А-2 для технологического присоединения энергопринимающих устройств жилого дома Заявителя Голубовой И.А., х.Новоалександровка, Азовский район, Ростовская область, к.н. 61:01:0110101:1167 (1 шт.)</t>
  </si>
  <si>
    <t>Установка прибора коммерческого учета электрической энергии (мощности) на границе земельного участка, подключенного от опоры №24-4 ВЛ-0,4 кВ №2 КТП 10/0,4 кВ №24 по ВЛ 10 кВ №1815 ПС 35/10 кВ А-18 для технологического присоединения энергопринимающих устройств жилого дома Заявителя Ленивовой А.М., х.Колузаево, Азовский район, Ростовская область, к.н. 61:01:0030501:2504 (1 шт.)</t>
  </si>
  <si>
    <t>Установка прибора коммерческого учета электрической энергии (мощности) на границе земельного участка, подключенного от опоры №358-17 ВЛ-0,4 кВ №2 КТП 10/0,4 кВ №358 по ВЛ 10 кВ №202Н ПС 110/6/10 кВ НС-2 для технологического присоединения энергопринимающих устройств жилого дома Заявителя Дончик Е.В., ЗАО «Обильное», Азовский район, Ростовская область, к.н. 61:01:0600006:3817 (1 шт.)</t>
  </si>
  <si>
    <t>Установка прибора коммерческого учета электрической энергии (мощности) на границе земельного участка, подключенного от опоры №212-97 ВЛ-0,4 кВ №3 КТП 10/0,4 кВ №212 по ВЛ 10 кВ №910 ПС 35/10 кВ А-9 для технологического присоединения энергопринимающих устройств жилого дома Заявителя Солодянкина М.Е., г. Азов, ДНТ «Звездное», Ростовская область, к.н. 61:45:0000380:606 (1 шт.)</t>
  </si>
  <si>
    <t>Установка прибора коммерческого учета электрической энергии (мощности) на границе земельного участка, подключенного от опоры №212-84 ВЛ-0,4 кВ №3 КТП 10/0,4 кВ №212 по ВЛ 10 кВ №910 ПС 35/10 кВ А-9 для технологического присоединения энергопринимающих устройств жилого дома Заявителя Гриневой Т.А., г. Азов, ДНТ «Звездное», Ростовская область, к.н. 61:45:00000380:623 (1 шт.)</t>
  </si>
  <si>
    <t>Установка прибора коммерческого учета электрической энергии (мощности) на границе земельного участка, подключенного от опоры №43-41 ВЛ-0,4 кВ №2 КТП 10/0,4 кВ №43 по ВЛ 10 кВ №1019 ПС 110/35/10 кВ Самарская для технологического присоединения энергопринимающих устройств жилого дома Заявителя Лопатиной О.В., х. Победа, Азовский р-н, Ростовская область, к.н. 61:01:0041001:1231 (1 шт.)</t>
  </si>
  <si>
    <t>Установка прибора коммерческого учета электрической энергии (мощности) на границе земельного участка, подключенного от опоры №156-85 ВЛ-0,4кВ № 3 КТП-10/0,4 кВ №156 ВЛ-10кВ №1701 ПС 35/10 кВ А-17 для технологического присоединения энергопринимающих устройств объекта жилого дома Заявителя Нежнянского М.Ю., с. Круглое, Азовский район, Ростовская область, к.н. 61:01:0070101:8030(1 шт.)</t>
  </si>
  <si>
    <t>Установка прибора коммерческого учета электрической энергии (мощности) на границе земельного участка, подключенного от опоры №217-46 ВЛ-0,4 кВ №2 КТП 10/0,4 кВ №217 по ВЛ 10 кВ №1107 ПС 35/10 кВ А-11 для технологического присоединения энергопринимающих устройств жилого дома Заявителя Бойкова А.В., с. Кагальник, Азовский р-н, Ростовская область, к.н. 61:01:0060101:11043 (1 шт.)</t>
  </si>
  <si>
    <t>Установка прибора коммерческого учета электрической энергии (мощности) на границе земельного участка, подключенного от опоры №184-37 ВЛ-0,4 кВ №2 КТП 10/0,4 кВ №184 по ВЛ 10 кВ №3113 ПС 110/35/10 кВ А-31 для технологического присоединения энергопринимающих устройств жилого дома Заявителя Старовой Н.П., с. Пешково, Азовский р-н, Ростовская область, к.н. 61:01:0140101:2172 (1 шт.)</t>
  </si>
  <si>
    <t>Установка прибора коммерческого учета электрической энергии (мощности) на границе земельного участка, подключенного от опоры №225-14 ВЛ-0,4 кВ №1 КТП 10/0,4 кВ №225 по ВЛ 10 кВ №2907 РП-29 ПС 35/10 кВ А-18 для технологического присоединения энергопринимающих устройств садового дома Заявителя Скурихина В.А., СТ «Экран», Азовский район, Ростовская область, к.н. 61:01:0030601:6310 (1 шт.)</t>
  </si>
  <si>
    <t>Установка прибора коммерческого учета электрической энергии (мощности) на границе земельного участка, подключенного от опоры №185-64 ВЛ-0,4 кВ №4 КТП 10/0,4 кВ №185 по ВЛ 10 кВ №106Н ПС 110/6/10 кВ НС-1 для технологического присоединения энергопринимающих устройств жилого дома Заявителя Зандарова Д.Ш., с. Кулешовка, Азовский р-н, Ростовская область, к.н. 61:01:0090101:3341 (1 шт.)</t>
  </si>
  <si>
    <t>Установка прибора коммерческого учета электрической энергии (мощности) на границе земельного участка, подключенного от опоры №358-9 ВЛ-0,4 кВ №1 КТП 10/0,4 кВ №358 по ВЛ 10 кВ №202Н ПС 110/6/10 кВ НС-2 для технологического присоединения энергопринимающих устройств жилого дома Заявителя Кравченко З.Н., ЗАО «Обильное», Азовский р-н, Ростовская область, к.н. 61:01:0600006:3839 (1 шт.)</t>
  </si>
  <si>
    <t>Установка прибора коммерческого учета электрической энергии (мощности) на границе земельного участка, подключенного от опоры №53-54 ВЛ-0,4 кВ №1 КТП 10/0,4 кВ №53 по ВЛ 10 кВ №1314 ПС 35/10 кВ А-13 для технологического присоединения энергопринимающих устройств жилого дома Заявителя Курембина В.А., с. Елизаветовка, Азовский район, Ростовская область, к.н. 61:01:0020101:2866 (1 шт)</t>
  </si>
  <si>
    <t>Установка прибора коммерческого учета электрической энергии (мощности) на границе земельного участка, подключенного от опоры №223-3 ВЛ-0,4 кВ №1 КТП 10/0,4 кВ №223 по ВЛ 10 кВ №901 ПС 35/10 кВ А-9 для технологического присоединения энергопринимающих устройств жилого дома Заявителя Обора Г.Я., с. Высочино, Азовский район, Ростовская область, к.н. 61:01:0110201:569 (1 шт)</t>
  </si>
  <si>
    <t>Установка прибора коммерческого учета электрической энергии (мощности) на границе земельного участка, подключенного от опоры №27-32 ВЛ-0,4 кВ №1 КТП 10/0,4 кВ №27 по ВЛ 10 кВ №1815 ПС 35/10 кВ А-18 для технологического присоединения энергопринимающих устройств жилого дома Заявителя Овсепян Н.В., х. Городище, Азовский р-н, Ростовская область, к.н. 61:01:0030201:744 (1 шт.)</t>
  </si>
  <si>
    <t>Установка прибора коммерческого учета электрической энергии (мощности) на границе земельного участка, подключенного от опоры №105-8 ВЛ-0,4 кВ №1 КТП 10/0,4 кВ №105 по ВЛ 10 кВ №2608 ПС 110/10 кВ А-26 для технологического присоединения энергопринимающих устройств жилого дома Заявителя Добродумова И.П., х. Новоалександровка, Азовский р-н, Ростовская область, к.н. 61:01:0110101:2901 (1 шт.)</t>
  </si>
  <si>
    <t>Установка прибора коммерческого учета электрической энергии (мощности) на границе земельного участка, подключенного от опоры №249-39 ВЛ-0,4 кВ №1 КТП 10/0,4 кВ №249( балансовая принадлежность СТ «Энтузиаст») ВЛ 10 кВ №2907 РП-29 ПС 35/10 кВ А-18 для технологического присоединения энергопринимающих устройств жилого дома Заявителя Поповой Н.А., х. Курган, Азовский район, Ростовская область, к.н. 61:01:0500401:215 (1 шт)</t>
  </si>
  <si>
    <t>Установка прибора коммерческого учета электрической энергии (мощности) на границе земельного участка, подключенного от опоры №357-3 ВЛ-0,4 кВ №1 КТП 10/0,4 кВ №357 по ВЛ 10 кВ №202Н ПС 110/6/10 кВ НС-2 для технологического присоединения энергопринимающих устройств жилого дома Заявителя Жирненко А.А., ЗАО «Обильное», Азовский район, Ростовская область, к.н. 61:01:0600006:3962 (1 шт)</t>
  </si>
  <si>
    <t>Установка прибора коммерческого учета электрической энергии (мощности) на границе земельного участка, подключенного от опоры №48-54 ВЛ-0,4 кВ №2 КТП 10/0,4 кВ №48 по ВЛ 10 кВ №1815 ПС 35/10 кВ А-18 для технологического присоединения энергопринимающих устройств жилого дома Заявителя Мань А.Н., Азовский район, Ростовская область, к.н. 61:01:0600002:2766 (1 шт)</t>
  </si>
  <si>
    <t>Установка прибора коммерческого учета электрической энергии (мощности) на границе земельного участка, подключенного от опоры №119-53 ВЛ-0,4 кВ №1 КТП 10/0,4 кВ №119 по ВЛ 10 кВ №1314 ПС 35/10 кВ А-13 для технологического присоединения энергопринимающих устройств жилого дома Заявителя Лысенко А.В., с. Елизаветовка, Азовский район, Ростовская область, к.н. 61:01:0020101:1286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</si>
  <si>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61-1-22-00627899 от 09.02.2022г. с заявителем ИП Дорганов Н.Н.)   КТП-95 ВЛ-10кВ №1106 ПС 35кВ Е11 для технологического присоединения энергопринимающих устройств склада №2 Заявителя Стешенко Н.И., Ростовская область, Егорлыкский р-он, х.Изобильный, к.н. 61:10:0600002:2814 (1 шт)</t>
  </si>
  <si>
    <t>Установка прибора коммерческого учета электрической энергии (мощности) на границе земельного участка, подключенного от опоры №48-42 ВЛ 0,4 кВ №2 КТП 10/0,4кВ №48 ВЛ 10кВ №1815 ПС 35/10 кВ А-18 для технологического присоединения энергопринимающих устройств нежилой застройки Заявителя Коломийцева В.В., к юго-востоку от СНТ "Надежда 4",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</si>
  <si>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№135-147 ВЛ-0,4 №4 КТП-135 ВЛ-10 805 ПС 110 кВ БОС для технологического присоединения энергопринимающих устройств малоэтажной жилой застройки Заявителя Глушко Р.Г., р-н. Кагальницкий, п. Мокрый Батай, ул. Школьная,  д. 29, кадастровый номер земельного участка: 61:14:00677373:723</t>
  </si>
  <si>
    <t>Установка прибора коммерческого учета электрической энергии (мощности) на границе земельного участка, подключенного от опоры  №196-14 ВЛ-0,4  №1  КТП-196 ВЛ-10 805 ПС 110 кВ БОС для технологического присоединения энергопринимающих устройств жилого дома Заявителя Мунтян М.Н. Ростовская область, Кагальницкий р-н, п. Мокрый Батай, ул. Мира д.83 к.н. 61:14:0060102:659 (1 шт.)</t>
  </si>
  <si>
    <t>Установка прибора коммерческого учета электрической энергии (мощности) на границе земельного участка, подключенного от опоры  №66-62 ВЛ-0,4 №2 КТП-66 ВЛ-10 319 ПС 35 кВ КГ3 для технологического присоединения энергопринимающих устройств малоэтажной жилой застройки Заявителя Ковалько Н.В. Ростовская область, Кагальницкий р-н, п. Малодубравный, ул. Вишневая д.5 кв.1 к.н. 61:14:0050601:114 (1 шт.)</t>
  </si>
  <si>
    <t>Установка прибора коммерческого учета электрической энергии (мощности) на границе земельного участка, подключенного от опоры  №37-14 ВЛ-0,4  №1  КТП-37 ВЛ-10 1402 ПС 110 кВ ЗР14 для технологического присоединения энергопринимающих устройств малоэтажной жилой застройки Заявителя Ганошенко С.Б  Ростовская обл., р-н Зерноградский, с. Светлоречное, ул. Заречная д.13 к.н. 61:12:0020301:63</t>
  </si>
  <si>
    <t>Установка прибора коммерческого учета электрической энергии (мощности) на границе земельного участка, подключенного от опоры  №10-1 ВЛ-0,4  №1  КТП-10  ВЛ-10 501 ПС 35 кВ ЗР5для технологического присоединения энергопринимающих устройств малоэтажной жилой застройки Заявителя Зайцева В.А. Ростовская область, Зерноградский р-н, х. Гуляй-Борисовка ул. Ленина д. 38/15 к.н. 61:12:0011218:29 (1 шт.)</t>
  </si>
  <si>
    <t>Установка прибора коммерческого учета электрической энергии (мощности) на границе земельного участка, подключенного от опоры №134-35 ВЛ-0,4 №2 КТП-134 ВЛ-10 101  ПС 220 кВ Зерновая для технологического присоединения энергопринимающих устройств нежилой застройки Заявителя Юрьев А.А., Ростовская область, Зерноградский р-н, г. Зерноград  , пер. Ярославский д.22 к.н. 61:12:0040572:26 (1 шт.)</t>
  </si>
  <si>
    <t>Установка прибора коммерческого учета электрической энергии (мощности) на границе земельного участка, подключенного от опоры  №38-14 ВЛ-0,4  №1  КТП-38 ВЛ-10 313 ПС 35 кВ КГ3 для технологического присоединения энергопринимающих устройств малоэтажной жилой застройки Заявителя Поповой С.Н. Ростовская область, Кагальницкий р-н, ст. Кировская, ул. Новостройки д.2 к.н. 61:14:0050126:186 (1 шт.)</t>
  </si>
  <si>
    <t>Установка прибора коммерческого учета электрической энергии (мощности) на границе земельного участка, подключенного от опоры №136-35 технически перевооружаемой ВЛ-0,4 кВ №1 КТП-10/0,4 кВ №136 ВЛ 10 кВ №803 ПС 35/10 кВ А-8 для технологического присоединения энергопринимающих устройств жилого дома Заявителя Горобовской Т.В., с. Семибалки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</si>
  <si>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№6-11 ВЛ-0,4 кВ №1 КТП 10/0,4 кВ №6 ВЛ 10 кВ 1316 ПС 35/10 кВ А-13 для технологического присоединения энергопринимающих устройств базовой станции сотовой связи Заявителя ПАО «Ростелеком» п. Южный,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</si>
  <si>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61-1-22-00624309 от 20.01.2022г. с заявителем Головиным О.В.) КТП 10/0,4 кВ №48 ВЛ 10кВ №1815 ПС 35/10 кВ А-18 для технологического присоединения энергопринимающих устройств жилых домов Заявителя Головина О.В., Ростовская область, Азовский район, Рыболовецкий колхоз им.Ленина, в границах квартала 61:01:0600002 на территории Елизаветинского СП от ПТ «Пять братьев» 800 м на северо-восток, к.н. 61:01:0600002:3237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</si>
  <si>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61-1-22-00624309 от 20.01.2022г. с заявителем Головиным О.В.) КТП 10/0,4 кВ №48 ВЛ 10кВ №1815 ПС 35/10 кВ А-18 для технологического присоединения энергопринимающих устройств жилых домов Заявителя Головина О.В., Ростовская область, Азовский район, Рыболовецкий колхоз им.Ленина, в границах квартала 61:01:0600002 на территории Елизаветинского СП от ПТ «Пять братьев» 800 м на северо-восток, к.н. 61:01:0600002:3245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</si>
  <si>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61-1-22-00624309 от 20.01.2022г. с заявителем Головиным О.В.) КТП 10/0,4 кВ №48 ВЛ 10кВ №1815 ПС 35/10 кВ А-18 для технологического присоединения энергопринимающих устройств жилых домов Заявителя Головина О.В., Ростовская область, Азовский район, Рыболовецкий колхоз им.Ленина, в границах квартала 61:01:0600002 на территории Елизаветинского СП от ПТ «Пять братьев» 800 м на северо-восток, к.н. 61:01:0600002:3229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</si>
  <si>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61-1-22-00624309 от 20.01.2022г. с заявителем Головиным О.В.) КТП 10/0,4 кВ №48 ВЛ 10кВ №1815 ПС 35/10 кВ А-18 для технологического присоединения энергопринимающих устройств жилых домов Заявителя Головина О.В., Ростовская область, Азовский район, Рыболовецкий колхоз им.Ленина, в границах квартала 61:01:0600002 на территории Елизаветинского СП от ПТ «Пять братьев» 800 м на северо-восток, к.н. 61:01:0600002:3230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</si>
  <si>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61-1-22-00624309 от 20.01.2022г. с заявителем Головиным О.В.) КТП 10/0,4 кВ №48 ВЛ 10кВ №1815 ПС 35/10 кВ А-18 для технологического присоединения энергопринимающих устройств жилых домов Заявителя Головина О.В., Ростовская область, Азовский район, Рыболовецкий колхоз им.Ленина, в границах квартала 61:01:0600002 на территории Елизаветинского СП от ПТ «Пять братьев» 800 м на северо-восток, к.н. 61:01:0600002:3232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</si>
  <si>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61-1-22-00624309 от 20.01.2022г. с заявителем Головиным О.В.) КТП 10/0,4 кВ №48 ВЛ 10кВ №1815 ПС 35/10 кВ А-18 для технологического присоединения энергопринимающих устройств жилых домов Заявителя Головина О.В., Ростовская область, Азовский район, Рыболовецкий колхоз им.Ленина, в границах квартала 61:01:0600002 на территории Елизаветинского СП от ПТ «Пять братьев» 800 м на северо-восток, к.н. 61:01:0600002:3227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</si>
  <si>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61-1-22-00624309 от 20.01.2022г. с заявителем Головиным О.В.) КТП 10/0,4 кВ №48 ВЛ 10кВ №1815 ПС 35/10 кВ А-18 для технологического присоединения энергопринимающих устройств жилых домов Заявителя Головина О.В., Ростовская область, Азовский район, Рыболовецкий колхоз им.Ленина, в границах квартала 61:01:0600002 на территории Елизаветинского СП от ПТ «Пять братьев» 800 м на северо-восток, к.н. 61:01:0600002:3231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</si>
  <si>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61-1-22-00624309 от 20.01.2022г. с заявителем Головиным О.В.) КТП 10/0,4 кВ №48 ВЛ 10кВ №1815 ПС 35/10 кВ А-18 для технологического присоединения энергопринимающих устройств жилых домов Заявителя Головина О.В., Ростовская область, Азовский район, Рыболовецкий колхоз им.Ленина, в границах квартала 61:01:0600002 на территории Елизаветинского СП от ПТ «Пять братьев» 800 м на северо-восток, к.н 61:01:0600002:3244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</si>
  <si>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61-1-22-00624309 от 20.01.2022г. с заявителем Головиным О.В.) КТП 10/0,4 кВ №48 ВЛ 10кВ №1815 ПС 35/10 кВ А-18 для технологического присоединения энергопринимающих устройств жилых домов Заявителя Головина О.В., Ростовская область, Азовский район, Рыболовецкий колхоз им.Ленина, в границах квартала 61:01:0600002 на территории Елизаветинского СП от ПТ «Пять братьев» 800 м на северо-восток, к.н. 61:01:0600002:3239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</si>
  <si>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61-1-22-00624309 от 20.01.2022г. с заявителем Головиным О.В.) КТП 10/0,4 кВ №48 ВЛ 10кВ №1815 ПС 35/10 кВ А-18 для технологического присоединения энергопринимающих устройств жилых домов Заявителя Головина О.В., Ростовская область, Азовский район, Рыболовецкий колхоз им.Ленина, в границах квартала 61:01:0600002 на территории Елизаветинского СП от ПТ «Пять братьев» 800 м на северо-восток, к.н. 61:01:0600006:3241 (1 шт.)</t>
  </si>
  <si>
    <t xml:space="preserve">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61-1-22-00624309 от 20.01.2022г. с заявителем Головиным О.В.) КТП 10/0,4 кВ №48 ВЛ 10кВ №1815 ПС 35/10 кВ А-18 для технологического присоединения энергопринимающих устройств жилых домов Заявителя Головина О.В., Ростовская область, Азовский район, Рыболовецкий колхоз им.Ленина, в границах квартала 61:01:0600002 на территории Елизаветинского СП от ПТ «Пять братьев» 800 м на северо-восток, к.н. 61:01:0600006:3225
 (1 шт.)
</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</si>
  <si>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61-1-22-00624309 от 20.01.2022г. с заявителем Головиным О.В.) КТП 10/0,4 кВ №48 ВЛ 10кВ №1815 ПС 35/10 кВ А-18 для технологического присоединения энергопринимающих устройств жилых домов Заявителя Головина О.В., Ростовская область, Азовский район, Рыболовецкий колхоз им.Ленина, в границах квартала 61:01:0600002 на территории Елизаветинского СП от ПТ «Пять братьев» 800 м на северо-восток, к.н. 61:01:0600006:3236  (1 шт.)</t>
  </si>
  <si>
    <t xml:space="preserve">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61-1-22-00624309 от 20.01.2022г. с заявителем Головиным О.В.) КТП 10/0,4 кВ №48 ВЛ 10кВ №1815 ПС 35/10 кВ А-18 для технологического присоединения энергопринимающих устройств жилых домов Заявителя Головина О.В., Ростовская область, Азовский район, Рыболовецкий колхоз им.Ленина, в границах квартала 61:01:0600002 на территории Елизаветинского СП от ПТ «Пять братьев» 800 м на северо-восток, к.н. 61:01:0600006:3242 (1 шт.)
</t>
  </si>
  <si>
    <t xml:space="preserve">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61-1-22-00624309 от 20.01.2022г. с заявителем Головиным О.В.) КТП 10/0,4 кВ №48 ВЛ 10кВ №1815 ПС 35/10 кВ А-18 для технологического присоединения энергопринимающих устройств жилых домов Заявителя Головина О.В., Ростовская область, Азовский район, Рыболовецкий колхоз им.Ленина, в границах квартала 61:01:0600002 на территории Елизаветинского СП от ПТ «Пять братьев» 800 м на северо-восток, к.н. 61:01:0600006:3243 (1 шт.)
</t>
  </si>
  <si>
    <t xml:space="preserve">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61-1-22-00624309 от 20.01.2022г. с заявителем Головиным О.В.) КТП 10/0,4 кВ №48 ВЛ 10кВ №1815 ПС 35/10 кВ А-18 для технологического присоединения энергопринимающих устройств жилого дома Заявителя Головина О.В., Ростовская область, Азовский район, Рыболовецкий колхоз им.Ленина, в границах квартала 61:01:0600002 на территории Елизаветинского СП от ПТ «Пять братьев» 800 м на северо-восток, к.н. 61:01:0600006:3240 (1 шт.)
</t>
  </si>
  <si>
    <t>Установка прибора коммерческого учета электрической энергии (мощности) на границе земельного участка, подключенного от опоры №42-89 ВЛ 0,4 кВ №2 КТП 10/0,4кВ №42 ВЛ 10кВ №1802 ПС 35/10 кВ А-18 для технологического присоединения энергопринимающих устройств жилого дома Заявителя Деревенец В.А., х.Рогожкино, Азовский район, Ростовская область, кадастровый (условный) номер объекта: 61:01:0160101:605(1 шт.)</t>
  </si>
  <si>
    <t>Установка прибора коммерческого учета электрической энергии (мощности) на границе земельного участка, подключенного от опоры №б/н ВЛ-0,4 кВ №2 КТП 10/0,4кВ №9 (балансовая принадлежность ООО «Рыбколхоз им. Ленина») ВЛ-10кВ №1815 ПС 35/10 кВ А-18 для технологического присоединения энергопринимающих устройств жилого дома Заявителя Панченко А.А., х. Городище, Азовский район, Ростовская область, к.н. 61:01:0600002:2593 (1 шт.)</t>
  </si>
  <si>
    <t>Установка прибора коммерческого учета электрической энергии (мощности) на границе земельного участка, подключенного от опоры  №196-10 ВЛ-0,4 №1 КТП-196 ВЛ-10 606 ПС 35 кВ КГ6 для технологического присоединения энергопринимающих устройств малоэтажной жилой застройки Заявителя Карпенко С.А. Ростовская область, Кагальницкий р-н, с. Новобатайск , ул. Кагальницкая д. 27, ул. Вишневая д.5 кв.1 к.н. 61:14:0040117:220 (1 шт.)</t>
  </si>
  <si>
    <t>Установка прибора коммерческого учета электрической энергии (мощности) на границе земельного участка, подключенного от опоры  №2-15 ВЛ-0,4  №1  КТП-2 ВЛ-10 605 ПС 35 кВ КГ6 для технологического присоединения энергопринимающих устройств малоэтажной жилой застройки Заявителя Дмитрук М.М. Ростовская область, Кагальницкий р-н, с. Новобатайск, ул. Азовская д.1 к.н. 61:14:0040120:79 (1 шт.)</t>
  </si>
  <si>
    <t>Установка прибора коммерческого учета электрической энергии (мощности) на границе земельного участка, подключенного от опоры  №51-6 ВЛ-0,4  №1  КТП-51 ВЛ-10 318 ПС 35 кВ КГ3 для технологического присоединения энергопринимающих устройств здания филиала Сбербанка №5221/0701 Заявителя ПАО «Сбербанк» Ростовская область, Кагальницкий р-н, ст. Кировская, ул. Черняховского д.73 к.н. 61:14:0000000:00 (1 шт.)</t>
  </si>
  <si>
    <t>Установка прибора коммерческого учета электрической энергии (мощности) на границе земельного участка, подключенного от № 3-51   ВЛ-0,4 № 2 КТП-3 ВЛ-10  707  ПС 35кВ Е-7 для технологического присоединения энергопринимающих устройств жилого дома Заявителя Захарова Н.С., Ростовская область, Егорлыкский р-он, х. Московский, к.н. земельного участка: 61:10:0030201:67 (1 шт.)</t>
  </si>
  <si>
    <t>Установка прибора коммерческого учета электрической энергии (мощности) на границе земельного участка, подключенного от опоры №70-65   ВЛ-0,4 № 2 КТП-70 ВЛ-10 413  ПС 35 кВ КГ4 для технологического присоединения  энергопринимающих устройств для садового дома Заявителя Короткова Е.В.,  Ростовская область, Кагальницкий р-н. х. Середин ул. Солнечная  к.н. земельного участка: 61:14:0030901:229 (1 шт.)</t>
  </si>
  <si>
    <t>Установка прибора коммерческого учета электрической энергии (мощности) на границе земельного участка, подключенного от опоры №122-25 ВЛ-0,4 №2 КТП-122 ВЛ-10 313 ПС 35 кВ КГ3 для технологического присоединения энергопринимающих устройств объекта садового дома Заявителя Авдеева А.Г., Ростовская область, Аксайский р-н, СНТ «Садко» уч.2727 к.н. 61:02:0504701:387 (1 шт.)</t>
  </si>
  <si>
    <t>Установка прибора коммерческого учета электрической энергии (мощности) на границе земельного участка, подключенного от опоры №190-5 ВЛ-0,4 кВ №1 КТП 10/0,4 кВ №190 по ВЛ 10 кВ №1310 ПС 35/10 кВ А-13 для технологического присоединения энергопринимающих устройств жилого дома Заявителя Иванова Д.Е., с.Елизаветовка, Азовский район, Ростовская область, к.н. 61:01:0020101:93 (1 шт.)</t>
  </si>
  <si>
    <t>Установка прибора коммерческого учета электрической энергии (мощности) на границе земельного участка, подключенного от опоры №190-5 ВЛ-0,4 кВ №1 КТП 10/0,4 кВ №190 по ВЛ 10 кВ №1310 ПС 35/10 кВ А-13 для технологического присоединения энергопринимающих устройств жилого дома Заявителя Положий Ю.В., с.Елизаветовка, Азовский район, Ростовская область, к.н. 61:01:0020101:1006 (1 шт.)</t>
  </si>
  <si>
    <t>Установка прибора коммерческого учета электрической энергии (мощности) на границе земельного участка, подключенного от опоры №19-57 ВЛ-0,4 кВ №2 КТП 10/0,4 кВ №19 по ВЛ 10 кВ №1514 ПС 35/10 кВ А-15 для технологического присоединения энергопринимающих устройств жилого дома Заявителя Горбачева А.А., с.Орловка, Азовский р-н, Ростовская область, к.н. 61:01:0120601:345 (1 шт.)</t>
  </si>
  <si>
    <t>Установка прибора коммерческого учета электрической энергии (мощности) на границе земельного участка, подключенного от опоры №311-1/10 ВЛ-0,4 кВ №3 КТП 10/0,4 кВ №311 по ВЛ 10 кВ №106Н ПС 110/6/10 кВ НС-1 для технологического присоединения энергопринимающих устройств жилого дома Заявителя Берченко И.П., с. Кулешовка, Азовский р-н, Ростовская область, к.н. 61:01:0600006:5004 (1 шт.)</t>
  </si>
  <si>
    <t>Установка прибора коммерческого учета электрической энергии (мощности) на границе земельного участка, подключенного от опоры №14-97 ВЛ-0,4 кВ №3 КТП 10/0,4 кВ №14 по ВЛ 10 кВ №3125 ПС 110/35/10 кВ А-31 для технологического присоединения энергопринимающих устройств жилого дома Заявителя Головатенко С.Н., с. Головатовка, Азовский район, Ростовская область, к.н. 61:01:0140301:2513 (1 шт)</t>
  </si>
  <si>
    <t>Установка прибора коммерческого учета электрической энергии (мощности) на границе земельного участка, подключенного от опоры №27-65 ВЛ-0,4 кВ №3 КТП 10/0,4 кВ №27 по ВЛ 10 кВ №1815 ПС 35/10 кВ А-18 для технологического присоединения энергопринимающих устройств жилого дома Заявителя Короткова А.А., х. Городище, Азовский район, Ростовская область, к.н. 61:01:0030201:275 (1 шт)</t>
  </si>
  <si>
    <t>Установка прибора коммерческого учета электрической энергии (мощности) на границе земельного участка, подключенного от опоры №153-75 ВЛ-0,4 кВ №1 КТП 10/0,4 кВ №153 по ВЛ 10 кВ №915 ПС 35/10 кВ А-9 для технологического присоединения энергопринимающих устройств жилого дома Заявителя Дерезко И.В., с. Платоно-Петровка, Азовский район, Ростовская область, к.н. 61:01:0110601:1157 (1 шт)</t>
  </si>
  <si>
    <t>Установка прибора коммерческого учета электрической энергии (мощности) на границе земельного участка, подключенного от опоры №184-34 ВЛ-0,4 кВ №3 КТП 10/0,4 кВ №184 по ВЛ 10 кВ №3113 ПС 110/35/10 кВ А-31 для технологического присоединения энергопринимающих устройств жилого дома Заявителя Кузьменко В.Ю., с. Пешково, Азовский район, Ростовская область, к.н. 61:01:0140101:8809 (1 шт)</t>
  </si>
  <si>
    <t>Установка прибора коммерческого учета электрической энергии (мощности) на границе земельного участка, подключенного от опоры №184-34 ВЛ-0,4 кВ №3 КТП 10/0,4 кВ №184 по ВЛ 10 кВ №3113 ПС 110/35/10 кВ А-31 для технологического присоединения энергопринимающих устройств жилого дома Заявителя Кузьменко В.Ю., с. Пешково, Азовский район, Ростовская область, к.н. 61:01:0140101:8807 (1 шт)</t>
  </si>
  <si>
    <t>Установка прибора коммерческого учета электрической энергии (мощности) на границе земельного участка, подключенного от опоры №184-31 ВЛ-0,4 кВ №2 КТП 10/0,4 кВ №184 по ВЛ 10 кВ №3113 ПС 110/35/10 кВ А-31 для технологического присоединения энергопринимающих устройств жилого дома Заявителя Кузьменко В.Ю., с. Пешково, Азовский район, Ростовская область, к.н. 61:01:0140101:8913 (1 шт)</t>
  </si>
  <si>
    <t>Установка прибора коммерческого учета электрической энергии (мощности) на границе земельного участка, подключенного от опоры №184-31 ВЛ-0,4 кВ №2 КТП 10/0,4 кВ №184 по ВЛ 10 кВ №3113 ПС 110/35/10 кВ А-31 для технологического присоединения энергопринимающих устройств жилого дома Заявителя Кузьменко В.Ю., с. Пешково, Азовский район, Ростовская область, к.н. 61:01:0140101:7298 (1 шт)</t>
  </si>
  <si>
    <t>Установка прибора коммерческого учета электрической энергии (мощности) на границе земельного участка, подключенного от опоры №311-9/7 ВЛ-0,4 кВ №1 КТП 10/0,4 кВ №311 по ВЛ 10 кВ №106Н ПС 110/6/10 кВ НС-1 для технологического присоединения энергопринимающих устройств жилого дома Заявителя Маматова Б.Г., Азовский район, Ростовская область, к.н. 61:01:0600006:4838 (1 шт)</t>
  </si>
  <si>
    <t>Установка прибора коммерческого учета электрической энергии (мощности) на границе земельного участка, подключенного от опоры №329-4 ВЛ-0,4 кВ №1 КТП 10/0,4 кВ №329 по ВЛ 10 кВ №106Н ПС 110/6/10 кВ НС-1 для технологического присоединения энергопринимающих устройств жилого дома Заявителя Морозова Р.Л., Азовский район, Ростовская область, к.н. 61:01:0600006:5861 (1 шт)</t>
  </si>
  <si>
    <t>Установка прибора коммерческого учета электрической энергии (мощности) на границе земельного участка, подключенного от опоры №119-2 ВЛ-0,4 кВ №1 КТП 10/0,4 кВ №119 по ВЛ 10 кВ №1314 ПС 35/10 кВ А-13 для технологического присоединения энергопринимающих устройств жилого дома Заявителя Кошевой Е.И., с. Елизаветовка, Азовский район, Ростовская область, к.н. 61:01:020101:0040:11178:А (1 шт)</t>
  </si>
  <si>
    <t>Установка прибора коммерческого учета электрической энергии (мощности) на границе земельного участка, подключенного от опоры №26-55 ВЛ-0,4 кВ №2 КТП 10/0,4 кВ №26 по ВЛ 10 кВ №1701 ПС 35/10 кВ А-17 для технологического присоединения энергопринимающих устройств жилого дома Заявителя Бычкова А.А., Азовский район, Ростовская область, к.н. 61:01:0070101:8029 (1 шт)</t>
  </si>
  <si>
    <t>Установка прибора коммерческого учета электрической энергии (мощности) на границе земельного участка, подключенного от опоры №334-11 ВЛ-0,4 кВ №1 КТП 10/0,4 кВ №334 по ВЛ 10 кВ №202Н ПС 110/6/10 кВ НС-2 для технологического присоединения энергопринимающих устройств жилого дома Заявителя Моргуновой В.И., ЗАО «Обильное», Азовский район, Ростовская область, к.н. 61:01:0600006:6811 (1 шт)</t>
  </si>
  <si>
    <t>Установка прибора коммерческого учета электрической энергии (мощности) на границе земельного участка, подключенного от опоры №323-16 ВЛ-0,4 кВ №1 КТП 10/0,4 кВ №323 по ВЛ 10 кВ №202Н ПС 110/6/10 кВ НС-2 для технологического присоединения энергопринимающих устройств жилого дома Заявителя Головинской Д.А., с. Кулешовка, Азовский район, Ростовская область, к.н. 61:01:0600006:8078 (1 шт)</t>
  </si>
  <si>
    <t>Установка прибора коммерческого учета электрической энергии (мощности) на границе земельного участка, подключенного от опоры №16-99 ВЛ-0,4 кВ №3 КТП 10/0,4 кВ №16 по ВЛ 10 кВ №2608 ПС 110/10 кВ А-26 для технологического присоединения энергопринимающих устройств жилого дома Заявителя Калашник Л.В., с. Кулешовка, Азовский район, Ростовская область, к.н. 61:01:0090101:3529 (1 шт)</t>
  </si>
  <si>
    <t>Установка прибора коммерческого учета электрической энергии (мощности) на границе земельного участка, подключенного от опоры №329-28/3 ВЛ-0,4 кВ №2 КТП 10/0,4 кВ №329 по ВЛ 10 кВ №106Н ПС 110/6/10 кВ НС-1 для технологического присоединения энергопринимающих устройств жилого дома Заявителя Комаровского С.Р., ДНТ «Виктория», Азовский район, Ростовская область, к.н. 61:01:0600006:6096 (1 шт)</t>
  </si>
  <si>
    <t>Установка прибора коммерческого учета электрической энергии (мощности) на границе земельного участка, подключенного от опоры №44-3 ВЛ-0,4 кВ №1 КТП 10/0,4 кВ №44 по ВЛ 10 кВ №3125 ПС 110/35/10 кВ А-31 для технологического присоединения энергопринимающих устройств жилого дома Заявителя Лемешко Л.В., с. Пешково, Азовский район, Ростовская область, к.н. 61:01:0140101:1052 (1 шт)</t>
  </si>
  <si>
    <t>Установка прибора коммерческого учета электрической энергии (мощности) на границе земельного участка, подключенного от опоры №217-56 ВЛ-0,4 кВ №2 КТП 10/0,4 кВ №217 по ВЛ 10 кВ №1107 ПС 35/10 кВ А-11 для технологического присоединения энергопринимающих устройств жилого дома Заявителя Куприк А.А., с. Кагальник, Азовский район, Ростовская область, к.н. 61:01:0060101:11751 (1 шт)</t>
  </si>
  <si>
    <t xml:space="preserve"> Установка прибора коммерческого учета электрической энергии (мощности) на границе земельного участка, подключенного от опоры №97-41 ВЛ 0,4 кВ №3 КТП 10/0,4кВ №97 ВЛ 10кВ №1101 ПС 35/10 кВ А-11 для технологического присоединения энергопринимающих устройств объекта жилого дома Заявителя Колесникова З.Д., с. Кагальник, Азовский район, Ростовская область, к.н. 61-61-03/030/2006-149 (1 шт.)</t>
  </si>
  <si>
    <t>Установка прибора коммерческого учета электрической энергии (мощности) на границе земельного участка, подключенного от опоры №8-37 ВЛ 0,4 кВ №1 КТП 10/0,4кВ №8 ВЛ 10кВ №3125 ПС 110/35/10 кВ А-31 для технологического присоединения энергопринимающих устройств объекта жилого дома Заявителя Кулиш В.А., с. Пешково, Азовский район, Ростовская область, к.н. 61:01:0140101:7024 (1 шт.)</t>
  </si>
  <si>
    <t>Установка прибора коммерческого учета электрической энергии (мощности) на границе земельного участка, подключенного от опоры №358-11 ВЛ-0,4 кВ №2 КТП 10/0,4 кВ №358 по ВЛ 10 кВ №202Н ПС 110/6/10 кВ НС-2 для технологического присоединения энергопринимающих устройств жилого дома Заявителя Мамсик Я.Ю., ЗАО «Обильное», Азовский район, Ростовская область, к.н. 61:01:0600006:3830 (1 шт)</t>
  </si>
  <si>
    <t>Установка прибора коммерческого учета электрической энергии (мощности) на границе земельного участка, подключенного от опоры №41-33 ВЛ-0,4 кВ №1 КТП 10/0,4 кВ №41 по ВЛ 10 кВ №2608 ПС 110/10 кВ А-26 для технологического присоединения энергопринимающих устройств жилого дома Заявителя Мацуга Д.В., с. Кулешовка, Азовский район, Ростовская область, к.н. 61:01:0090102:574 (1 шт)</t>
  </si>
  <si>
    <t xml:space="preserve">Установка прибора коммерческого учета электрической энергии (мощности) на границе земельного участка, подключенного от опоры №б/н ВЛ-0,4 кВ  КТП 10/0,4 кВ №6 (на балансе Администрации Александровского сельского поселения) ВЛ 10 кВ №1513 ПС 35/10 кВ А-15 для технологического присоединения энергопринимающих устройств жилого дома Заявителя Петляковой А.А., п. Ленинский Лесхоз, Азовский район, Ростовская область, к.н. 61:01:0010401:248 (1 шт.)
</t>
  </si>
  <si>
    <t xml:space="preserve">Установка прибора коммерческого учета электрической энергии (мощности) на границе земельного участка, подключенного от опоры №71-10 тех.перевооружаемой ВЛ-0,4 кВ № 1 КТП 10/0,4 кВ №71 ВЛ 10 кВ №105Н ПС 110/6/10 кВ НС-1 для технологического присоединения энергопринимающих устройств жилого дома Заявителя Очкина Ю.Г., х. Усть-Койсуг, Азовский район Ростовская область, к.н. 61:01:0030901:956 (1 шт.)
</t>
  </si>
  <si>
    <t xml:space="preserve">Установка прибора коммерческого учета электрической энергии (мощности) на границе земельного участка, подключенного от опоры б/н ВЛ-0,4 кВ КТП 10/0,4 кВ №148П (балансовая принадлежность Шацкого Ю.В.) ВЛ 10 кВ №106Н ПС 110/6/10 кВ НС-1 для технологического присоединения энергопринимающих устройств жилого дома Заявителя Гладилина Р.П., п. Овощной, Азовский р-н, Ростовская область, к.н. 61:01:0600006:2182 (1 шт.)
</t>
  </si>
  <si>
    <t>Установка прибора коммерческого учета электрической энергии (мощности) на границе земельного участка, подключенного от опоры №б/н ВЛ-0,4 кВ КТП 10/0,4 кВ №148П (балансовая принадлежность Шацкого Ю.В.) по ВЛ 10 кВ №106Н ПС 110/6/10 кВ НС-1 для технологического присоединения энергопринимающих устройств жилого дома Заявителя Василевского М.Д., п. Овощной, Азовский район, Ростовская область, к.н. 61:01:0600006:2158 (1 шт)</t>
  </si>
  <si>
    <t>Установка прибора коммерческого учета электрической энергии (мощности) на границе земельного участка, подключенного от опоры б/н ВЛ-0,4 кВ №1 КТП 10/0,4 кВ №272 (балансовая принадлежность ИП Артеменко В.П.) ВЛ 10 кВ №1815 ПС 35/10 кВ А-18 для технологического присоединения энергопринимающих устройств жилого дома Заявителя Ляшенко Г.Н.,х. Городище, Азовский район, Ростовская область, к.н. 61:01:0030201:763 (1 шт)</t>
  </si>
  <si>
    <t>Установка прибора коммерческого учета электрической энергии (мощности) на границе земельного участка, подключенного от опоры №26-19 ВЛ-0,4 №1 КТП-26 ВЛ-10 318 от ПС 35 кВ КГ3 для технологического присоединения энергопринимающих устройств артезианской скважины Заявителя МП ЖКХ Кагальницкого сельского поселения, Ростовская обл., Кагальницкий р-н., ст. Кировская, к.н. 61:14:0600010:1559 (1 шт.)</t>
  </si>
  <si>
    <t>Установка прибора коммерческого учета электрической энергии (мощности) на границе земельного участка, подключенного от опоры №204-62 ВЛ-0,4 №2 КТП-204 ВЛ-10 605 ПС 35 кВ КГ6 для технологического присоединения  энергопринимающих устройств ЛПХ Заявителя Ивченко Л.М. Ростовская область, Кагальницкий р-н, с. Новобатайск, ул. Набережная д.3 к.н. 61:14:0040128:24 (1 шт.)</t>
  </si>
  <si>
    <t>Установка прибора коммерческого учета электрической энергии (мощности) на границе земельного участка, подключенного от опоры №2-18 ВЛ-0,4 №1 КТП-2 ВЛ-10 605 ПС 35 кВ КГ6 для технологического присоединения  энергопринимающих устройств жилого дома Заявителя Нуждов С.А. Ростовская область, Кагальницкий р-н, с. Новобатайск, ул. Советская д.19А к.н. 61:14:0040120:238 (1 шт.)</t>
  </si>
  <si>
    <t>Установка прибора коммерческого учета электрической энергии (мощности) на границе земельного участка, подключенного от опоры № 26-21 ВЛ-0,4  №1  КТП-26  ВЛ-10 1608 ПС 35 кВ ЗР16 для технологического присоединения энергопринимающих устройств объекта крестьянского (фермерского) хозяйства  Заявителя ИП Рясного В.И.   Российская Федерация, Ростовская обл., р-н. Зерноградский, х. 1-й Россошинский, 0,033 км на юг от южной его окраины, кад.н.: 61:12:0601601:1683</t>
  </si>
  <si>
    <t xml:space="preserve">Установка прибора коммерческого учета электрической энергии (мощности) на границе земельного участка, подключенного от опоры №126-55 ВЛ-0,4  №1  КТП-126 ВЛ-10 1801 ПС 35 кВ ЗР18 для технологического присоединения энергопринимающих устройств антенно-мачтового сооружения 61-12689 Заявителя АО «Первая Башенная Компания» Ростовская область, Зерноградский р-н, п. Шоссейный, ул. Пугачева вблизи д.12 к.н. 61:12:0050301:00 (1 шт.)
</t>
  </si>
  <si>
    <t>Установка прибора коммерческого учета электрической энергии (мощности) на границе земельного участка, подключенного от № 267-36   ВЛ-0,4 №1 КТП-267 ВЛ-10  904  ПС 110кВ Балко-Грузская для технологического присоединения энергопринимающих устройств жилого дома Заявителя Вартанян А.Г., Ростовская область, Егорлыкский р-он, х. Балко-Грузский, ул. Центральная,  д. 20, кадастровый номер земельного участка: 61:10:0020101:2039, 1шт.</t>
  </si>
  <si>
    <t>Установка прибора коммерческого учета электрической энергии (мощности) на границе земельного участка, подключенного от № 266-21   ВЛ-0,4 №4 КТП-266 ВЛ-10  908  ПС 110кВ Балко-Грузская для технологического присоединения энергопринимающих устройств жилого дома Заявителя Хачатурян С.В., Ростовская область, Егорлыкский р-он, х. Мирный, ул. Механизаторская,  д. 14, кадастровый номер земельного участка: 61:10:0020301:501, 1 шт.</t>
  </si>
  <si>
    <t>Установка прибора коммерческого учета электрической энергии (мощности) на границе земельного участка, подключенного от опоры №150-11 ВЛ-0,4 кВ №1 КТП 10/0,4 кВ №150 по ВЛ 10 кВ №801 ПС 35/10 кВ А-8 для технологического присоединения энергопринимающих устройств нежилого здания Заявителя Макаовой Л.А., Азовский район, Ростовская область, к.н. 61:01:0600009:59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</si>
  <si>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ВЛ-0,4 кВ ( по договору ТП № 61-1-22-00632949 от 09.03.2022г. с заявителем Калдарасс М.Г.) МТП 10/0,4 кВ № 311 ВЛ 10 кВ №106Н ПС 110/6/10 кВ НС-1 для технологического присоединения энергопринимающих устройств жилого дома Заявителя Нога В.Н., Азовский р-он, Ростовская область, к.н. 61:01:0600006:4878  (1 шт)</t>
  </si>
  <si>
    <t>Установка прибора коммерческого учета электрической энергии (мощности) на границе земельного участка, подключенного от опоры №185-12 ВЛ 0,4 кВ №1 КТП 10/0,4кВ №185 ВЛ 10кВ №160Н ПС 110/6/10 кВ НС-1 для технологического присоединения энергопринимающих устройств объекта жилого дома Заявителя Бадирова П.К., с. Кулешовка, Азовский район, Ростовская область, к.н. 61:01:0090101:8127 (1 шт.)</t>
  </si>
  <si>
    <t>Установка прибора коммерческого учета электрической энергии (мощности) на границе земельного участка, подключенного от опоры №134-15 ВЛ 0,4 кВ №1 КТП 10/0,4кВ №143 ВЛ 10кВ №1101 ПС 35/10 кВ А-11 для технологического присоединения энергопринимающих устройств объекта жилого дома Заявителя Бондаренко Е.П., с. Кагальник, Азовский район, Ростовская область, к.н. 61:01:0060101:311 (1 шт.)</t>
  </si>
  <si>
    <t>Установка прибора коммерческого учета электрической энергии (мощности) на границе земельного участка, подключенного от опоры №153-1 ВЛ 0,4 кВ №1 КТП 10/0,4кВ №153 ВЛ 10кВ №915 ПС 35/10 кВ А-9 для технологического присоединения энергопринимающих устройств объекта жилого дома Заявителя Ковальченко Д.С., с. Платоно-Петровка, Азовский район, Ростовская область, к.н. 61:01:0110601:1215 (1 шт.)</t>
  </si>
  <si>
    <t>Установка прибора коммерческого учета электрической энергии (мощности) на границе земельного участка, подключенного от опоры №172-31 ВЛ 0,4 кВ №2 КТП 10/0,4кВ №172 ВЛ 10кВ №105Н ПС 110/6/10 кВ НС-1 для технологического присоединения энергопринимающих устройств объекта жилого дома Заявителя Малышицкого Д.С., х. Усть-Койсуг, Азовский район, Ростовская область, к.н. 61:01:0030901:210 (1 шт.)</t>
  </si>
  <si>
    <t xml:space="preserve"> Установка прибора коммерческого учета электрической энергии (мощности) на границе земельного участка, подключенного от опоры №40-28 ВЛ 0,4 кВ №1 КТП 10/0,4кВ №40 ВЛ 10кВ №1802 ПС 35/10 кВ А-18 для технологического присоединения энергопринимающих устройств объекта жилого дома Заявителя Азарова П.Д., х. Рогожкино, Азовский район, Ростовская область, к.н. 61:01:0160101:232 (1 шт.)</t>
  </si>
  <si>
    <t>Установка прибора коммерческого учета электрической энергии (мощности) на границе земельного участка, подключенного от опоры №64-2 ВЛ 0,4 кВ №1 КТП 10/0,4кВ №64 ВЛ 10кВ №3214 ПС 110/35/10 кВ А-32 для технологического присоединения энергопринимающих устройств объекта гараж Заявителя Гончарова Н.С., х. Красная Заря, Азовский район, Ростовская область, к.н. 61:01:0010201:137 (1 шт.)</t>
  </si>
  <si>
    <t>Установка прибора коммерческого учета электрической энергии (мощности) на границе земельного участка, подключенного от опоры №6-8 ВЛ 0,4 кВ №1 КТП 10/0,4кВ №6 ВЛ 10кВ №3113 ПС 110/35/10 кВ А-31 для технологического присоединения энергопринимающих устройств объекта нежилого здания Заявителя Агеева А.В., . Пешково, Азовский район, Ростовская область, к.н. 61:01:0600012:1351 (1 шт.)</t>
  </si>
  <si>
    <t>Установка прибора коммерческого учета электрической энергии (мощности) на границе земельного участка, подключенного от опоры №89-67 ВЛ 0,4 кВ №1 КТП 10/0,4кВ №89 ВЛ 10кВ №1014 ПС 110/35/10 кВ Самарская для технологического присоединения энергопринимающих устройств объекта жилого дома Заявителя Ширанова А.Б., х. Ельбузд, Азовский район, Ростовская область, к.н. 61:01:0041301:225 (1 шт.)</t>
  </si>
  <si>
    <t>Установка прибора коммерческого учета электрической энергии (мощности) на границе земельного участка, подключенного от опоры №80-58 ВЛ 0,4 кВ №2 КТП 10/0,4кВ №80 ВЛ 10кВ №613 ПС 35/10 кВ А-6 для технологического присоединения энергопринимающих устройств объекта магазина Заявителя Анцифировой Л.Н., с. Новомаргаритово, Азовский район, Ростовская область, к.н. 61:01:0100201:1140 (1 шт.)</t>
  </si>
  <si>
    <t>Установка прибора коммерческого учета электрической энергии (мощности) на границе земельного участка, подключенного от опоры №78-16 ВЛ 0,4 кВ №1 КТП 10/0,4кВ №78 ВЛ 10кВ №613 ПС 35/10 кВ А-6 для технологического присоединения энергопринимающих устройств объекта скважины Заявителя Унитарное муниципальное предприятие «Приморский водопровод»., с. Новомаргаритово, Азовский район, Ростовская область, к.н. 61:01:0100201:1181 (1 шт.)</t>
  </si>
  <si>
    <t>Установка прибора коммерческого учета электрической энергии (мощности) на границе земельного участка, подключенного от опоры №203-1 ВЛ 0,4 кВ №1 КТП 10/0,4кВ №203 ВЛ 10кВ №3113 ПС 110/35/10 кВ А-31 для технологического присоединения энергопринимающих устройств объекта сельскохозяйственного производства Заявителя ИП Тин В.М., с. Пешково, Азовский район, Ростовская область, к.н. 61:01:0600012:964 (1 шт.)</t>
  </si>
  <si>
    <t>Установка прибора коммерческого учета электрической энергии (мощности) на границе земельного участка, подключенного от опоры №25-97 ВЛ 0,4 кВ №3 КТП 10/0,4кВ №25 ВЛ 10кВ №1815 ПС 35/10 кВ А-18 для технологического присоединения энергопринимающих устройств объекта жилого дома Заявителя Гребеньковой Н.В., х. Колузаево, Азовский район, Ростовская область, к.н. 61:01:0030501:649 (1 шт.)</t>
  </si>
  <si>
    <t>Установка прибора коммерческого учета электрической энергии (мощности) на границе земельного участка, подключенного от опоры №381-56 ВЛ 0,4 кВ №1 КТП 10/0,4кВ №381 ВЛ 10кВ №106Н ПС 110/6/10 кВ НС-1 для технологического присоединения энергопринимающих устройств объекта жилого дома Заявителя Чистяков А.М., ДНТ СН «Кулешовка-2», Азовский район, Ростовская область, к.н. 61:01:0600006:8020 (1 шт.)</t>
  </si>
  <si>
    <t>Установка прибора коммерческого учета электрической энергии (мощности) на границе земельного участка, подключенного от опоры №365-15 ВЛ 0,4 кВ №2 КТП 10/0,4кВ №365 ВЛ 10кВ №107Н ПС 110/6/10 кВ НС-1 для технологического присоединения энергопринимающих устройств объекта дачного дома Заявителя Архипова Д.В., ДНТ «Задонье», Азовский район, Ростовская область, к.н. 61:01:0600006:3737 (1 шт.)</t>
  </si>
  <si>
    <t>Установка прибора коммерческого учета электрической энергии (мощности) на границе земельного участка, подключенного от опоры №163-53 ВЛ 0,4 кВ №3 КТП 10/0,4кВ №163 ВЛ 10кВ №1904 РП-19 ПС 110/35/10 кВ Самарская для технологического присоединения энергопринимающих устройств объекта жилого дома Заявителя Козлова В.А., с. Новотроицкое, Азовский район, Ростовская область, к.н. 61:01:0040801:897 (1 шт.)</t>
  </si>
  <si>
    <t>Установка прибора коммерческого учета электрической энергии (мощности) на границе земельного участка, подключенного от опоры №160-18 ВЛ 0,4 кВ №1 КТП 10/0,4кВ №160 ВЛ 10кВ №1904 РП-19 ПС 110/35/10 кВ Самарская для технологического присоединения энергопринимающих устройств объекта жилого дома Заявителя Мироненко А.М., с. Новотроицкое, Азовский район, Ростовская область, к.н. 61:01:0040801:1668 (1 шт.)</t>
  </si>
  <si>
    <t>Установка прибора коммерческого учета электрической энергии (мощности) на границе земельного участка, подключенного от опоры №167-16 ВЛ 0,4 кВ №2 КТП 10/0,4кВ №167 ВЛ 10кВ №106Н ПС 110/6/10 кВ НС-1 для технологического присоединения энергопринимающих устройств объекта жилого дома Заявителя Мхитарян Г.А., ДНТ «Кулешовка», Азовский район, Ростовская область, к.н. 61:01:0600006:1376 (1 шт.)</t>
  </si>
  <si>
    <t>Установка прибора коммерческого учета электрической энергии (мощности) на границе земельного участка, подключенного от опоры №121-14 ВЛ 0,4 кВ №1 КТП 10/0,4кВ №121 ВЛ 10кВ №1904 РП-19 ПС 110/35/10 кВ Самарская для технологического присоединения энергопринимающих устройств объекта жилого дома Заявителя Варданян О.Г., с. Новотроицкое, Азовский район, Ростовская область, к.н. 61:01:0040801:590 (1 шт.)</t>
  </si>
  <si>
    <t>Установка прибора коммерческого учета электрической энергии (мощности) на границе земельного участка, подключенного от опоры №156-65 ВЛ 0,4 кВ №2 КТП 10/0,4кВ №156 ВЛ 10кВ №1701 ПС 35/10 кВ А-17 для технологического присоединения энергопринимающих устройств объекта жилая застройка Заявителя Минаевой Е.Н., с. Круглое, Азовский район, Ростовская область, к.н. 61:01:0070101:7773 (1 шт.)</t>
  </si>
  <si>
    <t>Установка прибора коммерческого учета электрической энергии (мощности) на границе земельного участка, подключенного от опоры №311-3/5 ВЛ 0,4 кВ №2 КТП 10/0,4кВ №311 ВЛ 10кВ №106Н ПС 110/6/10 кВ НС-1 для технологического присоединения энергопринимающих устройств объекта жилого дома Заявителя Стекольниковой С.Б., ТСН «СНТ Белгорос», Азовский район, Ростовская область, к.н. 61:01:0600006:4952 (1 шт.)</t>
  </si>
  <si>
    <t>Установка прибора коммерческого учета электрической энергии (мощности) на границе земельного участка, подключенного от опоры №239-4 ВЛ 0,4 кВ №1 КТП 10/0,4кВ №239 ВЛ 10кВ №106Н ПС 110/6/10 кВ НС-1 для технологического присоединения энергопринимающих устройств объекта жилого дома Заявителя Скрыбченко С.И., п. Овощной, Азовский район, Ростовская область, к.н. 61:01:0130101:4056 (1 шт.)</t>
  </si>
  <si>
    <t>Установка прибора коммерческого учета электрической энергии (мощности) на границе земельного участка, подключенного от опоры №25-6 ВЛ 0,4 кВ №1 КТП 10/0,4кВ №25 ВЛ 10кВ №1815 ПС 35/10 кВ А-18 для технологического присоединения энергопринимающих устройств объекта жилого дома Заявителя Неведровой В.А., х. Колузаево, Азовский район, Ростовская область, к.н. 61:01:030501:0035 (1 шт.)</t>
  </si>
  <si>
    <t>Установка прибора коммерческого учета электрической энергии (мощности) на границе земельного участка, подключенного от опоры №89-86 ВЛ 0,4 кВ №2 КТП 10/0,4кВ №89 ВЛ 10кВ №803 ПС 35/10 кВ А-8 для технологического присоединения энергопринимающих устройств объекта жилого дома Заявителя Костивой Г.К., с. Семибалки, Азовский район, Ростовская область, к.н. 61:01:0180101:1463 (1 шт.)</t>
  </si>
  <si>
    <t>Установка прибора коммерческого учета электрической энергии (мощности) на границе земельного участка, подключенного от опоры №162-8 ВЛ 0,4 кВ №1 КТП 10/0,4кВ №162 ВЛ 10кВ №1702 ПС 35/10 кВ А-17 для технологического присоединения энергопринимающих устройств объекта жилого дома Заявителя Горбуновой О.А., с. Круглое, Азовский район, Ростовская область, к.н. 61:01:0070101:2510 (1 шт.)</t>
  </si>
  <si>
    <t>Установка прибора коммерческого учета электрической энергии (мощности) на границе земельного участка, подключенного от опоры №44-22 ВЛ 0,4 кВ №1 КТП 10/0,4 кВ №44 по ВЛ 10 кВ №1107 ПС 35/10 кВ А-11 для технологического присоединения энергопринимающих устройств объекта строительной площадки Заявителя ООО «Энергосоюз-Дон», с. Кагальник, Азовский район, Ростовская область, к.н. 61:01:0060101:12139 (1 шт.)</t>
  </si>
  <si>
    <t>Установка прибора коммерческого учета электрической энергии (мощности) на границе земельного участка, подключенного от опоры №79-24 ВЛ 0,4 кВ №1 КТП 10/0,4кВ №79 ВЛ 10кВ №1701 ПС 35/10 кВ А-17 для технологического присоединения энергопринимающих устройств объекта подсобного хозяйства Заявителя Аллилуева В.И., с. Круглое, Азовский район, Ростовская область, к.н. 61:01:0070101:2839 (1 шт.)</t>
  </si>
  <si>
    <t>Установка прибора коммерческого учета электрической энергии (мощности) на границе земельного участка, подключенного от опоры №113-14 ВЛ 0,4 кВ №1 КТП 10/0,4кВ №113 ВЛ 10кВ №1020 ПС 110/35/10 кВ Самарская для технологического присоединения энергопринимающих устройств объекта хозяйственной постройки Заявителя Левочкина М.Ю., п. Суходольск, Азовский район, Ростовская область, к.н. 61:01:0170501:1776 (1 шт.)</t>
  </si>
  <si>
    <t>Установка прибора коммерческого учета электрической энергии (мощности) на границе земельного участка, подключенного от опоры №184-55 ВЛ 0,4 кВ №2 КТП 10/0,4кВ №184 ВЛ 10кВ №3113 ПС 110/35/10 кВ А-31 для технологического присоединения энергопринимающих устройств объекта жилого дома Заявителя Пушкаренко Д.Г., с. Пешково, Азовский район, Ростовская область, к.н. 61:01:0140101:2146 (1 шт.)</t>
  </si>
  <si>
    <t>Установка прибора коммерческого учета электрической энергии (мощности) на границе земельного участка, подключенного от опоры №111-38 ВЛ 0,4 кВ №2 КТП 10/0,4кВ №111 ВЛ 10кВ №3113 ПС 110/35/10 кВ А-31 для технологического присоединения энергопринимающих устройств объекта жилого дома Заявителя Филимоновой О.И., с. Пешково, Азовский район, Ростовская область, к.н. 61:01:0140101:9235 (1 шт.)</t>
  </si>
  <si>
    <t>Установка прибора коммерческого учета электрической энергии (мощности) на границе земельного участка, подключенного от опоры №139-15 ВЛ 0,4 кВ №1 КТП 10/0,4кВ №139 ВЛ 10кВ №1019 ПС 110/35/10 кВ Самарская для технологического присоединения энергопринимающих устройств объекта жилого дома Заявителя Нарыжного А.А., х. Победа, Азовский район, Ростовская область, к.н. 61:01:0041001:1509 (1 шт.)</t>
  </si>
  <si>
    <t>Установка прибора коммерческого учета электрической энергии (мощности) на границе земельного участка, подключенного от опоры №93-3 ВЛ 0,4 кВ №1 КТП 10/0,4кВ №93 ВЛ 10кВ №202Н ПС 110/6/10 кВ НС-2 для технологического присоединения энергопринимающих устройств объекта жилого дома Заявителя Мотуз Е.А., с. Кулешовка, Азовский район, Ростовская область, к.н. 61:01:0090102:152 (1 шт.)</t>
  </si>
  <si>
    <t>Установка прибора коммерческого учета электрической энергии (мощности) на границе земельного участка, подключенного от опоры №6-6 ВЛ 0,4 кВ №1 КТП 10/0,4кВ №6 (на балансе Администрации Александровского сельского поселения) ВЛ 10кВ №1513 ПС 35/10 кВ А-15 для технологического присоединения энергопринимающих устройств объекта жилого дома Заявителя Синельниковой О.Н., п. Ленинский Лесхоз, Азовский район, Ростовская область, к.н. 61:01:0010401:471 (1 шт.)</t>
  </si>
  <si>
    <t>Установка прибора коммерческого учета электрической энергии (мощности) на границе земельного участка, подключенного от опоры №25-18 ВЛ 0,4 кВ №1 КТП 10/0,4кВ №25 ВЛ 10кВ №1815 ПС 35/10 кВ А-18 для технологического присоединения энергопринимающих устройств объекта жилого дома Заявителя Митьковой В.И., х. Колузаево, Азовский район, Ростовская область, к.н. 61:01:0030501:1603 (1 шт.)</t>
  </si>
  <si>
    <t>Установка прибора коммерческого учета электрической энергии (мощности) на границе земельного участка, подключенного от опоры №25-45 ВЛ 0,4 кВ №2 КТП 10/0,4кВ №25 ВЛ 10кВ №1815 ПС 35/10 кВ А-18 для технологического присоединения энергопринимающих устройств объекта жилого дома Заявителя Пликус М.Ф., х. Колузаево, Азовский район, Ростовская область, к.н. 61:01:0030501:176 (1 шт.)</t>
  </si>
  <si>
    <t>Установка прибора коммерческого учета электрической энергии (мощности) на границе земельного участка, подключенного от опоры №141-96 ВЛ 0,4 кВ №3 КТП 10/0,4кВ №141 ВЛ 10кВ №802 ПС 35/10 кВ А-8 для технологического присоединения энергопринимающих устройств объекта жилого дома Заявителя Петросян К.В., с. Семибалки, Азовский район, Ростовская область, к.н. 61:01:0180101:1085 (1 шт.)</t>
  </si>
  <si>
    <t>Установка прибора коммерческого учета электрической энергии (мощности) на границе земельного участка, подключенного от опоры №88-25 ВЛ 0,4 кВ №1 КТП 10/0,4кВ №88 ВЛ 10кВ №3127 ПС 110/35/10 кВ А-31 для технологического присоединения энергопринимающих устройств объекта жилого дома Заявителя Головина Н.А., с. Займо-Обрыв, Азовский район, Ростовская область, к.н. 61:01:0140401:1166 (1 шт.)</t>
  </si>
  <si>
    <t>Установка прибора коммерческого учета электрической энергии (мощности) на границе земельного участка, подключенного от опоры №118-41 ВЛ 0,4 кВ №2 КТП 10/0,4кВ №118 ВЛ 10кВ №3202 ПС 110/35/10 кВ А-32 для технологического присоединения энергопринимающих устройств объекта жилого дома Заявителя Манжос В.В., с. Александровка, Азовский район, Ростовская область, к.н. 61:01:0010101:8373 (1 шт.)</t>
  </si>
  <si>
    <t>Установка прибора коммерческого учета электрической энергии (мощности) на границе земельного участка, подключенного от опоры №25-8 ВЛ 0,4 кВ №1 КТП 10/0,4кВ №25 ВЛ 10кВ №1815 ПС 35/10 кВ А-18 для технологического присоединения энергопринимающих устройств объекта жилого дома Заявителя Дергачева М.Е., х. Колузаево, Азовский район, Ростовская область, к.н. 61:01:0030501:1818 (1 шт.)</t>
  </si>
  <si>
    <t>Установка прибора коммерческого учета электрической энергии (мощности) на границе земельного участка, подключенного от опоры №240-7 ВЛ 0,4 кВ №1 КТП 10/0,4кВ №240 ВЛ 10кВ №106Н ПС 110/6/10 кВ НС-1 для технологического присоединения энергопринимающих устройств объекта жилого дома Заявителя Звягина В.В., п. Овощной, Азовский район, Ростовская область, к.н. 61:01:0130101:5323 (1 шт.)</t>
  </si>
  <si>
    <t>Установка прибора коммерческого учета электрической энергии (мощности) на границе земельного участка, подключенного от опоры №25-99 ВЛ 0,4 кВ №3 КТП 10/0,4кВ №25 ВЛ 10кВ №1815 ПС 35/10 кВ А-18 для технологического присоединения энергопринимающих устройств объекта жилого дома Заявителя Дьяченко Е.М., х. Колузаево, Азовский район, Ростовская область, к.н. 61:01:0030501:702 (1 шт.)</t>
  </si>
  <si>
    <t>Установка прибора коммерческого учета электрической энергии (мощности) на границе земельного участка, подключенного от опоры №45-17 ВЛ 0,4 кВ №2 КТП 10/0,4кВ №45 ВЛ 10кВ №2907 РП-29 ПС 35/10 кВ А-18 для технологического присоединения энергопринимающих устройств объекта жилого дома Заявителя Митеревой М.Ю., х. Курган, Азовский район, Ростовская область, к.н. 61:01:0030701:399 (1 шт.)</t>
  </si>
  <si>
    <t>Установка прибора коммерческого учета электрической энергии (мощности) на границе земельного участка, подключенного от опоры №145-2 ВЛ 0,4 кВ №1 КТП 10/0,4кВ №145 ВЛ 10кВ №3125 ПС 110/35/10 кВ А-31 для технологического присоединения энергопринимающих устройств объекта жилого дома Заявителя Гончарова С.М., с. Пешково, Азовский район, Ростовская область, к.н. 61:01:0140101:7734 (1 шт.)</t>
  </si>
  <si>
    <t>Установка прибора коммерческого учета электрической энергии (мощности) на границе земельного участка, подключенного от опоры №240-1 ВЛ 0,4 кВ №1 КТП 10/0,4кВ №240 ВЛ 10кВ №106Н ПС 110/6/10 кВ НС-1 для технологического присоединения энергопринимающих устройств объектов наружного освещения Заявителя Администрации Обильненского сельского поселения, п. Овощной, Азовский район, Ростовская область, к.н. 61:01:0130101:3244 (1 шт.)</t>
  </si>
  <si>
    <t>Установка прибора коммерческого учета электрической энергии (мощности) на границе земельного участка, подключенного от опоры №239-1 ВЛ 0,4 кВ №1 КТП 10/0,4кВ №239 ВЛ 10кВ №106Н ПС 110/6/10 кВ НС-1 для технологического присоединения энергопринимающих устройств объектов наружного освещения Заявителя Администрации Обильненского сельского поселения, п. Овощной, Азовский район, Ростовская область, к.н. 61:01:0130101:3247 (1 шт.)</t>
  </si>
  <si>
    <t>Установка прибора коммерческого учета электрической энергии (мощности) на границе земельного участка, подключенного от опоры №136-3 ВЛ 0,4 кВ №1 КТП 10/0,4кВ №136 ВЛ 10кВ №1515 ПС 35/10 кВ А-15 для технологического присоединения энергопринимающих устройств объекта жилого дома Заявителя Фоменко Г.К., х. Харьковский, Азовский район, Ростовская область, к.н. 61:01:0130101:3247 (1 шт.)</t>
  </si>
  <si>
    <t>Установка прибора коммерческого учета электрической энергии (мощности) на границе земельного участка, подключенного от № 316-36   ВЛ-0,4 № 2 КТП-316 ВЛ-10  612  ПС 35кВ Е-6 для технологического присоединения энергопринимающих устройств жилого дома Заявителя Аванесян А.С., Ростовская область, Егорлыкский р-он, х. Шаумяновский, ул. Шаумяна, д. 12а, кадастровый номер земельного участка: 61:10:009010101:1705, 1 шт.</t>
  </si>
  <si>
    <t>Установка прибора коммерческого учета электрической энергии (мощности) на границе земельного участка, подключенного от опоры  №194-7 ВЛ-0,4 №2 КТП-94 ВЛ-10 313 ПС 35 кВ КГ3 для технологического присоединения энергопринимающих устройств   административного здания Заявителя  Бержанян К.Ш.  Ростовская область, Кагальницкий р-н, ст.  к.н. 61:14:0050129:389 (1 шт.)</t>
  </si>
  <si>
    <t>Установка прибора коммерческого учета электрической энергии (мощности) на границе земельного участка, подключенного от опоры №141-54 ВЛ-0,4 №2 КТП-141 ВЛ-10 215 ПС 35 кВ КГ2 для технологического присоединения энергопринимающих устройств объекта малоэтажной жилой застройки Заявителя Гальченко Г.В., Ростовская область, Кагальницкий, п. Малиновка ул.  Садовая д. 48 к.н. 61:14:0010302:103 (1 шт.)</t>
  </si>
  <si>
    <t>Установка прибора коммерческого учета электрической энергии (мощности) на границе земельного участка, подключенного от опоры №28-90 ВЛ-0,4 №2 ЗТП-28 ВЛ-10 313 ПС 35 кВ КГ3 для технологического присоединения энергопринимающих устройств объекта малоэтажной жилой застройки Заявителя Панасенко Н.В., Ростовская область, Кагальницкий р-н. ст. Кировская ул. Школьная д.15А   к.н. 61:14:0050130:305 (1 шт.)</t>
  </si>
  <si>
    <t>Установка прибора коммерческого учета электрической энергии (мощности) на границе земельного участка, подключенного от опоры №56-58 ВЛ-0,4 №2 КТП-56 ВЛ-10 318 ПС 35 кВ КГ3 для технологического присоединения энергопринимающих устройств объекта малоэтажной жилой застройки Заявителя Шабанова А.А., Ростовская область, Кагальницкий р-н, х. Николаевский, ул. Луговая д.104-А к.н. 61:14:0050702:491 (1 шт.)</t>
  </si>
  <si>
    <t>Установка прибора коммерческого учета электрической энергии (мощности) на границе земельного участка, подключенного оп. № 119-19   ВЛ-0,4 №1 КТП-119 ВЛ-10  707  ПС 35 кВ Е-7 для технологического присоединения энергопринимающих устройств нежилой застройки Заявителя АО «Почта России», Ростовская область, Егорлыкский р-он, х. Украинский, кадастровый номер земельного участка: 61:10:30401:359 (1 шт)</t>
  </si>
  <si>
    <t>Установка прибора коммерческого учета электрической энергии (мощности) на границе земельного участка, подключенного оп. № 84-43   ВЛ-0,4 №2 КТП-84 ВЛ-10  506  ПС 35кВ Е-5 для технологического присоединения энергопринимающих устройств нежилой застройки Заявителя АО «Почта России», Ростовская область, Егорлыкский р-он, х. Объединенный, кадастровый номер земельного участка: 61:10:0080101:1178 (1 шт.)</t>
  </si>
  <si>
    <t>Установка прибора коммерческого учета электрической энергии (мощности) на границе земельного участка, подключенного от опоры №98-4 ВЛ 0,4 кВ №1 КТП 10/0,4кВ №98 ВЛ 10кВ №1815 ПС 35/10 кВ А-18 для технологического присоединения энергопринимающих устройств магазина Заявителя Сизова М.Н., х.Колузаево, Азовский район, Ростовская область, кадастровый (условный) номер объекта: 61:01:0600002:2576(1 шт.)</t>
  </si>
  <si>
    <t>Установка прибора коммерческого учета электрической энергии (мощности) на границе земельного участка, подключенного от опоры №136-49 ВЛ-0,4 кВ №2 КТП 10/0,4 кВ №136 по ВЛ 10 кВ №3113 ПС 110/35/10 кВ А-31 для технологического присоединения энергопринимающих устройств жилого дома Заявителя Немцева Н.Н., с. Пешково, Азовский район, Ростовская область, к.н. 61:01:0140101:6809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</si>
  <si>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 0,4 кВ (по договору ТП № 61-1-21-00614477 от 23.11.2021г. с заявителем Соломиной А.В.) МТП 10/0,4 кВ №311 ВЛ 10кВ №106Н ПС 110/6/10 кВ НС-1 для технологического присоединения энергопринимающих устройств жилого дома Заявителя Ноги И.Г., Ростовская область, Азовский район, ТСН «СНТ Белгорос», к.н. 61:01:0600006:4880 (1 шт.)</t>
  </si>
  <si>
    <t xml:space="preserve">Установка прибора коммерческого учета электрической энергии (мощности) на границе земельного участка, подключенного от опоры №358-12 ВЛ-0,4 кВ №2 КТП 10/0,4 кВ №358 по ВЛ 10 кВ №202Н ПС 110/6/10 кВ НС-2 для технологического присоединения энергопринимающих устройств жилого дома Заявителя Драгун И.Н., ЗАО «Обильное», Азовский район, Ростовская область, к.н. 61:01:0600006:3828 (1 шт.)
</t>
  </si>
  <si>
    <t>Установка прибора коммерческого учета электрической энергии (мощности) на границе земельного участка, подключенного от опоры №81-30 ВЛ 0,4 кВ №1 КТП 10/0,4кВ №81 ВЛ 10кВ №803 ПС 35/10 кВ А-8 для технологического присоединения энергопринимающих устройств магазина Заявителя ИП Мельниковой Т.В., с. Семибалки, Азовский район, Ростовская область, к.н. 61:01:0180101:5030 (1 шт.)</t>
  </si>
  <si>
    <t xml:space="preserve">Установка прибора коммерческого учета электрической энергии (мощности) на границе земельного участка, подключенного от опоры №206-2 ВЛ-0,4 кВ №1 КТП 10/0,4 кВ №206 по ВЛ 10 кВ №3113 ПС 110/35/10 кВ А-31 для технологического присоединения энергопринимающих устройств жилого дома Заявителя Кузнецова О.И., с.Пешково, Азовский район, Ростовская область, к.н. 61:01:0140101:8896 (1 шт.)
</t>
  </si>
  <si>
    <t>Установка прибора коммерческого учета электрической энергии (мощности) на границе земельного участка, подключенного от опоры №33-4 ВЛ-0,4 кВ №1 КТП 10/0,4 кВ №33 по ВЛ 10 кВ №2907 РП-29 ПС 35/10 кВ А-18 для технологического присоединения энергопринимающих устройств жилого дома Заявителя Виноградова В.А., х.Коса, Азовский район, Ростовская область, к.н. 61:01:0030601:489 (1 шт.)</t>
  </si>
  <si>
    <t xml:space="preserve">Установка прибора коммерческого учета электрической энергии (мощности) на границе земельного участка, подключенного от опоры №141-9 ВЛ-0,4 кВ №1 КТП 10/0,4 кВ №141 по ВЛ 10 кВ №802 ПС 35/10 кВ А-8 для технологического присоединения энергопринимающих устройств жилого дома Заявителя Перегудова В.В., с.Семибалки, Азовский район, Ростовская область, к.н. 61:01:0180101:1086 (1 шт.)
</t>
  </si>
  <si>
    <t>Установка прибора коммерческого учета электрической энергии (мощности) на границе земельного участка, подключенного от опоры №358-15 ВЛ-0,4 кВ №2 КТП 10/0,4 кВ №358 по ВЛ 10 кВ №202 Н ПС 110/6/10 кВ НС-2 для технологического присоединения энергопринимающих устройств жилого дома Заявителя Ким Е.С., ЗАО «Обильное», Азовский район, Ростовская область, к.н. 61:01:0600006:7320 (1 шт.)</t>
  </si>
  <si>
    <t xml:space="preserve">Установка прибора коммерческого учета электрической энергии (мощности) на границе земельного участка, подключенного от опоры №57-43 ВЛ-0,4 кВ №2 КТП 10/0,4 кВ №57 по ВЛ 10 кВ №3127 ПС 110/35/10 кВ А-31 для технологического присоединения энергопринимающих устройств садового дома Заявителя Ланко В.Г., Азовский район, Ростовская область, к.н. 61:01:0600011:697 (1 шт.)
</t>
  </si>
  <si>
    <t xml:space="preserve">Установка прибора коммерческого учета электрической энергии (мощности) на границе земельного участка, подключенного от опоры №158-36 ВЛ-0,4 кВ №3 КТП 10/0,4 кВ №158 по ВЛ 10 кВ №1019 ПС 110/35/10 кВ Самарская для технологического присоединения энергопринимающих устройств жилого дома Заявителя Бойко В.М., х.Победа, Азовский район, Ростовская область, к.н. 61:01:0041001:316 (1 шт.)
</t>
  </si>
  <si>
    <t xml:space="preserve">Установка прибора коммерческого учета электрической энергии (мощности) на границе земельного участка, подключенного от опоры №352-32/43 ВЛ-0,4 кВ №2 КТП 6/0,4 кВ №352 по ВЛ 6 кВ №207Н ПС 110/6/10 кВ НС-2 для технологического присоединения энергопринимающих устройств хозяйственной постройки Заявителя Шевелевой Е.Г., СТ «Квант», Азовский район, Ростовская область, к.н. 61:01:0502901:1468 (1 шт.)
</t>
  </si>
  <si>
    <t xml:space="preserve">Установка прибора коммерческого учета электрической энергии (мощности) на границе земельного участка, подключенного от опоры №358-4 ВЛ-0,4 кВ №1 КТП 10/0,4 кВ №358 по ВЛ 10 кВ №202Н ПС 110/6/10 кВ НС-2 для технологического присоединения энергопринимающих устройств жилого дома Заявителя Скворцовой О.В., ЗАО «Обильное», Азовский район, Ростовская область, к.н. 61:01:0600006:3832 (1 шт.)
</t>
  </si>
  <si>
    <t xml:space="preserve">Установка прибора коммерческого учета электрической энергии (мощности) на границе земельного участка, подключенного от опоры №88-7 ВЛ-0,4 кВ №1 КТП 10/0,4 кВ №88 по ВЛ 10 кВ №3127 ПС 110/35/10 кВ А-31 для технологического присоединения энергопринимающих устройств жилого дома Заявителя Еремеева В.А., с.Займо-Обрыв, Азовский район, Ростовская область, к.н. 61:01:0140401:3389 (1 шт.)
</t>
  </si>
  <si>
    <t xml:space="preserve">Установка прибора коммерческого учета электрической энергии (мощности) на границе земельного участка, подключенного от опоры №16-111 ВЛ-0,4 кВ №3 КТП 10/0,4 кВ №16 по ВЛ 10 кВ №2608 ПС 110/10 кВ А-26 для технологического присоединения энергопринимающих устройств жилого дома Заявителя Людной О.М., с. Кулешовка, Азовский район, Ростовская область, к.н. 61:01:0090101:8781 (1 шт.)
</t>
  </si>
  <si>
    <t xml:space="preserve">Установка прибора коммерческого учета электрической энергии (мощности) на границе земельного участка, подключенного от опоры №16-111 ВЛ-0,4 кВ №3 КТП 10/0,4 кВ №16 по ВЛ 10 кВ №2608 ПС 110/10 кВ А-26 для технологического присоединения энергопринимающих устройств жилого дома Заявителя Людной Т.В., с. Кулешовка, Азовский район, Ростовская область, к.н. 61:01:0090101:8773 (1 шт.)
</t>
  </si>
  <si>
    <t xml:space="preserve">Установка прибора коммерческого учета электрической энергии (мощности) на границе земельного участка, подключенного от опоры №174-67 ВЛ-0,4 кВ №6 КТП 10/0,4 кВ №174 по ВЛ 10 кВ №1011 ПС 110/35/10 кВ Самарская для технологического присоединения энергопринимающих устройств жилого дома Заявителя Алейниковой Я.И., с. Самарское, Азовский район, Ростовская область, к.н. 61:01:0600014:3742 (1 шт.)
</t>
  </si>
  <si>
    <t xml:space="preserve">Установка прибора коммерческого учета электрической энергии (мощности) на границе земельного участка, подключенного от опоры №б/н ВЛ-0,4 кВ КТП 10/0,4 кВ №203 (балансовая принадлежность СТ «Ягодка») по ВЛ 10 кВ №2608 ПС 110/10 кВ А-26 для технологического присоединения энергопринимающих устройств жилого дома Заявителя Юзбашева А.Э., с.Кулешовка, Азовский район, Ростовская область, к.н. 61:01:0501301:894 (1 шт.)
</t>
  </si>
  <si>
    <t xml:space="preserve">Установка прибора коммерческого учета электрической энергии (мощности) на границе земельного участка, подключенного от опоры №71-123 ВЛ-0,4 кВ №2 КТП 10/0,4 кВ №71 по ВЛ 10 кВ №105Н ПС 110/6/10 кВ НС-1 для технологического присоединения энергопринимающих устройств жилого дома Заявителя Дрюкова М.Ю., х. Усть-Койсуг, Азовский р-н, Ростовская область, к.н. 61:01:0030901:493 (1 шт.)
</t>
  </si>
  <si>
    <t xml:space="preserve">Установка прибора коммерческого учета электрической энергии (мощности) на границе земельного участка, подключенного от опоры №136-60 ВЛ-0,4 кВ №2 КТП 10/0,4 кВ №136 по ВЛ 10 кВ №803 ПС 35/10 кВ А-8 для технологического присоединения энергопринимающих устройств жилого дома Заявителя Баландиной Л.Н., с. Семибалки, Азовский р-н, Ростовская область, к.н. 61:01:0180101:1640 (1 шт.)
</t>
  </si>
  <si>
    <t>Установка прибора коммерческого учета электрической энергии (мощности) на границе земельного участка, подключенного от опоры №68-10 ВЛ-0,4 кВ №1 КТП 10/0,4 кВ №68 по ВЛ 10 кВ №1509 ПС 35/10 кВ А-15 для технологического присоединения энергопринимающих устройств жилого дома Заявителя Никитенко С.Н., х. Марков, Азовский р-н, Ростовская область, к.н. 61:01:0120401:106 (1 шт.)</t>
  </si>
  <si>
    <t xml:space="preserve">Установка прибора коммерческого учета электрической энергии (мощности) на границе земельного участка, подключенного от опоры №152-21 ВЛ-0,4 кВ №2 КТП 10/0,4 кВ №152 по ВЛ 10 кВ №1901 РП-19 ПС 110/35/10 кВ Самарская для технологического присоединения энергопринимающих устройств жилого дома Заявителя Товмасян Р.Г., п. Каяльский, Азовский район, Ростовская область, к.н. 61:01:0041201:290 (1 шт.)
</t>
  </si>
  <si>
    <t>Установка прибора коммерческого учета электрической энергии (мощности) на границе земельного участка, подключенного от опоры №61-48 ВЛ-0,4 кВ №2 КТП 10/0,4 кВ №61 по ВЛ 10 кВ №3207 ПС 110/35/10 кВ А-32 для технологического присоединения энергопринимающих устройств жилого дома Заявителя Хорунжий П.В., с. Александровка, Азовский район, Ростовская область, к.н. 61:01:0010101:1910 (1 шт)</t>
  </si>
  <si>
    <t>Установка прибора коммерческого учета электрической энергии (мощности) на границе земельного участка, подключенного от опоры №212-35 ВЛ-0,4 кВ №2 КТП 10/0,4 кВ №212 по ВЛ 10 кВ №910 ПС 35/10 кВ А-9 для технологического присоединения энергопринимающих устройств жилого дома Заявителя Сафьяновой О.С., ДНТ «Звездное», Азовский район, Ростовская область, к.н. 61:45:0000380:579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</si>
  <si>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ВЛ-0,4 кВ ( по договору ТП № 61-1-22-00635581 от 22.03.2022г. с заявителем Шулеповой А.Т.) КТП 10/0,4 кВ №358 по ВЛ 10 кВ №202Н ПС 110/6/10 кВ НС-2 для технологического присоединения энергопринимающих устройств жилого дома Заявителя Симоненко Л.В., ЗАО «Обильное», Азовский район, Ростовская область, к.н. 61:01:0600006:6937 (1 шт)</t>
  </si>
  <si>
    <t>Установка прибора коммерческого учета электрической энергии (мощности) на границе земельного участка, подключенного от опоры №48-53 ВЛ-0,4 кВ №2 КТП 10/0,4 кВ №48 по ВЛ 10 кВ №1815 ПС 35/10 кВ А-18 для технологического присоединения энергопринимающих устройств жилого дома Заявителя Назаренко М.А., Азовский район, Ростовская область, к.н. 61:01:0600002:2651 (1 шт)</t>
  </si>
  <si>
    <t>Установка прибора коммерческого учета электрической энергии (мощности) на границе земельного участка, подключенного от опоры №39-37 ВЛ 0,4 кВ №3 КТП 10/0,4кВ №39 ВЛ 10кВ №1908 РП-19 ПС 110/35/10 кВ Самарская для технологического присоединения энергопринимающих устройств объекта базовой станции сотовой связи Заявителя ПАО «Ростелеком»., х. Бурхановка, Азовский район, Ростовская область, к.н. 61:01:0050101 (1 шт.)</t>
  </si>
  <si>
    <t>Установка прибора коммерческого учета электрической энергии (мощности) на границе земельного участка, подключенного от опоры №151-2 ВЛ 0,4 кВ №1 КТП 10/0,4кВ №151 ВЛ 10кВ №1101 ПС 35/10 кВ А-11 для технологического присоединения энергопринимающих устройств объекта закусочной Заявителя ИП Олефиренко Н.А., с. Кагальник, Азовский район, Ростовская область, к.н. 61:01:0060101:244 (1 шт.)</t>
  </si>
  <si>
    <t>Установка прибора коммерческого учета электрической энергии (мощности) на границе земельного участка, подключенного от опоры №147-59 ВЛ 0,4 кВ №1 КТП 10/0,4кВ №147 ВЛ 10кВ №1701 ПС 35/10 кВ А-17 для технологического присоединения энергопринимающих устройств объекта жилого дома Заявителя Олибаш Е.Ю., с. Круглое, Азовский район, Ростовская область, к.н. 61:01:0070101:8114 (1 шт.)</t>
  </si>
  <si>
    <t>Установка прибора коммерческого учета электрической энергии (мощности) на границе земельного участка, подключенного от опоры №185-74 ВЛ 0,4 кВ №4 КТП 10/0,4кВ №185 ВЛ 10кВ №106Н ПС 110/6/10 кВ НС-1 для технологического присоединения энергопринимающих устройств объекта жилого дома Заявителя Тевосян В.Е., с. Кулешовка, Азовский район, Ростовская область, к.н. 61:01:0090101:8747 (1 шт.)</t>
  </si>
  <si>
    <t>Установка прибора коммерческого учета электрической энергии (мощности) на границе земельного участка, подключенного от опоры №115-7 ВЛ 0,4 кВ №1 КТП 10/0,4кВ №115 ВЛ 10кВ №3125 ПС 110/35/10 кВ А-31 для технологического присоединения энергопринимающих устройств объекта жилого дома Заявителя Ротовой А.К., с. Пешково, Азовский район, Ростовская область, к.н. 61:01:0140101:8442 (1 шт.)</t>
  </si>
  <si>
    <t>Установка прибора коммерческого учета электрической энергии (мощности) на границе земельного участка, подключенного от опоры №42-54 ВЛ 0,4 кВ №2 КТП 10/0,4кВ №42 ВЛ 10кВ №1802 ПС 35/10 кВ А-18 для технологического присоединения энергопринимающих устройств объекта жилого дома Заявителя Ковалева Н.Р., х. Рогожкино, Азовский район, Ростовская область, к.н. 61:01:0160101:3119 (1 шт.)</t>
  </si>
  <si>
    <t>Установка прибора коммерческого учета электрической энергии (мощности) на границе земельного участка, подключенного от опоры №120-12 ВЛ 0,4 кВ №1 КТП 10/0,4кВ №120 ВЛ 10кВ №1107 ПС 35/10 кВ А-11 для технологического присоединения энергопринимающих устройств объекта жилого дома Заявителя Родинцевой О.В., с. Кагальник, Азовский район, Ростовская область, к.н. 61:01:0060101:2654 (1 шт.)</t>
  </si>
  <si>
    <t>Установка прибора коммерческого учета электрической энергии (мощности) на границе земельного участка, подключенного от опоры №12-35 ВЛ 0,4 кВ №1 КТП 10/0,4кВ №12 ВЛ 10кВ №3203 ПС 110/35/10 кВ А-32 для технологического присоединения энергопринимающих устройств объекта жилого дома Заявителя Алисберг Е.Н., с. Александровка, Азовский район, Ростовская область, к.н. 61:01:0010101:7611 (1 шт.)</t>
  </si>
  <si>
    <t>Установка прибора коммерческого учета электрической энергии (мощности) на границе земельного участка, подключенного от опоры №82-73 ВЛ 0,4 кВ №2 КТП 10/0,4кВ №82 ВЛ 10кВ №1802 ПС 35/10 кВ А-18 для технологического присоединения энергопринимающих устройств объекта жилого дома Заявителя Каранда Е.К., х. Рогожкино, Азовский район, Ростовская область, к.н. 61:01:0160101:3648 (1 шт.)</t>
  </si>
  <si>
    <t>Установка прибора коммерческого учета электрической энергии (мощности) на границе земельного участка, подключенного от опоры №141-71 ВЛ 0,4 кВ №2 КТП 10/0,4кВ №141 ВЛ 10кВ №802 ПС 35/10 кВ А-8 для технологического присоединения энергопринимающих устройств объекта жилого дома Заявителя Кулиш Я.В., с. Семибалки, Азовский район, Ростовская область, к.н. 61:01:0180101:4427 (1 шт.)</t>
  </si>
  <si>
    <t>Установка прибора коммерческого учета электрической энергии (мощности) на границе земельного участка, подключенного от опоры №119-7 ВЛ 0,4 кВ №1 КТП 10/0,4кВ №119 ВЛ 10кВ №1314 ПС 35/10 кВ А-13 для технологического присоединения энергопринимающих устройств объекта жилого дома Заявителя Ауловой Н.К., с. Елизаветовка, Азовский район, Ростовская область, к.н. 61:01:020101:0094 (1 шт.)</t>
  </si>
  <si>
    <t>Установка прибора коммерческого учета электрической энергии (мощности) на границе земельного участка, подключенного от опоры №187-4 ВЛ 0,4 кВ №2 КТП 10/0,4кВ №187 ВЛ 10кВ №106Н ПС 110/6/10 кВ НС-1 для технологического присоединения энергопринимающих устройств объекта жилого дома Заявителя Тоноян А.Н., ДНТ «Кулешовка», Азовский район, Ростовская область, к.н. 61:01:0600006:1453 (1 шт.)</t>
  </si>
  <si>
    <t>Установка прибора коммерческого учета электрической энергии (мощности) на границе земельного участка, подключенного от опоры №б/н ВЛ 0,4 кВ КТП 10/0,4кВ №336 ( балансовая принадлежность Котиева Т.М.) ВЛ 10кВ №211 ПС 35/10 кВ А-2 для технологического присоединения энергопринимающих устройств объекта жилого дома Заявителя Мироновой А.С., х. Новоалександровка, Азовский район, Ростовская область, к.н. 61:01:0600005:3020 (1 шт.)</t>
  </si>
  <si>
    <t>Установка прибора коммерческого учета электрической энергии (мощности) на границе земельного участка, подключенного от опоры №25-99 ВЛ 0,4 кВ №3 КТП 10/0,4кВ №25 ВЛ 10кВ №1815 ПС 35/10 кВ А-18 для технологического присоединения энергопринимающих устройств объекта жилого дома Заявителя Кугеева С.Г., х. Колузаево, Азовский район, Ростовская область, к.н. 61:01:0030501:1768 (1 шт.)</t>
  </si>
  <si>
    <t>Установка прибора коммерческого учета электрической энергии (мощности) на границе земельного участка, подключенного от опоры №79-35 ВЛ 0,4 кВ №2 КТП 10/0,4кВ №79 ВЛ 10кВ №1701 ПС 35/10 кВ А-17 для технологического присоединения энергопринимающих устройств объекта жилого дома Заявителя Калайчиди Е.А., с. Круглое, Азовский район, Ростовская область, к.н. 61:01:0070101:2257 (1 шт.)</t>
  </si>
  <si>
    <t>Установка прибора коммерческого учета электрической энергии (мощности) на границе земельного участка, подключенного от опоры №174-8 ВЛ 0,4 кВ №1 КТП 10/0,4кВ №174 ВЛ 10кВ №3105 ПС 110/35/10 кВ А-31 для технологического присоединения энергопринимающих устройств объекта жилого дома Заявителя Тамазиной Г.И., с. Займо-Обрыв, Азовский район, Ростовская область, к.н. 61:01:0140401:3308 (1 шт.)</t>
  </si>
  <si>
    <t>Установка прибора коммерческого учета электрической энергии (мощности) на границе земельного участка, подключенного от опоры №152-16 ВЛ 0,4 кВ №1 КТП 10/0,4кВ №152 ВЛ 10кВ №1107 ПС 35/10 кВ А-11 для технологического присоединения энергопринимающих устройств объекта жилого дома Заявителя Уланкина Н.В., с. Кагальник, Азовский район, Ростовская область, к.н. 61:01:0060101:12868 (1 шт.)</t>
  </si>
  <si>
    <t>Установка прибора коммерческого учета электрической энергии (мощности) на границе земельного участка, подключенного от опоры №111-77 ВЛ 0,4 кВ №3 КТП 10/0,4кВ №111 ВЛ 10кВ №3113 ПС 110/35/10 кВ А-31 для технологического присоединения энергопринимающих устройств объекта жилого дома Заявителя Роменской А.С., с. Пешково, Азовский район, Ростовская область, к.н. 61:01:0140101:8885 (1 шт.)</t>
  </si>
  <si>
    <t>Установка прибора коммерческого учета электрической энергии (мощности) на границе земельного участка, подключенного от опоры №136-6 ВЛ 0,4 кВ №1 КТП 10/0,4кВ №136 ВЛ 10кВ №1515 ПС 35/10 кВ А-15 для технологического присоединения энергопринимающих устройств объекта нежилого помещения Заявителя ИП Дахнов В.А., х. Харьковский, Азовский район, Ростовская область, к.н. 61:01:0080501:215 (1 шт.)</t>
  </si>
  <si>
    <t>Установка прибора коммерческого учета электрической энергии (мощности) на границе земельного участка, подключенного от опоры №175-64 ВЛ 0,4 кВ №2 КТП 10/0,4кВ №175 ВЛ 10кВ №3105 ПС 110/35/10 кВ А-31 для технологического присоединения энергопринимающих устройств объекта жилого дома Заявителя Литвиненко Л.Н., с. Займо-Обрыв, Азовский район, Ростовская область, к.н. 61:01:0140401:31 (1 шт.)</t>
  </si>
  <si>
    <t>Установка прибора коммерческого учета электрической энергии (мощности) на границе земельного участка, подключенного от опоры №48-30 ВЛ 0,4 кВ №2 КТП 10/0,4кВ №48 ВЛ 10кВ №1815 ПС 35/10 кВ А-18 для технологического присоединения энергопринимающих устройств объекта жилого дома Заявителя Никулиной Д.И., Рыболовецкий колхоз им. Ленина, Азовский район, Ростовская область, к.н. 61:01:0600001:2511 (1 шт.)</t>
  </si>
  <si>
    <t>Установка прибора коммерческого учета электрической энергии (мощности) на границе земельного участка, подключенного от опоры №136-44 ВЛ 0,4 кВ №2 КТП 10/0,4кВ №136 ВЛ 10кВ №3113 ПС 110/35/10 кВ А-31 для технологического присоединения энергопринимающих устройств объекта жилого дома Заявителя Пыченкова С.В., с. Пешково, Азовский район, Ростовская область, к.н. 61:01:0140101:8712 (1 шт.)</t>
  </si>
  <si>
    <t>Установка прибора коммерческого учета электрической энергии (мощности) на границе земельного участка, подключенного от опоры №48-97 ВЛ 0,4 кВ №1 КТП 10/0,4кВ №48 ВЛ 10кВ №1815 ПС 35/10 кВ А-18 для технологического присоединения энергопринимающих устройств объекта жилого дома Заявителя Михайловой Д.В., Рыболовецкий колхоз им. Ленина, Азовский район, Ростовская область, к.н. 61:01:0600002:3300 (1 шт.)</t>
  </si>
  <si>
    <t>Установка прибора коммерческого учета электрической энергии (мощности) на границе земельного участка, подключенного от опоры №185-73 ВЛ 0,4 кВ №4 КТП 10/0,4кВ №185 ВЛ 10кВ №106Н ПС 110/6/10 кВ НС-1 для технологического присоединения энергопринимающих устройств объекта жилого дома Заявителя Белоусовой С.В., с. Кулешовка, Азовский район, Ростовская область, к.н. 61:01:0090101:8820 (1 шт.)</t>
  </si>
  <si>
    <t>Установка прибора коммерческого учета электрической энергии (мощности) на границе земельного участка, подключенного от опоры №100-6 ВЛ-0,4 кВ №1 КТП 10/0,4 кВ №100 по ВЛ 10 кВ №2412 ПС 35/10 кВ А-24 для технологического присоединения энергопринимающих устройств жилого дома Заявителя Шамоян К.Ш., х. Лагутник, Азовский район, Ростовская область, к.н. 61:01:0160201:19 (1 шт)</t>
  </si>
  <si>
    <t>Установка прибора коммерческого учета электрической энергии (мощности) на границе земельного участка, подключенного от опоры №57-7 ВЛ-0,4 кВ №1 КТП 10/0,4 кВ №57 по ВЛ 10 кВ №3127 ПС 110/35/10 кВ А-31 для технологического присоединения энергопринимающих устройств жилого дома Заявителя Николенко А.В., х. Береговой, Азовский район, Ростовская область, к.н. 61:01:140201:0020 (1 шт)</t>
  </si>
  <si>
    <t>Установка прибора коммерческого учета электрической энергии (мощности) на границе земельного участка, подключенного от опоры №73-83 ВЛ 0,4 кВ №2 КТП 10/0,4кВ №73 ВЛ 10кВ №507 ПС 35/10 кВ А-5 для технологического присоединения энергопринимающих устройств объекта жилого дома Заявителя Калинина Н.М., с. Советский Дар, Азовский район, Ростовская область, к.н. 61:01:0120801:91 (1 шт.)</t>
  </si>
  <si>
    <t>Установка прибора коммерческого учета электрической энергии (мощности) на границе земельного участка, подключенного от опоры №89-9 ВЛ-0,4 кВ №1 КТП 10/0,4 кВ №89 по ВЛ 10 кВ №1815 ПС 35/10 кВ А-18 для технологического присоединения энергопринимающих устройств жилого дома Заявителя Николаева В.А., х. Обуховка, Азовский район, Ростовская область, к.н. 61:01:0030801:1042 (1 шт)</t>
  </si>
  <si>
    <t>Установка прибора коммерческого учета электрической энергии (мощности) на границе земельного участка, подключенного от опоры №4-25 ВЛ-0,4 кВ №1 КТП 10/0,4 кВ №4 (безхозная) по ВЛ 10 кВ №1702 ПС 35/10 кВ А-17 для технологического присоединения энергопринимающих устройств жилого дома Заявителя Панькина С.В., с. Стефанидинодар, Азовский район, Ростовская область, к.н. 61:01:0070201:1154 (1 шт)</t>
  </si>
  <si>
    <t>Установка прибора коммерческого учета электрической энергии (мощности) на границе земельного участка, подключенного от опоры №334-26 ВЛ-0,4 кВ №1 КТП 10/0,4 кВ №334 по ВЛ 10 кВ №202Н ПС 110/6/10 кВ НС-2 для технологического присоединения энергопринимающих устройств жилого дома Заявителя Шулепова Г.А., ЗАО «Обильное», Азовский район, Ростовская область, к.н. 61:01:0600006:3822 (1 шт)</t>
  </si>
  <si>
    <t>Установка прибора коммерческого учета электрической энергии (мощности) на границе земельного участка, подключенного от опоры №б/н ВЛ-0,4 кВ КТП 10/0,4 кВ №279 (балансовая принадлежность ИП Усачев В.И. (п.Беловодье) по ВЛ 10 кВ №1815 ПС 35/10 кВ А-18 для технологического присоединения энергопринимающих устройств жилого дома Заявителя Саксельцевой Е.В., х. Обуховка, Азовский район, Ростовская область, к.н. 61:01:0600002:807 (1 шт)</t>
  </si>
  <si>
    <t>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проектируемой ВЛ 0,4 кВ (по договору ТП № 61-1-22-00631505 от 01.03.2022г.) КТП 10/0,4 кВ №184 ВЛ-10 кВ №3113 ПС 110/35/10 кВ А-31 для технологического присоединения энергопринимающих устройств жилого дома Заявителя Кузьменко В.Ю., с. Пешково, Азовский район, Ростовская область, к.н. 61:01:0140101:9115 (1 шт.)</t>
  </si>
  <si>
    <t>Установка прибора коммерческого учета электрической энергии (мощности) на границе земельного участка, подключенного от опоры №71-127 ВЛ 0,4 кВ №2 КТП 10/0,4кВ №71 ВЛ 10кВ №105Н ПС 110/6/10 кВ НС-1 для технологического присоединения энергопринимающих устройств жилого дома Заявителя Швед Т.И., х. Усть-Койсуг, Азовский район, Ростовская область, к.н. 61:01:0030901:39 (1 шт.)</t>
  </si>
  <si>
    <t>Установка прибора коммерческого учета электрической энергии (мощности) на границе земельного участка, подключенного от опоры №226-151 ВЛ 0,4 кВ №3 КТП 10/0,4кВ №226 ВЛ 10кВ №2608 ПС 110/10 кВ А-26 для технологического присоединения энергопринимающих устройств объекта жилого дома Заявителя Яковлевой А.А, Азовский район, Ростовская область, к.н. 61:01:0502401:7373 (1 шт.)</t>
  </si>
  <si>
    <t>Установка прибора коммерческого учета электрической энергии (мощности) на границе земельного участка, подключенного от опоры №106-1 ВЛ 0,4 кВ №1 КТП 10/0,4кВ №106 ВЛ 10кВ №105Н ПС 110/6/10 кВ НС-1 для технологического присоединения энергопринимающих устройств жилого дома Заявителя Пешковой Ю.В., х. Усть-Койсуг, Азовский район, Ростовская область, к.н. 61:01:0030901:476 (1 шт.)</t>
  </si>
  <si>
    <t>Установка прибора коммерческого учета электрической энергии (мощности) на границе земельного участка, подключенного от опоры №118-125 ВЛ 0,4кВ №3 КТП 10/0,4 кВ №118 ВЛ 10кВ №1101 ПС 35/10 кВ А-11 для технологического присоединения энергопринимающих устройств жилого дома Заявителя Колодяжного В.Н., с. Кагальник, Азовский район, Ростовская область, к.н. 61:01:0060101:3920 (1 шт.)</t>
  </si>
  <si>
    <t xml:space="preserve"> Установка прибора коммерческого учета электрической энергии (мощности) на границе земельного участка, подключенного от опоры №381-49 ВЛ 0,4 кВ №1 КТП 10/0,4кВ №381 ВЛ 10кВ №106Н ПС 110/6/10 кВ НС-1 для технологического присоединения энергопринимающих устройств объекта жилого дома Заявителя Кибасовой И.Г., ДНТ СН «Кулешовка-2», Азовский район, Ростовская область, к.н. 61:01:0600006:8024 (1 шт.)</t>
  </si>
  <si>
    <t>Установка прибора коммерческого учета электрической энергии (мощности) на границе земельного участка, подключенного от опоры №136-21 ВЛ 0,4 кВ №2 КТП 10/0,4кВ №136 ВЛ 10кВ №1107 ПС 35/10 кВ А-11 для технологического присоединения энергопринимающих устройств объекта жилого дома Заявителя Фоминой Н.В., х. Узяк, Азовский район, Ростовская область, к.н. 61:01:0060501:470 (1 шт.)</t>
  </si>
  <si>
    <t>Установка прибора коммерческого учета электрической энергии (мощности) на границе земельного участка, подключенного от опоры №160-131 ВЛ 0,4 кВ №1 КТП 10/0,4кВ №160 ВЛ 10кВ №1101 ПС 35/10 кВ А-11 для технологического присоединения энергопринимающих устройств объекта жилого дома Заявителя Павлятенко В.Ф., с. Кагальник, Азовский район, Ростовская область, к.н. 61:01:0060101:12855 (1 шт.)</t>
  </si>
  <si>
    <t>Установка прибора коммерческого учета электрической энергии (мощности) на границе земельного участка, подключенного от опоры №48-36 ВЛ 0,4 кВ №2 КТП 10/0,4кВ №48 ВЛ 10кВ №1107 ПС 35/10 кВ А-11 для технологического присоединения энергопринимающих устройств объекта жилого дома Заявителя Бойко В.А., с. Кагальник, Азовский район, Ростовская область, к.н. 61:01:0060101:12820 (1 шт.)</t>
  </si>
  <si>
    <t>Установка прибора коммерческого учета электрической энергии (мощности) на границе земельного участка, подключенного от опоры №240-147 ВЛ 0,4 кВ №3 КТП 10/0,4кВ №240 ВЛ 10кВ №106Н ПС 110/6/10 кВ НС-1 для технологического присоединения энергопринимающих устройств объекта жилого дома Заявителя Табанакова О.А., п. Овощной, Азовский район, Ростовская область, к.н. 61:01:0130101:5161 (1 шт.)</t>
  </si>
  <si>
    <t>Установка прибора коммерческого учета электрической энергии (мощности) на границе земельного участка, подключенного от опоры №240-147 ВЛ 0,4 кВ №3 КТП 10/0,4кВ №240 ВЛ 10кВ №106Н ПС 110/6/10 кВ НС-1 для технологического присоединения энергопринимающих устройств объекта жилого дома Заявителя Маловичко П.Н., п. Овощной, Азовский район, Ростовская область, к.н. 61:01:0130101:5160 (1 шт.)</t>
  </si>
  <si>
    <t>Установка прибора коммерческого учета электрической энергии (мощности) на границе земельного участка, подключенного от опоры №89-25 ВЛ 0,4 кВ №2 КТП 10/0,4кВ №89 ВЛ 10кВ №1014 ПС 110/35/10 кВ Самарская для технологического присоединения энергопринимающих устройств объекта жилого дома Заявителя Смородского В.Ю., х. Ельбузд, Азовский район, Ростовская область, к.н. 61:01:0041301:43 (1 шт.)</t>
  </si>
  <si>
    <t xml:space="preserve"> Установка прибора коммерческого учета электрической энергии (мощности) на границе земельного участка, подключенного от опоры №74-58 ВЛ 0,4 кВ №2 КТП 10/0,4кВ №74 ВЛ 10кВ №613 ПС 35/10 кВ А-6 для технологического присоединения энергопринимающих устройств объекта жилого дома Заявителя Головченко В.А., с. Новомаргаритово, Азовский район, Ростовская область, к.н. 61:01:0100201:280 (1 шт.)</t>
  </si>
  <si>
    <t>Установка прибора коммерческого учета электрической энергии (мощности) на границе земельного участка, подключенного от опоры №316-5 ВЛ 0,4 кВ №1 КТП 10/0,4кВ №316 ВЛ 10кВ №211 ПС 35/10 кВ А-2 для технологического присоединения энергопринимающих устройств объекта жилого дома Заявителя Жеребило А.В., х. Новоалександровка, Азовский район, Ростовская область, к.н. 61:01:0600005:1837 (1 шт.)</t>
  </si>
  <si>
    <t>Установка прибора коммерческого учета электрической энергии (мощности) на границе земельного участка, подключенного от опоры №151-2 ВЛ 0,4 кВ №1 КТП 10/0,4кВ №151 ВЛ 10кВ №1101 ПС 35/10 кВ А-11 для технологического присоединения энергопринимающих устройств объекта объекта торговли Заявителя ИП Олефиренко Н.А., с. Кагальник, Азовский район, Ростовская область, к.н. 61:01:0060101:0244 (1 шт.)</t>
  </si>
  <si>
    <t>Установка прибора коммерческого учета электрической энергии (мощности) на границе земельного участка, подключенного от опоры №98-2 ВЛ 0,4 кВ №2 КТП 10/0,4кВ №98 ВЛ 10кВ №1815 ПС 35/10 кВ А-18 для технологического присоединения энергопринимающих устройств объекта жилого дома Заявителя Рябых И.Г., х. Колузаево, Азовский район, Ростовская область, к.н. 61:01:0600002:2577 (1 шт.)</t>
  </si>
  <si>
    <t>Установка прибора коммерческого учета электрической энергии (мощности) на границе земельного участка, подключенного от опоры №121-1 ВЛ 0,4 кВ №1 КТП 10/0,4кВ №128 ВЛ 10кВ №1101 ПС 35/10 кВ А-11 для технологического присоединения энергопринимающих устройств объекта жилого дома Заявителя Дробышевой К.В., с. Кагальник, Азовский район, Ростовская область, к.н. 61:01:0060101:3127 (1 шт.)</t>
  </si>
  <si>
    <t>Установка прибора коммерческого учета электрической энергии (мощности) на границе земельного участка, подключенного от опоры №115-93 ВЛ 0,4 кВ №1 КТП 10/0,4кВ №115 ВЛ 10кВ №3125 ПС 110/35/10 кВ А-31 для технологического присоединения энергопринимающих устройств объекта малоэтажной жилой застройки Заявителя Маркеловой Е.В., с. Пешково, Азовский район, Ростовская область, к.н. 61:01:0140101:8414 (1 шт.)</t>
  </si>
  <si>
    <t>Установка прибора коммерческого учета электрической энергии (мощности) на границе земельного участка, подключенного от опоры №153-56 ВЛ 0,4 кВ №2 КТП 10/0,4кВ №153 ВЛ 10кВ №915 ПС 35/10 кВ А-9 для технологического присоединения энергопринимающих устройств объекта базовой станции сотовой связи Заявителя ПАО «Ростелеком»., с. Платоно-Петровка, Азовский район, Ростовская область, к.н. 61:01:0110601:362 (1 шт.)</t>
  </si>
  <si>
    <t>Установка прибора коммерческого учета электрической энергии (мощности) на границе земельного участка, подключенного от опоры №167-35 ВЛ 0,4 кВ №2 КТП 10/0,4кВ №167 ВЛ 10кВ №106Н ПС 110/35/10 кВ НС-1 для технологического присоединения энергопринимающих устройств объекта жилого дома Заявителя Раджабова К.Р., территория ДНТ «Кулешовка», Азовский район, Ростовская область, к.н. 61:01:0600006:1510 (1 шт.)</t>
  </si>
  <si>
    <t>Установка прибора коммерческого учета электрической энергии (мощности) на границе земельного участка, подключенного от проектируемой ВЛ 0,4 кВ (по договору ТП № 61-1-21-00609887 от 27.10.2021г.) МТП 10/0,4 кВ №311 ВЛ 10кВ №106Н ПС 110/6/10 кВ НС-1 для технологического присоединения энергопринимающих устройств жилого дома Заявителя Архипенко Н.Д., ТСН «СНТ Белгорос»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</si>
  <si>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№381-7 ВЛ 0,4 кВ №1 КТП 10/0,4кВ №381 ВЛ 10кВ №106Н ПС 110/10/6 кВ НС-1 для технологического присоединения энергопринимающих устройств нежилого здания Заявителя ИП Бречко И.А., ДНТ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</si>
  <si>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№135-140 ВЛ-0,4 №4 КТП-135 ВЛ-10 805 ПС 110 кВ БОС для технологического присоединения энергопринимающих устройств малоэтажной жилой застройки Заявителя Андреевой Е.В., Ростовская область, Кагальницкий р-н, п. Мокрый Батай, ул. Школьная д.19 к.н. 61:14:0060103:4 (1 шт.)</t>
  </si>
  <si>
    <t>Установка прибора коммерческого учета электрической энергии (мощности) на границе земельного участка, подключенного от опоры №17-24 ВЛ-0,4 №2 КТП-17 ВЛ-10 605 ПС 35 кВ КГ6 для технологического присоединения энергопринимающих устройств объекта малоэтажной жилой застройки Заявителя Гук Н.Н., Ростовская область, Кагальницкий, с. Новобатайск   пер. Калининский д.52-А   к.н. 61:14:0040148:129 (1 шт.)</t>
  </si>
  <si>
    <t>Установка прибора коммерческого учета электрической энергии (мощности) на границе земельного участка, подключенного от опоры №137-83 ВЛ-0,4 №3 КТП-137 ВЛ-10 605 ПС 35 кВ КГ6 для технологического присоединения энергопринимающих устройств объекта малоэтажной жилой застройки Заявителя Лященко В.В., Ростовская область, Кагальницкий, с. Новобатайск   пер. Маяковского д.11   к.н. 61:14:0040148:129 (1 шт.)</t>
  </si>
  <si>
    <t>Установка прибора коммерческого учета электрической энергии (мощности) на границе земельного участка, подключенного от опоры №194-13  ВЛ-0,4 №4 КТП-194 ВЛ-10 313  ПС 35 кВ КГ3 для технологического присоединения  энергопринимающих устройств объекта торговли Заявителя Обертышев С.С. Ростовская область, Кагальницкий р-н, ст. Кировская, ул. Кирова д.8Б к.н.: 61:14:0050129:383(1 шт.)</t>
  </si>
  <si>
    <t>Установка прибора коммерческого учета электрической энергии (мощности) на границе земельного участка, подключенного от опоры №13-26 ВЛ-0,4 №1 КТП-13 ВЛ-10 501 ПС 35 кВ ЗР5 для технологического присоединения энергопринимающих устройств ЛПХ Заявителя Решетниковой О.В., Ростовская область, Зерноградский р-н, х. Большие Эльбуздовские, ул. Береговая д.1 к.н. 61:12:0011401:62 (1 шт.)</t>
  </si>
  <si>
    <t>Установка прибора коммерческого учета электрической энергии (мощности) на границе земельного участка, подключенного оп. № 405-1   ВЛ-0,4 №1 КТП-405 ВЛ-10  904  ПС 110кВ Балко-Грузская для технологического присоединения энергопринимающих устройств нежилое помещение  Заявителя АО «Почта России», Ростовская область, Егорлыкский р-он, х. Балко-Грузский, ул. Молодежная,  д. 22/2, кадастровый номер земельного участка: 61:10:0020101:1118. (1 шт.)</t>
  </si>
  <si>
    <t>Установка прибора коммерческого учета электрической энергии (мощности) на границе земельного участка, подключенного от № 251-3   ВЛ-0,4 № 1 КТП-251 ВЛ-10  904 ПС 110кВ Балко-Грузская для технологического присоединения энергопринимающих устройств нежилого помещения (склад) Заявителя Музалева А.А., Ростовская область, Егорлыкский р-он, 460м. на север от северной окраины х.Балко-Грузский, кадастровый номер присоединяемого объекта и (или) земельного участка на котором расположен присоединяемый объект: 61:10:0600011:1328 (1 шт.)</t>
  </si>
  <si>
    <t xml:space="preserve">Установка прибора коммерческого учета электрической энергии (мощности) на границе земельного участка, подключенного на on. № 103-33 ВЛ-0,4 №1 КТП-103 ВЛ-10 702 ПС 35кВ Е-7 для технологического присоединения энергопринимающих устройств нежилой застройки Заявителя Администрация Егорлыкского сельского поселения, Ростовская область, Егорлыкский р-он, х. Таганрогский, ул. Ленина, д. 40, кадастровый номер земельного участка: 61:10:0010101:1443. (1 шт.)  </t>
  </si>
  <si>
    <t xml:space="preserve">Установка прибора коммерческого учета электрической энергии (мощности) на границе земельного участка, подключенного от опоры №48-60 ВЛ-0,4 кВ №2 КТП 10/0,4 кВ №48 по ВЛ 10 кВ №1815 ПС 35/10 кВ А-18 для технологического присоединения энергопринимающих устройств жилого дома Заявителя Варданян К.С., Азовский район, Ростовская область, к.н. 61:01:0600002:2652 (1 шт.)
</t>
  </si>
  <si>
    <t xml:space="preserve">Установка прибора коммерческого учета электрической энергии (мощности) на границе земельного участка, подключенного от опоры №18-22 ВЛ-0,4 кВ №1 КТП 10/0,4 кВ №18 по ВЛ 10 кВ №1815 ПС 35/10 кВ А-18 для технологического присоединения энергопринимающих устройств жилого дома Заявителя Швачевой И.Л., х. Курган, Азовский р-н, Ростовская область, к.н. 61:01:0030701:631 (1 шт.)
</t>
  </si>
  <si>
    <t>Установка прибора коммерческого учета электрической энергии (мощности) на границе земельного участка, подключенного от опоры №97-12 ВЛ 0,4 кВ №1 КТП 10/0,4кВ №97 ВЛ 10кВ №2907 РП-29 35/10 кВ А-18 для технологического присоединения энергопринимающих устройств объекта жилого дома Заявителя Величко Л.А., х. Казачий Ерик, Азовский район, Ростовская область, к.н. 61:01:0600002:1319 (1 шт.)</t>
  </si>
  <si>
    <t>Установка прибора коммерческого учета электрической энергии (мощности) на границе земельного участка, подключенного от опоры №б/н ВЛ 0,4 кВ КТП 10/0,4кВ №9 ВЛ 10кВ №1815 ПС 35/10 кВ А-18 для технологического присоединения энергопринимающих устройств объекта жилого дома Заявителя Миклюкова М.Ю, х. Городище, Азовский район, Ростовская область, к.н. 61:01:0600002:1707 (1 шт.)</t>
  </si>
  <si>
    <t>Установка прибора коммерческого учета электрической энергии (мощности) на границе земельного участка, подключенного от опоры №28-1 ВЛ 0,4 кВ №1 КТП 10/0,4кВ №28 ВЛ 10кВ №1815 ПС 35/10 кВ А-18 для технологического присоединения энергопринимающих устройств объекта жилого дома Заявителя Река А.Ю., х. Курган, Азовский район, Ростовская область, к.н. 61:01:0030701:543 (1 шт.)</t>
  </si>
  <si>
    <t>Установка прибора коммерческого учета электрической энергии (мощности) на границе земельного участка, подключенного от опоры №186-28 ВЛ 0,4 кВ №3 КТП 10/0,4кВ №186 ВЛ 10кВ №3113 ПС 110/35/10 кВ А-31 для технологического присоединения энергопринимающих устройств объекта нежилое помещение Заявителя Мироненко А.М., с. Пешково, Азовский район, Ростовская область, к.н. 61:01:0140101:8908 (1 шт.)</t>
  </si>
  <si>
    <t>Установка прибора коммерческого учета электрической энергии (мощности) на границе земельного участка, подключенного от опоры №101-54 ВЛ 0,4 кВ №2 КТП 10/0,4кВ №101 ВЛ 10кВ №2412 ПС 35/10 кВ А-24 для технологического присоединения энергопринимающих устройств объекта жилого дома Заявителя Акушко О.С., х. Полушкин, Азовский район, Ростовская область, к.н. 61:01:0160301:922 (1 шт.)</t>
  </si>
  <si>
    <t>Установка прибора коммерческого учета электрической энергии (мощности) на границе земельного участка, подключенного от опоры №249-14 ВЛ 0,4 кВ №1 КТП 10/0,4кВ №249 ВЛ 10кВ №2907 РП-29 ПС 35/10 кВ А-18 для технологического присоединения энергопринимающих устройств объекта жилого дома Заявителя Козырь Е.П., с/т. Энтузиаст, Азовский район, Ростовская область, к.н. 61:01:0500401:1320 (1 шт.)</t>
  </si>
  <si>
    <t>Установка прибора коммерческого учета электрической энергии (мощности) на границе земельного участка, подключенного от опоры №365-12 ВЛ 0,4 кВ №1 КТП 10/0,4кВ №365 ВЛ 10кВ №107Н ПС 110/6/10 кВ НС-1 для технологического присоединения энергопринимающих устройств объекта нежилой застройки Заявителя ИП Авдалян А.В., п. Овощной, Азовский район, Ростовская область, к.н. 61:01:0600006:1901 (1 шт.)</t>
  </si>
  <si>
    <t>Установка прибора коммерческого учета электрической энергии (мощности) на границе земельного участка, подключенного от опоры №43-24 ВЛ 0,4 кВ №1 КТП 10/0,4кВ №43 ВЛ 10кВ №105Н ПС 110/6/10 кВ НС-1 для технологического присоединения энергопринимающих устройств объекта жилого дома Заявителя Полисмак О.В, х. Шмат, Азовский район, Ростовская область, к.н. 61:01:0031001:301 (1 шт.)</t>
  </si>
  <si>
    <t>Установка прибора коммерческого учета электрической энергии (мощности) на границе земельного участка, подключенного от опоры №249-20 ВЛ 0,4 кВ №2 КТП 10/0,4кВ №249 ВЛ 10кВ №2907 РП-29 ПС 35/10 кВ А-18 для технологического присоединения энергопринимающих устройств объекта жилого дома Заявителя Шевченко Е.В., х. Курган, Азовский район, Ростовская область, к.н. 61:01:0500401:163 (1 шт.)</t>
  </si>
  <si>
    <t>Установка прибора коммерческого учета электрической энергии (мощности) на границе земельного участка, подключенного от опоры №365-10 ВЛ 0,4 кВ №1 КТП 10/0,4кВ №365 ВЛ 10кВ №107Н ПС 110/6/10 кВ НС-1 для технологического присоединения энергопринимающих устройств объекта нежилой застройки Заявителя Булат О.А., ДНТ «Задонье», Азовский район, Ростовская область, к.н. 61:01:0600006:9810 (1 шт.)</t>
  </si>
  <si>
    <t>Установка прибора коммерческого учета электрической энергии (мощности) на границе земельного участка, подключенного от опоры №41-13 ВЛ 0,4 кВ №1 ЗТП 10/0,4кВ №41 (бесхозная) ВЛ 10кВ №2608 ПС 110/10 кВ А-26 для технологического присоединения энергопринимающих устройств объекта нежилой застройки Заявителя ИП Манукова И.С., с. Кулешовка, Азовский район, Ростовская область, к.н. 61:01:0090102:2618 (1 шт.)</t>
  </si>
  <si>
    <t>Установка прибора коммерческого учета электрической энергии (мощности) на границе земельного участка, подключенного от опоры №226-143 ВЛ 0,4 кВ №3 КТП 10/0,4кВ №226 ВЛ 10кВ №2608 ПС 110/10 кВ А-26 для технологического присоединения энергопринимающих устройств объекта жилого дома Заявителя Ушенко Т.В., ДНТ «Ягодка-2», Азовский район, Ростовская область, к.н. 61:01:0502401:418 (1 шт.)</t>
  </si>
  <si>
    <t>Установка прибора коммерческого учета электрической энергии (мощности) на границе земельного участка, подключенного от опоры №381-89 ВЛ 0,4 кВ №1 КТП 10/0,4кВ №381 ВЛ 10кВ №106Н ПС 110/6/10 кВ НС-1 для технологического присоединения энергопринимающих устройств объекта жилого дома Заявителя Мартиросян А.С., ДНТ «Кулешовка», Азовский район, Ростовская область, к.н. 61:01:0600006:10212 (1 шт.)</t>
  </si>
  <si>
    <t>Установка прибора коммерческого учета электрической энергии (мощности) на границе земельного участка, подключенного от опоры №381-90 ВЛ 0,4 кВ №1 КТП 10/0,4кВ №381 ВЛ 10кВ №106Н ПС 110/6/10 кВ НС-1 для технологического присоединения энергопринимающих устройств объекта жилого дома Заявителя Мартиросян А.С., ДНТ «Кулешовка», Азовский район, Ростовская область, к.н. 61:01:0600006:10214 (1 шт.)</t>
  </si>
  <si>
    <t>Установка прибора коммерческого учета электрической энергии (мощности) на границе земельного участка, подключенного от опоры №381-90 ВЛ 0,4 кВ №1 КТП 10/0,4кВ №381 ВЛ 10кВ №106Н ПС 110/6/10 кВ НС-1 для технологического присоединения энергопринимающих устройств объекта жилого дома Заявителя Мартиросян А.С., ДНТ «Кулешовка», Азовский район, Ростовская область, к.н. 61:01:0600006:10213 (1 шт.)</t>
  </si>
  <si>
    <t>Установка прибора коммерческого учета электрической энергии (мощности) на границе земельного участка, подключенного от опоры №381-90 ВЛ 0,4 кВ №1 КТП 10/0,4кВ №381 ВЛ 10кВ №106Н ПС 110/6/10 кВ НС-1 для технологического присоединения энергопринимающих устройств объекта жилого дома Заявителя Мартиросян А.С., ДНТ «Кулешовка», Азовский район, Ростовская область, к.н. 61:01:0600006:10211 (1 шт.)</t>
  </si>
  <si>
    <t>Установка прибора коммерческого учета электрической энергии (мощности) на границе земельного участка, подключенного от опоры №36-14 ВЛ 0,4 кВ №1 МТП 10/0,4кВ №36 ВЛ 10кВ №1815 ПС 35/10 кВ А-18 для технологического присоединения энергопринимающих устройств объекта жилого дома Заявителя Лячиной И.С., Рыболовецкий колхоз им. Ленина, Азовский район, Ростовская область, к.н. 61:01:0600002:3336 (1 шт.)</t>
  </si>
  <si>
    <t>Установка прибора коммерческого учета электрической энергии (мощности) на границе земельного участка, подключенного от опоры №10-1 ВЛ 0,4 кВ №1 КТП 10/0,4кВ №10 ВЛ 10кВ №1802 ПС 35/10 кВ А-18 для технологического присоединения энергопринимающих устройств объекта жилого дома Заявителя Ковтуненко Г.Е., х. Рогожкино, Азовский район, Ростовская область, к.н. 61:01:0160101:829 (1 шт.)</t>
  </si>
  <si>
    <t>Установка прибора коммерческого учета электрической энергии (мощности) на границе земельного участка, подключенного от опоры №13-65 ВЛ 0,4 кВ №2 КТП 10/0,4кВ №13 ВЛ 10кВ №3203 ПС 110/35/10 кВ А-32 для технологического присоединения энергопринимающих устройств объекта жилого дома Заявителя Илюхиной Н.В., с. Александровка, Азовский район, Ростовская область, к.н. 61:01:0010101:3105 (1 шт.)</t>
  </si>
  <si>
    <t>Установка прибора коммерческого учета электрической энергии (мощности) на границе земельного участка, подключенного от опоры №25-87 ВЛ 0,4 кВ №3 КТП 10/0,4кВ №25 ВЛ 10кВ №1815 ПС 35/10 кВ А-18 для технологического присоединения энергопринимающих устройств объекта жилого дома Заявителя Якубовой Е.В., х. Колузаево, Азовский район, Ростовская область, к.н. 61:01:0030501:1776 (1 шт.)</t>
  </si>
  <si>
    <t>Установка прибора коммерческого учета электрической энергии (мощности) на границе земельного участка, подключенного от опоры №121-22 ВЛ-0,4кВ №2 КТП-10/0,4 кВ №121 ВЛ-10кВ №1904 РП-19 ПС 110/35/10 кВ Самарская для технологического присоединения энергопринимающих устройств объекта жилого дома Заявителя Ткаченко А.И., с. Новотроицкое, Азовский район, Ростовская область, к.н. 61:01:0040801:487 (1 шт.)</t>
  </si>
  <si>
    <t>Установка прибора коммерческого учета электрической энергии (мощности) на границе земельного участка, подключенного от опоры №б/н ВЛ 0,4 кВ КТП 10/0,4кВ №9 (балансовая принадлежность ООО «Рыбколхоз им. Ленина») ВЛ 10кВ №1815 ПС 35/10 кВ А-18 для технологического присоединения энергопринимающих устройств объекта жилого дома Заявителя Сенаева А.Ю., х. Городище, Азовский район, Ростовская область, к.н. 61:01:0600002:3040 (1 шт.)</t>
  </si>
  <si>
    <t>Установка прибора коммерческого учета электрической энергии (мощности) на границе земельного участка, подключенного от опоры №34-15 ВЛ 0,4 кВ №1 КТП 10/0,4кВ №34 ВЛ 10кВ №1101 ПС 35/10 кВ А-11 для технологического присоединения энергопринимающих устройств объекта торговли Заявителя ИП Колесник М.А., с. Кагальник, Азовский район, Ростовская область, к.н. 61:01:0060101:11763 (1 шт.)</t>
  </si>
  <si>
    <t>Установка прибора коммерческого учета электрической энергии (мощности) на границе земельного участка, подключенного от опоры №86-53 ВЛ 0,4 кВ №2 КТП 10/0,4кВ №86 ВЛ 10кВ №1107 ПС 35/10 кВ А-11 для технологического присоединения энергопринимающих устройств объекта жилого дома Заявителя Соболева И.А., х. Узяк, Азовский район, Ростовская область, к.н. 61:01:0060501:95 (1 шт.)</t>
  </si>
  <si>
    <t>Установка прибора коммерческого учета электрической энергии (мощности) на границе земельного участка, подключенного от опоры №32-47 ВЛ 0,4 кВ №2 КТП 10/0,4кВ №32 ВЛ 10кВ №2907 РП-29 ПС 35/10 кВ А-18 для технологического присоединения энергопринимающих устройств объекта жилого дома Заявителя Абакумовой И.В., х. Коса, Азовский район, Ростовская область, к.н. 61:01:0030601:6869 (1 шт.)</t>
  </si>
  <si>
    <t>Установка прибора коммерческого учета электрической энергии (мощности) на границе земельного участка, подключенного от опоры №217-43 ВЛ 0,4 кВ №2 КТП 10/0,4кВ №217 ВЛ 10кВ №1107 ПС 35/10 кВ А-11 для технологического присоединения энергопринимающих устройств объекта жилого дома Заявителя Нужного Е.В., с. Кагальник, Азовский район, Ростовская область, к.н. 61:01:0060101:12812 (1 шт.)</t>
  </si>
  <si>
    <t>Установка прибора коммерческого учета электрической энергии (мощности) на границе земельного участка, подключенного от опоры №156-7 ВЛ 0,4 кВ №1 КТП 10/0,4кВ №156 ВЛ 10кВ №910 ПС 35/10 кВ А-9 для технологического присоединения энергопринимающих устройств объекта жилого дома Заявителя Ли Т.Г., х. Павловка, Азовский район, Ростовская область, к.н. 61:01:0110401:527 (1 шт.)</t>
  </si>
  <si>
    <t>Установка прибора коммерческого учета электрической энергии (мощности) на границе земельного участка, подключенного от опоры №111-95 ВЛ 0,4 кВ №3 КТП 10/0,4кВ №111 ВЛ 10кВ №3113 ПС 110/35/10 кВ А-31 для технологического присоединения энергопринимающих устройств объекта жилого дома Заявителя Мырковой О.В, с. Пешково, Азовский район, Ростовская область, к.н. 61:01:0140101:9113 (1 шт.)</t>
  </si>
  <si>
    <t>Установка прибора коммерческого учета электрической энергии (мощности) на границе земельного участка, подключенного от опоры №18-45 ВЛ 0,4 кВ №2 КТП 10/0,4кВ №18 ВЛ 10кВ №3113 ПС 110/35/10 кВ А-31 для технологического присоединения энергопринимающих устройств объекта жилого дома Заявителя Едрышова И.Ю., с. Пешково, Азовский район, Ростовская область, к.н. 61:01:0140101:6265 (1 шт.)</t>
  </si>
  <si>
    <t>Установка прибора коммерческого учета электрической энергии (мощности) на границе земельного участка, подключенного от опоры №18-1 ВЛ 0,4 кВ №1 КТП 10/0,4кВ №18 ВЛ 10кВ №1815 ПС 35/10 кВ А-18 для технологического присоединения энергопринимающих устройств объекта жилого дома Заявителя Демян В.В., х. Курган, Азовский район, Ростовская область, к.н. 61:01:0030701:52 (1 шт.)</t>
  </si>
  <si>
    <t>Установка прибора коммерческого учета электрической энергии (мощности) на границе земельного участка, подключенного от опоры №67-3 ВЛ 0,4 кВ №1 КТП 10/0,4кВ №67 ВЛ 10кВ №606 ПС 35/10 кВ А-6 для технологического присоединения энергопринимающих устройств объекта артезианской скважины №1 Заявителя Унитарное муниципальное предприятие «Приморский водопровод», с. Порт-Катон, Азовский район, Ростовская область, к.н. 61:01:0100301:4442 (1 шт.)</t>
  </si>
  <si>
    <t>Установка прибора коммерческого учета электрической энергии (мощности) на границе земельного участка, подключенного от опоры №6-65 ВЛ 0,4 кВ №3 КТП 10/0,4кВ №6 ВЛ 10кВ №1316 ПС 35/10 кВ А-13 для технологического присоединения энергопринимающих устройств объекта жилого дома Заявителя Богатырева М.О., п. Южный, Азовский район, Ростовская область, к.н. 61:01:0020201:549 (1 шт.)</t>
  </si>
  <si>
    <t>Установка прибора коммерческого учета электрической энергии (мощности) на границе земельного участка, подключенного от опоры №311-1/4 ВЛ 0,4 кВ №3 КТП 10/0,4кВ №311 ВЛ 10кВ №106Н ПС 110/6/10 кВ НС-1 для технологического присоединения энергопринимающих устройств объекта жилого дома Заявителя Валиева Б., «СНТ Белгорос», Азовский район, Ростовская область, к.н. 61:01:0600006:4995 (1 шт.)</t>
  </si>
  <si>
    <t>Установка прибора коммерческого учета электрической энергии (мощности) на границе земельного участка, подключенного от опоры №48-78 ВЛ 0,4 кВ №1 КТП 10/0,4кВ №48 ВЛ 10кВ №1815 ПС 35/10 кВ А-18 для технологического присоединения энергопринимающих устройств объекта жилого дома Заявителя Гашиной Е.А, Рыболовецкий колхоз им. Ленина, Азовский район, Ростовская область, к.н. 61:01:0600002:3267 (1 шт.)</t>
  </si>
  <si>
    <t>Установка прибора коммерческого учета электрической энергии (мощности) на границе земельного участка, подключенного от опоры №58-32 ВЛ 0,4 кВ №1 КТП 10/0,4кВ №58 (бесхозная) ВЛ 10кВ №2608 ПС 110/10 кВ А-26 для технологического присоединения энергопринимающих устройств объекта жилого дома Заявителя Давыдовой Е.Л., с. Кулешовка, Азовский район, Ростовская область, к.н. 61:01:0090102:1783 (1 шт.)</t>
  </si>
  <si>
    <t>Установка прибора коммерческого учета электрической энергии (мощности) на границе земельного участка, подключенного от опоры №151-57 ВЛ 0,4 кВ №2 КТП 10/0,4кВ №151 ВЛ 10кВ №505 ПС 35/10 кВ А-5 для технологического присоединения энергопринимающих устройств объекта жилого дома Заявителя Олейник М.В., с. Отрадовка, Азовский район, Ростовская область, к.н. 61:01:0120101:237 (1 шт.)</t>
  </si>
  <si>
    <t>Установка прибора коммерческого учета электрической энергии (мощности) на границе земельного участка, подключенного от опоры №51-25 ВЛ 0,4 кВ №1 КТП 10/0,4кВ №51 ВЛ 10кВ №1815 ПС 35/10 кВ А-18 для технологического присоединения энергопринимающих устройств объекта жилого дома Заявителя Лавор В.В., х. Обуховка, Азовский район, Ростовская область, к.н. 61:01:0600002:1207 (1 шт.)</t>
  </si>
  <si>
    <t>Установка прибора коммерческого учета электрической энергии (мощности) на границе земельного участка, подключенного от опоры №74-36 ВЛ 0,4 кВ №1 КТП 10/0,4кВ №74 ВЛ 10кВ №613 ПС 35/10 кВ А-6 для технологического присоединения энергопринимающих устройств объекта жилого дома Заявителя Долининой К.С., с. Новомаргаритово, Азовский район, Ростовская область, к.н. 61:01:0100201:325 (1 шт.)</t>
  </si>
  <si>
    <t>Установка прибора коммерческого учета электрической энергии (мощности) на границе земельного участка, подключенного от опоры №75-47 ВЛ 0,4 кВ №3 КТП 10/0,4кВ №75 ВЛ 10кВ №3125 ПС 110/35/10 кВ А-31 для технологического присоединения энергопринимающих устройств объекта жилого дома Заявителя Малышевой Н.О., с. Пешково, Азовский район, Ростовская область, к.н. 61:01:0140101:7227 (1 шт.)</t>
  </si>
  <si>
    <t>Установка прибора коммерческого учета электрической энергии (мощности) на границе земельного участка, подключенного от опоры №98-19 ВЛ 0,4 кВ №1 КТП 10/0,4кВ №98 ВЛ 10кВ №1815 ПС 35/10 кВ А-18 для технологического присоединения энергопринимающих устройств объекта жилого дома Заявителя Басова Д.Н., х. Колузаево, Азовский район, Ростовская область, к.н. 61:01:0030501:2007 (1 шт.)</t>
  </si>
  <si>
    <t>Установка прибора коммерческого учета электрической энергии (мощности) на границе земельного участка, подключенного от опоры №48-11 ВЛ 0,4 кВ №1 КТП 10/0,4кВ №48 ВЛ 10кВ №1815 ПС 35/10 кВ А-18 для технологического присоединения энергопринимающих устройств объекта жилого дома Заявителя Рыженко Е.В., Рыболовецкий колхоз им. Ленина, Азовский район, Ростовская область, к.н. 61:01:0600002:2458 (1 шт.)</t>
  </si>
  <si>
    <t>Установка прибора коммерческого учета электрической энергии (мощности) на границе земельного участка, подключенного от опоры №311-9/16 ВЛ 0,4 кВ №1 МТП 10/0,4кВ №311 ВЛ 10кВ №106Н ПС 110/6/10 кВ НС-1 для технологического присоединения энергопринимающих устройств объекта жилого дома Заявителя Тришкина В.Н., ТСН «СНТ Белгорос», Азовский район, Ростовская область, к.н. 61:01:0600006:4846 (1 шт.)</t>
  </si>
  <si>
    <t xml:space="preserve">Установка прибора коммерческого учета электрической энергии (мощности) на границе земельного участка, подключенного от опоры №136-5 ВЛ 0,4 кВ №1 КТП 10/0,4кВ №136 ВЛ 10кВ №1107 ПС 35/10 кВ А-11 для технологического присоединения энергопринимающих устройств объекта жилого дома Заявителя Мазур И.А., х. Узяк, Азовский район, Ростовская область, к.н. 61:01:0060501:154 (1 шт.)  </t>
  </si>
  <si>
    <t>Установка прибора коммерческого учета электрической энергии (мощности) на границе земельного участка, подключенного от опоры №212-41 ВЛ 0,4 кВ №2 КТП 10/0,4кВ №212 ВЛ 10кВ №910 ПС 35/10 кВ А-9 для технологического присоединения энергопринимающих устройств объекта жилого дома Заявителя Ефименко Е.С., г. Азов, Ростовская область, к.н. 61:45:0000380:173 (1 шт.)</t>
  </si>
  <si>
    <t xml:space="preserve">Установка прибора коммерческого учета электрической энергии (мощности) на границе земельного участка, подключенного от опоры №381-49 ВЛ 0,4 кВ №1 КТП 10/0,4кВ №381 ВЛ 10кВ №106Н ПС 110/6/10 кВ НС-1 для технологического присоединения энергопринимающих устройств объекта жилого дома Заявителя Афанасьевой Ю.А., ДНТ СН «Кулешовка-2», Азовский район, Ростовская область, к.н. 61:01:0600006:8006 (1 шт.) </t>
  </si>
  <si>
    <t>Установка прибора коммерческого учета электрической энергии (мощности) на границе земельного участка, подключенного от опоры №75-26 ВЛ 0,4 кВ №1 КТП 10/0,4кВ №75 ВЛ 10кВ №3125 ПС 110/35/10 кВ А-31 для технологического присоединения энергопринимающих устройств объекта жилого дома Заявителя Марукян А., с. Пешково, Азовский район, Ростовская область, к.н. 61:01:0140101:8982 (1 шт.)</t>
  </si>
  <si>
    <t xml:space="preserve">Установка прибора коммерческого учета электрической энергии (мощности) на границе земельного участка, подключенного от опоры №18-93 ВЛ 0,4 кВ №3 КТП 10/0,4кВ №18 ВЛ 10кВ №3113 ПС 110/35/10 кВ А-31 для технологического присоединения энергопринимающих устройств объекта жилого дома Заявителя Резван Н.В., с. Пешково, Азовский район, Ростовская область, к.н. 61:01:0140101:8865 (1 шт.) </t>
  </si>
  <si>
    <t>Установка прибора коммерческого учета электрической энергии (мощности) на границе земельного участка, подключенного от опоры №14-147 ВЛ 0,4 кВ №4 КТП 10/0,4кВ №14 ВЛ 10кВ №106Н ПС 110/6/10 кВ НС-1 для технологического присоединения энергопринимающих устройств объекта жилого дома Заявителя Редичкиной Н.В., п. Овощной, Азовский район, Ростовская область, к.н. 61:01:0130101:4152 (1 шт.)</t>
  </si>
  <si>
    <t xml:space="preserve">Установка прибора коммерческого учета электрической энергии (мощности) на границе земельного участка, подключенного от опоры №311-5/6 ВЛ 0,4 кВ №2 МТП 10/0,4кВ №311 ВЛ 10кВ №106Н ПС 110/6/10 кВ НС-1 для технологического присоединения энергопринимающих устройств объекта жилого дома Заявителя Шапранова О.В., СХА «Кулешовское» поле III, Азовский район, Ростовская область, к.н. 61:01:0600006:4930 (1 шт.)  </t>
  </si>
  <si>
    <t xml:space="preserve">Установка прибора коммерческого учета электрической энергии (мощности) на границе земельного участка, подключенного от опоры №144-29 ВЛ 0,4 кВ №1 КТП 10/0,4кВ №144 ВЛ 10кВ №1107 ПС 35/10 кВ А-11 для технологического присоединения энергопринимающих устройств объекта жилого дома Заявителя Самородовой А.А., с. Кагальник, Азовский район, Ростовская область, к.н. 61:01:0060101:2870 (1 шт.) </t>
  </si>
  <si>
    <t xml:space="preserve">Установка прибора коммерческого учета электрической энергии (мощности) на границе земельного участка, подключенного от опоры №89-24 ВЛ 0,4 кВ №2 КТП 10/0,4кВ №89 ВЛ 10кВ №1014 ПС 110/35/10 кВ Самарская для технологического присоединения энергопринимающих устройств объекта жилого дома Заявителя Подгореловой В.А., х. Ельбузд, Азовский район, Ростовская область, к.н. 61:01:00411301:133 (1 шт.)  </t>
  </si>
  <si>
    <t xml:space="preserve">Установка прибора коммерческого учета электрической энергии (мощности) на границе земельного участка, подключенного от опоры №381-93 ВЛ 0,4 кВ №2 КТП 10/0,4кВ №381 ВЛ 10кВ №106Н ПС 110/6/10 кВ НС-1 для технологического присоединения энергопринимающих устройств объекта земельного участка под строительство Заявителя Худоян А.Д., ДНТ «Кулешовка», Азовский район, Ростовская область, к.н. 61:01:0600006:1770 (1 шт.)  </t>
  </si>
  <si>
    <t>Установка прибора коммерческого учета электрической энергии (мощности) на границе земельного участка, подключенного от опоры №8-77 ВЛ 0,4 кВ №3 КТП 10/0,4кВ №8 ВЛ 10кВ №1014 ПС 110/35/10 кВ Самарская для технологического присоединения энергопринимающих устройств объекта жилого дома Заявителя Кокориной А.С., с. Самарское, Азовский район, Ростовская область, к.н. 61:01:0170103:6423 (1 шт.)</t>
  </si>
  <si>
    <t xml:space="preserve">Установка прибора коммерческого учета электрической энергии (мощности) на границе земельного участка, подключенного от опоры №8-79 ВЛ 0,4 кВ №3 КТП 10/0,4кВ №8 ВЛ 10кВ №1014 ПС 110/35/10 кВ Самарская для технологического присоединения энергопринимающих устройств объекта жилого дома Заявителя Прищепова Р.А., с. Самарское, Азовский район, Ростовская область, к.н. 61:01:0170103:6376 (1 шт.)  </t>
  </si>
  <si>
    <t xml:space="preserve">Установка прибора коммерческого учета электрической энергии (мощности) на границе земельного участка, подключенного от проектируемой опоры проектируемого ВЛ-0,4 кВ ( по договору ТП № 61-1-22-00647947 от 17.05.2022г. с заявителем Худайбергановым А.Г.) КТП 10/0,4 кВ № 329 ВЛ 10 кВ №106Н ПС 110/6/10 кВ НС-1 для технологического присоединения энергопринимающих устройств жилого дома Заявителя Беленьковой Т.В., ДНТ «Виктория», Азовский р-он, Ростовская область, к.н. 61:01:0600006:6070  (1 шт)  
</t>
  </si>
  <si>
    <t xml:space="preserve">Установка прибора коммерческого учета электрической энергии (мощности) на границе земельного участка, подключенного от опоры №365-2 ВЛ-0,4 кВ №1 КТП 10/0,4 кВ №365 по ВЛ 10 кВ №107Н ПС 110/6/10 кВ НС-1 для технологического присоединения энергопринимающих устройств нежилой застройки Заявителя Мельник А.А., п. Овощной, Азовский район, Ростовская область, к.н. 61:01:0600006:3484 (1 шт) </t>
  </si>
  <si>
    <t>Установка прибора коммерческого учета электрической энергии (мощности) на границе земельного участка, подключенного от опоры №7-4 ВЛ 0,4 кВ №1 КТП 10/0,4кВ №7 ВЛ 10кВ №802 ПС 35/10 кВ А-8 для технологического присоединения энергопринимающих устройств объекта жилого дома Заявителя Акопова Н.Э., х. Павло-Очаково, Азовский район, Ростовская область, к.н. 61:01:0180301:1106 (1 шт.)</t>
  </si>
  <si>
    <t xml:space="preserve">Установка прибора коммерческого учета электрической энергии (мощности) на границе земельного участка, подключенного от опоры №б/н ВЛ 0,4 кВ КТП 10/0,4кВ №336 (балансовая принадлежность Котиева Т.М.) ВЛ 10кВ №211 ПС 35/10 кВ А-2 для технологического присоединения энергопринимающих устройств объекта жилой застройки Заявителя Общество с ограниченной ответственностью «Южстроймеханизация», х. Новоалександровка, Азовский район, Ростовская область, к.н. 61:01:0600005:3013 (1 шт.) </t>
  </si>
  <si>
    <t xml:space="preserve">Установка прибора коммерческого учета электрической энергии (мощности) на границе земельного участка, подключенного от опоры №б/н ВЛ 0,4 кВ КТП 10/0,4кВ №336 (балансовая принадлежность Котиева Т.М.) ВЛ 10кВ №211 ПС 35/10 кВ А-2 для технологического присоединения энергопринимающих устройств объекта жилой застройки Заявителя Общество с ограниченной ответственностью «Южстроймеханизация», х. Новоалександровка, Азовский район, Ростовская область, к.н. 61:01:0600005:3012 (1 шт.) </t>
  </si>
  <si>
    <t xml:space="preserve">Установка прибора коммерческого учета электрической энергии (мощности) на границе земельного участка, подключенного от опоры №100-3 ВЛ 0,4 кВ №1 КТП 10/0,4кВ №100 ВЛ 10кВ №1020 ПС 110/35/10 кВ Самарская для технологического присоединения энергопринимающих устройств объекта жилого дома Заявителя Адам П.А., п. Суходольск, Азовский район, Ростовская область, к.н. 61:01:0170501:1398 (1 шт.) </t>
  </si>
  <si>
    <t>Установка прибора коммерческого учета электрической энергии (мощности) на границе земельного участка, подключенного от № 1-28   ВЛ-0,4 №1 КТП-1 ВЛ-10  707  ПС 35кВ Е-7 для технологического присоединения энергопринимающих устройств жилого дома Заявителя Махно А.М., Ростовская область, Егорлыкский р-он, х. Московский, ул. Солнечная,  д. 74, кадастровый номер земельного участка:  61:10:0030201:40, (1шт.)</t>
  </si>
  <si>
    <t>Установка прибора коммерческого учета электрической энергии (мощности) на границе земельного участка, подключенного от опоры №4-91 ВЛ-0,4 №1 КТП-4 ВЛ-10 305 ПС 35 кВ КГ3 для технологического присоединения энергопринимающих устройств объекта крестьянского (фермерского) хозяйства Заявителя Адиханян А.А., Ростовская область, Кагальницкий р-н, ст. Кировская ул. Садовая 61А к.н. 61:14:0050150:703 (1 шт.)</t>
  </si>
  <si>
    <t>Установка прибора коммерческого учета электрической энергии (мощности) на границе земельного участка, подключенного от опоры №109-56 ВЛ-0,4 №2 КТП-109 ВЛ-10 805 ПС 110 кВ БОС для технологического присоединения энергопринимающих устройств объекта жилого дома Заявителя Герасименко Ю.В., Ростовская область, Кагальницкий р-н, п. Мокрый Батай ул. Вишневая д.18 кв.1 к.н. 61:14:0060108:814 (1 шт.)</t>
  </si>
  <si>
    <t>Установка прибора коммерческого учета электрической энергии (мощности) на границе земельного участка, подключенного от опоры №83-32 ВЛ-0,4 №1 КТП-83 ВЛ-10 415 ПС 35 кВ КГ4 для технологического присоединения энергопринимающих устройств объекта крестьянского (фермерского) хозяйства Заявителя Дятлова А.В., Ростовская область, Кагальницкий р-н, с. Васильево-Шамшево, пер. Кооперативный д.13-А к.н. 61:14:0030103:409 (1 шт.)</t>
  </si>
  <si>
    <t>Установка прибора коммерческого учета электрической энергии (мощности) на границе земельного участка, подключенного от опоры №22-9 ВЛ-0,4 №2 КТП-22 ВЛ-10 501 ПС 35 кВ ЗР5 для технологического присоединения энергопринимающих устройств нежилой застройки Заявителя ИП Дьяченко А.В., Ростовская область, Зерноградский р-н, х. Гуляй Борисовка, ул. Николаенко д.44 к.н. 61:12:0011225:388 (1 шт.)</t>
  </si>
  <si>
    <t>Установка прибора коммерческого учета электрической энергии (мощности) на границе земельного участка, подключенного от опоры №128-81 ВЛ-0,4 №2 КТП-128 ВЛ-10 313 ПС 35 кВ КГ3 для технологического присоединения энергопринимающих устройств магазина Заявителя ИП Маликовой С.В., Ростовская область, Кагальницкий р-н, ст. Кировская, ул. Кирова д.84-Е к.н. 61:14:0050109:99 (1 шт.)</t>
  </si>
  <si>
    <t>Установка прибора коммерческого учета электрической энергии (мощности) на границе земельного участка, подключенного от опоры  № 130-35 ВЛ-0,4  №1  КТП-130  ВЛ-10 1608 ПС 35 кВ ЗР16 для технологического присоединения энергопринимающих устройств жилого дома Заявителя Клименко Е.Н. Ростовская область, Зерноградский р-н, х. 1-й Россошинский, ул. Степная д.87А к.н. 61:12:0030310:261 (1 шт.)</t>
  </si>
  <si>
    <t>Установка прибора коммерческого учета электрической энергии (мощности) на границе земельного участка, подключенного от опоры №22-28 ВЛ-0,4 №1 КТП-22 ВЛ-10 1507 ПС 110 кВ ЗР15 для технологического присоединения энергопринимающих устройств объекта малоэтажной жилой застройки Заявителя Кочковой И.С., Ростовская область, Зерноградский р-н. г. Зерноград   ул. Самохвалова д.58   к.н. 61:12:0040103:0006 (1 шт.)</t>
  </si>
  <si>
    <t>Установка прибора коммерческого учета электрической энергии (мощности) на границе земельного участка, подключенного от опоры №257-92 ВЛ 0,4 кВ №2 КТП 10/0,4кВ №257 ВЛ 10кВ №10701 ПС 110/35/6 кВ А-1 для технологического присоединения энергопринимающих устройств объекта жилого дома Заявителя Тимченко П.В., г. Азов, Ростовская область, к.н. 61:45:0000455:518 (1 шт.)</t>
  </si>
  <si>
    <t>Установка прибора коммерческого учета электрической энергии (мощности) на границе земельного участка, подключенного от опоры №б/н ВЛ 0,4 кВ КТП 10/0,4кВ №336 (балансовая принадлежность Котиева Т.М.) ВЛ 10кВ №211 ПС 35/10 кВ А-2 для технологического присоединения энергопринимающих устройств объекта жилой застройки Заявителя Общество с ограниченной ответственностью «Южстроймеханизация», х. Новоалександровка, Азовский район, Ростовская область, к.н. 61:01:0600005:3746 (1 шт.)</t>
  </si>
  <si>
    <t>Установка прибора коммерческого учета электрической энергии (мощности) на границе земельного участка, подключенного от опоры №б/н ВЛ 0,4 кВ КТП 10/0,4кВ №336 (балансовая принадлежность Котиева Т.М.) ВЛ 10кВ №211 ПС 35/10 кВ А-2 для технологического присоединения энергопринимающих устройств объекта жилой застройки Заявителя Общество с ограниченной ответственностью «Южстроймеханизация», х. Новоалександровка, Азовский район, Ростовская область, к.н. 61:01:0600005:3747 (1 шт.)</t>
  </si>
  <si>
    <t>Установка прибора коммерческого учета электрической энергии (мощности) на границе земельного участка, подключенного от опоры №370-1 ВЛ 0,4 кВ №1 КТП 10/0,4кВ №370 ВЛ 10кВ №211 ПС 35/10 кВ А-2 для технологического присоединения энергопринимающих устройств объекта магазина Заявителя ИП Пименова Т.П., х. Новоалександровка, Азовский район, Ростовская область, к.н. 61:01:0600005:3704 (1 шт.)</t>
  </si>
  <si>
    <t>Установка прибора коммерческого учета электрической энергии (мощности) на границе земельного участка, подключенного от опоры №311-12 ВЛ 0,4 кВ №2 МТП 10/0,4кВ №311 ВЛ 10кВ №106Н ПС 110/6/10 кВ НС-1 для технологического присоединения энергопринимающих устройств объекта жилого дома Заявителя Вон В.В., ТСН «СНТ Белгорос», Азовский район, Ростовская область, к.н. 61:01:0600006:4897 (1 шт.)</t>
  </si>
  <si>
    <t>Установка прибора коммерческого учета электрической энергии (мощности) на границе земельного участка, подключенного от опоры №38-28/4 ВЛ 0,4 кВ №1 КТП 10/0,4кВ №38 ВЛ 10кВ №106Н ПС 110/6/10 кВ НС-1 для технологического присоединения энергопринимающих устройств объекта жилого дома Заявителя Рыбка Л.Г., ДНТ «Мелиоратор-2», Азовский район, Ростовская область, к.н. 61:01:0500901:70 (1 шт.)</t>
  </si>
  <si>
    <t>Установка прибора коммерческого учета электрической энергии (мощности) на границе земельного участка, подключенного от опоры №70-48 ВЛ 0,4 кВ №2 КТП 10/0,4кВ №70 ВЛ 10кВ №2608 ПС 110/10 кВ А-26 для технологического присоединения энергопринимающих устройств объекта жилого дома Заявителя Скрынниковой Е.В., с. Кулешовка, Азовский район, Ростовская область, к.н. 61:01:0090101:3138 (1 шт.)</t>
  </si>
  <si>
    <t>Установка прибора коммерческого учета электрической энергии (мощности) на границе земельного участка, подключенного от опоры №311-21 ВЛ 0,4 кВ №3 МТП 10/0,4кВ №311 ВЛ 10кВ №106Н ПС 110/6/10 кВ НС-1 для технологического присоединения энергопринимающих устройств объекта жилого дома Заявителя Новикова А.С., СНТ Белгорос, Азовский район, Ростовская область, к.н. 61:01:0600006:5014 (1 шт.)</t>
  </si>
  <si>
    <t>Установка прибора коммерческого учета электрической энергии (мощности) на границе земельного участка, подключенного от опоры №311-12 ВЛ 0,4 кВ №3 МТП 10/0,4кВ №311 ВЛ 10кВ №106Н ПС 110/6/10 кВ НС-1 для технологического присоединения энергопринимающих устройств объекта жилого дома Заявителя Абиева А.М., СНТ Белгорос, Азовский район, Ростовская область, к.н. 61:01:0600006:10225 (1 шт.)</t>
  </si>
  <si>
    <t>Установка прибора коммерческого учета электрической энергии (мощности) на границе земельного участка, подключенного от опоры №381-1 ВЛ 0,4 кВ №1 КТП 10/0,4кВ №381 ВЛ 10кВ №106Н ПС 110/6/10 кВ НС-1 для технологического присоединения энергопринимающих устройств объекта нежилого здания Заявителя ИП Мушегяна К.Х., ДНТ «Кулешовка», Азовский район, Ростовская область, к.н. 61:01:0600006:1380 (1 шт.)</t>
  </si>
  <si>
    <t>Установка прибора коммерческого учета электрической энергии (мощности) на границе земельного участка, подключенного от опоры №329-18 ВЛ 0,4 кВ №1 КТП 10/0,4кВ №329 ВЛ 10кВ №106Н ПС 110/6/10 кВ НС-1 для технологического присоединения энергопринимающих устройств объекта жилого дома Заявителя Ерко П.П., ТСН «СНТ Белгорос», Азовский район, Ростовская область, к.н. 61:01:0600006:5834 (1 шт.)</t>
  </si>
  <si>
    <t>Установка прибора коммерческого учета электрической энергии (мощности) на границе земельного участка, подключенного от опоры №185-60/24 ВЛ 0,4 кВ №3 КТП 10/0,4кВ №185 ВЛ 10кВ №106Н ПС 110/6/10 кВ НС-1 для технологического присоединения энергопринимающих устройств объекта строительной площадки Заявителя Кан А.Ю., с. Кулешовка, Азовский район, Ростовская область, к.н. 61:01:0090101:1774 (1 шт.)</t>
  </si>
  <si>
    <t>Установка прибора коммерческого учета электрической энергии (мощности) на границе земельного участка, подключенного от опоры №330-5 ВЛ 0,4 кВ №1 МТП 6/0,4кВ №330 ВЛ 6кВ №10701 ПС 110/35/10 кВ А-1 для технологического присоединения энергопринимающих устройств объекта складского помещения Заявителя Орлова А.В., г. Азов, Ростовская область, к.н. 61:45:0000419:396 (1 шт.)</t>
  </si>
  <si>
    <t>Установка прибора коммерческого учета электрической энергии (мощности) на границе земельного участка, подключенного от опоры №10-73 ВЛ-0,4 кВ №3 КТП 10/0,4 кВ №10 по ВЛ 10 кВ №3202 ПС 110/35/10 кВ А-32 для технологического присоединения энергопринимающих устройств объекта торговли Заявителя Ильинова М.С., с. Александровка, Азовский район, Ростовская область, к.н. 61:01:0010101:3210 (1 шт)</t>
  </si>
  <si>
    <t>Установка прибора коммерческого учета электрической энергии (мощности) на границе земельного участка, подключенного от опоры №25-25 ВЛ 0,4 кВ №1 КТП 10/0,4кВ №25 ВЛ 10кВ №1815 ПС 35/10 кВ А-18 для технологического присоединения энергопринимающих устройств объекта клуба Заявителя Общество с ограниченной ответственностью «ИОНОС»., х. Колузаево, Азовский район, Ростовская область, к.н. 61:01:0030501:1186 (1 шт.)</t>
  </si>
  <si>
    <t xml:space="preserve">Установка прибора коммерческого учета электрической энергии (мощности) на границе земельного участка, подключенного от опоры №б/н ВЛ 0,4 кВ КТП 10/0,4кВ №9 (балансовая принадлежность ООО «Рыбколхоз им. Ленина») ВЛ 10кВ №1815 ПС 35/10 кВ А-18 для технологического присоединения энергопринимающих устройств объекта жилого дома Заявителя Голина В.В., х. Городище, Азовский район, Ростовская область, к.н. 61:01:0600002:1779 (1 шт.) </t>
  </si>
  <si>
    <t xml:space="preserve">Установка прибора коммерческого учета электрической энергии (мощности) на границе земельного участка, подключенного от опоры №б/н ВЛ 0,4 кВ КТП 10/0,4кВ №336 (балансовая принадлежность Котиева Т.М.) ВЛ 10кВ №211 ПС 35/10 кВ А-2 для технологического присоединения энергопринимающих устройств объекта жилого дома Заявителя Койчева А.Ф., х. Новоалександровка, Азовский район, Ростовская область, к.н. 61:01:0600005:3117 (1 шт.) </t>
  </si>
  <si>
    <t xml:space="preserve">Установка прибора коммерческого учета электрической энергии (мощности) на границе земельного участка, подключенного от опоры №84-3 ВЛ 0,4 кВ №1 КТП 10/0,4кВ №84 ВЛ 10кВ №1606 ПС 35/10 кВ А-16 для технологического присоединения энергопринимающих устройств объекта нежилого помещения Заявителя Акционерного общества «Почта России», п. Новомирский, Азовский район, Ростовская область, к.н. 61:01:0050801:1924 (1 шт.) </t>
  </si>
  <si>
    <t xml:space="preserve">Установка прибора коммерческого учета электрической энергии (мощности) на границе земельного участка, подключенного от опоры №81-35 ВЛ 0,4 кВ №3 КТП 10/0,4кВ №81 ВЛ 10кВ №1020 ПС 110/35/10 кВ Самарская для технологического присоединения энергопринимающих устройств объекта нежилого помещения Заявителя Акционерного общества «Почта России», п. Суходольск, Азовский район, Ростовская область, к.н. 61:01:0170501:803 (1 шт.) </t>
  </si>
  <si>
    <t xml:space="preserve">Установка прибора коммерческого учета электрической энергии (мощности) на границе земельного участка, подключенного от опоры №28-27 ВЛ 0,4 кВ №2 КТП 10/0,4кВ №28 ВЛ 10кВ №1411 ПС 110/35/10 кВ А-32 для технологического присоединения энергопринимающих устройств объекта нежилого помещения Заявителя Акционерного общества «Почта России», х. Полтава 1-я, Азовский район, Ростовская область, к.н. 61:01:0080201:1097 (1 шт.) </t>
  </si>
  <si>
    <t xml:space="preserve">Установка прибора коммерческого учета электрической энергии (мощности) на границе земельного участка, подключенного от опоры №34-35 ВЛ 0,4 кВ №1 КТП 10/0,4кВ №34 ВЛ 10кВ №613 ПС 35/10 кВ А-6 для технологического присоединения энергопринимающих устройств объекта жилого дома Заявителя Ревина В.В., с. Новомаргаритово, Азовский район, Ростовская область, к.н. 61:01:0100201:489 (1 шт.) </t>
  </si>
  <si>
    <t xml:space="preserve">Установка прибора коммерческого учета электрической энергии (мощности) на границе земельного участка, подключенного от опоры №71-108 ВЛ 0,4 кВ №2 КТП 10/0,4кВ №71 ВЛ 10кВ №105Н ПС 110/6/10 кВ НС-1 для технологического присоединения энергопринимающих устройств объекта жилого дома Заявителя Третьяковой Н.П., х. Усть-Койсуг, Азовский район, Ростовская область, к.н. 61:01:0030901:1338 (1 шт.) </t>
  </si>
  <si>
    <t xml:space="preserve">Установка прибора коммерческого учета электрической энергии (мощности) на границе земельного участка, подключенного от опоры №34-5 ВЛ 0,4 кВ №1 КТП 10/0,4кВ №34 ВЛ 10кВ №1707 ПС 35/10 кВ А-17 для технологического присоединения энергопринимающих устройств объекта жилого дома Заявителя Титаренко А.А., с. Круглое, Азовский район, Ростовская область, к.н. 61:01:0070101:7759 (1 шт.) </t>
  </si>
  <si>
    <t xml:space="preserve">Установка прибора коммерческого учета электрической энергии (мощности) на границе земельного участка, подключенного от опоры №82-52 ВЛ 0,4 кВ №2 КТП 10/0,4кВ №82 ВЛ 10кВ №3127 ПС 110/35/10 кВ А-31 для технологического присоединения энергопринимающих устройств объекта жилого дома Заявителя Ивановой Е.В., с. Займо-Обрыв, Азовский район, Ростовская область, к.н. 61:01:0140401:3678 (1 шт.) </t>
  </si>
  <si>
    <t>Установка прибора коммерческого учета электрической энергии (мощности) на границе земельного участка, подключенного от опоры №43-15 ВЛ 0,4 кВ №1 КТП 10/0,4кВ №43 ВЛ 10кВ №105Н ПС 110/6/10 кВ НС-1 для технологического присоединения энергопринимающих устройств объекта жилого дома Заявителя Шелест В.В., х. Шмат, Азовский район, Ростовская область, к.н. 61:01:0031001:538 (1 шт.)</t>
  </si>
  <si>
    <t>Установка прибора коммерческого учета электрической энергии (мощности) на границе земельного участка, подключенного от опоры №148-43 ВЛ 0,4 кВ №2 КТП 10/0,4кВ №148 ВЛ 10кВ №1019 ПС 110/35/10 кВ Самарская для технологического присоединения энергопринимающих устройств объекта жилого дома Заявителя Осеевой И.А., х. Победа, Азовский район, Ростовская область, к.н. 61:01:041001:0060 (1 шт.)</t>
  </si>
  <si>
    <t xml:space="preserve">Установка прибора коммерческого учета электрической энергии (мощности) на границе земельного участка, подключенного от опоры №44-42 ВЛ 0,4 кВ №2 КТП 10/0,4кВ №44 ВЛ 10кВ №1005 ПС 110/35/10 кВ Самарская для технологического присоединения энергопринимающих устройств объекта жилого дома Заявителя Хачатуряна И.А., х. Бирючий, Азовский район, Ростовская область, к.н. 61:01:0050201:7 (1 шт.) </t>
  </si>
  <si>
    <t xml:space="preserve">Установка прибора коммерческого учета электрической энергии (мощности) на границе земельного участка, подключенного от опоры №58-84 ВЛ 0,4 кВ №3 КТП 10/0,4кВ №58 ВЛ 10кВ №2204 РП-22 ПС 110/35/10 кВ Самарская для технологического присоединения энергопринимающих устройств объекта жилого дома Заявителя Тимченко С.Г., х. Левобережный, Азовский район, Ростовская область, к.н. 61:01:0040701:485 (1 шт.) </t>
  </si>
  <si>
    <t>Установка прибора коммерческого учета электрической энергии (мощности) на границе земельного участка, подключенного от опоры №136-55 ВЛ 0,4 кВ №2 КТП 10/0,4кВ №136 ВЛ 10кВ №803 ПС 35/10 кВ А-8 для технологического присоединения энергопринимающих устройств объекта жилого дома Заявителя Танаева С.А., с. Семибалки, Азовский район, Ростовская область, к.н. 61:01:0180101:1642 (1 шт.)</t>
  </si>
  <si>
    <t>Установка прибора коммерческого учета электрической энергии (мощности) на границе земельного участка, подключенного от №67-23 ВЛ 0,4 кВ №2 КТП 10/0,4кВ №67 ВЛ 10кВ №606 ПС 35/10 кВ А-6 для технологического присоединения энергопринимающих устройств объекта жилого дома Заявителя Толмачева В.В., с. Порт-Катон, Азовский район, Ростовская область, к.н. 61:01:0100301:498 (1 шт.)</t>
  </si>
  <si>
    <t xml:space="preserve">Установка прибора коммерческого учета электрической энергии (мощности) на границе земельного участка, подключенного от опоры №31-146 ВЛ 0,4 кВ №2 КТП 10/0,4кВ №31 ВЛ 10кВ №2907 РП-29 ПС 35/10 кВ А-18 для технологического присоединения энергопринимающих устройств объекта жилого дома Заявителя Хасина Ю.В., ст-ца. Елизаветинская, Азовский район, Ростовская область, к.н. 61:01:0030101:1758 (1 шт.) </t>
  </si>
  <si>
    <t>Установка прибора коммерческого учета электрической энергии (мощности) на границе земельного участка, подключенного от опоры №112-21 ВЛ 0,4 кВ №1 КТП 10/0,4кВ №112 ВЛ 10кВ №3113 ПС 110/35/10 кВ А-31 для технологического присоединения энергопринимающих устройств объекта жилого дома Заявителя Резникова А.А., с. Пешково, Азовский район, Ростовская область, к.н. 61:01:0140101:7946 (1 шт.)</t>
  </si>
  <si>
    <t>Установка прибора коммерческого учета электрической энергии (мощности) на границе земельного участка, подключенного от проектируемой опоры, вновь построенной ВЛ 0,4 кВ (по договору 61-1-22-00635581 от 22.03.2022г.) ТП 10/0,4кВ №358 ВЛ 10кВ №202Н ПС 110/6/10 кВ НС-2 для технологического присоединения энергопринимающих устройств объекта жилого дома Заявителя Василенко Н.И, ЗАО Обильное, Азовский район, Ростовская область, к.н. 61:01:0600006:3845 (1 шт.)</t>
  </si>
  <si>
    <t>Установка прибора коммерческого учета электрической энергии (мощности) на границе земельного участка, подключенного от опоры №41-42 ВЛ 0,4 кВ №2 ЗТП 10/0,4кВ №41(бесхозная) ВЛ 10кВ №2608 ПС 110/10 кВ А-26 для технологического присоединения энергопринимающих устройств объекта отделения связи Заявителя Акционерное общество «Почта России», с. Кулешовка, Азовский район, Ростовская область, к.н. 61:01:0090102:931 (1 шт.)</t>
  </si>
  <si>
    <t>Установка прибора коммерческого учета электрической энергии (мощности) на границе земельного участка, подключенного от опоры №118-45 ВЛ 0,4 кВ №1 КТП 10/0,4кВ №118 ВЛ 10кВ №1101 ПС 35/10 кВ А-11 для технологического присоединения энергопринимающих устройств объекта жилого дома Заявителя Гринченко Е.И., с. Кагальник, Азовский район, Ростовская область, к.н. 61:01:0060101:3658 (1 шт.)</t>
  </si>
  <si>
    <t>Установка прибора коммерческого учета электрической энергии (мощности) на границе земельного участка, подключенного от опоры №51-14 ВЛ 0,4 кВ №1 КТП 10/0,4кВ №51 ВЛ 10кВ №211 ПС 35/10 кВ А-2 для технологического присоединения энергопринимающих устройств объекта жилого дома Заявителя Мустафа Н.А., х. Новоалександровка, Азовский район, Ростовская область, к.н. 61:01:0110101:3591 (1 шт.)</t>
  </si>
  <si>
    <t>Установка прибора коммерческого учета электрической энергии (мощности) на границе земельного участка, подключенного от опоры №316-26 ВЛ 0,4 кВ №1 КТП 10/0,4кВ №316 ВЛ 10кВ №211 ПС 35/10 кВ А-2 для технологического присоединения энергопринимающих устройств объекта жилого дома Заявителя Кваша Д.Р., х. Новоалександровка, Азовский район, Ростовская область, к.н. 61:01:0600005:1840 (1 шт.)</t>
  </si>
  <si>
    <t>Установка прибора коммерческого учета электрической энергии (мощности) на границе земельного участка, подключенного от опоры №185-76 ВЛ 0,4 кВ №3 КТП 10/0,4кВ №185 ВЛ 10кВ №106Н ПС 110/6/10 кВ НС-1 для технологического присоединения энергопринимающих устройств объекта жилого дома Заявителя Маргарян Ю.А., СХА «Кулешовское», Азовский район, Ростовская область, к.н. 61:01:0600006:6226 (1 шт.)</t>
  </si>
  <si>
    <t>Установка прибора коммерческого учета электрической энергии (мощности) на границе земельного участка, подключенного от опоры №185-76 ВЛ 0,4 кВ №3 КТП 10/0,4кВ №185 ВЛ 10кВ №106Н ПС 110/6/10 кВ НС-1 для технологического присоединения энергопринимающих устройств объекта жилого дома Заявителя Маргарян Ю.А., СХА «Кулешовское», Азовский район, Ростовская область, к.н. 61:01:0600006:6227 (1 шт.)</t>
  </si>
  <si>
    <t>Установка прибора коммерческого учета электрической энергии (мощности) на границе земельного участка, подключенного от опоры №185-77 ВЛ 0,4 кВ №3 КТП 10/0,4кВ №185 ВЛ 10кВ №106Н ПС 110/6/10 кВ НС-1 для технологического присоединения энергопринимающих устройств объекта жилого дома Заявителя Мартиросян А.С., СХА «Кулешовское», Азовский район, Ростовская область, к.н. 61:01:0600006:6225 (1 шт.)</t>
  </si>
  <si>
    <t>Установка прибора коммерческого учета электрической энергии (мощности) на границе земельного участка, подключенного от опоры №329-15 ВЛ 0,4 кВ №1 КТП 10/0,4кВ №329 ВЛ 10кВ №106Н ПС 110/6/10 кВ НС-1 для технологического присоединения энергопринимающих устройств объекта жилого дома Заявителя Вартанян А.С., «СНТ Белгорос», Азовский район, Ростовская область, к.н. 61:01:0600006:5839 (1 шт.)</t>
  </si>
  <si>
    <t>Установка прибора коммерческого учета электрической энергии (мощности) на границе земельного участка, подключенного от опоры №316-10 ВЛ 0,4 кВ №1 МТП 10/0,4кВ №316 ВЛ 10кВ №211 ПС 35/10 кВ А-2 для технологического присоединения энергопринимающих устройств объекта жилого дома Заявителя Королькова А.В., х. Новоалександровка, Азовский район, Ростовская область, к.н. 61:01:0600005:1831 (1 шт.)</t>
  </si>
  <si>
    <t>Установка прибора коммерческого учета электрической энергии (мощности) на границе земельного участка, подключенного от опоры № 20-36 ВЛ-0,4 № 5 КТП-20 ВЛ-10  607  ПС 35 кВ Е-6 для технологического присоединения энергопринимающих устройств жилого дома Заявителя Кужукина А.Е., Ростовская обл., р-н. Егорлыкский, х. Кавалерский, ул. Ленина,  д. 120, кадастровый номер земельного участка:  61:10:0060101:607     (1 шт)</t>
  </si>
  <si>
    <t>Установка прибора коммерческого учета электрической энергии (мощности) на границе земельного участка, подключенного от опоры №8-79 ВЛ-0,4 №3 КТП-8 ВЛ-10 305 ПС 35 кВ КГ3 для технологического присоединения энергопринимающих устройств нежилой застройки Заявителя Бакоян С.С., Ростовская область, Кагальницкий р-н, п. Глубокий Яр, уч-к отделение 2, в 85 м на юг от юго-восточной его окраины к.н. 61:14:0600020:2039 (1 шт.)</t>
  </si>
  <si>
    <t>Установка прибора коммерческого учета электрической энергии (мощности) на границе земельного участка, подключенного от опоры №134-41 ВЛ-0,4 №1 КТП-134 ВЛ-10 101 ПС 220 кВ Зерновая для технологического присоединения энергопринимающих устройств малоэтажной жилой застройки Заявителя Гурдесова А.С., Ростовская область, Зерноградский р-н, г. Зерноград, пер. Ярославский д.32 к.н. 61:12:0040572:252 (1 шт.)</t>
  </si>
  <si>
    <t>Установка прибора коммерческого учета электрической энергии (мощности) на границе земельного участка, подключенного от опоры №15-115 ВЛ-0,4 №2 КТП-15 ВЛ-10 102 ПС 110 кВ Звонкая для технологического присоединения энергопринимающих устройств объекта крестьянского (фермерского) хозяйства Заявителя Крахотина А.Н. Ростовская область, Кагальницкий р-н, х. Красноармейский, ул. Донская д.14 к.н. 61:14:0070301:28 (1 шт.)</t>
  </si>
  <si>
    <t>Установка прибора коммерческого учета электрической энергии (мощности) на границе земельного участка, подключенного от опоры №90-6 ВЛ-0,4 №1 КТП-90 ВЛ-10 1402 ПС 110 кВ ЗР14 для технологического присоединения энергопринимающих устройств малоэтажной жилой застройки Заявителя ООО «Альтаир-Агро», Ростовская область, Зерноградский р-н, примерно в 0,120 км по направлению на север от северной окраины х. Водяный к.н. 61:12:0601701:1166 (1 шт.)</t>
  </si>
  <si>
    <t>Установка прибора коммерческого учета электрической энергии (мощности) на границе земельного участка, подключенного от опоры №35-1 ВЛ-0,4 №1 КТП-35 ВЛ-10 716 ПС 110 кВ Юбилейная для технологического присоединения энергопринимающих устройств малоэтажной жилой застройки Заявителя Федорковской Т.А., Ростовская область, Кагальницкий р-н, п. Воронцовка, ул. Молодежная д.16 к.н. 61:14:0060201:489 (1 шт.)</t>
  </si>
  <si>
    <t>Установка прибора коммерческого учета электрической энергии (мощности) на границе земельного участка, подключенного от опоры №173-52 ВЛ 0,4 кВ №1 КТП 10/0,4кВ №173 ВЛ 10кВ №902 ПС 35/10 кВ А-9 для технологического присоединения энергопринимающих устройств объекта жилого дома Заявителя Панкова С.В., х. Павловка, Азовский район, Ростовская область, к.н. 61:01:0110401:702 (1 шт.)</t>
  </si>
  <si>
    <t>Установка прибора коммерческого учета электрической энергии (мощности) на границе земельного участка, подключенного от опоры №б/н ВЛ 0,4 кВ КТП 10/0,4кВ №94 (на балансе Администрации Елизаветинского сельского поселения) ВЛ 10кВ №2907 РП-29 ПС 35/10 кВ А-18 для технологического присоединения энергопринимающих устройств объекта жилого дома Заявителя Лисченко А.И., х. Казачий Ерик, Азовский район, Ростовская область, к.н. 61:01:003401:1232 (1 шт.)</t>
  </si>
  <si>
    <t>Установка прибора коммерческого учета электрической энергии (мощности) на границе земельного участка, подключенного от опоры №114-71 ВЛ 0,4 кВ №2 КТП 10/0,4кВ №114 ВЛ 10кВ №1405 ПС 110/35/10 кВ А-32 для технологического присоединения энергопринимающих устройств объекта антенно-мачтового сооружения 61-11249 Заявителя Акционерное общество «Первая Башенная Компания», п. Новополтавский, Азовский район, Ростовская область, к.н. 61:01:0150101 (1 шт.)</t>
  </si>
  <si>
    <t>Установка прибора коммерческого учета электрической энергии (мощности) на границе земельного участка, подключенного от опоры №228-7 ВЛ 0,4 кВ №1 КТП 10/0,4кВ №228 ВЛ 10кВ №106Н ПС 110/6/10 кВ НС-1 для технологического присоединения энергопринимающих устройств объекта жилого дома Заявителя Чурсиной М.Н., п. Овощной, Азовский район, Ростовская область, к.н. 61:01:0130101:4345 (1 шт.)</t>
  </si>
  <si>
    <t>Установка прибора коммерческого учета электрической энергии (мощности) на границе земельного участка, подключенного от опоры №212-91 ВЛ 0,4 кВ №4 КТП 10/0,4кВ №212 ВЛ 10кВ №910 ПС 35/10 кВ А-9 для технологического присоединения энергопринимающих устройств объекта жилого дома Заявителя Елизаровой Г.С., СНТ «Южное», Азовский район, Ростовская область, к.н. 61:01:0000380:45 (1 шт.)</t>
  </si>
  <si>
    <t>Установка прибора коммерческого учета электрической энергии (мощности) на границе земельного участка, подключенного от опоры №212-28 ВЛ 0,4 кВ №2 КТП 10/0,4кВ №212 ВЛ 10кВ №910 ПС 35/10 кВ А-9 для технологического присоединения энергопринимающих устройств объекта жилого дома Заявителя Матвеева И.А., СНТ «Южное», Азовский район, Ростовская область, к.н. 61:01:0000380:116 (1 шт.)</t>
  </si>
  <si>
    <t>Установка прибора коммерческого учета электрической энергии (мощности) на границе земельного участка, подключенного от опоры №101-43 ВЛ 0,4 кВ №2 КТП 10/0,4кВ №101 ВЛ 10кВ №2412 ПС 35/10 кВ А-24 для технологического присоединения энергопринимающих устройств объекта жилого дома Заявителя Шурыгиной В.В., х. Полушкин, Азовский район, Ростовская область, к.н. 61:01:0160301:675 (1 шт.)</t>
  </si>
  <si>
    <t>Установка прибора коммерческого учета электрической энергии (мощности) на границе земельного участка, подключенного от опоры №166-20 ВЛ 0,4 кВ №1 КТП 10/0,4кВ №20 ВЛ 10кВ №1701 ПС 35/10 кВ А-17 для технологического присоединения энергопринимающих устройств объекта жилого дома Заявителя Панова М.Н., с. Круглое, Азовский район, Ростовская область, к.н. 61:01:0070101:2882 (1 шт.)</t>
  </si>
  <si>
    <t>Установка прибора коммерческого учета электрической энергии (мощности) на границе земельного участка, подключенного от опоры №117-26 ВЛ 0,4 кВ №2 КТП 10/0,4кВ №117 ВЛ 10кВ №3127 ПС 110/35/10 кВ А-31 для технологического присоединения энергопринимающих устройств объекта жилого дома Заявителя Телегиной А., с. Займо-Обрыв, Азовский район, Ростовская область, к.н. 61:01:0140401:3688 (1 шт.)</t>
  </si>
  <si>
    <t>Установка прибора коммерческого учета электрической энергии (мощности) на границе земельного участка, подключенного от опоры №48-16 ВЛ 0,4 кВ №1 КТП 10/0,4кВ №48 ВЛ 10кВ №1815 ПС 35/10 кВ А-18 для технологического присоединения энергопринимающих устройств объекта жилого дома Заявителя Башкирцева А.С., Рыболовецкий колхоз им.Ленина, Азовский район, Ростовская область, к.н. 61:01:0600002:2478 (1 шт.)</t>
  </si>
  <si>
    <t>Установка прибора коммерческого учета электрической энергии (мощности) на границе земельного участка, подключенного от опоры №77-33 ВЛ 0,4 кВ №2 КТП 10/0,4кВ №77 ВЛ 10кВ №1613 ПС 35/10 кВ А-16 для технологического присоединения энергопринимающих устройств объекта антенно-мачтового сооружения 61-1103 Заявителя Акционерное общество «Первая Башенная Компания»., х. Гусарева Балка, Азовский район, Ростовская область, к.н. 61:01:0120101 (1 шт.)</t>
  </si>
  <si>
    <t>Установка прибора коммерческого учета электрической энергии (мощности) на границе земельного участка, подключенного от опоры №212-55 ВЛ 0,4 кВ №3 КТП 10/0,4кВ №212 ВЛ 10кВ №910 ПС 35/10 кВ А-9 для технологического присоединения энергопринимающих устройств объекта жилого дома Заявителя Жукова Н.Ю., г. Азов, СНТ «Звездное», Ростовская область, к.н. 61:45:0000380:375 (1 шт.)</t>
  </si>
  <si>
    <t>Установка прибора коммерческого учета электрической энергии (мощности) на границе земельного участка, подключенного от опоры №99-13 ВЛ 0,4 кВ №2 КТП 10/0,4кВ №99 ВЛ 10кВ №106Н ПС 110/6/10 кВ НС-1 для технологического присоединения энергопринимающих устройств объекта жилого дома Заявителя Проценко М.А., п. Овощной, Азовский район, Ростовская область, к.н. 61:01:0130101:1381 (1 шт.)</t>
  </si>
  <si>
    <t>Установка прибора коммерческого учета электрической энергии (мощности) на границе земельного участка, подключенного от опоры №б/н ВЛ 0,4 кВ (бесхозная) КТП 6/0,4кВ №101 ВЛ 6кВ №10701 ПС 110/35/6 кВ А-1 для технологического присоединения энергопринимающих устройств объекта жилого дома Заявителя Цибульской И.В., г. Азов, Ростовская область, к.н. 61:45:0000446:92 (1 шт.)</t>
  </si>
  <si>
    <t>Установка прибора коммерческого учета электрической энергии (мощности) на границе земельного участка, подключенного от опоры №100-16 ВЛ 0,4 кВ №1 КТП 10/0,4кВ №100 ВЛ 10кВ №1708 ПС 35/10 кВ А-17 для технологического присоединения энергопринимающих устройств объекта жилого дома Заявителя Чубарова Г.А., с. Круглое, Азовский район, Ростовская область, к.н. 61:01:0070101:2855 (1 шт.)</t>
  </si>
  <si>
    <t>Установка прибора коммерческого учета электрической энергии (мощности) на границе земельного участка, подключенного от опоры №100-16 ВЛ 0,4 кВ №1 КТП 10/0,4кВ №100 ВЛ 10кВ №1708 ПС 35/10 кВ А-17 для технологического присоединения энергопринимающих устройств объекта жилого дома Заявителя Чубарова Г.А., с. Круглое, Азовский район, Ростовская область, к.н. 61:01:0070101:7061 (1 шт.)</t>
  </si>
  <si>
    <t>Установка прибора коммерческого учета электрической энергии (мощности) на границе земельного участка, подключенного от опоры №48-27 ВЛ 0,4 кВ №2 КТП 10/0,4кВ №48 ВЛ 10кВ №1815 ПС 35/10 кВ А-18 для технологического присоединения энергопринимающих устройств объекта жилого дома Заявителя Великой И.А., Рыболовецкий колхоз имени Ленина, Азовский район, Ростовская область, к.н. 61:01:0600002:2506 (1 шт.)</t>
  </si>
  <si>
    <t>Установка прибора коммерческого учета электрической энергии (мощности) на границе земельного участка, подключенного от опоры №31-31 ВЛ 0,4 кВ №1 КТП 10/0,4кВ №31 ВЛ 10кВ №2907 РП-29 ПС 35/10 кВ А-18 для технологического присоединения энергопринимающих устройств объекта жилого дома Заявителя Платоновой Н.А., с. Круглое, Азовский район, Ростовская область, к.н. 61:01:0030101:316 (1 шт.)</t>
  </si>
  <si>
    <t xml:space="preserve">Установка прибора коммерческого учета электрической энергии (мощности) на границе земельного участка, подключенного оп. № 95-25  ВЛ-0,4 №2 КТП-95  ВЛ-10  1106  ПС 35кВ Е-11 для технологического присоединения энергопринимающих устройств нежилое помещение  Заявителя АО «Почта России», Ростовская область, Егорлыкский р-он х. Изобильный, ул. Ростовская, д. 11, кадастровый номер земельного участка: 61:10:0040101:1055 (1 шт.) </t>
  </si>
  <si>
    <t xml:space="preserve">Установка прибора коммерческого учета электрической энергии (мощности) на границе земельного участка, подключенного оп. № 72-2  ВЛ-0,4 №1 КТП-72  ВЛ-10  707  ПС 35кВ Е-7 для технологического присоединения энергопринимающих устройств нежилое помещение  Заявителя АО «Почта России», 347676 Российская Федерация, Ростовская обл., р-н. Егорлыкский, х. Войнов, ул. Садовая,  д. 30, кадастровый номер земельного участка: 61:10:0030101:877 (1 шт.) </t>
  </si>
  <si>
    <t>Установка прибора коммерческого учета электрической энергии (мощности) на границе земельного участка, подключенного от опоры №18-89 ВЛ 0,4 кВ №3 КТП 10/0,4кВ №18 ВЛ 10кВ №3113 ПС 110/35/10 кВ А-31 для технологического присоединения энергопринимающих устройств объекта жилого дома Заявителя Золотухиной Н.В., с. Пешково, Азовский район, Ростовская область, к.н. 61:01:0140101:9314 (1 шт.)</t>
  </si>
  <si>
    <t>Установка прибора коммерческого учета электрической энергии (мощности) на границе земельного участка, подключенного от опоры №112-13 ВЛ 0,4 кВ №1 КТП 10/0,4кВ №112 ВЛ 10кВ №3113 ПС 110/35/10 кВ А-31 для технологического присоединения энергопринимающих устройств объекта жилого дома Заявителя Пешков А.Н., с. Пешково, Азовский район, Ростовская область, к.н. 61:01:0140101:1882 (1 шт.)</t>
  </si>
  <si>
    <t>Установка прибора коммерческого учета электрической энергии (мощности) на границе земельного участка, подключенного от опоры №184-55 ВЛ 0,4 кВ №2 КТП 10/0,4 кВ №184 ВЛ 10 кВ №3113 ПС 110/35/10 кВ А-31 для технологического присоединения энергопринимающих устройств объекта жилого дома Заявителя Пушкаренко Д.Г., с. Пешково, Азовский район, Ростовская область, к.н. 61:01:0140101:9296 (1 шт.)</t>
  </si>
  <si>
    <t>Установка прибора коммерческого учета электрической энергии (мощности) на границе земельного участка, подключенного от опоры №184-55 ВЛ 0,4 кВ №2 КТП 10/0,4 кВ №184 ВЛ 10 кВ №3113 ПС 110/35/10 кВ А-31 для технологического присоединения энергопринимающих устройств объекта жилого дома Заявителя Пушкаренко Д.Г., с. Пешково, Азовский район, Ростовская область, к.н. 61:01:0140101:9297 (1 шт.)</t>
  </si>
  <si>
    <t>Установка прибора коммерческого учета электрической энергии (мощности) на границе земельного участка, подключенного от опоры №6-12 ВЛ 0,4 кВ №1 КТП 10/0,4 кВ №6 ВЛ 10 кВ №3113 ПС 110/35/10 кВ А-31 для технологического присоединения энергопринимающих устройств объекта сельскохозяйственного производства Заявителя ИП Садового Д.Ю., с. Пешково, Азовский район, Ростовская область, к.н. 61:01:0600012:1393 (1 шт.)</t>
  </si>
  <si>
    <t>Установка прибора коммерческого учета электрической энергии (мощности) на границе земельного участка, подключенного от опоры №27-6 ВЛ 0,4 кВ №1 ЗТП 10/0,4кВ №27 ВЛ 10кВ №1211-1205 ПС 110/10 кВ А-12 для технологического присоединения энергопринимающих устройств объекта Общественная территория Заявителя Администрация Кулешовского сельского поселения, с. Кулешовка, Азовский район, Ростовская область, к.н. 61:01:0090102:2535 (1 шт.)</t>
  </si>
  <si>
    <t>Установка прибора коммерческого учета электрической энергии (мощности) на границе земельного участка, подключенного от опоры №28-39 ВЛ 0,4 кВ №2 КТП 10/0,4кВ №28 ВЛ 10кВ №1815 ПС 35/10 кВ А-18 для технологического присоединения энергопринимающих устройств объекта жилого дома Заявителя Давыдова А.В., х. Курган, Азовский район, Ростовская область, к.н. 61:01:0030701:529 (1 шт.)</t>
  </si>
  <si>
    <t xml:space="preserve">Установка прибора коммерческого учета электрической энергии (мощности) на границе земельного участка, подключенного от опоры №139-14 ВЛ 0,4 кВ №1 МТП 10/0,4кВ №139 ВЛ 10кВ №1708 ПС 35/10 кВ А-17 для технологического присоединения энергопринимающих устройств объекта жилого дома Заявителя Богомаз А.В., с. Круглое, Азовский район, Ростовская область, к.н. 61:01:0070101:2334 (1 шт.) </t>
  </si>
  <si>
    <t>Установка прибора коммерческого учета электрической энергии (мощности) на границе земельного участка, подключенного от опоры №185-35 (бесхозная) ВЛ 0,4 кВ №1 КТП 10/0,4кВ №185 ВЛ 10кВ №1014 ПС 110/35/10 кВ Самарская для технологического присоединения энергопринимающих устройств объекта жилого дома Заявителя Тарановой Л.Г., ДНТ "Приэльбуздье", Азовский район, Ростовская область, к.н. 61:01:0600020:3824 (1 шт.)</t>
  </si>
  <si>
    <t>Установка прибора коммерческого учета электрической энергии (мощности) на границе земельного участка, подключенного от опоры №173-40 ВЛ 0,4 кВ №3 КТП 10/0,4кВ №173 ВЛ 10кВ №3105 ПС 110/35/10 кВ А-31 для технологического присоединения энергопринимающих устройств объекта жилого дома Заявителя Шевченко С.С., с. Займо-Обрыв, Азовский район, Ростовская область, к.н. 61:01:0140401:3412 (1 шт.)</t>
  </si>
  <si>
    <t>Установка прибора коммерческого учета электрической энергии (мощности) на границе земельного участка, подключенного от опоры №56-24 ВЛ 0,4 кВ №1 КТП 10/0,4кВ №56 ВЛ 10кВ №1019 ПС 110/35/10 кВ Самарская для технологического присоединения энергопринимающих устройств объекта жилого дома Заявителя Хамидулина К.Я, х. Победа, Азовский район, Ростовская область, к.н. 61:01:0041001:1885 (1 шт.)</t>
  </si>
  <si>
    <t xml:space="preserve">Установка прибора коммерческого учета электрической энергии (мощности) на границе земельного участка, подключенного от опоры №233-33 ВЛ 0,4 кВ №1 КТП 10/0,4 кВ №233 ВЛ 10 кВ №1815 ПС 35/10 кВ А-18 для технологического присоединения энергопринимающих устройств объекта жилого дома Заявителя Тарасенко Н.В., СТ «Надежда-4», Азовский район, Ростовская область, к.н. 61:01:0500301:193 (1 шт.) </t>
  </si>
  <si>
    <t>Установка прибора коммерческого учета электрической энергии (мощности) на границе земельного участка, подключенного от опоры №240-146 ВЛ 0,4 кВ №4 КТП 10/0,4кВ №240 ВЛ 10кВ №106Н ПС 110/6/10 кВ НС-1 для технологического присоединения энергопринимающих устройств объекта жилого дома Заявителя Савина Н.В., п. Овощной, Азовский район, Ростовская область, к.н. 61:01:0130101:3579 (1 шт.)</t>
  </si>
  <si>
    <t>Установка прибора коммерческого учета электрической энергии (мощности) на границе земельного участка, подключенного от опоры №100-72 ВЛ 0,4 кВ №4 КТП 10/0,4кВ №100 ВЛ 10кВ №1020 ПС 110/35/10 кВ Самарская для технологического присоединения энергопринимающих устройств объекта малоэтажной жилой застройки Заявителя Парамоновой Т.К., п. Суходольск, Азовский район, Ростовская область, к.н. 61:01:0170501:1331 (1 шт.</t>
  </si>
  <si>
    <t>Установка прибора коммерческого учета электрической энергии (мощности) на границе земельного участка, подключенного от опоры №146-27 ВЛ 0,4 кВ №1 КТП 10/0,4кВ №146 ВЛ 10кВ №1701 ПС 35/10 кВ А-17 для технологического присоединения энергопринимающих устройств объекта жилого дома Заявителя Павленко Е.А., с. Круглое, Азовский район, Ростовская область, к.н. 61:01:0070101:8143 (1 шт.)</t>
  </si>
  <si>
    <t>Установка прибора коммерческого учета электрической энергии (мощности) на границе земельного участка, подключенного от опоры №144-26 ВЛ 0,4 кВ №1 КТП 10/0,4кВ №144 ВЛ 10кВ №1107 ПС 35/10 кВ А-11 для технологического присоединения энергопринимающих устройств объекта жилого дома Заявителя Чеботурова В.В., с. Кагальник, Азовский район, Ростовская область, к.н. 61:01:0060101:2880 (1 шт.)</t>
  </si>
  <si>
    <t>Установка прибора коммерческого учета электрической энергии (мощности) на границе земельного участка, подключенного от опоры №48-41 ВЛ 0,4 кВ №2 КТП 10/0,4кВ №48 ВЛ 10кВ №1107 ПС 35/10 кВ А-11 для технологического присоединения энергопринимающих устройств объекта жилого дома Заявителя Лубенец П.В., с. Кагальник, Азовский район, Ростовская область, к.н. 61:01:0060101:5062 (1 шт.)</t>
  </si>
  <si>
    <t>Установка прибора коммерческого учета электрической энергии (мощности) на границе земельного участка, подключенного от опоры №44-83 ВЛ 0,4 кВ №3 КТП 10/0,4кВ №44 ВЛ 10кВ №1107 ПС 35/10 кВ А-11 для технологического присоединения энергопринимающих устройств объекта жилого дома Заявителя Худолеева Д.Б., с. Кагальник, Азовский район, Ростовская область, к.н. 61:01:0060101:4938 (1 шт.)</t>
  </si>
  <si>
    <t>Установка прибора коммерческого учета электрической энергии (мощности) на границе земельного участка, подключенного от опоры №381-48 ВЛ 0,4 кВ №1 КТП 10/0,4кВ №381 ВЛ 10кВ №106Н ПС 110/6/10 кВ НС-1 для технологического присоединения энергопринимающих устройств объекта жилого дома Заявителя Попова В.И., ДНТ СН «Кулешовка-2», Азовский район, Ростовская область, к.н. 61:01:0600006:8005 (1 шт.)</t>
  </si>
  <si>
    <t>Установка прибора коммерческого учета электрической энергии (мощности) на границе земельного участка, подключенного от опоры №381-104 ВЛ 0,4 кВ №2 КТП 10/0,4кВ №381 ВЛ 10кВ №106Н ПС 110/6/10 кВ НС-1 для технологического присоединения энергопринимающих устройств участка под строительство Заявителя Худоян А.Д., ДНТ «Кулешовка», Азовский район, Ростовская область, к.н. 61:01:0600006:1504 (1 шт.)</t>
  </si>
  <si>
    <t>Установка прибора коммерческого учета электрической энергии (мощности) на границе земельного участка, подключенного от опоры №316-23 ВЛ 0,4 кВ №1 МТП 10/0,4кВ №316 ВЛ 10кВ №211 ПС 35/10 кВ А-2 для технологического присоединения энергопринимающих устройств объекта жилого дома Заявителя Ободова В.А., х. Новоалександровка, Азовский район, Ростовская область, к.н. 61:01:0600005:1819 (1 шт.)</t>
  </si>
  <si>
    <t>Установка прибора коммерческого учета электрической энергии (мощности) на границе земельного участка, подключенного от опоры №311-8 ВЛ 0,4 кВ №2 КТП 10/0,4кВ №311 ВЛ 10кВ №106Н ПС 110/6/10 кВ НС-1 для технологического присоединения энергопринимающих устройств объекта жилого дома Заявителя Тимофеева Р.В., Кулешовское сельское поселение, ТСН «СНТ Белгорос», Азовский район, Ростовская область, к.н. 61:01:0600006:4891 (1 шт.)</t>
  </si>
  <si>
    <t>Установка прибора коммерческого учета электрической энергии (мощности) на границе земельного участка, подключенного от опоры №185-21 ВЛ 0,4 кВ №2 КТП 10/0,4 кВ №185 ВЛ 10 кВ №106Н ПС 110/6/10 кВ НС-1 для технологического присоединения энергопринимающих устройств объекта жилого дома Заявителя Мироненко Р.С., с. Кулешовка, Азовский район, Ростовская область, к.н. 61:01:009101:324 (1 шт.)</t>
  </si>
  <si>
    <t>Установка прибора коммерческого учета электрической энергии (мощности) на границе земельного участка, подключенного от опоры №167-28 ВЛ 0,4 кВ №3 КТП 10/0,4кВ №167 ВЛ 10кВ №106Н ПС 110/6/10 кВ НС-1 для технологического присоединения энергопринимающих устройств объекта жилого дома Заявителя Алексанян В.Г., ДНТ «Кулешовка», Азовский район, Ростовская область, к.н. 61:01:0600006:1335 (1 шт.)</t>
  </si>
  <si>
    <t>Установка прибора коммерческого учета электрической энергии (мощности) на границе земельного участка, подключенного от опоры №59-56 ВЛ 0,4 кВ №2 КТП 10/0,4кВ №59 ВЛ 10кВ №2608 ПС 110/10 кВ А-26 для технологического присоединения энергопринимающих устройств объекта жилого дома Заявителя Мелконян Р.Д., с. Кулешовка, Азовский район, Ростовская область, к.н. 61:01:0090101:8065 (1 шт.)</t>
  </si>
  <si>
    <t>Установка прибора коммерческого учета электрической энергии (мощности) на границе земельного участка, подключенного от опоры №329-10 ВЛ 0,4 кВ №1 КТП 10/0,4кВ №329 ВЛ 10кВ №106Н ПС 110/6/10 кВ НС-1 для технологического присоединения энергопринимающих устройств объекта жилого дома Заявителя Мамараджабова Х.С., 5,9 км по направлению на северо-восток от пункта ГГС Пеленкин (СХА)К ) Кулешовское поле III о, Азовский район, Ростовская область, к.н. 61:01:0600006:5819 (1 шт.)</t>
  </si>
  <si>
    <t>Установка прибора коммерческого учета электрической энергии (мощности) на границе земельного участка, подключенного от опоры №158-67 ВЛ 0,4 кВ №2 КТП 10/0,4кВ №158 ВЛ 10кВ №1101 ПС 35/10 кВ А-11 для технологического присоединения энергопринимающих устройств объекта нежилой застройки (гараж) Заявителя Смирнова Е.И., с. Кагальник, Азовский район, Ростовская область, к.н. 61:01:0600004:480 (1 шт.)</t>
  </si>
  <si>
    <t>Установка прибора коммерческого учета электрической энергии (мощности) на границе земельного участка, подключенного от опоры №51-94 ВЛ 0,4 кВ №2 КТП 10/0,4кВ №51 ВЛ 10кВ №211 ПС 35/10 кВ А-2 для технологического присоединения энергопринимающих устройств жилого дома Заявителя Пугачевой К.А., х.Новоалександровка, Азовский район, Ростовская область, кадастровый (условный) номер объекта: 61:01:0110101:3192(1 шт.)</t>
  </si>
  <si>
    <t>Установка прибора коммерческого учета электрической энергии (мощности) на границе земельного участка, подключенного от опоры №28-18 ВЛ-0,4 №1 КТП-28 ВЛ-10 1006 ПС 110 кВ Полячки для технологического присоединения энергопринимающих устройств нежилого Помещения Заявителя АО «Почта России», Ростовская область, Кагальницкий р-н, х. Родники, ул. Комсомольская д.18 кв.2,3,4,5 к.н. 61:14:0080503:137 (1 шт.)</t>
  </si>
  <si>
    <t>Установка прибора коммерческого учета электрической энергии (мощности) на границе земельного участка, подключенного от опоры №85-22 ВЛ-0,4 №1 КТП-85 ВЛ-10 415 ПС 35 кВ КГ4 для технологического присоединения энергопринимающих устройств малоэтажной жилой застройки Заявителя Афанасьев М.В., Ростовская область, Кагальницкий р-н, х. Кагальничек (Иваново-Шамшевское с/п), ул.Широкая д.27 к.н. 61:14:0030401:23 (1 шт.)</t>
  </si>
  <si>
    <t>Установка прибора коммерческого учета электрической энергии (мощности) на границе земельного участка, подключенного от опоры №101-44 ВЛ-0,4 №2 КТП-101 ВЛ-10 1319 ПС 35 кВ ЗР13 для технологического присоединения энергопринимающих устройств малоэтажной жилой застройки Заявителя Нагорная Э.М., Ростовская область, Зерноградский р-н, х. Заполосный, ул. Мира д.13 к.н. 61:12:0090801:1345 (1 шт.)</t>
  </si>
  <si>
    <t>Установка прибора коммерческого учета электрической энергии (мощности) на границе земельного участка, подключенного от опоры №63-2 ВЛ 0,4 кВ №1 КТП 10/0,4кВ №63 ВЛ 10кВ №1815 ПС 35/10 кВ А-18 для технологического присоединения энергопринимающих устройств объекта хозяйственного строения дома Заявителя Гайдай Н.В., х. Колузаево, Азовский район, Ростовская область, к.н. 61:01:0030501:2274 (1 шт.)</t>
  </si>
  <si>
    <t>Установка прибора коммерческого учета электрической энергии (мощности) на границе земельного участка, подключенного от опоры №57-30 ВЛ 0,4 кВ №1 КТП 10/0,4кВ №57 ВЛ 10кВ №3127 ПС 110/35/10 кВ А-31 для технологического присоединения энергопринимающих устройств объекта жилого дома Заявителя Гринченко И.В., х. Береговой, Азовский район, Ростовская область, к.н. 61:01:0140201:476 (1 шт.)</t>
  </si>
  <si>
    <t>Установка прибора коммерческого учета электрической энергии (мощности) на границе земельного участка, подключенного от опоры №8-12 ВЛ 0,4 кВ №2 КТП 10/0,4кВ №8 ВЛ 10кВ №502 ПС 35/10 кВ А-5 для технологического присоединения энергопринимающих устройств объекта антенно-мачтового сооружения связи 61-1118 Заявителя Акционерное общество «Первая Башенная Компания», с. Отрадовка, Азовский район, Ростовская область, к.н. 61:01:0120101 (1 шт.)</t>
  </si>
  <si>
    <t>Установка прибора коммерческого учета электрической энергии (мощности) на границе земельного участка, подключенного от опоры №28-62 ВЛ 0,4 кВ №2 КТП 10/0,4кВ №28 ВЛ 10кВ №1310 ПС 35/10 кВ А-13 для технологического присоединения энергопринимающих устройств объекта жилого дома Заявителя Лоза А.И., с. Елизаветовка, Азовский район, Ростовская область, к.н. 61:01:0020101:903 (1 шт.)</t>
  </si>
  <si>
    <t>Установка прибора коммерческого учета электрической энергии (мощности) на границе земельного участка, подключенного от опоры №25-133 ВЛ 0,4 кВ №1 КТП 10/0,4кВ №25 ВЛ 10кВ №1815 ПС 35/10 кВ А-18 для технологического присоединения энергопринимающих устройств объекта жилого дома Заявителя Казанцева Е.А., х. Колузаево, Азовский район, Ростовская область, к.н. 61:01:0030501:1996 (1 шт.)</t>
  </si>
  <si>
    <t>Установка прибора коммерческого учета электрической энергии (мощности) на границе земельного участка, подключенного от № 36-21 ВЛ-0,4 №2 КТП-36 ВЛ-10  217  ПС 110кВ Егорлыкская для технологического присоединения энергопринимающих устройств нежилого здания (склад-ангар) Заявителя ИП Скорятина А.А., Ростовская область, Егорлыкский р-он, х. Ютин, кадастровый номер земельного участка:  61:10:0600002:2679, (1шт.)</t>
  </si>
  <si>
    <t>Установка прибора коммерческого учета электрической энергии (мощности) на границе земельного участка, подключенного от опоры №128-1 ВЛ-0,4 №1 КТП-128 ВЛ-10 313 ПС 35 кВ КГ3 для технологического присоединения энергопринимающих устройств объекта наружного освещения Заявителя КУИ Кагальницкого района, Ростовская область, Кагальницкий р-н, ст. Кировская, ул. Вишневая к.н. 61:14:0000000:6733 (1 шт.)</t>
  </si>
  <si>
    <t>Установка прибора коммерческого учета электрической энергии (мощности) на границе земельного участка, подключенного от опоры №122-15 ВЛ-0,4 №1 КТП-122 ВЛ-10 1608 ПС 35 кВ ЗР16 для технологического присоединения энергопринимающих устройств малоэтажной жилой застройки Заявителя Шарипов В.Т., Ростовская область, Зерноградский р-н, х. 1-й Россошинский, ул. Садовая д.6 кв.1 к.н. 61:12:0030308:38 (1 шт.)</t>
  </si>
  <si>
    <t>Установка прибора коммерческого учета электрической энергии (мощности) на границе земельного участка, подключенного от опоры №99-14 ВЛ 0,4 кВ №1 КТП 10/0,4кВ №99 ВЛ 10кВ №106Н ПС 110/6/10 кВ НС-1 для технологического присоединения энергопринимающих устройств объекта нежилой постройки Заявителя Рыбакова А.А, ЗАО «Обильное», Азовский район, Ростовская область, к.н. 61:01:0600006:129 (1 шт.)</t>
  </si>
  <si>
    <t>Установка прибора коммерческого учета электрической энергии (мощности) на границе земельного участка, подключенного от опоры №311-16 ВЛ 0,4 кВ №3 КТП 10/0,4 кВ №311 ВЛ 10 кВ №106Н ПС 110/6/10 кВ НС-1 для технологического присоединения энергопринимающих устройств объекта жилого дома Заявителя Овсепян П.Г., ТСН «Белгорос», Азовский район, Ростовская область, к.н. 61:01:0600006:4665 (1 шт.)</t>
  </si>
  <si>
    <t>Установка прибора коммерческого учета электрической энергии (мощности) на границе земельного участка, подключенного от опоры №51-81 ВЛ 0,4 кВ №2 КТП 10/0,4 кВ №51 ВЛ 10 кВ №211 ПС 35/10 кВ А-2 для технологического присоединения энергопринимающих устройств объекта жилого дома Заявителя Супрун Г.А., х. Новоалександровка, Азовский район, Ростовская область, к.н. 61:01:0110101:3557 (1 шт.)</t>
  </si>
  <si>
    <t>Установка прибора коммерческого учета электрической энергии (мощности) на границе земельного участка, подключенного от опоры №329-12 ВЛ 0,4 кВ №1 КТП 10/0,4 кВ №329 ВЛ 10 кВ №106Н ПС 110/6/10 кВ НС-1 для технологического присоединения энергопринимающих устройств объекта дачного дома Заявителя Лозко Е.Н., ТСН «СНТ Белгорос», Азовский район, Ростовская область, к.н. 61:01:0600006:5822 (1 шт.)</t>
  </si>
  <si>
    <t>Установка прибора коммерческого учета электрической энергии (мощности) на границе земельного участка, подключенного от опоры №58-24 ВЛ 0,4 кВ №1 КТП 10/0,4 кВ №58 (бесхозная) ВЛ 10 кВ №2608 ПС 110/10 кВ А-26 для технологического присоединения энергопринимающих устройств объекта жилого дома Заявителя Орловой О.О, с. Кулешовка, Азовский район, Ростовская область, к.н. 61:01:0090102:122 (1 шт.)</t>
  </si>
  <si>
    <t>Установка прибора коммерческого учета электрической энергии (мощности) на границе земельного участка, подключенного от опоры №244-80 ВЛ 0,4 кВ №3 КТП 10/0,4 кВ №244 ВЛ 10 кВ №2008 ПС 220/110/10 кВ А-20 для технологического присоединения энергопринимающих устройств объекта жилого дома Заявителя Синицыной Ю.А., ДНТ «Донские зори», Азовский район, Ростовская область, к.н. 61:01:0501901:84 (1 шт.)</t>
  </si>
  <si>
    <t>Установка прибора коммерческого учета электрической энергии (мощности) на границе земельного участка, подключенного от опоры №381-1 ВЛ 0,4 кВ №1 КТП 10/0,4 кВ №381 ВЛ 10 кВ №106Н ПС 110/6/10 кВ НС-1 для технологического присоединения энергопринимающих устройств объекта жилого дома Заявителя Матевосян Г.В., ДНТ «Кулешовка», Азовский район, Ростовская область, к.н. 61:01:0600006:9327 (1 шт.)</t>
  </si>
  <si>
    <t>Установка прибора коммерческого учета электрической энергии (мощности) на границе земельного участка, подключенного от опоры №187-11 ВЛ 0,4 кВ №1 КТП 10/0,4 кВ №187 ВЛ 10 кВ №106Н ПС 110/6/10 кВ НС-1 для технологического присоединения энергопринимающих устройств объекта жилого дома Заявителя Капалкина В.С., ДНТ «Кулешовка», Азовский район, Ростовская область, к.н. 61:01:0600006:1275 (1 шт.)</t>
  </si>
  <si>
    <t>Установка прибора коммерческого учета электрической энергии (мощности) на границе земельного участка, подключенного от опоры №358-19 ВЛ 0,4 кВ №3 КТП 10/0,4 кВ №358 ВЛ 10 кВ №202Н ПС 110/6/10 кВ НС-2 для технологического присоединения энергопринимающих устройств объекта жилого дома Заявителя Левкович С.К., ЗАО «Обильное», Азовский район, Ростовская область, к.н. 61:01:0600006:3844 (1 шт.)</t>
  </si>
  <si>
    <t>Установка прибора коммерческого учета электрической энергии (мощности) на границе земельного участка, подключенного от опоры №329-28/1 ВЛ 0,4 кВ №2 КТП 10/0,4 кВ №329 ВЛ 10 кВ №106Н ПС 110/6/10 кВ НС-1 для технологического присоединения энергопринимающих устройств объекта жилого дома Заявителя Цатуровой М.Ю., ДНТ «Виктория», Азовский район, Ростовская область, к.н. 61:01:0600006:6094 (1 шт.)</t>
  </si>
  <si>
    <t>Установка прибора коммерческого учета электрической энергии (мощности) на границе земельного участка, подключенного от опоры №136-23 ВЛ 0,4 кВ №2 КТП 10/0,4 кВ №136 ВЛ 10 кВ №3113 ПС 110/35/10 кВ А-31 для технологического присоединения энергопринимающих устройств объекта нежилого помещения Заявителя Акционерное общество «Почта России», с. Пешково, Азовский район, Ростовская область, к.н. 61:01:0140101:6724 (1 шт.)</t>
  </si>
  <si>
    <t>Установка прибора коммерческого учета электрической энергии (мощности) на границе земельного участка, подключенного от опоры №111-113 ВЛ 0,4 кВ №3 КТП 10/0,4 кВ №111 ВЛ 10 кВ №3113 ПС 110/35/10 кВ А-31 для технологического присоединения энергопринимающих устройств объекта жилого дома Заявителя Милано М.А., с. Пешково, Азовский район, Ростовская область, к.н. 61:01:0140101:7297 (1 шт.)</t>
  </si>
  <si>
    <t>Установка прибора коммерческого учета электрической энергии (мощности) на границе земельного участка, подключенного от опоры №112-17 ВЛ 0,4 кВ №1 КТП 10/0,4 кВ №112 ВЛ 10 кВ №3113 ПС 110/35/10 кВ А-31 для технологического присоединения энергопринимающих устройств объекта жилого дома Заявителя Карапетян А.В., с. Пешково, Азовский район, Ростовская область, к.н. 61:01:0140201:8365 (1 шт.)</t>
  </si>
  <si>
    <t>Установка прибора коммерческого учета электрической энергии (мощности) на границе земельного участка, подключенного от опоры №34-33 ВЛ 0,4 кВ №3 КТП 10/0,4кВ №34 ВЛ 10кВ №1101 ПС 35/10 кВ А-11 для технологического присоединения энергопринимающих устройств объекта магазина Заявителя Жигайлова А.А., с. Кагальник, Азовский район, Ростовская область, к.н. 61:01:0060101:11848 (1 шт.)</t>
  </si>
  <si>
    <t>Установка прибора коммерческого учета электрической энергии (мощности) на границе земельного участка, подключенного от опоры №119-48 ВЛ 0,4 кВ №2 КТП 10/0,4 кВ №119 ВЛ 10 кВ №1101 ПС 35/10 кВ А-11 для технологического присоединения энергопринимающих устройств объекта жилого дома Заявителя Потапенко М.Н., с. Кагальник, Азовский район, Ростовская область, к.н. 61:01:0060101:3031 (1 шт.)</t>
  </si>
  <si>
    <t>Установка прибора коммерческого учета электрической энергии (мощности) на границе земельного участка, подключенного от опоры №42-92 ВЛ 0,4 кВ №1 КТП 10/0,4 кВ №42 ВЛ 10 кВ №1802 ПС 35/10 кВ А-18 для технологического присоединения энергопринимающих устройств объекта жилого дома Заявителя Филенко А.А., х. Рогожкино, Азовский район, Ростовская область, к.н. 61:01:0160101:1408 (1 шт.)</t>
  </si>
  <si>
    <t>Установка прибора коммерческого учета электрической энергии (мощности) на границе земельного участка, подключенного от опоры №100-7 ВЛ 0,4 кВ №1 КТП 10/0,4 кВ №100 ВЛ 10 кВ №1708 ПС 35/10 кВ А-17 для технологического присоединения энергопринимающих устройств объекта жилого дома Заявителя Дойбан В.Н., с. Круглое, Азовский район, Ростовская область, к.н. 61:01:0070101:8168 (1 шт.)</t>
  </si>
  <si>
    <t>Установка прибора коммерческого учета электрической энергии (мощности) на границе земельного участка, подключенного от опоры №58-84 ВЛ 0,4 кВ №3 КТП 10/0,4 кВ №58 ВЛ 10 кВ №2204 РП-22 ПС 110/35/10 кВ Самарская для технологического присоединения энергопринимающих устройств объекта дачного дома Заявителя Тищенко А.А., х. Левобережный, Азовский район, Ростовская область, к.н. 61:01:0040701:123 (1 шт.)</t>
  </si>
  <si>
    <t>Установка прибора коммерческого учета электрической энергии (мощности) на границе земельного участка, подключенного от опоры №223-46 ВЛ 0,4 кВ №2 КТП 10/0,4 кВ №223 ВЛ 10 кВ №901 ПС 35/10 кВ А-9 для технологического присоединения энергопринимающих устройств объекта жилого дома Заявителя Калашник Э.В., с. Высочино, Азовский район, Ростовская область, к.н. 61:01:0110201:496 (1 шт.)</t>
  </si>
  <si>
    <t>Установка прибора коммерческого учета электрической энергии (мощности) на границе земельного участка, подключенного от опоры №67-17 ВЛ 0,4 кВ №1 КТП 10/0,4 кВ №67 ВЛ 10 кВ №3127 ПС 110/35/10 кВ А-31 для технологического присоединения энергопринимающих устройств объекта жилого дома Заявителя Михайлова Р.В., х. Береговой, Азовский район, Ростовская область, к.н. 61:01:0140201:15 (1 шт.)</t>
  </si>
  <si>
    <t>Установка прибора коммерческого учета электрической энергии (мощности) на границе земельного участка, подключенного от опоры №71-4 ВЛ 0,4 кВ №1 КТП 10/0,4 кВ №71 ВЛ 10 кВ №105Н ПС 110/6/10 кВ НС-1 для технологического присоединения энергопринимающих устройств объекта жилого дома Заявителя Евсеева А.Ю., х. Усть-Койсуг, Азовский район, Ростовская область, к.н. 61:01:0030901:1622 (1 шт.)</t>
  </si>
  <si>
    <t>Установка прибора коммерческого учета электрической энергии (мощности) на границе земельного участка, подключенного от опоры №189-28 ВЛ 0,4 кВ №1 КТП 10/0,4 кВ №189 ВЛ 10 кВ №3127 ПС 110/35/10 кВ А-31 для технологического присоединения энергопринимающих устройств объекта жилого дома Заявителя Капустиной Н.П., с. Займо-Обрыв, Азовский район, Ростовская область, к.н. 61:01:0140401:926 (1 шт.)</t>
  </si>
  <si>
    <t>Установка прибора коммерческого учета электрической энергии (мощности) на границе земельного участка, подключенного от опоры №21-7 ВЛ 0,4 кВ №1 КТП 10/0,4 кВ №21 ВЛ 10 кВ №1702 ПС 35/10 кВ А-17 для технологического присоединения энергопринимающих устройств объекта жилого дома Заявителя Васильевой В.А., с. Стефанидинодар, Азовский район, Ростовская область, к.н. 61:01:0070201:4468 (1 шт.)</t>
  </si>
  <si>
    <t>Установка прибора коммерческого учета электрической энергии (мощности) на границе земельного участка, подключенного от опоры №46-2 ВЛ-0,4 кВ №1 ТП 10/0,4 кВ №46 по ВЛ 10 кВ №910-1106 ПС 35/10 кВ А-9 для технологического присоединения энергопринимающих устройств нежилой застройки Заявителя ИП Глушенко Д.В., г. Азов, Ростовская обл., к.н. 61:45:00000350:14672 (1 шт)</t>
  </si>
  <si>
    <t>Установка прибора коммерческого учета электрической энергии (мощности) на границе земельного участка, подключенного от опоры №240-168 ВЛ 0,4 кВ №3 КТП 10/0,4кВ №240 ВЛ 10кВ №106Н ПС 110/6/10 кВ НС-1 для технологического присоединения энергопринимающих устройств объекта жилого дома Заявителя Анофриевой Н.А., п. Овощной, Азовский район, Ростовская область, к.н. 61:01:0130101:3894 (1 шт.)</t>
  </si>
  <si>
    <t xml:space="preserve">Установка прибора коммерческого учета электрической энергии (мощности) на границе земельного участка, подключенного от опоры №144-51 ВЛ 0,4 кВ №2 КТП 10/0,4кВ №144 ВЛ 10кВ №1107 ПС 35/10 кВ А-11 для технологического присоединения энергопринимающих устройств объекта жилого дома Заявителя Громаковой Т.В., с. Кагальник, Азовский район, Ростовская область, к.н. 61:01:0060101:2857 (1 шт.) </t>
  </si>
  <si>
    <t>Установка прибора коммерческого учета электрической энергии (мощности) на границе земельного участка, подключенного от опоры №17-9 ВЛ-0,4 кВ №1 КТП 10/0,4 кВ №17 по ВЛ 10 кВ №107Н ПС 110/6/10 кВ НС-1 для технологического присоединения энергопринимающих устройств нежилой застройки Заявителя ИП Калашник И.Н., п. Овощной, Азовский район, Ростовская область, к.н. 61:01:0130101:5054 (1 шт)</t>
  </si>
  <si>
    <t>Установка прибора коммерческого учета электрической энергии (мощности) на границе земельного участка, подключенного от опоры №б/н ВЛ 0,4 кВ КТП 10/0,4кВ №277 (на балансе Администрации Елизаветинского сельского поселения) ВЛ 10кВ №1815 ПС 35/10 кВ А-18 для технологического присоединения энергопринимающих устройств объекта жилого дома Заявителя Вербицкая И.А., х. Обуховка, Азовский район, Ростовская область, к.н. 61:01:0500101:144 (1 шт.)</t>
  </si>
  <si>
    <t>Установка прибора коммерческого учета электрической энергии (мощности) на границе земельного участка, подключенного от опоры №14-118 ВЛ-0,4 кВ №4 КТП 10/0,4 кВ №14 по ВЛ 10 кВ №106Н ПС 110/6/10 кВ НС-1 для технологического присоединения энергопринимающих устройств хозяйственной постройки Заявителя Барсегян Г.А., п. Овощной, Азовский район, Ростовская область, к.н. 61:01:0130101:4220 (1 шт)</t>
  </si>
  <si>
    <t>Установка прибора коммерческого учета электрической энергии (мощности) на границе земельного участка, подключенного от оп. № 314-13 ВЛ-0,4 №1 КТП-314 ВЛ-10 702 ПС 35кВ Е-7 для технологического присоединения энергопринимающих устройств магазина Заявителя ИП Дзгоевой И.А., Ростовская область, Егорлыкский р-он, х. Таганрогский, ул. Ленина,  д. 37, кадастровый номер земельного участка: 61:10:0010101:194, (1шт.)</t>
  </si>
  <si>
    <t>Установка прибора коммерческого учета электрической энергии (мощности) на границе земельного участка, подключенного от оп. 115-38 ВЛ-0,4 №1 КТП-115 ВЛ-10 801 ПС 110кВ Роговская для технологического присоединения энергопринимающих устройств общественная территория Заявителя Администрация Роговского сельского поселения, Ростовская область, Егорлыкский р-он, п. Роговский, пер. Победы, д. 8, кадастровый номер земельного участка: 61:10:0110101:3092, (1шт.)</t>
  </si>
  <si>
    <t>Установка прибора коммерческого учета электрической энергии (мощности) на границе земельного участка, подключенного от оп. 211-30 ВЛ-0,4 №2 КТП-211 ВЛ-10 612 ПС 35кВ Е-6 для технологического присоединения энергопринимающих устройств общественная территория Заявителя Петросяна М.В., Ростовская область, Егорлыкский р-он, х.Шаумяновский, ул. Шаумяна, 19а, кадастровый номер земельного участка: 61:10:0090101:1935, (1шт.)</t>
  </si>
  <si>
    <t xml:space="preserve">Установка прибора коммерческого учета электрической энергии (мощности) на границе земельного участка, подключенного от оп. № 175-52 ВЛ-0,4 №2 КТП-175 ВЛ-10 605 ПС 35кВ Е-6 для технологического присоединения энергопринимающих устройств благоустройства парковой зоны Заявителя Администрация Кавалерского сельского поселения, Ростовская область, Егорлыкский р-он, х. Кавалерский, ул. Ленина, д. 2а, кадастровый номер земельного участка: 61:10:0060101:5061, (1шт.) </t>
  </si>
  <si>
    <t>Установка прибора коммерческого учета электрической энергии (мощности) на границе земельного участка, подключенного от опоры №5-32 ВЛ-0,4 №2 КТП-5 ВЛ-10 602 от ПС 35 кВ ЗР6 для технологического присоединения энергопринимающих устройств объект торговли Заявителя ИП Мироненко С.А., Россия, Ростовская обл., Зерноградский р-н, х. Чернышевка, ул. Торговая д.3 к.н. 61:12:0090114:27 (1 шт.)</t>
  </si>
  <si>
    <t>Установка прибора коммерческого учета электрической энергии (мощности) на границе земельного участка, подключенного от опоры №45-4 ВЛ-0,4 №1 КТП-45 ВЛ-10 716 ПС 110 кВ Юбилейная для технологического присоединения энергопринимающих устройств  – Шотина Д.А. малоэтажная жилая застройка, Россия, Ростовская обл., р-н Кагальницкий, п. Воронцовка, ул. Степная д.19 к.н. 61:14:0060201:498 (1 шт.)</t>
  </si>
  <si>
    <t>Установка прибора коммерческого учета электрической энергии (мощности) на границе земельного участка, подключенного от опоры №50-9 ВЛ-0,4 №1 КТП-50 ВЛ-10 707 ПС 35 кВ ЗР7 для технологического присоединения энергопринимающих устройств помещения Заявителя АО «Почта России», Ростовская область, Зерноградский р-н, х. Путь Правды, ул. Ленина, 82/5 к.н. 61:12:0100113:139 (1 шт.)</t>
  </si>
  <si>
    <t>Установка прибора коммерческого учета электрической энергии (мощности) на границе земельного участка, подключенного от опоры №97-24 ВЛ-0,4 №3 КТП-97 ВЛ-10 1319 ПС 35 кВ ЗР13 для технологического присоединения энергопринимающих устройств антенно-мачтового сооружения 52224-11-61-0-1 Заявителя АО «Первая Башенная Компания», Ростовская область, Зерноградский р-н, х. Заполосный, ул. Степная, участок в 30м от дома №12 к.н. 61:12:0090801 (1 шт.)</t>
  </si>
  <si>
    <t>Установка прибора коммерческого учета электрической энергии (мощности) на границе земельного участка, подключенного от опоры №17-40 ВЛ 0,4 кВ №1 КТП 10/0,4 кВ №17 ВЛ 10 кВ №107Н ПС 110/6/10 кВ НС-1 для технологического присоединения энергопринимающих устройств объекта строительной площадки Заявителя Кириченко А.А., п. Овощной, Азовский район, Ростовская область, к.н. 61:01:010101:1151 (1 шт.)</t>
  </si>
  <si>
    <t>Установка прибора коммерческого учета электрической энергии (мощности) на границе земельного участка, подключенного от опоры №111-113 ВЛ 0,4 кВ №3 КТП 10/0,4 кВ №111 ВЛ 10 кВ №3113 ПС 110/35/10 кВ А-31 для технологического присоединения энергопринимающих устройств объекта жилого дома Заявителя Михай М.Ж., с. Пешково, Азовский район, Ростовская область, к.н. 61:01:0140101:2367 (1 шт.)</t>
  </si>
  <si>
    <t>Установка прибора коммерческого учета электрической энергии (мощности) на границе земельного участка, подключенного от опоры №105-70 ВЛ 0,4 кВ №2 КТП 10/0,4 кВ №105 ВЛ 10 кВ №2608 ПС 110/10 кВ А-26 для технологического присоединения энергопринимающих устройств объекта жилого дома Заявителя Магдалиной Л.Н., х. Новоалександровка, Азовский район, Ростовская область, к.н. 61:01:0600003:827 (1 шт.)</t>
  </si>
  <si>
    <t>Установка прибора коммерческого учета электрической энергии (мощности) на границе земельного участка, подключенного от опоры №311-9/14 ВЛ 0,4 кВ №3 КТП 10/0,4 кВ №311 ВЛ 10 кВ №106Н ПС 110/6/10 кВ НС-1 для технологического присоединения энергопринимающих устройств объекта садового дома Заявителя Богуславской Л.Г., ТСН СНТ «Белгорос», Азовский район, Ростовская область, к.н. 61:01:0600006:4873 (1 шт.)</t>
  </si>
  <si>
    <t>Установка прибора коммерческого учета электрической энергии (мощности) на границе земельного участка, подключенного от опоры №112-95 ВЛ 0,4 кВ №3 КТП 10/0,4 кВ №112 ВЛ 10 кВ №3113 ПС 110/35/10 кВ А-31 для технологического присоединения энергопринимающих устройств объекта жилого дома Заявителя Коврижко О.С., с. Пешково, Азовский район, Ростовская область, к.н. 61:01:0140101:9379 (1 шт.)</t>
  </si>
  <si>
    <t>Установка прибора коммерческого учета электрической энергии (мощности) на границе земельного участка, подключенного от опоры №18-28 ВЛ 0,4 кВ №1 КТП 10/0,4 кВ №18 ВЛ 10 кВ №3113 ПС 110/35/10 кВ А-31 для технологического присоединения энергопринимающих устройств объекта жилого дома Заявителя Бортникова В.Г., с. Пешково, Азовский район, Ростовская область, к.н. 61:01:0140101:8010 (1 шт.)</t>
  </si>
  <si>
    <t>Установка прибора коммерческого учета электрической энергии (мощности) на границе земельного участка, подключенного от опоры №18-73 ВЛ 0,4 кВ №3 КТП 10/0,4 кВ №18 ВЛ 10 кВ №3113 ПС 110/35/10 кВ А-31 для технологического присоединения энергопринимающих устройств объекта жилого дома Заявителя Курина М.П., с. Пешково, Азовский район, Ростовская область, к.н. 61:01:0140101:7316 (1 шт.)</t>
  </si>
  <si>
    <t>Установка прибора коммерческого учета электрической энергии (мощности) на границе земельного участка, подключенного от опоры №185-21 ВЛ 0,4 кВ №2 КТП 10/0,4 кВ №185 ВЛ 10 кВ №106Н ПС 110/6/10 кВ НС-1 для технологического присоединения энергопринимающих устройств объекта жилого дома Заявителя Мироненко Р.С., с. Кулешовка, Азовский район, Ростовская область, к.н. 61:01:0090101:8877 (1 шт.)</t>
  </si>
  <si>
    <t>Установка прибора коммерческого учета электрической энергии (мощности) на границе земельного участка, подключенного от опоры №б/н ВЛ 0,4 кВ КТП 10/0,4кВ №94 (на балансе Администрации Елизаветинского сельского поселения) ВЛ 10кВ №2907 РП-29 ПС 35/10 кВ А-18 для технологического присоединения энергопринимающих устройств объекта жилого дома Заявителя Волкова А.В., х. Казачий Ерик, Азовский район, Ростовская область, к.н. 61:01:0030401:590 (1 шт.)</t>
  </si>
  <si>
    <t>Установка прибора коммерческого учета электрической энергии (мощности) на границе земельного участка, подключенного от опоры №55-32 ВЛ 0,4 кВ №5 КТП 10/0,4 кВ №55 ВЛ 10 кВ №1019 ПС 110/35/10 кВ Самарская для технологического присоединения энергопринимающих устройств объекта жилого дома Заявителя Решетняк Д.Е., х. Победа, Азовский район, Ростовская область, к.н. 61:01:0041001:427 (1 шт.)</t>
  </si>
  <si>
    <t>Установка прибора коммерческого учета электрической энергии (мощности) на границе земельного участка, подключенного от опоры №32-2 ВЛ 0,4 кВ №1 КТП 10/0,4 кВ №32 ВЛ 10 кВ №1513 ПС 35/10 кВ А-15 для технологического присоединения энергопринимающих устройств объекта жилого дома Заявителя Петренко А.Ф., п. Ленинский Лесхоз, Азовский район, Ростовская область, к.н. 61:01:0600022:59 (1 шт.)</t>
  </si>
  <si>
    <t>Установка прибора коммерческого учета электрической энергии (мощности) на границе земельного участка, подключенного от опоры №58-41 ВЛ 0,4 кВ №2 КТП 10/0,4 кВ №58 ВЛ 10 кВ №609 ПС 35/10 кВ А-6 для технологического присоединения энергопринимающих устройств объекта отделения связи Заявителя Акционерное общество «Почта России», с. Маргаритово, Азовский район, Ростовская область, к.н. 61:01:0100101:1122 (1 шт.)</t>
  </si>
  <si>
    <t>Установка прибора коммерческого учета электрической энергии (мощности) на границе земельного участка, подключенного от опоры №32-63 ВЛ 0,4 кВ №3 КТП 10/0,4 кВ №32 ВЛ 10 кВ №2907 РП-29 ПС 35/10 кВ А-18 для технологического присоединения энергопринимающих устройств объекта жилого дома Заявителя Корсунской Е.А., х. Коса, Азовский район, Ростовская область, к.н. 61:01:0500501:303 (1 шт.)</t>
  </si>
  <si>
    <t>Установка прибора коммерческого учета электрической энергии (мощности) на границе земельного участка, подключенного от опоры №82-34 ВЛ 0,4 кВ №2 КТП 10/0,4 кВ №82 ВЛ 10 кВ №3127 ПС 110/35/10 кВ А-31 для технологического присоединения энергопринимающих устройств объекта жилого дома Заявителя Андрющенко М.М., с. Займо-Обрыв, Азовский район, Ростовская область, к.н. 61:01:0140401:3371 (1 шт.)</t>
  </si>
  <si>
    <t>Установка прибора коммерческого учета электрической энергии (мощности) на границе земельного участка, подключенного от опоры №71-6 ВЛ 0,4 кВ №1 КТП 10/0,4 кВ №71 ВЛ 10 кВ №507 ПС 35/10 кВ А-5 для технологического присоединения энергопринимающих устройств объекта жилого дома Заявителя Самофалова В.В., х. Платоновка, Азовский район, Ростовская область, к.н. 61:01:0120701:37 (1 шт.)</t>
  </si>
  <si>
    <t>Установка прибора коммерческого учета электрической энергии (мощности) на границе земельного участка, подключенного от опоры №74-80 ВЛ 0,4 кВ №4 КТП 10/0,4 кВ №74 ВЛ 10 кВ №613 ПС 35/10 кВ А-6 для технологического присоединения энергопринимающих устройств объекта жилого дома Заявителя Шабанова Г.М., с. Новомаргаритово, Азовский район, Ростовская область, к.н. 61:01:100201:243 (1 шт.)</t>
  </si>
  <si>
    <t>Установка прибора коммерческого учета электрической энергии (мощности) на границе земельного участка, подключенного от опоры №3-41 ВЛ 0,4 кВ №2 КТП 10/0,4 кВ №3 ВЛ 10 кВ №2903 РП-29 ПС 35/10 кВ А-18 для технологического присоединения энергопринимающих устройств объекта жилого дома Заявителя Черного В.И., х. Обуховка, Азовский район, Ростовская область, к.н. 61:01:0030801:222 (1 шт.)</t>
  </si>
  <si>
    <t>Установка прибора коммерческого учета электрической энергии (мощности) на границе земельного участка, подключенного от опоры №228-19 ВЛ 0,4 кВ №1 КТП 10/0,4 кВ №99 ВЛ 10 кВ №106Н ПС 110/6/10 кВ НС-1 для технологического присоединения энергопринимающих устройств объекта жилого дома Заявителя Жукова А.Ю., п. Овощной, Азовский район, Ростовская область, к.н. 61:01:0130101:5118 (1 шт.)</t>
  </si>
  <si>
    <t>Установка прибора коммерческого учета электрической энергии (мощности) на границе земельного участка, подключенного от оп. 211-92 ВЛ-0,4 №3 КТП-211 ВЛ-10 612 ПС 35кВ Е-6 для технологического присоединения энергопринимающих устройств жилого дома Заявителя Вартанян К.М., Ростовская область, Егорлыкский р-он, х.Шаумяновский, ул. Тоноян,  д. 119а, кадастровый номер земельного участка: 61:10:0090101:1935, (1шт.)</t>
  </si>
  <si>
    <t>Установка прибора коммерческого учета электрической энергии (мощности) на границе земельного участка, подключенного от опоры №8-20 ВЛ-0,4 №2 КТП-8 ВЛ-10 1210 ПС 110 кВ Манычская для технологического присоединения энергопринимающих устройств малоэтажной жилой застройки Заявителя Щегольков А.Г., Ростовская область, Зерноградский р-н, п. Сорговый, ул. Юбилейная д.2 к.н. 61:12:0060301:67 (1 шт.)</t>
  </si>
  <si>
    <t>Установка прибора коммерческого учета электрической энергии (мощности) на границе земельного участка, подключенного от опоры №141-31 ВЛ-0,4 №2 КТП-141 ВЛ-10 215 от ПС 35 кВ КГ2 для технологического присоединения энергопринимающих устройств малоэтажной жилой застройки Заявителя Арутюнов О.В., Российская Федерация, Ростовская обл., р-н. Кагальницкий, п. Малиновка, ул. Специалистов д. 6-Д к.н.: 61:14:0010302:887  (1 шт.)</t>
  </si>
  <si>
    <t>Установка прибора коммерческого учета электрической энергии (мощности) на границе земельного участка, подключенного от опоры №4-81 ВЛ-0,4 №4 КТП-4 ВЛ-10 305 ПС 35 кВ КГ3 для технологического присоединения энергопринимающих устройств малоэтажной жилой застройки Заявителя Архипов А.А., Ростовская область, Кагальницкий р-н, ст. Кировская, ул. Садовая д.35-А к.н. 61:14:0040150:470</t>
  </si>
  <si>
    <t>Установка прибора коммерческого учета электрической энергии (мощности) на границе земельного участка, подключенного от опоры №50-32 ВЛ-0,4 №1 КТП-50 ВЛ-10 1207 ПС 1110 кВ Манычская для технологического присоединения энергопринимающих устройств магазина Заявителя Аршинов Н.Н., Ростовская область, Зерноградский р-н, п. Сорговый, ул. Победы д.2 к.н. 61:12:0060307:144</t>
  </si>
  <si>
    <t>Установка прибора коммерческого учета электрической энергии (мощности) на границе земельного участка, подключенного от опоры №194-86 ВЛ-0,4 №3 КТП-194 ВЛ-10 612 ПС 35 кВ КГ6 для технологического присоединения энергопринимающих устройств малоэтажной жилой застройки Заявителя Голотвин В.А., Ростовская область, Кагальницкий р-н, с. Новобатайск, ул. ноябрьская д.74 к.н. 61:14:0040113:32</t>
  </si>
  <si>
    <t>Установка прибора коммерческого учета электрической энергии (мощности) на границе земельного участка, подключенного от опоры №28-289 ВЛ-0,4  №3 ЗТП-28 ВЛ-10 313 ПС 35 кВ КГ3 для технологического присоединения энергопринимающих устройств малоэтажной жилой застройки Заявителя Гунин И.А., Ростовская область, Кагальницкий р-н, ст. Кировская, ул. Олимпийская д.21 к.н. 61:14:0050129:57</t>
  </si>
  <si>
    <t>Установка прибора коммерческого учета электрической энергии (мощности) на границе земельного участка, подключенного от опоры №202-44 ВЛ-0,4 №2 КТП-202 ВЛ-10 319 ПС 35 кВ КГ3 для технологического присоединения энергопринимающих устройств малоэтажной жилой застройки Заявителя Лемешко П.С., Ростовская область, Кагальницкий р-н, п. Мокрый Батай, ул. Строителей д.45
 к.н. 61:14:0060110:11</t>
  </si>
  <si>
    <t>Установка прибора коммерческого учета электрической энергии (мощности) на границе земельного участка, подключенного от опоры №128-97 ВЛ-0,4 №5 КТП-128 ВЛ-10 313 ПС 35 кВ КГ3 для технологического присоединения энергопринимающих устройств малоэтажной жилой застройки Заявителя Перелыгин Д.О., Ростовская область, Кагальницкий р-н, ст. Кировская, ул. Менделеева д.22
 к.н. 61:14:0050105:274 (1 шт.)</t>
  </si>
  <si>
    <t>Установка прибора коммерческого учета электрической энергии (мощности) на границе земельного участка, подключенного от опоры №55-42 ВЛ-0,4 №1 КТП-55 ВЛ-10 1107 ПС 35 кВ ЗР11 для технологического присоединения энергопринимающих устройств малоэтажной жилой застройки Заявителя Соколов Ю.А., Ростовская область, Зерноградский р-н, с. Новоивановка, ул. Школьная д.20 кв.1 к.н. 61:12:0010801:759</t>
  </si>
  <si>
    <t>Установка прибора коммерческого учета электрической энергии (мощности) на границе земельного участка, подключенного от опоры №96-145 ВЛ-0,4 №5 КТП-96 ВЛ-10 501 ПС 35 кВ ЗР5 для технологического присоединения энергопринимающих устройств малоэтажной жилой застройки Заявителя Фролова С.А., Ростовская область, Зерноградский р-н, х. Гуляй Борисовка, ул. 60 лет СССР д.34 к.н. 61:12:0011225:392 (1 шт.)</t>
  </si>
  <si>
    <t>Установка прибора коммерческого учета электрической энергии (мощности) на границе земельного участка, подключенного от опоры №240-4 ВЛ 0,4 кВ №1 КТП 10/0,4 кВ №240 ВЛ 10 кВ №106Н ПС 110/6/10 кВ НС-1 для технологического присоединения энергопринимающих устройств объекта антенно-мачтового сооружения связи Заявителя ООО «СТ-Энергосетевая Инфраструктура», п. Овощной, Азовский район, Ростовская область, координаты ЭПУ 47.099902,39.652393 (1 шт.)</t>
  </si>
  <si>
    <t>Установка прибора коммерческого учета электрической энергии (мощности) на границе земельного участка, подключенного от опоры №226-87 ВЛ 0,4 кВ №3 КТП 10/0,4 кВ №226 ВЛ 10 кВ №2608 ПС 110/10 кВ А-26 для технологического присоединения энергопринимающих устройств объекта жилого дома Заявителя Корнилова А.Д., СТ «Ягодка-2», Азовский район, Ростовская область, к.н. 61:01:0502401:263 (1 шт.)</t>
  </si>
  <si>
    <t>Установка прибора коммерческого учета электрической энергии (мощности) на границе земельного участка, подключенного от опоры №358-20 ВЛ 0,4 кВ №3 КТП 10/0,4 кВ №358 ВЛ 10 кВ №202Н ПС 110/6/10 кВ НС-2 для технологического присоединения энергопринимающих устройств объекта жилого дома Заявителя Ключниковой В.В., ЗАО «Обильное», Азовский район, Ростовская область, к.н. 45:01:0600006:6938 (1 шт.)</t>
  </si>
  <si>
    <t>Установка прибора коммерческого учета электрической энергии (мощности) на границе земельного участка, подключенного от опоры №51-41 ВЛ 0,4 кВ №2 КТП 10/0,4 кВ №51 ВЛ 10 кВ №211 ПС 35/10 кВ А-2 для технологического присоединения энергопринимающих устройств объекта жилого дома Заявителя Бессмертной Н.Н., х. Новоалександровка, Азовский район, Ростовская область, к.н. 45:01:0110101:3290 (1 шт.)</t>
  </si>
  <si>
    <t>Установка прибора коммерческого учета электрической энергии (мощности) на границе земельного участка, подключенного от опоры №358-18 ВЛ 0,4 кВ №2 КТП 10/0,4 кВ №358 ВЛ 10 кВ №202Н ПС 110/6/10 кВ НС-2 для технологического присоединения энергопринимающих устройств объекта жилого дома Заявителя Исаковой А.С., ЗАО «Обильное», Азовский район, Ростовская область, к.н. 45:01:0600006:3843 (1 шт.)</t>
  </si>
  <si>
    <t>Установка прибора коммерческого учета электрической энергии (мощности) на границе земельного участка, подключенного от опоры №211-201 ВЛ 0,4 кВ №5 КТП 10/0,4 кВ №211 ВЛ 10 кВ №910 ПС 35/10 кВ А-9 для технологического присоединения энергопринимающих устройств объекта жилого дома Заявителя Харьковского А.А., ДНТ «Южное», Азовский район, Ростовская область, к.н. 45:01:0502601:1369 (1 шт.)</t>
  </si>
  <si>
    <t>Установка прибора коммерческого учета электрической энергии (мощности) на границе земельного участка, подключенного от опоры №105-110 ВЛ 0,4 кВ №1 КТП 10/0,4 кВ №105 ВЛ 10 кВ №2608 ПС 110/10 кВ А-26 для технологического присоединения энергопринимающих устройств объекта жилого дома Заявителя Гущенко С.А., х. Новоалександровка, Азовский район, Ростовская область, к.н. 45:01:0600003:1644 (1 шт.)</t>
  </si>
  <si>
    <t>Установка прибора коммерческого учета электрической энергии (мощности) на границе земельного участка, подключенного от опоры №172-31 ВЛ 0,4 кВ №2 КТП 10/0,4 кВ №172 ВЛ 10 кВ №1702 ПС 35/10 кВ А-17 для технологического присоединения энергопринимающих устройств объекта жилого дома Заявителя Петрикова С.В., с. Стефанидинодар, Азовский район, Ростовская область, к.н. 61:01:0070201:3644 (1 шт.)</t>
  </si>
  <si>
    <t>Установка прибора коммерческого учета электрической энергии (мощности) на границе земельного участка, подключенного от опоры №190-32 ВЛ 0,4 кВ №2 КТП 10/0,4 кВ №190 ВЛ 10 кВ №3113 ПС 110/35/10 кВ А-31 для технологического присоединения энергопринимающих устройств объекта жилого дома Заявителя Сербина С.Р., с. Пешково, Азовский район, Ростовская область, к.н. 61:01:0140101:1971 (1 шт.)</t>
  </si>
  <si>
    <t>Установка прибора коммерческого учета электрической энергии (мощности) на границе земельного участка, подключенного от опоры №113-34 ВЛ 0,4 кВ №1 КТП 10/0,4 кВ №113 ВЛ 10 кВ №3113 ПС 110/35/10 кВ А-31 для технологического присоединения энергопринимающих устройств объекта жилого дома Заявителя Роменского А.Н., с. Пешково, Азовский район, Ростовская область, к.н. 45:01:0140101:9349 (1 шт.)</t>
  </si>
  <si>
    <t>Установка прибора коммерческого учета электрической энергии (мощности) на границе земельного участка, подключенного от опоры №72-26 ВЛ 0,4 кВ №2 КТП 10/0,4 кВ №72 ВЛ 10 кВ №3127 ПС 110/35/10 кВ А-31 для технологического присоединения энергопринимающих устройств объекта жилого дома Заявителя Бурлуцкой Г.П., с. Займо-Обрыв, Азовский район, Ростовская область, к.н. 45:01:0140401:3699 (1 шт.)</t>
  </si>
  <si>
    <t>Установка прибора коммерческого учета электрической энергии (мощности) на границе земельного участка, подключенного от опоры №13-125 ВЛ 0,4 кВ №3 КТП 10/0,4 кВ №13 ВЛ 10 кВ №3125 ПС 110/35/10 кВ А-31 для технологического присоединения энергопринимающих устройств объекта жилого дома Заявителя Готьван А.В., с. Головатовка, Азовский район, Ростовская область, к.н. 45:01:0140301:1932 (1 шт.)</t>
  </si>
  <si>
    <t>Установка прибора коммерческого учета электрической энергии (мощности) на границе земельного участка, подключенного от опоры №136-43 ВЛ 0,4 кВ №2 КТП 10/0,4 кВ №136 ВЛ 10 кВ №3113 ПС 110/35/10 кВ А-31 для технологического присоединения энергопринимающих устройств объекта жилого дома Заявителя Левченко С.А., с. Пешково, Азовский район, Ростовская область, к.н. 45:01:0140101:9208 (1 шт.)</t>
  </si>
  <si>
    <t>Установка прибора коммерческого учета электрической энергии (мощности) на границе земельного участка, подключенного от оп. №60-39 ВЛ-0,4 №3 КТП-60 ВЛ-10 318 от ПС 35 кВ КГ3 для технологического присоединения энергопринимающих устройств объекта малоэтажной жилой застройки заявителя Королёвой Т.С., Ростовская обл., Кагальницкий р-н, х. Николаевский, ул. Луговая д.161 к.н. 61:14:0050701:17 (1 шт.)</t>
  </si>
  <si>
    <t>Установка прибора коммерческого учета электрической энергии (мощности) на границе земельного участка, подключенного от оп. №135Н-6 ВЛ-0,4 №2 КТП-135Н ВЛ-10 805 от ПС 110 кВ БОС для технологического присоединения энергопринимающих устройств объекта малоэтажной жилой застройки заявителя Хаваева Е.С., Ростовская обл., Кагальницкий р-н, п. Мокрый Батай, ул. 40 лет Победыд.20-Б к.н. 61:14:0060101:2290 (1 шт.)</t>
  </si>
  <si>
    <t>Установка прибора коммерческого учета электрической энергии (мощности) на границе земельного участка, подключенного от опоры №11-10 ВЛ-0,4 №1 КТП-11 ВЛ-10 104 ПС 110 кВ Звонкая для технологического присоединения энергопринимающих устройств малоэтажной жилой застройки Заявителя Шелехова Е.Л., Ростовская область, Кагальницкий р-н, ст. Хомутовская, ул. Новая д.16-А к.н. 61:14:0070101:365» (1 шт.)</t>
  </si>
  <si>
    <t>Установка прибора коммерческого учета электрической энергии (мощности) на границе земельного участка, подключенного от оп. №199-17 ВЛ-0,4 №2 КТП-199 ВЛ-10 805 от ПС 110 кВ БОС для технологического присоединения энергопринимающих устройств объекта малоэтажной жилой застройки заявителя Ягиев Э.В., Ростовская обл., Кагальницкий р-н, п. Мокрый Батай, ул. Вишневая д.67 к.н. 61:14:0060101:1326 (1 шт.)</t>
  </si>
  <si>
    <t>Установка прибора коммерческого учета электрической энергии (мощности) на границе земельного участка, подключенного от опоры №9-96 ВЛ 0,4 кВ №2 КТП 10/0,4 кВ №9 ВЛ 10 кВ №3209 ПС 110/35/10 кВ А-32 для технологического присоединения энергопринимающих устройств объекта жилого дома Заявителя Насека С.С., х. Христичево, Азовский район, Ростовская область, к.н. 61:01:0010601:75 (1 шт.)</t>
  </si>
  <si>
    <t>Установка прибора коммерческого учета электрической энергии (мощности) на границе земельного участка, подключенного от опоры №71-5 ВЛ 0,4 кВ №1 КТП 10/0,4кВ №71 ВЛ 10кВ №105Н ПС 110/10/6 кВ НС-1 для технологического присоединения энергопринимающих устройств объекта нежилой застройки Заявителя Шаповал Н.В., х. Усть-Койсуг, Азовский район, Ростовская область, к.н. 61:01:0030901:508 (1 шт.)</t>
  </si>
  <si>
    <t>Установка прибора коммерческого учета электрической энергии (мощности) на границе земельного участка, подключенного от опоры №44-88 ВЛ 0,4 кВ №1 КТП 10/0,4 кВ №44 ВЛ 10 кВ №1107 ПС 35/10 кВ А-11 для технологического присоединения энергопринимающих устройств объекта жилого дома Заявителя Вьюкиной Е.А., с. Кагальник, Азовский район, Ростовская область, к.н. 45:01:0060101:13116 (1 шт.)</t>
  </si>
  <si>
    <t>Установка прибора коммерческого учета электрической энергии (мощности) на границе земельного участка, подключенного от опоры №214-20 ВЛ 0,4 кВ №1 КТП 10/0,4 кВ №214 ВЛ 10 кВ №301Н ПС 110/35/6/10 кВ НС-3 для технологического присоединения энергопринимающих устройств объекта жилого дома Заявителя Лашина А.Ю., х. Песчаный, Азовский район, Ростовская область, к.н. 45:01:0040901:948 (1 шт.)</t>
  </si>
  <si>
    <t>Установка прибора коммерческого учета электрической энергии (мощности) на границе земельного участка, подключенного от опоры №158-21 ВЛ 0,4 кВ №2 КТП 10/0,4 кВ №158 ВЛ 10 кВ №1019 ПС 110/35/10 кВ Самарская для технологического присоединения энергопринимающих устройств объекта жилого дома Заявителя Ковалевой М.С., х. Победа, Азовский район, Ростовская область, к.н. 45:01:0041001:1708 (1 шт.)</t>
  </si>
  <si>
    <t>Установка прибора коммерческого учета электрической энергии (мощности) на границе земельного участка, подключенного от опоры №48-12 ВЛ 0,4 кВ №1 КТП 10/0,4 кВ №48 ВЛ 10 кВ №1815 ПС 35/10 кВ А-18 для технологического присоединения энергопринимающих устройств объекта жилого дома Заявителя Пустового Э.Б., Рыболовецкий колхоз им. Ленина, Азовский район, Ростовская область, к.н. 45:01:0600002:2470 (1 шт.)</t>
  </si>
  <si>
    <t>Установка прибора коммерческого учета электрической энергии (мощности) на границе земельного участка, подключенного от опоры №25-8 ВЛ 0,4 кВ №1 КТП 10/0,4 кВ №25 ВЛ 10 кВ №1815 ПС 35/10 кВ А-18 для технологического присоединения энергопринимающих устройств объекта жилого дома Заявителя Костина С.А., х. Колузаево, Азовский район, Ростовская область, к.н. 45:01:0030501:985 (1 шт.)</t>
  </si>
  <si>
    <t>Установка прибора коммерческого учета электрической энергии (мощности) на границе земельного участка, подключенного от опоры №48-80 ВЛ 0,4 кВ №1 КТП 10/0,4 кВ №48 ВЛ 10 кВ №1815 ПС 35/10 кВ А-18 для технологического присоединения энергопринимающих устройств объекта жилого дома Заявителя Леонидовой К.И., Рыболовецкий колхоз им. Ленина, Азовский район, Ростовская область, к.н. 45:01:0600002:3261 (1 шт.)</t>
  </si>
  <si>
    <t>Установка прибора коммерческого учета электрической энергии (мощности) на границе земельного участка, подключенного от опоры №225-15 ВЛ 0,4 кВ №1 КТП 10/0,4 кВ №225 ВЛ 10 кВ №2907 РП-29 ПС 35/10 кВ А-18 для технологического присоединения энергопринимающих устройств объекта жилого дома Заявителя Татариновой О.А., СТ Экран, Азовский район, Ростовская область, к.н. 45:01:0030601:6310 (1 шт.)</t>
  </si>
  <si>
    <t>Установка прибора коммерческого учета электрической энергии (мощности) на границе земельного участка, подключенного от опоры №46-5 ВЛ 0,4 кВ №1 КТП 10/0,4кВ №46 ВЛ 10кВ №1815 ПС 35/10 кВ А-18 для технологического присоединения энергопринимающих устройств объекта нежилого здания Заявителя Айрапетян Ж.К., х. Обуховка, Азовский район, Ростовская область, к.н. 61:01:0030801:1026 (1 шт.)</t>
  </si>
  <si>
    <t>Установка прибора коммерческого учета электрической энергии (мощности) на границе земельного участка, подключенного от опоры №98-8 ВЛ 0,4 кВ №2 КТП 10/0,4 кВ №98 ВЛ 10 кВ №1815 ПС 35/10 кВ А-18 для технологического присоединения энергопринимающих устройств объекта торговли Заявителя ИП Никитенко Д.В., х. Колузаево, Азовский район, Ростовская область, к.н. 45:01:0600002:2581 (1 шт.)</t>
  </si>
  <si>
    <t>Установка прибора коммерческого учета электрической энергии (мощности) на границе земельного участка, подключенного от опоры №42-59 ВЛ 0,4 кВ №2 КТП 10/0,4 кВ №42 ВЛ 10 кВ №1802 ПС 35/10 кВ А-18 для технологического присоединения энергопринимающих устройств объекта жилого дома Заявителя Елкина Р.П., х. Рогожкино, Азовский район, Ростовская область, к.н. 45:01:0160101:0203 (1 шт.)</t>
  </si>
  <si>
    <t>Установка прибора коммерческого учета электрической энергии (мощности) на границе земельного участка, подключенного от опоры №187-9 ВЛ 0,4 кВ №1 КТП 10/0,4 кВ №187 ВЛ 10 кВ №1815 ПС 35/10 кВ А-18 для технологического присоединения энергопринимающих устройств объекта жилого дома Заявителя Помелова А.М., х. Курган, Азовский район, Ростовская область, к.н. 45:01:0030701:581 (1 шт.)</t>
  </si>
  <si>
    <t>Установка прибора коммерческого учета электрической энергии (мощности) на границе земельного участка, подключенного от опоры №152-47 ВЛ 0,4 кВ №3 КТП 10/0,4 кВ №152 ВЛ 10 кВ №1107 ПС 35/10 кВ А-11 для технологического присоединения энергопринимающих устройств объекта жилого дома Заявителя Нестеренко Д.А., с. Кагальник, Азовский район, Ростовская область, к.н. 45:01:0060101:12247 (1 шт.)</t>
  </si>
  <si>
    <t>Установка прибора коммерческого учета электрической энергии (мощности) на границе земельного участка, подключенного от опоры №113-20 ВЛ 0,4 кВ №1 КТП 10/0,4 кВ №113 ВЛ 10 кВ №1020 ПС 110/35/10 кВ Самарская для технологического присоединения энергопринимающих устройств объекта жилого дома Заявителя Швецовой Н.С., п. Суходольск, Азовский район, Ростовская область, к.н. 45:01:0170501:334 (1 шт.)</t>
  </si>
  <si>
    <t>Установка прибора коммерческого учета электрической энергии (мощности) на границе земельного участка, подключенного от опоры №8-81 ВЛ 0,4 кВ №3 КТП 10/0,4 кВ №8 ВЛ 10 кВ №1014 ПС 110/35/10 кВ Самарская для технологического присоединения энергопринимающих устройств объекта жилого дома Заявителя Науменко А.Л., с. Самарское, Азовский район, Ростовская область, к.н. 45:01:0170103:6371 (1 шт.)</t>
  </si>
  <si>
    <t>Установка прибора коммерческого учета электрической энергии (мощности) на границе земельного участка, подключенного от опоры №8-81 ВЛ 0,4 кВ №3 КТП 10/0,4 кВ №8 ВЛ 10 кВ №1014 ПС 110/35/10 кВ Самарская для технологического присоединения энергопринимающих устройств объекта жилого дома Заявителя Рыжкиной И.И., с. Самарское, Азовский район, Ростовская область, к.н. 45:01:0170103:6370 (1 шт.)</t>
  </si>
  <si>
    <t>Установка прибора коммерческого учета электрической энергии (мощности) на границе земельного участка, подключенного от опоры №25-87 ВЛ 0,4 кВ №1 КТП 10/0,4 кВ №25 ВЛ 10 кВ №1815 ПС 35/10 кВ А-18 для технологического присоединения энергопринимающих устройств объекта жилого дома Заявителя Талановой Т.А., х. Колузаево, Азовский район, Ростовская область, к.н. 61:01:0030501:850 (1 шт.)</t>
  </si>
  <si>
    <t>Установка прибора коммерческого учета электрической энергии (мощности) на границе земельного участка, подключенного от опоры №122-33 ВЛ 0,4 кВ №2 КТП 10/0,4 кВ №122 ВЛ 10 кВ №1101 ПС 35/10 кВ А-11 для технологического присоединения энергопринимающих устройств объекта хозяйственной постройки Заявителя Куденцовой А.П., с. Кагальник, Азовский район, Ростовская область, к.н. 61:01:0060101:4043 (1 шт.)</t>
  </si>
  <si>
    <t>Установка прибора коммерческого учета электрической энергии (мощности) на границе земельного участка, подключенного от опоры №48-15 ВЛ 0,4 кВ №1 КТП 10/0,4 кВ №48 ВЛ 10 кВ №1815 ПС 35/10 кВ А-18 для технологического присоединения энергопринимающих устройств объекта жилого дома Заявителя Горюновой Е.А., Рыболовецкий колхоз им.Ленина, Азовский район, Ростовская область, к.н. 61:01:0600002:2545 (1 шт.)</t>
  </si>
  <si>
    <t>Установка прибора коммерческого учета электрической энергии (мощности) на границе земельного участка, подключенного от опоры №184-3 ВЛ 0,4 кВ №1 КТП 10/0,4 кВ №184 ВЛ 10 кВ №1106 ПС 35/10 кВ А-11 для технологического присоединения энергопринимающих устройств объекта нежилой застройки Заявителя ИП Гриценко Н.М., г. Азов, Азовский район, Ростовская область, к.н. 61:45:0000414:410 (1 шт.)</t>
  </si>
  <si>
    <t>Установка прибора коммерческого учета электрической энергии (мощности) на границе земельного участка, подключенного от опоры №25-154 ВЛ 0,4 кВ №1 КТП 10/0,4 кВ №25 ВЛ 10 кВ №1815 ПС 35/10 кВ А-18 для технологического присоединения энергопринимающих устройств объекта жилого дома Заявителя Летуновской Н.А., х. Колузаево, Азовский район, Ростовская область, к.н. 61:01:0030501:1998 (1 шт.)</t>
  </si>
  <si>
    <t>Установка прибора коммерческого учета электрической энергии (мощности) на границе земельного участка, подключенного от опоры №173-1 ВЛ 0,4 кВ №1 КТП 10/0,4 кВ №173 ВЛ 10 кВ №1606 ПС 35/10 кВ А-16 для технологического присоединения энергопринимающих устройств объекта строительный городок Заявителя ООО «Таганрогское ДСУ»», п. Новомирский, Азовский район, Ростовская область, к.н. 61:01:0600018:1589 (1 шт.)</t>
  </si>
  <si>
    <t>Установка прибора коммерческого учета электрической энергии (мощности) на границе земельного участка, подключенного от опоры №101-13 ВЛ 0,4 кВ (бесхозная) КТП 6/0,4 кВ №101 ВЛ 6 кВ №10701 ПС 110/35/6 кВ А-1 для технологического присоединения энергопринимающих устройств объекта жилого дома Заявителя Пушкаренко Д.Г., г. Азов, Азовский район, Ростовская область, к.н. 61:45:0000446:356 (1 шт.)</t>
  </si>
  <si>
    <t>Установка прибора коммерческого учета электрической энергии (мощности) на границе земельного участка, подключенного от опоры №88-3 ВЛ 0,4 кВ №1 КТП 10/0,4 кВ №88 ВЛ 10 кВ №3127 ПС 110/35/10 кВ А-31 для технологического присоединения энергопринимающих устройств объекта жилого дома Заявителя Кейльман О.Ю., с. Займо-Обрыв, Азовский район, Ростовская область, к.н. 61:01:0140401:3362 (1 шт.)</t>
  </si>
  <si>
    <t>Установка прибора коммерческого учета электрической энергии (мощности) на границе земельного участка, подключенного от опоры №153-41 ВЛ 0,4 кВ №1 КТП 10/0,4 кВ №153 ВЛ 10 кВ №915 ПС 35/10 кВ А-9 для технологического присоединения энергопринимающих устройств объекта жилого дома Заявителя Жуковой Н.С., с. Платоно-Петровка, Азовский район, Ростовская область, к.н. 61:01:0110601:1252 (1 шт.)</t>
  </si>
  <si>
    <t>Установка прибора коммерческого учета электрической энергии (мощности) на границе земельного участка, подключенного от опоры №350-38/10 ВЛ 0,4 кВ №1 КТП 6/0,4 кВ №350 ВЛ 6 кВ №207Н ПС 110/6/10 кВ НС-2 для технологического присоединения энергопринимающих устройств объекта жилого дома Заявителя Джиникашвили., СНТ «Квант», Азовский район, Ростовская область, к.н. 61:01:0502901:1591 (1 шт.)</t>
  </si>
  <si>
    <t>Установка прибора коммерческого учета электрической энергии (мощности) на границе земельного участка, подключенного от опоры №102-69 ВЛ 0,4 кВ №2 КТП 10/0,4кВ №102 ВЛ 10кВ №2907 РП-29 ПС 35/10 кВ А-18 для технологического присоединения энергопринимающих устройств объекта нежилой застройки Заявителя Дубовик Р.С., х. Обуховка, Азовский район, Ростовская область, к.н. 61:01:0030801:593 (1 шт.)</t>
  </si>
  <si>
    <t>Установка прибора коммерческого учета электрической энергии (мощности) на границе земельного участка, подключенного от опоры №118-63 ВЛ 0,4 кВ №1 КТП 10/0,4 кВ №118 ВЛ 10 кВ №1101 ПС 35/10 кВ А-11 для технологического присоединения энергопринимающих устройств объекта торговли (магазин) Заявителя ИП Дубовик Р.С., с. Кагальник, Азовский район, Ростовская область, к.н. 61:01:0060101:167 (1 шт.)</t>
  </si>
  <si>
    <t>Установка прибора коммерческого учета электрической энергии (мощности) на границе земельного участка, подключенного от опоры №18-57   ВЛ-0,4 №2 КТП-18 ВЛ-10 605  ПС 35 кВ КГ6 для технологического присоединения энергопринимающих устройств нежилой застройки Заявителя ИП Заргаряан В.Р., Ростовская область, Кагальницкий   р-н, п. Новобатайск, ул. Ленина д.57 к.н.: 61:14:0040113:55(1 шт.)</t>
  </si>
  <si>
    <t>Установка прибора коммерческого учета электрической энергии (мощности) на границе земельного участка, подключенного от опоры №176-6  ВЛ-0,4 №1 КТП-176 ВЛ-10 319  ПС 35 кВ КГ3 для технологического присоединения  энергопринимающих устройств автозаправочной станции Заявителя ООО «Лукойл-Югнефтепродукт» Ростовская область, Кагальницкий р-н, ст. Кировская, ул. Кирова д.2Б к.н.: 61:14:0050143:39 (1 шт.)</t>
  </si>
  <si>
    <t>Установка прибора коммерческого учета электрической энергии (мощности) на границе земельного участка, подключенного от РУ-0,4 кВ КТП-32 ВЛ-10 313 ПС 35 кВ КГ3 для технологического присоединения  энергопринимающих устройств производственного здания/помещения Заявителя ИП Попова К.В. Ростовская область, Кагальницкий р-н, ст. Кировская, ул. Московская д.93 к.н.: 61:14:0600019:831(1 шт.)</t>
  </si>
  <si>
    <t>Установка прибора коммерческого учета электрической энергии (мощности) на границе земельного участка, подключенного от опоры №59-36 ВЛ-0,4 кВ №1 КТП 10/0,4 кВ №59 по ВЛ 10 кВ №2608 ПС 110/10 кВ А-26 для технологического присоединения энергопринимающих устройств магазина Заявителя Аракелян В.В.,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</si>
  <si>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№48-75 ВЛ 0,4 кВ №1 КТП 10/0,4кВ №48 ВЛ 10кВ №1815 ПС 35/10 кВ А-18 для технологического присоединения энергопринимающих устройств объекта жилого дома Заявителя Житкова Д.В., Рыболовецкий колхоз им.Ленина, Азовский район, Ростовская область, к.н. 61:01:0600002:3028 (1 шт.)</t>
  </si>
  <si>
    <t>Установка прибора коммерческого учета электрической энергии (мощности) на границе земельного участка, подключенного от опоры №7-14 ВЛ 0,4 кВ №1 КТП 10/0,4кВ №7 ВЛ 10кВ №3125 ПС 110/35/10 кВ А-31 для технологического присоединения энергопринимающих устройств объекта общественного питания Заявителя ИП Каплиной А.В., с. Пешково, Азовский район, Ростовская область, к.н. 61:010140101:3098 (1 шт.)</t>
  </si>
  <si>
    <t>Установка прибора коммерческого учета электрической энергии (мощности) на границе земельного участка, подключенного от опоры №29-1 ВЛ-0,4 №1 КТП-29 ВЛ-10 1402 ПС 110 кВ ЗР14 для технологического присоединения энергопринимающих устройств малоэтажной жилой застройки Заявителя Перетятько В.И. Ростовская область, Зерноградский р-н, с. Светлоречное, ул. Садовая д.20 кв.3 к.н. 61:12:0020201:114 (1 шт.)</t>
  </si>
  <si>
    <t>Установка прибора коммерческого учета электрической энергии (мощности) на границе земельного участка, подключенного от опоры №21-34 ВЛ 0,4кВ №3 КТП 10/0,4 кВ №21 ВЛ 10кВ №1815 ПС 110/35/10 кВ А-18 для технологического присоединения энергопринимающих устройств объекта торговли (магазин) Заявителя Хасабова Д.М., х. Городище, Азовский район, Ростовская область, к.н. 61:01:0030201:645 (1 шт.)</t>
  </si>
  <si>
    <t xml:space="preserve">Установка прибора коммерческого учета электрической энергии (мощности) на границе земельного участка, подключенного от опоры №48-49 ВЛ-0,4 кВ №1 КТП 10/0,4 кВ №48 по ВЛ 10 кВ №1815 ПС 35/10 кВ А-18 для технологического присоединения энергопринимающих устройств нежилой застройки Заявителя ИП Коломийцева В.В., трасса «Ростов-Рогожкино», к юго-востоку от СНТ «Надежда-4», Азовский район, Ростовская область, к.н. 61:01:0600002:249 (1 шт.)
</t>
  </si>
  <si>
    <t xml:space="preserve">Установка прибора коммерческого учета электрической энергии (мощности) на границе земельного участка, подключенного от опоры №48-49 ВЛ-0,4 кВ №1 КТП 10/0,4 кВ №48 по ВЛ 10 кВ №1815 ПС 35/10 кВ А-18 для технологического присоединения энергопринимающих устройств нежилой застройки Заявителя ИП Коломийцева В.В., трасса «Ростов-Рогожкино», к юго-востоку от СНТ «Надежда-4», Азовский район, Ростовская область, к.н. 61:01:0600002:2529 (1 шт.)
</t>
  </si>
  <si>
    <t>Установка прибора коммерческого учета электрической энергии (мощности) на границе земельного участка, подключенного от опоры №16-7 ВЛ-0,4 №1 КТП-16 ВЛ-10 501 ПС 35 кВ ЗР5 для технологического присоединения энергопринимающих устройств здания школы Заявителя МБОУ Гуляй-Борисовская СОШ Зерноградского р-на, Ростовская область, Зерноградский р-н, х. Гуляй-Борисовка, пер. 50 лет ВЛКСМ д.1 к.н.: 61-61-16/036/2007-108(1 шт.)</t>
  </si>
  <si>
    <t>Установка прибора коммерческого учета электрической энергии (мощности) на границе земельного участка, подключенного от опоры №4-54 ВЛ 0,4 кВ №2 КТП 10/0,4кВ №4 ВЛ 10кВ №1314 ПС 35/10 кВ А-13 для технологического присоединения энергопринимающих устройств объекта нежилой застройки (хозяйственная постройка, нежилое здание) Заявителя ИП Мангасаров С.Д., с. Елизаветовка, Азовский район, Ростовская область, к.н. 61:01:0020101:2562 (1 шт.)</t>
  </si>
  <si>
    <t>Установка прибора коммерческого учета электрической энергии (мощности) на границе земельного участка, подключенного от опоры №43-18 ВЛ-0,4кВ №1 ТП-10/0,4 кВ №43 ВЛ-10кВ №1802 ПС 35/10 кВ А-18 для технологического присоединения энергопринимающих устройств объекта металлобаза Заявителя ИП Фролкин В.В., х. Рогожкино, Азовский район, Ростовская область, к.н. 61:01:0160101:862 (1 шт.)</t>
  </si>
  <si>
    <t>Установка прибора коммерческого учета электрической энергии (мощности) на границе земельного участка, подключенного от РУ 0,4 кВ ТП 10/0,4кВ №354 ВЛ 10кВ №1106 ПС 35/10 кВ А-11 для технологического присоединения энергопринимающих устройств объекта земельный участок Заявителя ИП Фирсова И.В., г. Азов, ул. Победы, д. 53, Ростовская область, к.н. 61:45:0000414:766 (1 шт.)</t>
  </si>
  <si>
    <t>Установка прибора коммерческого учета электрической энергии (мощности) на границе земельного участка, подключенного от опоры №381-16 ВЛ 0,4 кВ №1 ТП 10/0,4кВ №381 ВЛ 10кВ №106Н ПС 110/10/6 кВ НС-1 для технологического присоединения энергопринимающих устройств объекта нежилой застройки Заявителя ИП Христюченко М.Г., ДНТ Кулешовка, Азовский район, Ростовская область, к.н. 61:01:0600006:10180 (1 шт.)</t>
  </si>
  <si>
    <t>Установка прибора коммерческого учета электрической энергии (мощности) на границе земельного участка, подключенного от опоры 
№81-79 ВЛ-0,4 №1 КТП-81 ВЛ-10 501 ПС 35 кВ ЗР5 для технологического присоединения энергопринимающих устройств объекта торговли Заявителя ИП Мироненко С.А., Ростовская область, Зерноградский р-н, х. Гуляй-Борисовка, пер. 50 лет ВЛКСМ д.7/51 к.н. 61:12:0011219:30 (1 шт.)</t>
  </si>
  <si>
    <t>Установка прибора коммерческого учета электрической энергии (мощности) на границе земельного участка, подключенного от опоры (номер опоры определить при проектировании) ВЛ 0,4 кВ №6 ТП 10/0,4кВ №174 ВЛ 10кВ №1011 ПС 110/35/10 кВ Самарская для технологического присоединения энергопринимающих устройств объекта нежилой застройки (хозяйственная постройка, нежилое здание) Заявителя ИП Зина А.Н., с. Самарское, Азовский район, Ростовская область, к.н. 61:01:0600014:3844 (1 шт.)</t>
  </si>
  <si>
    <t>Строительство участка ВЛИ 0,4кВ от опоры №97-9 ВЛ-0,4 кВ №1 тех. перевооружаемой ТП 10/0,4 кВ №97 ВЛ-10кВ №2907 РП-29 ПС 35/10 кВ «А-18» и системы учета электрической энергии (мощности) на границе земельного участка для электроснабжения жилого дома заявителя Аксененко Е.П., х. Казачий Ерик, Азовский район, Ростовская область (ориентировочная протяженность ЛЭП – 0,180 км)</t>
  </si>
  <si>
    <t>Строительство участка ВЛИ 0,4кВ от опоры №323-7 ВЛ-0,4 кВ №1 технически перевооружаемой МТП 10/0,4 кВ №323 ВЛ-10 кВ 202Н 110/6/10 кВ «НС-2» и системы учета электрической энергии (мощности) на границе земельного участка для электроснабжения жилого дома заявителя Барановой С.В., с. Кулешовка, Азовский район, Ростовская область (ориентировочная протяженность ЛЭП – 0,150 км)</t>
  </si>
  <si>
    <t>Строительство участка ВЛИ 0,4кВ от РУ-0,4 кВ технически перевооружаемой ТП 10/0,4 кВ №16 ВЛ-10кВ №2907 РП-29 ПС 35/10 кВ «А-18» и системы учета электрической энергии (мощности) на границе земельного участка для электроснабжения жилого дома заявителя Котова В.А., ст-ца. Елизаветинская, Азовский район, Ростовская область (ориентировочная протяженность ЛЭП – 0,03 км)</t>
  </si>
  <si>
    <t>Строительство ВЛ 0,4 кВ от проектируемой ВЛ 0,4 кВ (по договору ТП № 61-1-20-00582281 от 18.06.2021 г.) технически перевооружаемой ТП 10/0,4 кВ №334 ВЛ-10 кВ №202Н ПС 110/6/10 кВ НС-2 и установка коммерческого учета электрической энергии (мощности) на границе земельного участка для электроснабжения жилого дома заявителя Ионовой А.В., ЗАО Обильное, поля 86-88, 1 км от с. Кулешовка, Азовский район, Ростовская область (ориентировочная протяженность ЛЭП – 0,065 км)</t>
  </si>
  <si>
    <t>Строительство ВЛ 0,4 кВ от опоры №326-9 ВЛ-0,4кВ №1 технически перевооружаемой ТП 10/0,4 кВ №326 п ВЛ-10кВ №202Н ПС 110/6/10 кВ НС-2 и установка коммерческого учета электрической энергии (мощности) на границе земельного участка для электроснабжения жилого дома заявителя Кузьменко Е.С., с.Кулешовка, Азовский район, Ростовская область (ориентировочная протяженность ЛЭП – 0,03 км)</t>
  </si>
  <si>
    <t>Строительство ВЛ 0,4 кВ от опоры №93-41 ВЛ 0,4 кВ №2 технически перевооружаемой КТП 10/0,4 кВ №93 ВЛ-10 кВ №202Н ПС 110/6/10 кВ НС-2 и установка коммерческого учета электрической энергии (мощности) на границе земельного участка для электроснабжения жилого дома заявителя Михиденко А.Л., с. Кулешовка, Азовский район, Ростовская область (ориентировочная протяженность ЛЭП – 0,055 км)</t>
  </si>
  <si>
    <t>Строительство ВЛ 0,4 кВ от опоры №111-90 ВЛ-0,4 кВ №3 КТП 10/0,4 кВ №111 ВЛ-10 кВ №3113 ПС 110/35/10 кВ А-31 и установка коммерческого учета электрической энергии (мощности) на границе земельных участков для электроснабжения жилых домов заявителей Каразян Э.З., с. Пешково, Азовский район, Ростовская область (ориентировочная протяженность ЛЭП – 0,080 км)</t>
  </si>
  <si>
    <t>Строительство ВЛ 0,4 кВ от опоры №70-1 ВЛ-0,4 №1 КТП-70 ВЛ-10 716 ПС 110 кВ Юбилейная и установка коммерческого учета электрической энергии (мощности) на границе земельного участка для электроснабжения объекта сельскохозяйственного производства заявителя ИП Бакулиной А.В., Ростовская область, Кагальницкий р-н, п. Воронцовка, ул. 40 лет Победы д.19/14, к.н. 61:14:0600018:274 (ориентировочная протяженность ЛЭП – 0,14 км)</t>
  </si>
  <si>
    <t>Строительство ВЛ 0,4 кВ от опоры №28-251 ВЛ-0,4 №1 ЗТП-28 ВЛ-10 313 ПС 35 кВ КГ3 и установка коммерческого учета электрической энергии (мощности) на границе земельного участка для электроснабжения жилого дома заявителя Евтушенко Л.В., Ростовская область, Кагальницкий р-н, ст. Кировская, ул. Центральная д.17А, к.н. 61:14:0050126:499 (ориентировочная протяженность ЛЭП – 0,030 км)</t>
  </si>
  <si>
    <t>Строительство ВЛ 0,4 кВ от опоры №28-218 ВЛ-0,4 №1 ЗТП-28 ВЛ-10 313 ПС 35 кВ КГ3 и установка коммерческого учета электрической энергии (мощности) на границе земельного участка для электроснабжения ЛПХ заявителя Боташев М.Х., Ростовская область, Кагальницкий р-н, ст. Кировская, ул. Новостройки д.14, к.н. 61:14:0050126:46 (ориентировочная протяженность ЛЭП – 0,020 км)</t>
  </si>
  <si>
    <t>Строительство ЛЭП 10 кВ от опоры №49 по ВЛ 10 кВ №1002 ПС 110/35/10 кВ Самарская, ТП 10/0,4 кВ, ЛЭП 0,4 кВ и установка системы учета электрической энергии (мощности) на границе земельного участка для электроснабжения жилого дома заявителя Шевченко А.С., с.Самарское, СТ «Стимул», Азовский район, Ростовская область, (ориентировочная протяженность ЛЭП– 0,330 км, ориентировочная трансформаторная мощность – 0,025 МВА)</t>
  </si>
  <si>
    <t>Строительство ВЛ 0,4 кВ от опоры №334-13 ВЛ 0,4 кВ №1 КТП 10/0,4 кВ №334 ВЛ 10 кВ 202Н ПС 110/6/10 кВ НС-2 и установка коммерческого учета электрической энергии (мощности) на границе земельного участка для электроснабжения жилого дома заявителя Кривова Ф.С., ЗАО Обильное, Азовский район, Ростовская область (ориентировочная протяженность ЛЭП – 0,03 км)</t>
  </si>
  <si>
    <t>Строительство ВЛ 0,4 кВ от опоры №358-3 ВЛ 0,4 кВ №1 КТП 10/0,4 кВ №358 ВЛ 10 кВ 202Н ПС 110/6/10 кВ НС-2 и установка коммерческого учета электрической энергии (мощности) на границе земельного участка для электроснабжения жилого дома заявителя Лигостаев А.А., ЗАО Обильное, Азовский район, Ростовская область (ориентировочная протяженность ЛЭП – 0,03 км)</t>
  </si>
  <si>
    <t>Строительство ВЛ 0,4 кВ от проектируемой опоры проектируемой ВЛ 0,4 кВ (по договору ТП № 61-1-21-00614477 от 23.11.2021 г.) МТП 10/0,4 кВ №311 ВЛ-10 кВ №106Н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Калдарасс М.Г., СХА "Кулешовское" поле III о, Азовский р-он, Ростовская область, к.н. 61:01:0600006:4906 (ориентировочная протяженность ЛЭП – 0,05 км)</t>
  </si>
  <si>
    <t>Строительство ВЛ 0,4 кВ от проектируемой опоры проектируемой ВЛ 0,4 кВ (по договору ТП № 61-1-21-00609887 с заявителем Ивановым Д.Ю.) МТП 10/04 кВ № 311 ВЛ-10 кВ №106Н ПС 110/10/6 кВ НС-1 и установка коммерческого учета электрической энергии (мощности) на границе земельного участка для электроснабжения жилого дома заявителя Гавриленко В.А, Азовский р-он, Ростовская область, к.н. 61:01:0600006:4946 (ориентировочная протяженность ЛЭП – 0,040 км)</t>
  </si>
  <si>
    <t>Строительство ВЛ 0,4 кВ от опоры №311-5/7 ВЛ-0,4 кВ №2 МТП 10/0,4 кВ №311 ВЛ 10 кВ №106Н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Рагимова А.В., Азовский район, Ростовская область, к.н. 61:01:0600006:4933 (ориентировочная протяженность ЛЭП – 0,060 км)</t>
  </si>
  <si>
    <t>Строительство ВЛ 0,4 кВ от проектируемой опоры проектируемой ВЛ 0,4 кВ (по договору ТП № 61-1-21-00616481 от 07.12.2021г.  с заявителем Стрюк В.А.) КТП 10/04 кВ № 329 ВЛ-10 кВ №106Н ПС 110/10/6 кВ НС-1 и установка коммерческого учета электрической энергии (мощности) на границе земельного участка для электроснабжения жилого дома заявителя Худайберганова А.Г, Азовский р-он, Ростовская область, к.н. 61:01:0600006:6071 (ориентировочная протяженность ЛЭП – 0,040 км)</t>
  </si>
  <si>
    <t>Строительство ВЛ 0,4 кВ от РУ-0,4 кВ КТП 10/0,4 кВ №342 ВЛ-10кВ №107Н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Чубенко Н.С., п. Овощной, Азовский район, Ростовская область, к.н. 61:01:0600003:2588 (ориентировочная протяженность ЛЭП – 0,06км)</t>
  </si>
  <si>
    <t>Строительство ВЛ 0,4 кВ от РУ-0,4 кВ КТП 10/0,4 кВ №329 ВЛ 10кВ №106Н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Саленко И.В., 5,9 км по направлению на северо-восток от пункта ГГС Пеленкин СХА (К) "Кулешовское" поле III о, Азовский район, Ростовская область (ориентировочная протяженность ЛЭП – 0,210 км)</t>
  </si>
  <si>
    <t>Строительство ВЛИ-0,4 кВ от КТП-433 ВЛ 10кВ № 904 ПС 110кВ Балко-Грузская в пролетах опор № 1-433*14-177&amp;#247;17-177  ВЛ-10 904 ПС 110кВ Балко-Грузская, установить в существующую КТП дополнительный автоматический выключатель Iн=63А и установка системы учета электрической энергии (мощности) на границе земельного участка для электроснабжения нежилого здания (склада) заявителя ИП Оганесян Г.Э., х.Балко-Грузский Егорлыкский район, Ростовская область (1шт.), (ориентировочная протяженность ЛЭП – 0,240 км)</t>
  </si>
  <si>
    <t>Строительство ВЛ 0,4 кВ от РУ-0,4 кВ ЗТП 10/0,4 кВ №22 КВЛ-10кВ №1205, №1211 ПС 110/10 кВ А-12 и установка коммерческого учета электрической энергии (мощности) на границе земельного участка для электроснабжения нежилого здания заявителя ИП Крупнова Н.С., с. Кулешовка, Азовский район, Ростовская область (ориентировочная протяженность ЛЭП – 0,210 км)</t>
  </si>
  <si>
    <t>Строительство ВЛ 0,4 кВ от опоры б/н ВЛ-0,4 кВ КТП 10/0,4 кВ №9 (балансовая принадлежность ООО «Рыбколхоз им. Ленина») ВЛ-10кВ №1815 ПС 35/10 кВ А-18 и установка коммерческого учета электрической энергии (мощности) на границе земельного участка для электроснабжения жилого дома заявителя Аксёненко Е.Ю., х. Городище, Азовский район, Ростовская область (ориентировочная протяженность ЛЭП – 0,09 км)</t>
  </si>
  <si>
    <t>Строительство ВЛ 0,4 кВ от опоры №190-7 ВЛ-0,4 кВ №1 КТП 10/0,4 кВ №190 ВЛ-10кВ №3113 ПС 110/35/10 кВ А-31 и установка коммерческого учета электрической энергии (мощности) на границе земельного участка для электроснабжения жилого дома заявителя Ефремушкина А.А., с. Пешково, Азовский район, Ростовская область, к.н. 61:01:0140101:8795 (ориентировочная протяженность ЛЭП – 0,100 км)</t>
  </si>
  <si>
    <t>Строительство ВЛ 0,4 кВ от опоры №20-2 ВЛ-0,4 кВ №1 КТП 10/0,4 кВ №20 ВЛ-10кВ №3127 ПС 110/35/10 кВ А-31 и установка коммерческого учета электрической энергии (мощности) на границе земельного участка для электроснабжения жилого дома заявителя Дорошенко И.И., с. Займо-Обрыв, Азовский район, Ростовская область, к.н. 61:01:0140401:3347 (ориентировочная протяженность ЛЭП – 0,060 км)</t>
  </si>
  <si>
    <t>Строительство ЛЭП 0,4 кВ от РУ-0,4кВ ТП 10/0,4кВ №358 ВЛ 10 кВ №202Н ПС 110/6/10 кВ НС-2 и установка коммерческого учета электрической энергии (мощности) на границе земельного участка для электроснабжения жилых домов заявителей Шулеповой А.Т. и Удодик А.Н., ЗАО «Обильное», Азовский район, Ростовская область, к.н. 61:01:0600006:6944 и 61:01:0600006:6936 (ориентировочная протяженность ЛЭП – 0,190 км)</t>
  </si>
  <si>
    <t>Строительство ВЛ 0,4 кВ от опоры №30-7 ВЛ-0,4 кВ №1 КТП 10/0,4 кВ №30 ВЛ-10кВ №2907 РП-29 ПС 35/10 кВ А-18 и установка коммерческого учета электрической энергии (мощности) на границе земельного участка для электроснабжения жилого дома заявителя Шумейко С.В., ст-ца.Елизаветинская, Азовский район, Ростовская область, к.н. 61:01:0030101:573 (ориентировочная протяженность ЛЭП – 0,110 км)</t>
  </si>
  <si>
    <t>Строительство ВЛ 0,4 кВ от опоры №105-47 ВЛ-0,4 кВ №2 КТП 10/0,4 кВ №105 ВЛ 10 кВ №2608 ПС 110/10 кВ А-26 и установка коммерческого учета электрической энергии (мощности) на границе земельного участка для электроснабжения жилого дома заявителя Прилип И.А., х. Новоалександровка, Азовский район, Ростовская область, к.н. 61:01:0000000:2123 (ориентировочная протяженность ЛЭП – 0,045 км)</t>
  </si>
  <si>
    <t>Строительство ВЛ 0,4 кВ от опоры №97-19 ВЛ-0,4 кВ №1 КТП 10/0,4 кВ №97 ВЛ-10кВ №2907 РП-29 ПС 35/10 кВ А-18 и установка коммерческого учета электрической энергии (мощности) на границе земельного участка для электроснабжения жилого дома заявителя Черного Н.М., х. Казачий Ерик, Азовский район, Ростовская область, к.н. 61:01:0030401:478 (ориентировочная протяженность ЛЭП – 0,04км)</t>
  </si>
  <si>
    <t xml:space="preserve">Строительство ВЛ 0,4 кВ от проектируемой ТП 35/0,4 кВ от опоры №69 по ВЛ-35 кВ КГ2 – КГ3 и установка коммерческого учета электрической энергии (мощности) на границе земельного участка для электроснабжения садового дома заявителя Гаспаряна Т.П., Кагальницкий район,Ростовская область, к.н. 61:14:0503601:1098 (ориентировочная протяженность ЛЭП – 0,02 км) </t>
  </si>
  <si>
    <t>Строительство ВЛ 0,4 кВ от оп. №44-1 ВЛ-0,4 №1 КТП-44 ВЛ-10 806 ПС 35 кВ ЗР8 и установка коммерческого учета электрической энергии (мощности) на границе земельного участка для электроснабжения малоэтажной объекта медицинского учреждения заявителя МБУЗ «ЦРБ» Зерноградского р-на, Ростовская область, Зерноградский р-н, х. Донской, ул. Черемушки д.8А к.н. 61:12:0080207:1047 (ориентировочная протяженность ЛЭП – 0,11 км)</t>
  </si>
  <si>
    <t>Строительство BЛ 0,4 кВ от опоры №329-20 ВЛ- 0,4 кВ №1 КТП 10/0,4 кВ №329 ВЛ-10 кВ №106Н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Фроленко С.Ю., Ростовская область, Азовский район, СХА «Кулешовское» поле III о, к.н. 61:01:0600006:5511 (ориентировочная протяженность ЛЭП - 0,205 км)</t>
  </si>
  <si>
    <t>Строительство ВЛ 0,4 кВ от проектируемой опоры проектируемой ВЛ 0,4 кВ (по договору ТП № 61-1-21-00611421 от 11.11.2021г.) и установка системы учета электрической энергии (мощности) на границе земельных участков для электроснабжения жилых домов заявителей Шмыковой М.Н, Ковтунова А.Ф., Пашковой Т.В., Азовский район, Ростовская область, к.н. 61:01:0600006:5266, 61:01:0600006:5261, 61:01:0600006:5312 (ориентировочная протяженность ЛЭП– 0,590 км)</t>
  </si>
  <si>
    <t>Строительство ВЛ 0,4 кВ от опоры №98-61 ВЛ-0,4 №1 КТП-98 ВЛ-10 1102 ПС 35 кВ ЗР11 и установка коммерческого учета электрической энергии (мощности) на границе земельного участка для электроснабжения базовой станции заявителя Ростелеком, Ростовская обл., р-н. Зерноградский, с. Ленинка, примерно 14 м по направлению на восток от границы участка по адресу: ул. Парковая д.6, к.н. отсутствует (ориентировочная протяженность ЛЭП – 0,09 км)</t>
  </si>
  <si>
    <t>Строительство ВЛ 0,4 кВ от оп. №92-45 ВЛ-0,4 №2 КТП-92 ВЛ-10 415 ПС 35 кВ КГ4 и установка коммерческого учета электрической энергии (мощности) на границе земельного участка для электроснабжения базовой станции заявителя ПАО «Ростелеком» Ростовская область, Кагальницкий р-н, с. Иваново-Шамшево, примерно 7м по направлению на запад от границы участка по адресу: ул. Пионерская д.29-А (ориентировочная протяженность ЛЭП – 0,08 км)</t>
  </si>
  <si>
    <t>Строительство ВЛ 0,4 кВ от опоры №15-10/3 ВЛ 0,4 кВ №1 технически перевооружаемой КТП 10/0,4 кВ №15 ВЛ-10 кВ №802 ПС 35/10 кВ А-8 и установка коммерческого учета электрической энергии (мощности) на границе земельного участка для электроснабжения жилого дома заявителя Январевой Л.С., х.Павло-Очаково, Азовский район, Ростовская область (ориентировочная протяженность ЛЭП – 0,140 км)</t>
  </si>
  <si>
    <t>Строительство ВЛ 0,4 кВ от опоры №146-85 ВЛ-0,4 кВ №3 КТП 10/0,4 кВ №146 ВЛ-10 кВ №1701 ПС 35/10 кВ А-17 и установка коммерческого учета электрической энергии (мощности) на границе земельного участка для электроснабжения жилого дома заявителя Петровой В.А., с.Круглое, Азовский район, Ростовская область (ориентировочная протяженность ЛЭП – 0,080 км)</t>
  </si>
  <si>
    <t>Строительство ВЛ 0,4 кВ от опоры №211-222 ВЛ-0,4 кВ №5 КТП 10/0,4 кВ №211 ВЛ-10 кВ №910 ПС 35/10 кВ А-9 и установка коммерческого учета электрической энергии (мощности) на границе земельного участка для электроснабжения жилых домов заявителей Лучкиной Л.А. и Рыжкова М.А., ДНТ «Южное», Азовский район, Ростовская область (ориентировочная протяженность ЛЭП – 0,2 км)</t>
  </si>
  <si>
    <t>Строительство ВЛ 0,4 кВ от опоры №46-2 ВЛ-0,4 кВ №1 ТП 10/0,4 кВ №46 по ВЛ 10 кВ №910-1106 ПС 35/10 кВ А-9 и установка коммерческого учета электрической энергии (мощности) на границе земельного участка для электроснабжения нежилой застройки заявителя ИП Глушенко Д.В., г. Азов, Ростовская обл., к.н. 61:45:00000350:14670  (ориентировочная протяженность ЛЭП – 0,050 км)</t>
  </si>
  <si>
    <t>Строительство ВЛ 0,4 кВ от РУ-0,4 МТП-183 ВЛ-10 313 ПС 35 кВ КГ3 и установка коммерческого учета электрической энергии (мощности) на границе земельного участка для электроснабжения объекта жилищно-коммунального хозяйства заявителя МП ЖКХ Кагальницкого с/п, Ростовская область, Кагальницкий р-н, ст. Кировская, ул. Кирова д.10А к.н. 61:14:0050129:193 (ориентировочная протяженность ЛЭП – 0,12 км)</t>
  </si>
  <si>
    <t>Строительство ЛЭП 0,4 кВ от опоры №216-1 ВЛ 0,4 кВ №1 ТП 10/0,4 кВ №216 ВЛ 10 кВ №808 ПС 110/10 кВ БОС и установка коммерческого учета электрической энергии (мощности) на границе земельного участка для электроснабжения складского помещения заявителя ИП Ткачук С.С., восточнее земельного участка с к.н. 61:01:0600007:1479, с. Самарское, Азовский район, Ростовская область, к.н. 61:01:0600007:2453 (ориентировочная протяженность ЛЭП – 0,04 км)</t>
  </si>
  <si>
    <t>Строительство ЛЭП 10 кВ от опоры №1-94 по ВЛ 10 кВ №502 ПС 35 кВ ЗР5, ТП 10/0,4 кВ, ЛЭП 0,4 кВ и установка системы учета электрической энергии (мощности) на границе земельного участка для электроснабжения объекта АЗС заявителя ООО «Вертикаль», Ростовская область, Зерноградский р-н, х. Гуляй-Борисовка, примерно в 0,755 км по направлению на юг от южной его окраины к.н. 61:12:00601801:2545 (ориентировочная протяженность ЛЭП– 0,07 км, ориентировочная трансформаторная мощность – 0,025 МВА)</t>
  </si>
  <si>
    <t>Строительство ВЛИ 0,4 кВ от оп.№71-123 ВЛ-0,4 кВ №2 кВ КТП 10/0,4 кВ №71 ВЛ-10кВ №105Н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Леликова А.В., х. Усть-Койсуг, Азовский район, Ростовская область, к.н. 61:01:0030901:1190 (ориентировочная протяженность ЛЭП – 0,140км)</t>
  </si>
  <si>
    <t>Строительство ВЛ 0,4 кВ от проектируемой опоры проектируемой ВЛ 0,4 кВ (по договору ТП № 61-1-21-00611809 от 15.11.2021г. с заявителем Севериновой Л.И.) КТП 10/0,4 кВ № 25 ВЛ 10 кВ №1815 ПС 35/10 кВ А-18 и установка коммерческого учета электрической энергии (мощности) на границе земельного участка для электроснабжения стоянки заявителя Студеникина Н.А., х. Курган, р-н Азовский, Ростовская обл., к.н. 61:01:00600002:2605 (ориентировочная протяженность ЛЭП – 0,160 км)</t>
  </si>
  <si>
    <t>Строительство участка ВЛИ 0,4кВ от опоры №329-44 ВЛ 0,4 кВ №2 ТП 10/0,4 кВ №329 ВЛ 10кВ №106Н ПС 110/6/10 кВ НС-1 и системы учета электрической энергии (мощности) на границе земельного участка для электроснабжения жилого дома заявителя Федоровой М.Н., ДНТ «Виктория», Азовский район, Ростовская область (ориентировочная протяженность ЛЭП – 0,150 км)</t>
  </si>
  <si>
    <t>Строительство ВЛ 0,4 кВ от опоры №14-69 ВЛ-0,4 кВ №3 КТП 10/0,4 кВ №14 ВЛ 10кВ №106Н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Донченко Т.Б., п. Овощной, Азовский район, Ростовская область, к.н. 61:01:0130101:5068 (ориентировочная протяженность ЛЭП – 0,070 км)</t>
  </si>
  <si>
    <t>Строительство ВЛ 0,4 кВ от опоры №97-23 ВЛ-0,4 кВ №1 КТП 10/0,4 кВ №97 ВЛ-10 кВ №2907 РП-29 ПС 35/10 кВ А-18 и установка коммерческого учета электрической энергии (мощности) на границе земельного участка для электроснабжения жилого дома заявителя Стецун Г.А., ул. Степная, д. 86, х. Казачий Ерик, Азовский район, Ростовская область, к.н. 61:01:0600002:1299 (ориентировочная протяженность ЛЭП – 0,11 км)</t>
  </si>
  <si>
    <t>Строительство ВЛ 0,4 кВ от опоры №49-16 ВЛ-0,4 кВ №2 КТП 10/0,4 кВ №49 ВЛ-10 кВ №2907 РП-29 ПС 35/10 кВ А-18 и установка коммерческого учета электрической энергии (мощности) на границе земельного участка для электроснабжения жилого дома заявителя Стецун С.А., ул. Степная, д. 114, х. Казачий Ерик, Азовский район, Ростовская область, к.н. 61:01:0600002:1323 (ориентировочная протяженность ЛЭП – 0,07 км)</t>
  </si>
  <si>
    <t xml:space="preserve">Строительство ВЛ 0,4 кВ от опоры №43-39 ВЛ-0,4 кВ №2 КТП 10/0,4 кВ №43 по ВЛ 10 кВ №1802 ПС 35/10 кВ А-18 и установка коммерческого учета электрической энергии (мощности) на границе земельного участка для электроснабжения жилого дома заявителя Ковалева А.Н., пер. Северный, участок 15, х. Рогожкино, Азовский район, Ростовская область, к.н. 61:01:160101:0125 (ориентировочная протяженность ЛЭП – 0,06 км) </t>
  </si>
  <si>
    <t>Строительство ВЛ 0,4 кВ от опоры №81-1 ВЛ 0,4 кВ №1 КТП 10/0,4кВ №81 ВЛ 10кВ №1802 ПС 35/10 кВ А-18 и установка коммерческого учета электрической энергии (мощности) на границе земельного участка для электроснабжения жилого дома заявителя Дьякова Е.И., ул. Степная, д. 28 А, х. Рогожкино, Азовский район, Ростовская область, к.н. 61:01:0160101:3202 (ориентировочная протяженность ЛЭП – 0,07 км)</t>
  </si>
  <si>
    <t>Строительство ВЛ 0,4 кВ от оп. б/н ВЛ 0,4 кВ КТП 10/0,4кВ №9 (на балансе Рыболовецкого колхоза им. Ленина) ВЛ 10кВ №1815 ПС 35/10 кВ А-18 и установка коммерческого учета электрической энергии (мощности) на границе земельного участка для электроснабжения объекта жилого дома заявителя Агапова Н.С., Азовский р-он, Ростовская область, х. Городище, к.н.61:01:0600002:737 (ориентировочная протяженность ЛЭП – 0,02 км)</t>
  </si>
  <si>
    <t>Строительство ВЛ 0,4 кВ от РУ-0,4 КТП 10/0,4 кВ №336 по ВЛ 10 кВ №106Н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Мальцевой Е.И., ЗАО «Обильное», поле 19.25.12, Азовский район, Ростовская область, к.н. 61:01:0600006:3541 (ориентировочная протяженность ЛЭП – 0,43 км)</t>
  </si>
  <si>
    <t>Строительство ВЛИ 0,4 кВ от проектируемой опоры проектируемой ВЛ 0,4кВ (по договору №61-1-22-00669161 от 23.09.2022г. с заявителем Мальцевой Е.И.) КТП 10/0,4 кВ № 336 ВЛ 10 кВ 106Н ПС 110/6/10 кВ НС-1 и установка коммерческого учета электрической энергии (мощности) на границе земельного участка для электроснабжения объекта жилого дома заявителя Михайловской Т.В., ЗАО «Обильное», Азовский район, Ростовская область, к.н. 61:01:0600006:3592 (ориентировочная протяженность ЛЭП – 0,4 км)</t>
  </si>
  <si>
    <t>Строительство ВЛ 0,4 кВ от проектируемой опоры проектируемой ВЛ 0,4 кВ проектируемой ТП 10/0,4 кВ (по договору ТП № 61-1-22-00623939 от 27.01.2022г.) ВЛ 10 кВ №307Н ПС 110/35/6/10 кВ НС-3 и установка коммерческого учета электрической энергии (мощности) на границе земельного участка для электроснабжения складского помещения заявителя Арутюнян О.С., Азовский р-он, Ростовская область, к.н. 61:01:060013:250 (ориентировочная протяженность ЛЭП – 0,470 км)</t>
  </si>
  <si>
    <t>Строительство ЛЭП 10 кВ от опоры №10-358 по ВЛ 10 кВ №202Н ПС 110/6/10 кВ НС-2, ТП 10/0,4 кВ, ЛЭП 0,4 кВ и установка системы учета электрической энергии (мощности) на границе земельного участка для электроснабжения жилого дома заявителя Барсегян А.Г., ЗАО Обильное, поле 86-88, 1 км от с. Кулешовка, Азовский район, Ростовская область, к.н. 61:01:0600006:7119 (ориентировочная протяженность ЛЭП– 0,83 км, ориентировочная трансформаторная мощность – 0,025 МВА)</t>
  </si>
  <si>
    <t>Строительство ВЛ 0,4 кВ от опоры №29-49 ВЛ 0,4 кВ №1 КТП 10/0,4 кВ №29 ВЛ-10 кВ №1411 ПС 110/35/10 кВ А-32 и установка коммерческого учета электрической энергии (мощности) на границе земельного участка для электроснабжения объекта фермерского хозяйства заявителя ИП Понятовская Е.И., Азовский район, Ростовская область, к.н. 61:01:0000000:2243 (ориентировочная протяженность ЛЭП – 0,250 км)</t>
  </si>
  <si>
    <t>Строительство ВЛ 0,4 кВ от опоры № 58-2 ВЛ-0,4 № 1 КТП 10/0,4 кВ №58 по ВЛ 10 кВ №1802 ПС 35/10 кВ А-18 и установка коммерческого учета электрической энергии (мощности) на границе земельного участка для электроснабжения жилого дома заявителя Романенко А.И., Азовский район, Ростовская область, к.н. 61:01:0600002:3205 (ориентировочная протяженность ЛЭП – 0,23 км)</t>
  </si>
  <si>
    <t>Строительство ВЛ 0,4 кВ от №27-112 ВЛ-0,4 кВ №4 КТП 10/0,4 кВ №27 ВЛ 10 кВ №1701 от ПС 35/10 кВ А-17 и установка коммерческого учета электрической энергии (мощности) на границе земельного участка для электроснабжения жилого дома заявителя Грачевского В.В.., с. Круглое, Азовский р-он Ростовская область (ориентировочная протяженность ЛЭП – 0,120 км)</t>
  </si>
  <si>
    <t>Строительство ВЛ 0,4 кВ от проектируемой опоры проектируемой ВЛ 0,4 кВ проектируемой ТП 10/0,4 кВ (по договору ТП № 61-1-21-00608867 от 22.10.2021г с заявителем Зубовым А.В.) ВЛ-10 кВ №1815 ПС 35/10 кВ А-18 и установка коммерческого учета электрической энергии (мощности) на границе земельного участка для электроснабжения жилого дома заявителя Сабирова Ш.М., Азовский р-он, Ростовская область, к.н. 61:01:06000002:3054 (ориентировочная протяженность ЛЭП – 0,03 км)</t>
  </si>
  <si>
    <t>Строительство ВЛ 0,4 кВ от опоры №228-11 ВЛ-0,4 кВ №1 КТП 10/0,4 кВ №228 ВЛ-10кВ №106Н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Перемышлева А.А., п.Овощной, Азовский район, Ростовская область, к.н. 61:01:0130101:5082 (ориентировочная протяженность ЛЭП – 0,100 км)</t>
  </si>
  <si>
    <t>Строительство ВЛ 0,4 кВ от опоры №104-12 ВЛ-0,4 кВ № 1 КТП 10/0,4 кВ № 104 (балансовая принадлежность Администрация Маргаритовского сельского поселения) ВЛ 10 кВ №601 ПС 35/10 кВ А-6 и установка коммерческого учета электрической энергии (мощности) на границе земельного участка для электроснабжения жилого дома заявителя Шпак М.А., х.Чумбур-Коса, Азовский район, Ростовская область, к.н. 61:01:0100501:274 (ориентировочная протяженность ЛЭП – 0,170 км)</t>
  </si>
  <si>
    <t>Строительство ВЛ 0,4 кВ от опоры №69-34 ВЛ-0,4 кВ №1 КТП 10/0,4 кВ №69 ВЛ 10 кВ №1509 ПС 35/10 кВ А-15 и установка коммерческого учета электрической энергии (мощности) на границе земельного участка для электроснабжения жилого дома заявителя Перегудова В.В., х.Марков, Азовский район, Ростовская область, к.н. 61:01:0120401:45 (ориентировочная протяженность ЛЭП – 0,04 км)</t>
  </si>
  <si>
    <t>Строительство ВЛ 0,4 кВ от опоры №158-58 ВЛ-0,4 кВ №2 КТП 10/0,4 кВ №158 ВЛ 10 кВ №1101 ПС 35/10 кВ А-11 и установка коммерческого учета электрической энергии (мощности) на границе земельного участка для электроснабжения жилого дома заявителя Шульгиной З.В., с. Кагальник, Азовский район, Ростовская область, к.н. 61:01:0600004:479 (ориентировочная протяженность ЛЭП – 0,170 км)</t>
  </si>
  <si>
    <t>Строительство ВЛ 0,4 кВ от опоры №201-55 ВЛ-0,4 кВ №2 КТП 10/0,4 кВ №201 ВЛ 10 кВ №1019 ПС 110/35/10 кВ Самарская и установка коммерческого учета электрической энергии (мощности) на границе земельного участка для электроснабжения жилого дома заявителя Пелих Л.В., х. Победа, Азовский район, Ростовская область, к.н. 61:01:0041001:1440 (ориентировочная протяженность ЛЭП – 0,170 км)</t>
  </si>
  <si>
    <t>Строительство ВЛ 0,4 кВ от опоры №259-3 ВЛ-0,4 кВ №1 КТП 6/0,4 кВ №259 ВЛ 6 кВ №10701 ПС 110/35/6 кВ А-1 и установка коммерческого учета электрической энергии (мощности) на границе земельного участка для электроснабжения жилого дома заявителя Высавского А.Ю., г. Азов, Ростовская область, к.н. 61:45:000464:0004 (ориентировочная протяженность ЛЭП – 0,07 км)</t>
  </si>
  <si>
    <t>Строительство ВЛ 0,4 кВ от опоры №85-25 ВЛ-0,4 кВ №4 КТП 10/0,4 кВ №85 ВЛ 10 кВ №2608 ПС 110/10 кВ А-26 и установка коммерческого учета электрической энергии (мощности) на границе земельного участка для электроснабжения жилого дома заявителя Акопян С.Г., с. Кулешовка, Азовский район, Ростовская область, к.н. 61:01:0090102:2598 (ориентировочная протяженность ЛЭП – 0,160 км)</t>
  </si>
  <si>
    <t>Строительство ВЛ 0,4 кВ от РУ 0,4 кВ КТП 10/0,4 кВ №231 ВЛ-10 кВ №105Н ПС 110/10/6 кВ НС-1 и установка коммерческого учета электрической энергии (мощности) на границе земельного участка для электроснабжения объекта жилого дома заявителя Мазина В.Г., пер. Проездной, 10 в, х. Усть-Койсуг, Азовский район, Ростовская область, к.н. 61:01:0030901:1179 (ориентировочная протяженность ЛЭП – 0,02 км)</t>
  </si>
  <si>
    <t>Строительство ВЛ 0,4 кВ от опоры №128-38 ВЛ-0,4 кВ №1 КТП 10/0,4 кВ №128 ВЛ 10 кВ №1815 ПС 35/10 кВ А-18 и установка коммерческого учета электрической энергии (мощности) на границе земельного участка для электроснабжения жилого дома заявителя Скоробогатого А.А., Ростовская область, Азовский район, установлено относительно ориентира расположенного за пределами участка. Ориентир ПТ «Городище». Участок находится примерно в 850 м от ориентира по направлению на юго-восток, к.н. 61:01:0600002:2713 (ориентировочная протяженность ЛЭП – 0,05 км)</t>
  </si>
  <si>
    <t>Строительство ВЛ 0,4 кВ от опоры №45-39 ВЛ-0,4 кВ №3 КТП 10/0,4 кВ №45 ВЛ 10 кВ №2907 РП-29 ПС 35/10 кВ А-18 и установка коммерческого учета электрической энергии (мощности) на границе земельного участка для электроснабжения жилого дома заявителя Саксельцева Е.И., Ростовская область, Азовский район, х. Курган, пер. Лавандовый, д. 2, к.н. 61:01:0500401:217 (ориентировочная протяженность ЛЭП – 0,07 км)</t>
  </si>
  <si>
    <t>Строительство ВЛ 0,4 кВ от опоры №25-150 ВЛ-0,4 кВ №3 КТП 10/0,4 кВ №25 ВЛ-10 кВ №1815 ПС 35/10 кВ А-18 и установка коммерческого учета электрической энергии (мощности) на границе земельного участка для электроснабжения жилого дома заявителя Бурдикова А.В., ул. Береговая, д. 45, х. Колузаево, Азовский район, Ростовская область, к.н. 61:01:0030501:732 (ориентировочная протяженность ЛЭП – 0,08 км)</t>
  </si>
  <si>
    <t>Строительство ВЛ 0,4 кВ от РУ-0,4 КТП-95 ВЛ-10 1501 ПС 110 кВ ЗР15 и установка коммерческого учета электрической энергии (мощности) на границе земельного участка для электроснабжения жилого дома заявителя Чайка А.С., Ростовская область, Зерноградский р-н, п. Экспериментальный, ул. Гагарина д.30 к.н. 61:12:0050401:2132 (ориентировочная протяженность ЛЭП – 0,25 км)</t>
  </si>
  <si>
    <t xml:space="preserve">Строительство ВЛ 0,4 кВ от РУ 0,4 кВ ТП 10/0,4 кВ №207 ВЛ-10 кВ№3129 ПС 110/35/10 кВ А-31 и установка коммерческого учета электрической энергии (мощности) на границе земельного участка для электроснабжения объекта сельскохозяйственного производства заявителя ИП Глава крестьянского (фермерского) хозяйства Дорошенко Р. И., с. Пешково, Азовский район, Ростовская область, к.н. 61:01:0600012:683 (ориентировочная протяженность ЛЭП – 0,1 км) </t>
  </si>
  <si>
    <t>Строительство ВЛ 0,4 кВ от проектируемой опоры проектируемой ВЛ 0,4 кВ проектируемого ТП 10/0,4 кВ (по договору ТП № 61-1-22-00644701 от 26.04.2022г. с заявителем Войташевской С.А) ВЛ 10 кВ №1815 ПС 35/10 кВ А-18 и установка коммерческого учета электрической энергии (мощности) на границе земельного участка для электроснабжения жилого дома заявителя Нестерчук В.С., ориентир ПТ «Городище», участок находится примерно в 850 м от ориентира по направлению на юго-восток, р-н Азовский, Ростовская обл., к.н. 61:01:0600002:3087 (ориентировочная протяженность ЛЭП – 0,15 км)</t>
  </si>
  <si>
    <t>Строительство ВЛ 0,4 кВ от опоры №158-53 ВЛ-0,4 кВ №2 КТП 10/0,4 кВ №158 ВЛ-10 кВ №1101 ПС 35/10 кВ А-11 и установка коммерческого учета электрической энергии (мощности) на границе земельного участка для электроснабжения жилого дома заявителя Смурыгина С.И., ул. Замостье, д. 24-В, с. Кагальник, Азовский район, Ростовская область, к.н. 61:01:0060101:5309 (ориентировочная протяженность ЛЭП – 0,03 км)</t>
  </si>
  <si>
    <t>Строительство ВЛ 0,4 кВ от опоры №50-9 ВЛ 0,4кВ № 1 КТП 10/0,4 кВ №50 ВЛ 10 кВ 2907 РП-29 ПС 35/10 кВ А-18 и установка коммерческого учета электрической энергии (мощности) на границе земельного участка для электроснабжения базовой станции/оборудования сотовой связи заявителя ПАО «Ростелеком», ст-ца. Елизаветинская, Азовский район, Ростовская область, к.н. 61:01:0030101 (ориентировочная протяженность ЛЭП – 0,06 км)</t>
  </si>
  <si>
    <t>Строительство ВЛИ 0,4 кВ от проектируемой опоры проектируемой ВЛ 0,4кВ (по договору №61-1-22-00651697 от 08.06.2022г. с заявителем Ивановым Д.А.) МТП 10/0,4 кВ № 316 ВЛ 10 кВ 211 ПС 35/10 кВ А-2 и установка коммерческого учета электрической энергии (мощности) на границе земельного участка для электроснабжения объекта жилого дома заявителя Зайцевой В.В., Азовский район, Ростовская область, к.н. 61:01:0600005:1841 (ориентировочная протяженность ЛЭП – 0,05 км)</t>
  </si>
  <si>
    <t>Строительство ВЛИ 0,4 кВ от опоры № 212-46 ВЛ-0,4кВ №2, КТП - 212 ВЛ-10 612 ПС 35кВ Е-6 и установка коммерческого учета электрической энергии (мощности) на границе земельного участка для электроснабжения жилого дома заявителя Вартанян С.А., Егорлыкский район, Ростовская область, к.н. 61:10:0090101:824 (ориентировочная протяженность ЛЭП – 0,045 км)</t>
  </si>
  <si>
    <t>Строительство ВЛ 0,4 кВ от РУ 0,4 кВ КТП 10/0,4 кВ №19 ВЛ-10 кВ №308Н ПС 110/6/10 кВ НС-3 и установка коммерческого учета электрической энергии (мощности) на границе земельного участка для электроснабжения нежилой застройки заявителя Ишихов А.Д, примерно в 1250м п направлению на север от ориентира в границах бывшего КСП «Задонское», х. Еремеевка (поле 23), Азовский р-н, Ростовская обл., к.н. 61:01:600013:0215 (ориентировочная протяженность ЛЭП – 0,5 км)</t>
  </si>
  <si>
    <t>Строительство ВЛ 0,4 кВ от проектируемой опоры проектируемой ВЛ 0,4 кВ проектируемой ТП 10/0,4 кВ (по договору ТП № 61-1-22-00661289 от 01.08.2022г. с заявителем Нестерчук В.С.) ВЛ 10 кВ №1815 ПС 35/10 кВ А-18 и установка коммерческого учета электрической энергии (мощности) на границе земельного участка для электроснабжения жилого дома заявителя Аванян Р.Я., р-н Азовский, Ростовская обл., к.н. 61:01:0600002:3044 (ориентировочная протяженность ЛЭП – 0,025 км)</t>
  </si>
  <si>
    <t>Строительство ВЛ 0,4 кВ от опоры №97-46 ВЛ 0,4кВ № 2 КТП 10/0,4 кВ №97 ВЛ 10 кВ 1101 ПС 35/10 кВ А-11 и установка коммерческого учета электрической энергии (мощности) на границе земельного участка для электроснабжения жилого дома заявителя Виниченко С.М., с. Кагальник, Азовский район, Ростовская область, к.н. 61:01:0060101:12549 (ориентировочная протяженность ЛЭП – 0,06 км)</t>
  </si>
  <si>
    <t>Строительство ВЛ 0,4 кВ от опоры №120-38 ВЛ-0,4 кВ №1 КТП 10/0,4 кВ №120 ВЛ-10 кВ №1107 ПС 35/10 кВ А-11 и установка коммерческого учета электрической энергии (мощности) на границе земельного участка для электроснабжения гаража заявителя Волобуевой Л.В., ул. Пролетарская, в районе дома №59, с. Кагальник, Азовский район, Ростовская область, к.н. 61:01:0060101:11127 (ориентировочная протяженность ЛЭП – 0,065 км)</t>
  </si>
  <si>
    <t>Строительство ВЛ 0,4 кВ от проектируемой опоры проектируемой ВЛ 0,4 кВ (по договору ТП № 61-1-22-00661289 от 01.08.2022г. с заявителем Нестерчук В.С.) ВЛ 10 кВ №1815 ПС 35/10 кВ А-18 и установка коммерческого учета электрической энергии (мощности) на границе земельного участка для электроснабжения жилого дома заявителя Захаровой Н.Н., р-н Азовский, Ростовская обл., к.н. 61:01:0600002:3075 (ориентировочная протяженность ЛЭП – 0,24 км)</t>
  </si>
  <si>
    <t>Строительство ЛЭП 10 кВ от опоры №81 по ВЛ 10 кВ №2412 ПС 35/10 кВ А-24, МТП 10/0,4 кВ, ЛЭП 0,4 кВ и установка системы учета электрической энергии (мощности) на границе земельного участка для электроснабжения жилого дома заявителя Калинченко Н.В., х.Лагутник, Азовский район, Ростовская область, к.н. 61:01:0160201:130 (ориентировочная протяженность ЛЭП– 0,14 км, ориентировочная трансформаторная мощность – 0,025 МВА)</t>
  </si>
  <si>
    <t>Строительство ВЛ 0,4 кВ от проектируемой опоры проектируемой ВЛ 0,4 кВ (по договору ТП № 61-1-22-00655829 от 13.07.2022г. с заявителем Манацким А.В.) КТП 10/0,4кВ №40 ВЛ 10кВ №1802 ПС 35/10 кВ А-18 и установка коммерческого учета электрической энергии (мощности) на границе земельного участка для электроснабжения жилого дома заявителя Калиныч А.С., х. Рогожкино, р-н Азовский, Ростовская обл., к.н. 61:01:0160101:1462 (ориентировочная протяженность ЛЭП – 0,03 км)</t>
  </si>
  <si>
    <t>Строительство ВЛ 0,4 кВ от опоры №127-21 ВЛ-0,4 кВ №1 КТП 10/0,4 кВ №127 ВЛ-10 кВ №1310 ПС 35/10 кВ А-13 и установка коммерческого учета электрической энергии (мощности) на границе земельного участка для электроснабжения жилого дома заявителя Ковалева В.П., с.Елизаветовка, Азовский район, Ростовская область (ориентировочная протяженность ЛЭП – 0,35 км)</t>
  </si>
  <si>
    <t>Строительство ВЛ 0,4 кВ от опоры №10-27 ВЛ 0,4кВ №2 КТП 10/0,4кВ №10 ВЛ 10кВ №3125 от ПС 110/35/10 кВ А-31 и установка коммерческого учета электрической энергии (мощности) на границе земельного участка для электроснабжения жилого дома заявителя Шевкун К.С., с. Пешково, ул. Полевая, д. 5,46, Азовский район, Ростовская область, к.н. 61:01:0140101:2135 (ориентировочная протяженность ЛЭП – 0,100 км)</t>
  </si>
  <si>
    <t>Строительство ВЛ 0,4 кВ от оп. №36-7 ВЛ 0,4 кВ №1 МТП 10/0,4 кВ №36 ВЛ 10кВ №1815 ПС 35/10 кВ А-18 и установка коммерческого учета электрической энергии (мощности) на границе земельного участка для электроснабжения объекта жилого дома заявителя Лячина В.С., Азовский район, Ростовская область, к.н. 61:01:0600002:2267 (ориентировочная протяженность ЛЭП – 0,19 км)</t>
  </si>
  <si>
    <t>Строительство ВЛ 0,4 кВ от проектируемой опоры проектируемой ВЛ 0,4 кВ (по договору ТП № 61-1-22-00647813 от 16.05.2022г. с заявителем Рагимовой А.В.) МТП 10/0,4 кВ № 311 ВЛ 10 кВ №106 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Рыбакова А.А., СХА «Кулешовское» поле III о, р-н Азовский, Ростовская обл., к.н. 61:01:0600006:4937 (ориентировочная протяженность ЛЭП – 0,105 км)</t>
  </si>
  <si>
    <t>Строительство ЛЭП 10 кВ от опоры №186 по ВЛ 10 кВ №901 ПС 35/10 кВ А-9, ТП 10/0,4 кВ, ЛЭП 0,4 кВ и установка системы учета электрической энергии (мощности) на границе земельного участка для электроснабжения объекта животноводства заявителя Литвиненко С.П., с/п Новоалександровское, прилегающий к земельному участку с кадастровым номером 61:01:0600005:1902, Азовский район, Ростовская область, к.н. 61:01:0600005:3158 (ориентировочная протяженность ЛЭП– 0,065 км, ориентировочная трансформаторная мощность – 0,025 МВА)</t>
  </si>
  <si>
    <t>Строительство ВЛ 0,4 кВ от опоры №64-9 ВЛ 0,4 кВ №1 технически перевооружаемой ТП 10/0,4 кВ №64 ВЛ 10 кВ 1814 ПС 35/10 кВ А-18 и установка коммерческого учета электрической энергии (мощности) на границе земельного участка для электроснабжения жилого дома заявителя Букина Р.Е., х. Обуховка, Азовский район, Ростовская область (ориентировочная протяженность ЛЭП – 0,110 км)</t>
  </si>
  <si>
    <t>Строительство ЛЭП 10 кВ от опоры №21 по ВЛ 10 кВ №1014 ПС 110/35/10 кВ Самарская, ТП 10/0,4 кВ, ЛЭП 0,4 кВ и установка системы учета электрической энергии (мощности) на границе земельного участка для электроснабжения нежилого помещения заявителя ИП Зина А.Ю., с. Самарское, Азовский район, Ростовская область, к.н. 61:01:0170103:103 (ориентировочная протяженность ЛЭП– 0,035 км, ориентировочная трансформаторная мощность – 0,250 МВА)</t>
  </si>
  <si>
    <t>Строительство ВЛ 0,4 кВ от проектируемой опоры проектируемой ВЛИ 0,4 кВ (по договору ТП № 61-1-21-00608867 от 22.10.2021г. с заявителем Войташевской С.А.) проектируемого ТП 10/0,4 кВ по ВЛ 10 кВ №1815 ПС 35/10 кВ А-18 и установка коммерческого учета электрической энергии (мощности) на границе земельного участка для электроснабжения жилого дома заявителя Куцепаловой Л.М., ул. Изумрудная, д. 37, х. Казачий Ерик, р-н Азовский, Ростовская обл., к.н. 61:01:0600002:1293 (ориентировочная протяженность ЛЭП – 0,03 км)</t>
  </si>
  <si>
    <t>Строительство ВЛ 0,4 кВ от проектируемой опоры проектируемой ВЛ 0,4кВ проектируемой ТП 10/0,4 кВ (по договору №61-1-22-00668807 от 26.09.2022г. с заявителем Захаровой Н.Н.) ВЛ 10 кВ 1815 ПС 35/10 кВ А-18 и установка коммерческого учета электрической энергии (мощности) на границе земельного участка для электроснабжения объекта жилого дома заявителя Балашовой Е.В., Азовский район, Ростовская область, к.н. 61:01:0600002:3076 (ориентировочная протяженность ЛЭП – 0,04 км)</t>
  </si>
  <si>
    <t>Строительство ВЛ 0,4 кВ от опоры №14-169/6 ВЛ 0,4кВ № 3 КТП 10/0,4 кВ №14 ВЛ 10 кВ 106Н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Задоркина Н.В., п. Овощной, Азовский район, Ростовская область, к.н. 61:01:0130101:5167 (ориентировочная протяженность ЛЭП – 0,03 км)</t>
  </si>
  <si>
    <t>Строительство ВЛ 0,4кВ от оп. №61-55 ВЛ-0,4 кВ №2 КТП 10/0,4 кВ №61 ВЛ 10 кВ №301Н ПС 110/6/10 кВ НС-3 и установка коммерческого учета электрической энергии (мощности) на границе земельного участка для электроснабжения объекта фермерского хозяйства заявителя Богомолова И.М., Азовский район, Ростовская область, к.н. 61:01:0600013:2450 (ориентировочная протяженность ЛЭП – 0,3 км)</t>
  </si>
  <si>
    <t>Строительство ВЛ 0,4 кВ от проектируемой опоры проектируемой ВЛ 0,4 кВ (по договору ТП № 61-1-21-00601351 от 17.09.2022г. с заявителем Букиным Р.Е.) МТП 10/0,4 кВ №64 ВЛ 10 кВ №1814 ПС 35/10 кВ А-18 и установка коммерческого учета электрической энергии (мощности) на границе земельного участка для электроснабжения жилого дома заявителя Токаревой О.В., х. Обуховка, р-н Азовский, Ростовская обл., к.н. 61:01:0030801:2133 (ориентировочная протяженность ЛЭП – 0,120 км)</t>
  </si>
  <si>
    <t>Строительство ВЛ 0,4 кВ от оп. №105-95 ВЛ-0,4 кВ №3 КТП 10/0,4 кВ №105 по ВЛ 10 кВ №2608 ПС 110/10 кВ А-26 и установка коммерческого учета электрической энергии (мощности) на границе земельных участков для электроснабжения жилого дома заявителя Чуйкова К.С., х. Новоалександровка, Азовский р-он Ростовская область (ориентировочная протяженность ЛЭП – 0,280 км)</t>
  </si>
  <si>
    <t>Строительство ВЛ 0,4 кВ от опоры №б/н ВЛ 0,4кВ КТП 10/0,4кВ №37 (на балансе Администрации Елизаветинского сельского поселения) ВЛ 10кВ №1802 от ПС 35/10 кВ А-18 и установка коммерческого учета электрической энергии (мощности) на границе земельного участка для электроснабжения нежилого здания заявителя Бурым А.В., х. Дугино, пер. Пионерский, д. 8 А, Азовский район, Ростовская область, к.н. 61:01:0030301:845 (ориентировочная протяженность ЛЭП – 0,04 км)</t>
  </si>
  <si>
    <t>Строительство ВЛ 0,4 кВ от опоры №192-29 ВЛ-0,4 кВ №4 КТП 10/0,4 кВ №192 ВЛ-10 кВ №1020 ПС 110/35/10 кВ Самарская и установка коммерческого учета электрической энергии (мощности) на границе земельного участка для электроснабжения нежилой застройки заявителя Бойко Л.П., в границах землепользования бывшего ТОО «Самарское», поле IX, отд. 1 (27), пастбище примерно 100 м от ориентира на север, ориентир с. Самарское, Азовский район, Ростовская область, к.н. 61:01:0600014:3855 (ориентировочная протяженность ЛЭП – 0,5 км)</t>
  </si>
  <si>
    <t>Строительство ВЛ 0,4 кВ от опоры №20-51 ВЛ-0,4 кВ №3 КТП 10/0,4 кВ №20 по ВЛ 10 кВ №3016 ПС 220/110/10 кВ А-30 и установка коммерческого учета электрической энергии (мощности) на границе земельного участка для электроснабжения хозяйственной постройки заявителя ИП Роганский Б.В., ул. Победы, д. 27, с.Кугей, Азовский район, Ростовская область, к.н. 61:01:0080101:912 (ориентировочная протяженность ЛЭП – 0,18 км)</t>
  </si>
  <si>
    <t>Строительство ВЛ 0,4 кВ от оп. №182-43 ВЛ-0,4 №3 КТП-182 ВЛ-10 805 ПС 110 кВ БОС и установка коммерческого учета электрической энергии (мощности) на границе земельного участка для электроснабжения индивидуального жилищного строительства заявителя Рамазановой Л.А., Ростовская область, Кагальницкий р-н, п. Мокрый Батай, пер. Луговой д.26 к.н. 61:14:0060107:787 (ориентировочная протяженность ЛЭП – 0,18 км)</t>
  </si>
  <si>
    <t>Строительство ВЛ 0,4 кВ от оп. №117-61 ВЛ-0,4 №1 КТП-117 ВЛ 10 кВ 805 ПС 110 кВ БОС и установка коммерческого учета электрической энергии (мощности) на границе земельного участка для электроснабжения общественной территории заявителя Администрации муниципального образования «Мокробатайское сельское поселение» Ростовская область, Кагальницкий р-н, п. Мокрый Батай, ул. Парковая д.10, к.н. 61:14:0060106:925 (ориентировочная протяженность ЛЭП – 0,03 км)</t>
  </si>
  <si>
    <t>Строительство ВЛ 0,4кВ от оп. №114-71 ВЛ 0,4 кВ №2 КТП 10/0,4 кВ №114 ВЛ 10 кВ №1405 ПС 110/35/10 кВ А-32 и установка коммерческого учета электрической энергии (мощности) на границе земельного участка для электроснабжения объекта антенно-мачтового сооружения 61-11249 заявителя АО "Первая Башенная Компания", п. Новополтавский, Азовский район, Ростовская область, к.н. 61:01:0150101 (ориентировочная протяженность ЛЭП – 0,115 км)</t>
  </si>
  <si>
    <t>Строительство ВЛ 0,4 кВ от оп. №48-90 ВЛ 0,4кВ №1 КТП 10/0,4кВ №48 ВЛ 10кВ №1815 ПС 35/10 кВ А-18 и установка коммерческого учета электрической энергии (мощности) на границе земельного участка для электроснабжения объекта жилого дома заявителя Гризодуб Н.Н., х. Колузаево, Азовский район, Ростовская область, к.н. 61:01:0600002:3363 (ориентировочная протяженность ЛЭП – 0,145 км)</t>
  </si>
  <si>
    <t>Строительство ВЛ 0,4кВ от оп. №329-62 ВЛ-0,4 кВ №3 от КТП 10/0,4 кВ №329 ВЛ 10кВ №106Н ПС 110/6/10 кВ НС-1 и установка коммерческого учета электрической энергии (мощности) на границе земельного участка для электроснабжения объекта жилого дома заявителя Древс А.И., ДНТ «Виктория», Азовский район, Ростовская область, к.н. 61:01:0600006:6073 (ориентировочная протяженность ЛЭП – 0,05 км)</t>
  </si>
  <si>
    <t>Строительство ВЛ 0,4 кВ от опоры №245-30 ВЛ 0,4кВ № 2 КТП 10/0,4 кВ №245 ВЛ 10 кВ 2008 ПС 220/110/10 кВ А-20 и установка коммерческого учета электрической энергии (мощности) на границе земельного участка для электроснабжения жилого дома заявителя Колесникова А.М., ДНТ «Искра», Азовский район, Ростовская область, к.н. 61:01:0501801:1943 (ориентировочная протяженность ЛЭП – 0,09 км)</t>
  </si>
  <si>
    <t>Строительство ВЛ 0,4 кВ от оп. №136-53 ВЛ 0,4кВ №2 КТП 10/0,4кВ №136 ВЛ 10кВ №1107 ПС 35/10 кВ А-11 и установка коммерческого учета электрической энергии (мощности) на границе земельного участка для электроснабжения объекта жилого дома заявителя Толочной С.В., х. Узяк, Азовский район, Ростовская область, к.н. 61:01:0060501:760 (ориентировочная протяженность ЛЭП – 0,07 км)</t>
  </si>
  <si>
    <t>Строительство ВЛ 0,4кВ от оп. №166-37 ВЛ 0,4 кВ №1 КТП 10/0,4 кВ №166 ВЛ 10 кВ №914 ПС 35/10 кВ А-9 и установка коммерческого учета электрической энергии (мощности) на границе земельного участка для электроснабжения объекта жилого дома заявителя Руднева В.Н., х. Павловка, Азовский район, Ростовская область, к.н. 61:01:0110401:2200 (ориентировочная протяженность ЛЭП – 0,06 км)</t>
  </si>
  <si>
    <t>Строительство ВЛ 0,4 кВ от оп. №190-2 ВЛ 0,4 кВ № 1 КТП 10/0,4 кВ №190 ВЛ 10 кВ №1020 ПС 110/35/10 кВ Самарская и установка коммерческого учета электрической энергии (мощности) на границе земельного участка для электроснабжения объекта крестьянского (фермерского) хозяйства заявителя Шаповалова С.В., поле № III к уч. I (пашня), балка «Кагальницкая» (между полем № IV уч. 3 с/а и п. Воронцовка западная часть) – пастбище в границах ЗАО «Батайское», Азовский район, Ростовская область, к.н. 61:01:0600007:1352 (ориентировочная протяженность ЛЭП – 0,51 км)</t>
  </si>
  <si>
    <t>Строительство ВЛ 0,4 кВ от опоры №117-13 ВЛ 0,4кВ № 1 КТП 10/0,4 кВ №117 ВЛ 10 кВ 1910 РП-19 ПС 110/35/10 кВ Самарская и установка коммерческого учета электрической энергии (мощности) на границе земельного участка для электроснабжения здания заявителя Попик Е.В., Азовский район, Ростовская область, к.н. 61:01:0600020:3361 (ориентировочная протяженность ЛЭП – 0,19 км)</t>
  </si>
  <si>
    <t>Строительство ВЛ 0,4 кВ от оп. №100-63 ВЛ-0,4 №1 КТП 10/0,4 кВ №100 ВЛ 10 кВ 1210 ПС 110 кВ Манычская и установка коммерческого учета электрической энергии (мощности) на границе земельного участка для электроснабжения объекта сельскохозяйственного производства заявителя ИП Голобородько Н.Н. Ростовская область, Зерноградский р-н, п. Новые Постройки, в 0,536 км на северо-восток от северо-восточной его окраины, к.н. 61:12:0600101:1719 (ориентировочная протяженность ЛЭП – 0,21 км)</t>
  </si>
  <si>
    <t>Строительство ВЛ 0,4 кВ от проектируемой опоры проектируемой ВЛ 0,4кВ (по договору № 61-1-22-00666267 от 29.09.2022г. с заявителем МБУЗ «ЦРБ» Зерноградского р-на) КТП-44 по ВЛ 10 кВ 806 ПС 35 кВ ЗР-8 и установка коммерческого учета электрической энергии (мощности) на границе земельного участка для электроснабжения объекта храма заявителя Местная религиозная организация православный приход храма иконы Божей Матери "Живоносный Источник", р-н. Зерноградский, х. Донской, к.н. 61:12:0080207:593 (ориентировочная протяженность ЛЭП – 0,2 км)</t>
  </si>
  <si>
    <t>Строительство ВЛ 0,4кВ от оп. №45-90 ВЛ 0,4 кВ №2 КТП 10/0,4 кВ №45 ВЛ 10 кВ №1613 ПС 35/10 кВ А-16 и установка коммерческого учета электрической энергии (мощности) на границе земельного участка для электроснабжения объекта жилого дома заявителя Левченко А.И., х. Калиновка, Азовский район, Ростовская область, к.н. 61:01:0050501:122 (ориентировочная протяженность ЛЭП – 0,28 км)</t>
  </si>
  <si>
    <t>Строительство ВЛ 0,4 кВ от оп. №47-19 ВЛ 0,4 кВ №1 КТП-47 ВЛ-10 806 ПС 35 кВ ЗР8 и установка коммерческого учета электрической энергии (мощности) на границе земельного участка для электроснабжения объекта малоэтажной жилой застройки заявителя Задорожный С.Н., Ростовская область Зерноградский р-н, с. Новокузнецовка, к.н. 61:12:0600701:635 (ориентировочная протяженность ЛЭП – 0,35 км)</t>
  </si>
  <si>
    <t>Строительство ВЛ 0,4 кВ от опоры №350-28 ВЛ-0,4 кВ №3 КТП 6/0,4 кВ №350 ВЛ-6кВ №207Н ПС 110/6/10 кВ НС-2 и установка коммерческого учета электрической энергии (мощности) на границе земельного участка для электроснабжения жилого дома заявителя Дуюнова Н.В., СТ «Квант», Азовский район, Ростовская область, к.н. 61:01:0502901:1248 (ориентировочная протяженность ЛЭП – 0,140 км)</t>
  </si>
  <si>
    <t>Строительство ЛЭП 10 кВ от опоры №5-8 по ВЛ 10 кВ №1802 ПС 35/10 кВ А-18, ТП 10/0,4 кВ, ЛЭП 0,4 кВ и установка системы учета электрической энергии (мощности) на границе земельного участка для электроснабжения жилого дома заявителя Исаева А.Е., х.Дугино, Азовский район, Ростовская область, к.н. 61:01:0030301:559 (ориентировочная протяженность ЛЭП– 0,11 км, ориентировочная трансформаторная мощность – 0,025 МВА)</t>
  </si>
  <si>
    <t>Строительство ВЛ 0,4 кВ от РУ 0,4 кВ КТП 10/0,4 кВ №108 ВЛ 10 кВ №1908 РП-19 ПС 110/35/10 кВ Самарская и установка коммерческого учета электрической энергии (мощности(3 шт)) на границе земельного участка для электроснабжения жилых домов заявителей Ленгле В.А.,Кузнецова Я.А.,Борисова А.П., х.Большевик, Азовский район, Ростовская область, к.н. 61:01:0050301:49:13, 61:01:0050301:12, 61:01:050301:0014 (ориентировочная протяженность ЛЭП – 0,250 км)</t>
  </si>
  <si>
    <t>Строительство ВЛ 0,4 кВ от РУ 0,4 кВ КТП 10/0,4 кВ №108 ВЛ 10 кВ №1908 РП-19 ПС 110/35/10 кВ Самарская и установка коммерческого учета электрической энергии (мощности) на границе земельного участка для электроснабжения жилого дома заявителя Дергачевой Н.А., х.Большевик, Азовский район, Ростовская область, к.н. 61:01:0050301:25 (ориентировочная протяженность ЛЭП – 0,180 км)</t>
  </si>
  <si>
    <t>Строительство ВЛ 0,4 кВ от РУ 0,4 кВ КТП 10/0,4 кВ №108 ВЛ 10 кВ №1908 РП-19 ПС 110/35/10 кВ Самарская и установка коммерческого учета электрической энергии (мощности) на границе земельного участка для электроснабжения жилого дома заявителя Маджидова Р., х.Большевик, Азовский район, Ростовская область, к.н. 61:01:0050301:157 (ориентировочная протяженность ЛЭП – 0,120 км)</t>
  </si>
  <si>
    <t>Строительство ВЛ 0,4 кВ от проектируемой опоры проектируемой ВЛ 0,4 кВ (по договору ТП № 61-1-21-00611421 от 11.11.2021г. с заявителем Саленко И.В.) КТП 10/0,4 кВ №329 ВЛ 10 кВ №106Н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Прудникова А.С., участок находится примерно в 5,9 км по направлению на северо-восток от пункта ГГС Пеленкин (СХА (К) Кулешовское поле III о), Азовский р-он, Ростовская область, к.н. 61:01:0600006:5378 (ориентировочная протяженность ЛЭП – 0,260 км)</t>
  </si>
  <si>
    <t xml:space="preserve"> Строительство ВЛ 0,4 кВ от оп. №32-71 ВЛ 0,4кВ №3 КТП 10/0,4кВ №32 ВЛ 10кВ №2907 РП 29 ПС 35/10 кВ А-18 и установка коммерческого учета электрической энергии (мощности) на границе земельного участка для электроснабжения объекта жилого дома заявителя Шиманской Н.В., х. Коса, Азовский район, Ростовская область, к.н. 61:01:0030601:6263 (ориентировочная протяженность ЛЭП – 0,075 км) </t>
  </si>
  <si>
    <t xml:space="preserve">Строительство ВЛ 0,4 кВ от оп. №311-3/10 ВЛ 0,4 кВ №3 МТП 10/0,4 кВ №311 ВЛ 10 кВ №106Н ПС 110/6/10 кВ НС-1 и установка коммерческого учета электрической энергии (мощности) на границе земельного участка для электроснабжения объекта жилого дома заявителя Розваского О.В., ТСН «СНТ Белгорос», Азовский район, Ростовская область, к.н. 61:01:0600006:4970 (ориентировочная протяженность ЛЭП – 0,07 км) </t>
  </si>
  <si>
    <t xml:space="preserve">Строительство ВЛИ 0,4кВ от оп. № 307-7 ВЛ-0,4 № 1 КТП - 307 ВЛ-10 № 217 ПС 110кВ Егорлыкская и установка коммерческого учета электрической энергии (мощности) на границе земельного участка для электроснабжения объекта жилого дома заявителя Гюрджян Ю.М., р-н. Егорлыкский, ст. Егорлыкская, пер. Чапаева 164а, к.н. 61:10:0100102:496 (ориентировочная протяженность ЛЭП – 0,06 км) </t>
  </si>
  <si>
    <t>Строительство ВЛИ 0,4кВ от оп. № 317-29 ВЛ-0,4кВ №2 КТП - 317 ВЛ-10 612 ПС 35кВ Е-6 и установка коммерческого учета электрической энергии (мощности) на границе земельного участка для электроснабжения объекта жилого дома заявителя Каспарян М.М., р-н. Егорлыкский, х. Шаумяновский, ул. Центральная, д. 8, к.н. 61:10:0090101:639 (ориентировочная протяженность ЛЭП – 0,045 км)</t>
  </si>
  <si>
    <t xml:space="preserve">Строительство ВЛ 0,4 кВ от оп. №132-5 ВЛ 0,4 кВ №1 КТП-132 ВЛ-10 № 205 ПС 35 кВ КГ2 и установка коммерческого учета электрической энергии (мощности) на границе земельного участка для электроснабжения объекта базовой станции заявителя ПАО «Ростелеком», Ростовская область Кагальницкий р-н, п. Светлый Яр (ориентировочная протяженность ЛЭП – 0,02 км) </t>
  </si>
  <si>
    <t>Строительство ВЛ 0,4 кВ от опоры №43-48 по ВЛ 0,4 кВ №2 КТП 10/0,4 кВ №43 ВЛ 10 кВ №1802 ПС 35/10 кВ А-18 и установка коммерческого учета электрической энергии (мощности) на границе земельного участка для электроснабжения объекта сельскохозяйственного производства заявителя Колесниченко С.Н., х. Рогожкино, Азовский район, Ростовская область, к.н. 61:01:0600001:168 (ориентировочная протяженность ЛЭП – 0,39 км)</t>
  </si>
  <si>
    <t>Строительство ВЛ 0,4 кВ от РУ 0,4 кВ КТП 10/0,4 кВ №144 ВЛ 10 кВ №1107 ПС 35/10 кВ А-11 и установка коммерческого учета электрической энергии (мощности) на границе земельного участка для электроснабжения жилого дома заявителя Скворцова В.В., с.Кагальник, Азовский район, Ростовская область, к.н. 61:01:0060101:11033 (ориентировочная протяженность ЛЭП – 0,140 км)</t>
  </si>
  <si>
    <t>Строительство ВЛ 0,4 кВ от опоры №316-12 ВЛ 0,4 кВ №1 технически перевооружаемой МТП 10/0,4 кВ №316 ВЛ-10 кВ №211 ПС 35/10 кВ А-2 и установка коммерческого учета электрической энергии (мощности) на границе земельного участка для электроснабжения жилого дома заявителя Бабарыко О.П., х.Новоалександровка, Азовский район, Ростовская область, к.н. 61:01:0110101:3534 (ориентировочная протяженность ЛЭП – 0,02 км)</t>
  </si>
  <si>
    <t>Строительство ВЛ 10 кВ от опоры №128 по ВЛ-10 кВ №3214 от ПС 110/35/10 кВ А-32, ТП 10/0,4 кВ, ВЛ 0,4 кВ и установка системы учета электрической энергии (мощности) на границе земельного участка для электроснабжения жилого дома заявителя Аникеева В.Д., х. Нижняя Козинка, Азовский район, Ростовская область, к.н. 61:01:0010501:38 (ориентировочная протяженность ЛЭП– 0,115 км, ориентировочная трансформаторная мощность – 0,025 МВА)</t>
  </si>
  <si>
    <t xml:space="preserve">Строительство ВЛ 0,4 кВ от РУ-0,4 кВ КТП 10/0,4 кВ №184 ВЛ 10 кВ №1106 ПС 35/10 кВ А-11 и установка коммерческого учета электрической энергии (мощности) на границе земельного участка для электроснабжения нежилого здания заявителя ИП Лопатина Т.А., Ростовская область, г. Азов, к.н. 61:45:0000414:257 (ориентировочная протяженность ЛЭП – 0,12 км) </t>
  </si>
  <si>
    <t xml:space="preserve">Строительство ЛЭП 0,4 кВ от РУ 0.4 кВ ТП 10/0.4 кВ № 89 по ВЛ 10 кВ № 1815 ПС 35/10 кВ A-18 и установка коммерческого учета электрической энергии (мощности) на границе земельного участка для электроснабжения объекта административного/офисного здания заявителя ГКУ РО «Противопожарная служба Ростовской области», Азовский район, Ростовская область, к.н. 61:01:0600002:3381 (ориентировочная протяженность ЛЭП – 0,04 км) </t>
  </si>
  <si>
    <t>Строительство ВЛ 0,4 кВ от оп. №28-7 ВЛ-0,4 кВ №1 КТП 10/0,4 кВ №28 ВЛ 10 кВ №1815 ПС 35/10 кВ А-18 и установка коммерческого учета электрической энергии (мощности) на границе земельного участка для электроснабжения объекта жилого дома заявителя Спицыной Д.В., х. Курган, Азовский район, Ростовская область, к.н. 61:01:0030701:1642 (ориентировочная протяженность ЛЭП – 0,085 км)</t>
  </si>
  <si>
    <t>Строительство ВЛ 0,4 кВ от оп. №16-155 ВЛ 0,4 кВ №2 КТП 10/0,4 кВ №16 ВЛ 10 кВ №2608 ПС 110/10 кВ А-26 и установка коммерческого учета электрической энергии (мощности) на границе земельного участка для электроснабжения объекта жилого дома заявителя Бречко С.А., с. Кулешовка, Азовский район, Ростовская область, к.н. 61:01:0090101:8749 (ориентировочная протяженность ЛЭП – 0,055 км)</t>
  </si>
  <si>
    <t>Строительство ВЛ 0,4 кВ от оп №40-52 ВЛ-0,4кВ №2 КТП 10/0,4кВ №40 ВЛ-10 кВ №1802 ПС 35/10 А-18 и установка коммерческого учета электрической энергии (мощности) на границе земельного участка для электроснабжения объекта жилого дома заявителя Абрамченковой Е.Н., Азовский район, Ростовская область, к.н. 61:01:0160101:1274 (ориентировочная протяженность ЛЭП – 0,33 км)</t>
  </si>
  <si>
    <t>Строительство ВЛ 0,4 кВ от РУ 0,4кВ МТП 10/0,4 кВ №84 ВЛ 10кВ №1815 ПС 35/10 кВ А-18 и установка коммерческого учета электрической энергии (мощности) на границе земельного участка для электроснабжения строительной площадки заявителя Тереховой Н.В., ул. Листопадная, х. Городище, Азовский р-н, Ростовская обл., к.н. 61:01:0600002:987 (ориентировочная протяженность ЛЭП – 0,210 км)</t>
  </si>
  <si>
    <t>Строительство ВЛ 0,4кВ от №233-75 ВЛ 0,4 кВ №3 КТП 10/0,4 кВ №233 ВЛ 10кВ №1815 ПС 35/10 кВ А-18 и установка коммерческого учета электрической энергии (мощности) на границе земельного участка для электроснабжения объекта часовни заявителя ООО "Рыболовецкий колхоз имени Ленина", х. Курган, ул. Донская, Азовский район, Ростовская область, к.н. 61:01:0600002:3470 (ориентировочная протяженность ЛЭП – 0,07 км)</t>
  </si>
  <si>
    <t>Строительство ВЛ 0,4кВ от оп. №381-32 ВЛ 0,4 кВ №1 от КТП 10/0,4 кВ №381 ВЛ 10кВ №106Н ПС 110/6/10 кВ НС-1 и установка коммерческого учета электрической энергии (мощности) на границе земельного участка для электроснабжения объекта жилого дома заявителя Кравцова А.О., ДНТ СН «Кулешовка-2», Азовский район, Ростовская область, к.н. 61:01:0600006:10174 (ориентировочная протяженность ЛЭП – 0,045 км)</t>
  </si>
  <si>
    <t>Строительство ЛЭП 10 кВ от опоры №183 по ВЛ 10 кВ №606 ПС 35/10 кВ А-6, ТП 10/0,4 кВ, ЛЭП 0,4 кВ и установка системы учета электрической энергии (мощности) на границе земельного участка для электроснабжения складского помещения заявителя ИП Процевский А.А., с. Порт-Катон, Азовский район, Ростовская область (ориентировочная протяженность ЛЭП– 0,05 км, ориентировочная трансформаторная мощность – 0,025 МВА)</t>
  </si>
  <si>
    <t>Строительство ЛЭП 0,4 кВ от РУ 0,4 кВ ТП 10/0,4 кВ №20 по КВЛ 10 кВ №1205, 1211 ПС 110/10 кВ А-12 и установка коммерческого учета электрической энергии (мощности) на границе земельного участка для электроснабжения объекта нестационарного павильона заявителя ИП Подушко Е.В., с. Кулешовка, Азовский район, Ростовская область, (ориентировочная протяженность ЛЭП – 0,34 км)</t>
  </si>
  <si>
    <t>Установка прибора коммерческогоучета электрической энергии (мощности) в точке поставки и монтажответвления от ВЛИ к вводу для присоединения малоэтажной жилой застройки Гончаровой А.А., расположенной по адресу: Ростовская область, Волгодонскойрайон, станица Романовская, ул. 75 лет Победы, д. 26, К.Н.З.у.:61:08:0600601:4583</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</si>
  <si>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Болдырева И.В, расположенного по адресу: Ростовская обл., Волгодонской р-н, ст. Романовская, ул. 75 лет Победы, д.60, 61:08:0600601:4617</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</si>
  <si>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Комаров В.Б, расположенного по адресу: Ростовская обл., Волгодонской р-он, примерно в 1300 м. по направлению на юго-запад от ориентира здание Администрации Рябичевского сельского поселения х. Рябичев, ул. Советская д. 47, 61:08:600501:0072</t>
  </si>
  <si>
    <t>Установка коммерческого учета электрической энергии (мощности)  в точке поставки и установка шкафа 0,4 кВ по присоединению бани-сауны Шарыгина С.Г., расположенной по адресу: Ростовская область, г. Волгодонск, ул. Отдыха, д.5а, кадастровый номер земельного участка 61:48:0020101:1380</t>
  </si>
  <si>
    <t>Установка прибора коммерческого учета электрической энергии (мощности) в точке поставки для присоединения малоэтажной жилой застройки Климова Г.А., расположенной по адресу: Ростовская область, Волгодонской район, х. Рябичев, ул. Парковая, д. 9, кв. 1, к.н.з.у.: 61:08:0030104:8</t>
  </si>
  <si>
    <t>Установка прибора коммерческого учета электрической энергии (мощности) в точке поставки для присоединения малоэтажной жилой застройки Савченко Е.Г., расположенной по адресу: Ростовская область, Волгодонской район, станица Романовская, ул. 75 лет Победы, д. 30, к.н.з.у.: 61:08:0600601:4587</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</si>
  <si>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Лобова С.Н., расположенного по адресу: Ростовская область, Константиновский район, х. Почтовый, ул. Центральная, д. 10, к.н.з.у.: 61:17:0060101:263</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</si>
  <si>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(индивидуального жилого дома/садового/дачного дома) Марковой Е.В., расположенной по адресу: Ростовская область, Константиновский район, х. Ермилов, ул. Степная, д.28, к.н.з.у.: 61:17:0070401:211</t>
  </si>
  <si>
    <t>Установка прибора коммерческого учета электрической энергии (мощности) в точке поставки и монтаж ответвления от ВЛ к вводу для присоединения торгового павильона ИП Васиной Е.В., расположенного по адресу: Ростовская область, Константиновский район, станица Николаевская, ул. Центральная, д. 26а, к.н.з.у.: 61:17:0050101:1396</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</si>
  <si>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(индивидуального жилого дома/садового/дачного дома) Павловой Н.П., расположенной по адресу: Ростовская область, Константиновский район, х. Ведерников, ул. Донская, д. 1, к.н.з.у.: 61:17:0010602:353 (1 шт)</t>
  </si>
  <si>
    <t>Установка прибора коммерческого учета электрической энергии (мощности) в точке поставки для присоединения квартиры Гичимагомедова К.Б., расположенной по адресу: Ростовская область, Зимовниковский район, п. Красностепной, ул. Первомайская, д.3, кв.2, к.н.з.у.: 61:13:0100105:63</t>
  </si>
  <si>
    <t>Установка прибора коммерческого учета электрической энергии (мощности) в точке поставки и монтаж ответвления от ВЛИ к вводу для жилого дома Нетутина Р.И, расположенного по адресу:Ростовская область, Зимовниковский район, х. Савоськин,ул. Центральная, д.31, К.Н.З.у.: 61:13:0110102:25»,</t>
  </si>
  <si>
    <t>Установка прибора коммерческого учета электрической энергии (мощности) в точке поставки для присоединения жилого дома Чалапова А.С., расположенного по адресу: Ростовская область, Зимовниковский район, х. Николаевский, ул. Мира, д. 43А, к.н.з.у.: 61:13:0080901:333</t>
  </si>
  <si>
    <t>Установка прибора коммерческогоучета электрической энергии (мощности) в точке поставки и монтажответвления от ВЛИ к вводу для присоединения жилого дома Жаналиева И.А., расположенного по адресу: Ростовская область, Зимовниковский район, х. Полстяной, ул. Рабочая, Д. 17, К.Н.З.у.: 61:13:090301:0003</t>
  </si>
  <si>
    <t>Установка прибора коммерческого учета электрической энергии (мощности) в точке поставки для присоединения СТО Жданов А.А., расположенной по адресу 347463 Российская Федерация, Ростовская обл., п. Зимовники  ул., Магистральная ул. Магистральная, д. 65Б, кадастровый номер земельного участка: 61:13:0010125:</t>
  </si>
  <si>
    <t>Установка прибора коммерческого учета электрической энергии (мощности) в точки поставки и монтаж ответвлений от ВЛ к вводу для присоединения малоэтажной жилой застройки Ермаковой Н.М., расположенной по адресу: Ростовская область, Мартыновский район, п.Новоберезовка, ул. Питерская, д.20 кв./оф 2, к.н.з.у.: 61:20:0090101:729"</t>
  </si>
  <si>
    <t>Установка прибора коммерческого учета электрической энергии (мощности) в точке поставки и монтаж ответвления от ВЛ к вводу для присоединения базовой станции/оборудования сотовой связи ПАО «Ростелеком», расположенной  по адресу: Ростовская.область, Ремонтненский район, х. Вольный, примерно 100м по направлению на север от rpаниц участка по адресу ул.Веревкина, 41"в" к.н.з.у 61:З2:0020201</t>
  </si>
  <si>
    <t>Установка прибора коммерческого учета электрической энергии (мощности) в точке поставки и монтаж ответвления от ВЛИ к вводу для жилого дома Демидовой Н.В., расположенного по адресу: Ростовская область, Цимлянский район, станица Маркинская, ул. Иринина, д. 27, к.н.з.у.: 61:41:0050102:33</t>
  </si>
  <si>
    <t>Установка прибора коммерческого учета электрической энергии (мощности) в шкафу учета на фасаде здания для присоединения малоэтажной жилой застройки (индивидуального жилого дома/садового/дачного дома ООО «Костины горы», расположенной по адресу: Ростовская область, Константиновский район, х. Старозолотовский, ул. Донских казаков, д. 22, к.н.з.у.: 61:17:0020501:132</t>
  </si>
  <si>
    <t>Установка прибора коммерческого учета электрической энергии (мощности) в точке поставки и монтаж ответвления от ВЛ к вводу для присоединения магазина «Сельмаг» ИП Рустамовой М.М., расположенного по адресу: Ростовская область, Константиновский район, станица Николаевская, ул. Центральная, д. 17а, к.н.з.у.: 61:17:0050101:6946</t>
  </si>
  <si>
    <t>Установка прибора коммерческого учета электрической энергии (мощности) в точке поставки и монтаж ответвления от ВЛ к вводу для присоединения жилой застройки (индивидуального жилого/садового/дачного дома) Анохиной Т.И., расположенного по адресу Ростовская область, Мартыновский район, п. Абрикосовый, ул. Торговая, д. 1, к.н. 61:20:0020201:509</t>
  </si>
  <si>
    <t>Установка прибора коммерческого учета электрической энергии (мощности) в точке поставки для присоединения базовой станции ПАО «Ростелеком», расположенной по адресу: Ростовская область, Мартыновский район, п. Степной Маяк</t>
  </si>
  <si>
    <t>Установка прибора коммерческого учета электрической энергии (мощности) в точке поставки для присоединения базовой станции ПАО «Ростелеком», расположенной по адресу: Ростовская область, Мартыновский район, х. Веселый</t>
  </si>
  <si>
    <t xml:space="preserve">Установка прибора коммерческого учетаэлектрической энергии (мощности) в точке поставки и монтаж ответвления отВЛИ к вводу для присоединения нежилой застройки (хозяйственной постройки,нежилого здания) Магомедова м.х., расположенной по адресу: Ростовскаяобласть, Заветинский район, п. Спорная, проезд. Ковыльный, д. 25, кв.lоф. А,к.н.з.у.: 61: 11:0600006:80»
функции </t>
  </si>
  <si>
    <t>Установка прибора коммерческого учетаэлектрической энергии (мощности) в точке поставки и монтаж ответвления отВЛ к вводу для присоединения малоэтажной жилой застройки(индивидуального жилого дома/садового/дачного дома) Абубакирова П.Х.,расположенной по адресу: Ростовская область, Заветинский район, х. Шебалин,ул. Новоселов, д. 11, кв.lоф. 2, К.Н.З.у.:61:11:0090101:1301</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</si>
  <si>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Джабраиловой З.А.,расположенной по адресу: Ростовская область, Заветинский район, с. Кичкино,ул. Быковского, д. 18, К.Н.З.у.: 61:11:0030101:10</t>
  </si>
  <si>
    <t>Установка прибора  коммерческого учета электрической энергии(мощности) в точке поставки и монтаж ответвления от ВЛ к вводу для присоединения малоэтажной жилой застройки( индивидуальный жилой дом/садовый/дачный дом) Иразов И.У., расположенный по адресу: Ростовская область, Заветинский район, х. Фомин, ул. Школьная, д. 50, кв/оф. 2, к.н.з.у.: 61:11:0080101:1287</t>
  </si>
  <si>
    <t>Установка прибора коммерческого учета электрической энергии (мощности) в точке поставки и монтажответвления от ВЛ к вводу для присоединения малоэтажной жилой застройки(индивидуальны1й жилой дом/садовый/дачный .дом) Юсупова С.Н.,расположенной по адресу: Ростовская область, Заветинский район, с. Кичкино,ул. Школьная, д. 14, к.н,з.у.: 61:11:0030101:1409</t>
  </si>
  <si>
    <t>Установка прибора коммерческого учетаэлектрической энергии (мощности) в точке поставки и монтаж ответвления отВЛ к вводу для присоединения малоэтажной жилой застройки(индивидуального жилого дома/садового/дачного дома) Эдиева С.с.,расположенной по адресу: Ростовская область, Заветинский район, х.Воротилов, ул. Степная, д. 7, К.Н.З.у.: 61:11:0070201:41</t>
  </si>
  <si>
    <t>Установка прибора коммерческого учетаэлектрической энергии (мощности) в точке поставки и монтаж ответвления отВЛИ к вводу для присоединения малоэтажной жилой застройки (индивидуальногожилого дома/садового/дачного дома) Бичуева х.Б., расположенной по адресу:Ростовская область, Заветинский район, х. Андреев, проезд. Восточный, д. 7,К.Н.З.у.:61 :11:0600010:512</t>
  </si>
  <si>
    <t>Установка прибора коммерческого учета электрической энергии (мощности) в точке поставки и монтаж ответвления от ВЛ к вводу для присоединения объекта торговли (магазин, торговый центр) ИП Гриценко А.С., расположенного по адресу: Ростовская область, Цимлянский район, г. Цимлянск, ул. Победы, д. 114Б, к.н.з.у.: 61:41:0010506:113</t>
  </si>
  <si>
    <t>Установка прибора коммерческого учета электрической энергии (мощности) в точке поставки для присоединения жилого дома Старченко Н.И., расположенного по адресу: Ростовская область, Цимлянский район, п. Сосенки, ул. Центральная, д. 48, к.н.з.у. 61:41:0030301:59</t>
  </si>
  <si>
    <t>Установка прибора коммерческого учета электрической энергии (мощности) в точке поставки для присоединения жилого дома Даутова Ф.А., расположенного по адресу: Ростовская область, Цимлянский район, п. Сосенки, ул. Центральная, д. 38, к.н.з.у.: 61:41:0030301:54</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</si>
  <si>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застройки(индивидуального жилого дома/садового/дачного дома) Малковой Л.И.,расположенной по адресу: Ростовская область, Волгодонской район, станицаРомановская, ул. 70 лет Октября, д. 22а, К.Н.З.у.:61 :08:0600601 :5308</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</si>
  <si>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(индивидуальногожилого дома/садового/дачного дома) Грошевой В.Т., расположенной по адресу:Ростовская область, Волгодонской район, станица Романовская, пер.Алферовский, д. 31а, К.Н.З.у.: 61:08:0070123:181</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</si>
  <si>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(индивидуального жилого дома/садового/дачного дома) Бакунец С.А., расположенной по адресу: Ростовская область, Волгодонской район, станица Романовская, пер. Котова, д. 88, к.н.з.у.: 61:08:0070126:873</t>
  </si>
  <si>
    <t>Установка прибора коммерческого учета электрической энергии (мощности) в точке поставки и монтажответвления от ВЛИ к вводу для присоединения малоэтажной жилой застройки Бандуркиной О.Ю., расположенной по адресу: Ростовская область, г. Волгодонск, ул. Отдыха, д. 39в17, к.н.з.у.:61:48:0020101:1940</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</si>
  <si>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застройки(индивидуального жилого дома/садового/дачного дома) Левицкого А.А., расположенной по адресу: Ростовская область, Волгодонской район, станица Романовская, пер. Советский, д. 115, к.н.з.у.:61:08:0070107:1182</t>
  </si>
  <si>
    <t>Установка прибора коммерческого учета электрической энергии (мощности) в точке поставки и монтаж ответвления от ВЛИ к вводу для присоединения производственной базы ИП Сардарова К.Н., расположенной по адресу: Ростовская область, Волгодонской район, х. Потапов, 2155 м юго-восточное дома №2 пер. Березовый х. Потапов, д. 64, к.н.з.у.: 61:08:0601501:476</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</si>
  <si>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Белан Н.В., расположенной по адресу: Ростовская область, Волгодонской район, станица Романовская, ул. 75 лет Победы, д. 64, к.н.з.у.: 61:08:0600601:4620</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</si>
  <si>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Смирновой Е.М., расположенной по адресу: Ростовская область, Волгодонской район, станица Романовская, ул. Шолохова, д. 7, к.н.з.у.: 61:08:0600601:5048»</t>
  </si>
  <si>
    <t>Установка прибора коммерческого учетаэлектрической энергии (мощности) в точке поставки и монтаж ответвления от ВЛ к вводу для присоединения малоэтажной жилой застройки Авилова А.В.,расположенной по адресу: Ростовская область, Волгодонской район, станицаРомановская, пер. Кожанова, д. 102а, К.Н.З.у.:61:08:0070107:1178</t>
  </si>
  <si>
    <t>Установка прибора коммерческого учета электрической энергии (мощности) в точке поставки для присоединения малоэтажной жилой застройки Лигостаевой Е.А., расположенного по адресу: Ростовская обл, г. Волгодонск, ул. Отдыха, д 39в13, к.н.61:48:0020101:1881</t>
  </si>
  <si>
    <t>Установка прибора коммерческого учета электрической энергии (мощности) в точке поставки для присоединения малоэтажной жилой застройки Марченко Е.Н., расположенного по адресу: Ростовская обл, Волгодонской р-н, х. Погожев, ул. Школьная, д. 24, к.н.61:08:0070401:162</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</si>
  <si>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Бортникова Д.В., расположенной по адресу: Ростовская область, Волгодонской район, станица Романовская, ул. Весенняя, д. 1д, к.н.з.у.: 61:08:0070114:569</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</si>
  <si>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(индивидуального жилого дома/садового/дачного дома) Хромовских П.Н., расположенной по адресу: Ростовская область, Константиновский район, х. Гапкин, ул. Парковая, д. 18, к.н.з.у.: 61:41:0040101:1905</t>
  </si>
  <si>
    <t>Установка прибора коммерческого учетаэлектрической энергии (мощности) в точке поставки и монтаж ответвления отВJП1 к вводу для присоединения малоэтажной жилой застройки(индивидуального жилого дома/садового/дачного дома) Кукузова Г.А.,расположенной по адресу: Ростовская область, Волгодонской район, х. СухаяБалка, ул. Новоселов, д. 1к, К.Н.З.у.: 61:08:0010401:540</t>
  </si>
  <si>
    <t xml:space="preserve">Установка прибора коммерческого учета электрической энергии (мощности) в точке поставки для присоединения малоэтажной жилой застройки (Индивидуального жилого дома /Садового/Дачного дома) Хунарикова В.М., расположенной по адресу: Ростовская область, Заветинский район, х. Фрунзе, проезд Луговой, д. 4, кв.2, к.н.з.у.: 61:11:0600007:622 </t>
  </si>
  <si>
    <t>Установка прибора коммерческого учетаэлектрической энергии (мощности) в точке поставки и монтаж ответвления отВЛ к вводу для присоединения малоэтажной жилой застройки(Индивидуальный жилой Дом/ Садовый! Дачный дом) Мачаева А.В.,расположенной по адресу: Ростовская область, Заветинский район, х.Потапенко, проезд Торговенский, д. 3, кв./оф. 1, К.Н.З.у.: 61:11:0080301:62»</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</si>
  <si>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(индивидуального жилого дома/садового/дачного дома) Ерофеева А.Н., расположенной по адресу: Ростовская область, Цимлянский район, Саркеловское сельское поселение, южнее земельного участка с к.н. 61:41:0600009:1131, к.н.з.у.: 61:41:0600009:1462</t>
  </si>
  <si>
    <t>Установка прибора коммерческого учетаэлектрической энергии (мощности) в точке поставки и монтаж ответвления отВЛ к вводу для присоединения зерносклада N22 ИП главы К(Ф)Х Дробина В.Д.,расположенного по адресу: Ростовская область, Ремонтненский район,Кормовое сельское поселение 0,5 км в юго-западном направлении от п. ТихийЛиман, на 13 отарном участке фермы N22, к.н.о. 61:32:0600010:8519, К.Н.з.у.:61:32:0600010:8527.</t>
  </si>
  <si>
    <t>Установка прибора коммерческого учета электрической энергии (мощности) в точке поставки для присоединения животноводческой точки №38 ООО «Целинный», расположенной по адресу: Ростовская область, Зимовниковский район, 1,2 км по направлению на запад от х. Копанский, к.н.з.у: 61:13:0600013:367</t>
  </si>
  <si>
    <t>Установка шкафа коммерческого учета электрической энергии (мощности) в точке для присоединения подсобного помещения Гаджибагомедова И.А., расположенного по адресу: Ростовская область, Зимовниковский район, х. Плотников, ул. Береговая, д. 11А, кв. 1, к.н.з.у.: 61:13:0040104:249</t>
  </si>
  <si>
    <t>Установка прибора коммерческого учета. электрической энергии (мощности) в точке поставки и монтаж ответвления отВЛИ к вводу для присоединения антенно-мачтового сооружения 61-14999 АО«Первая Башенная Компания», расположенного по адресу: Ростовская область, Зимовниковский район, слобода Верхнесеребряковка, ул. Москового, вблизи д. 26а</t>
  </si>
  <si>
    <t>Установка прибора коммерческого учета электрической энергии (мощности) в точке поставки для присоединения базовой станции ПАО «Ростелеком», расположенной по адресу: Ростовская область, Зимовниковский район, х. Майкопский</t>
  </si>
  <si>
    <t>Установка прибора коммерческого учета электрической энергии (мощности) в точке поставки для присоединения базовой станции ПАО «Ростелеком», расположенной по адресу: Ростовская область, Зимовниковский район, х. Харьковский</t>
  </si>
  <si>
    <t>Установка прибора коммерческого учета электрической энергии (мощности) в точке поставки для присоединения базовой станции ПАО «Ростелеком», расположенной по адресу: Ростовская область, Зимовниковский район, х. Верхоломов</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</si>
  <si>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(Индивидуальный жилой Дом/ Садовый/ Дачный дом) Шикаленко О.О.,расположенной по адресу: Ростовская область, Волгодонской район, станица Романовская, пер. Шолохова, д. 4, к.н.з..у.: 61:08:0600601 :4993»</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</si>
  <si>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(индивидуальный жилой дом/ Садовый/ Дачный дом) Буровой Д.А., расположенной по адресу: Ростовская область, Волгодонской район, станица Романовская, пер. Шолохова, д. 12, к.н.з.у.: 61:08:0600601:5037</t>
  </si>
  <si>
    <t>Установка прибора коммерческого учетаэлектрической энергии (мощности) в точке поставки и монтаж ответвления отВЛИ к вводу для присоединения малоэтажной жилой застройки ПеревозчиковаА.Н., расположенной по адресу: Ростовская область, Волгодонской район,станица Романовская, пер. Советский, д. 115А, К.Н.З.у.: 61 :08:0070107:1183</t>
  </si>
  <si>
    <t>Установка прибора коммерческого учета электрической энергии (мощности) в точке поставки для присоединения малоэтажной жилой застройки Торопцова Н.Н., расположенной по адресу: Ростовская область, Волгодонской район, х. Потапов, ул. Садовая, д. 120а, кв.2, к.н.з.у.: 61:08:0040103:75</t>
  </si>
  <si>
    <t>Установка прибора коммерческого учета электрической энергии (мощности) в точке поставки для присоединения спального домика на базе отдыха Скляровой Н.Н., расположенного по адресу: Ростовская область, г. Волгодонск, ул. Отдыха, д. 67, к.н.з.у.: 61:48:0020101:121</t>
  </si>
  <si>
    <t xml:space="preserve">Установка прибора коммерческого учета электрической энергии (мощности) в точке поставки для присоединения дачного дома Богдановой С.М., расположенного по адресу: Ростовская область, Волгодонской район, станица Романовская,  сдт «Энергетик», к.н.з.у. 61:08:0600601:1727 </t>
  </si>
  <si>
    <t>Установка прибора коммерческого учета электрической энергии (мощности) в точке поставки и монтаж ответвления от ВЛ к вводу для присоединения АЗС ИП Царевского Д.Д., расположенной по адресу: Ростовская область, Волгодонской район, п. Победа, пер. Западный, д. 3, к.н.з.у.: 61:08:0601201:455</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</si>
  <si>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Сацкой С.В., расположенной по адресу: Ростовская область, г. Волгодонск, ул. Отдыха, д. 37б15, к.н.з.у.: 61:48:0020101:1829</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</si>
  <si>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Гаспарян А.Ю., расположенной по адресу: Ростовская область, Волгодонской район, х. Потапов, ул. Садовая, д. 52, 61-61-11/008/2006-187»</t>
  </si>
  <si>
    <t>Установка прибора коммерческого учета электрической энергии (мощности) в точке поставки для присоединения административно-бытового и складского помещения ИП Кудряшовой М.А., расположенных по адресу: Ростовская область, Константиновский район, Константиновское городское поселение, 0,23 км восточнее х. Ведерников, к.н.з.у.: 61:17:0600017:834</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</si>
  <si>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Микаелян А.Х., расположенного по адресу: Ростовская область, Константиновский район, ст. Нижнежуравская, ул. Солнечная, д. 37, к.н.з.у.: 61:17:0020401:22</t>
  </si>
  <si>
    <t>Установка прибора коммерческого учетаэлектрической энергии (мощности) в точке поставки и монтаж ответвления отВЛ к вводу для присоединения нежилой застройки (хозяйственная постройка,нежилое здание) :ИП главы КФХ Матлахова ю.н., расположенной по адресу:Ростовская область, Заветинский район, х. Савдя, ул. Степная, д. 10, К.Н.З.у.:61:11:0060101:1306</t>
  </si>
  <si>
    <t>Установка прибора коммерческого учетаэлектрической энергии (мощности) в точке поставки и монтаж ответвления отВЛИ к вводу для присоединения жилого дома Моисеенко с.я., расположенногопо адресу: Ростовская область, Зимовниковский район, х. Савоськин, ул.Центральная, д. 79, К.Н.З.у.: 61:13:0110104:11</t>
  </si>
  <si>
    <t>Установка прибора коммерческого учета электрической энергии (мощности) в точке поставки и монтаж ответвления отВЛИ к вводу для присоединения малоэтажной жилой застройки Куделина С.Н.,расположенной по адресу: Ростовская область, Зимовниковский район, х.Савоськин, ул. Кирова, д. 56, кв. 2, к.н.о.: 61:13:110109:0010:011260:2</t>
  </si>
  <si>
    <t>Установка прибора коммерческого учета электрической энергии (мощности) в точке поставки и монтаж ответвления от ВЛИ к вводу для присоединения жилого дома Асатрян С.Р., расположенного по адресу: Ростовская область, Зимовниковский район, сл. Верхнесеребряковка, ул. Думенко, д. 105, к.н.з.у.: 61:13:0020102:134</t>
  </si>
  <si>
    <t>Установка прибора коммерческого учета электрической энергии (мощности) в точке поставки для присоединения жилого дома Хуторного А.Н., расположенного по адресу: 347450 Российская Федерация, Ростовская обл., р-н. Зимовниковский, х. Ульяновский, ул. Ульяновская, д. 27, кадастровый номер земельного участка: 61:13:0120703:1</t>
  </si>
  <si>
    <t>Установка прибора коммерческого учета электрической энергии (мощности) в точке поставки для присоединения квартиры Астахова С.М., расположенной по адресу: Ростовская область, Зимовниковский район, х. Камышев, ул. Центральная, д.21, кв.2, кадастровый номер земельного участка: 61:13:0500108:0016</t>
  </si>
  <si>
    <t>Установка прибора коммерческого учета электрической энергии (мощности) в точке поставки для присоединения жилого дома Слабко И.В., расположенного по адресу: Ростовская область, Волгодонской район, х. Потапов, пер. Чехова, д. 1, к.н.з.у.: 61:08:0040108:177</t>
  </si>
  <si>
    <t>Установка прибора коммерческого учета электрической энергии (мощности) в точке поставки и монтаж ответвления от ВЛИ к вводу для присоединения жилого дома Сапрыкиной Т.А., расположенного по адресу: Ростовская область, Цимлянский район, станица Лозновская, пер. Цветочный, д. 2, к.н.з.у. 61:41:0040203:46</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</si>
  <si>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Потогина К.Ю.,расположенной по адресу: Ростовская область, г. Волгодонск, ул. Отдыха, д. 39в40, К.Н.З.у.:61:48:0020101:18269»</t>
  </si>
  <si>
    <t>Установка прибора коммерческого учета электрической энергии (мощности) в точке поставки и монтаж ответвления от ВЛ к вводу для присоединения антенно-мачтового сооружения 61-14888 АО«ПБК», расположенное по адресу: Ростовская область, Волгодонской район, п. Донской, ул. Гайдара, участок в 15 м от N7 с кадастровым кварталом: 61:08:0060201»</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</si>
  <si>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Пашковой Е.Е., расположенной по адресу: Ростовская область, г. Волгодонск, СНТ Машиностроитель, улица 39-линия, земельный участок 441, к.н.з.у.: 61:48:0020703:280</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</si>
  <si>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Ситниковой Т.Г., расположенной по адресу: Ростовская область, Волгодонской район, х. Лагутники, ул. Первомайская, д. 5, к.н.з.у.:61:08:0070203:236</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</si>
  <si>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Абраменко Н.Н., расположенного по адресу: Ростовская область, Константиновский район, станица Николаевская, ул. Карла Маркса, д. 24, к.н.з.у.: 61:17:0050101:1651</t>
  </si>
  <si>
    <t>Установка прибора коммерческого учета электрической энергии (мощности) в точке поставки и монтаж ответвления от ВЛ к вводу для присоединения нежилого помещения АО «Почта России», расположенного по адресу: Ростовская область, Константиновский район, х. Почтовый, ул. Центральная, д. 4, к.н.з.у.: 61:17:0060101:799</t>
  </si>
  <si>
    <t>Установка прибора коммерческого учета электрической энергии (мощности) в точке поставки и монтаж ответвления от ВЛ к вводу для присоединения сарая КРС 000 «Буденновский», расположенного по адресу: Ростовская область, Зимовниковский район, х.Камышев, Отделение 2, животноводческая точка Летняя, к.н.о.:61:13:0000000:8405</t>
  </si>
  <si>
    <t>Установка прибора коммерческого учета электрической энергии (мощности) в точке поставки и монтаж ответвления от ВЛ к вводу для присоединения сарая КРС 000 «Буденновский»,расположенного по адресу: Ростовская область, Зимовниковский район, х.Камышев, Отделение 4, животноводческая точка Навозова, к.н.о.:61:13:0000000:8434</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</si>
  <si>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Бабичева П.П., расположенной по адресу: Ростовская область, Мартыновский район, х. Малоорловский, ул. Новая, д.7, кв./оф. 1, к.н.о.:61:20:0060101:2787</t>
  </si>
  <si>
    <t>Установка прибора коммерческого учета электрической энергии (мощности) в точке поставки и монтаж ответвления от ВЛ к вводу для присоединения объекта торговли (магазин, торговый центр, прочие) ИП Лещенко Д.В., расположенного по адресу: Ростовская область, Мартыновский район, сл. Большая Орловка, ул. Дорожная д.2/1, к.н.з.у.:61:20:0020101:13653</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</si>
  <si>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Хахалина М.М. , расположенной по адресу: Ростовская область, Мартыновский район, х. Комаров, ул. Набережная, д.21, к.н.з.у.:61:20:0050101:502</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</si>
  <si>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Морозова Е.В., расположенной по адресу: Ростовская область, г. Волгодонск, ул. Отдыха, д. 39в31, к.н.з.у.: 61:48:0020101:1543</t>
  </si>
  <si>
    <t>Установка прибора коммерческого учета электрической энергии (мощности) в точке поставки и монтаж ответвления от ВЛ к вводу для присоединения нежилого здания АО «Почта России», расположенного по адресу: Ростовская область, Волгодонской район, станица Романовская, ул. Почтовая, д. 44, к.н.з.у.: 61:08:0070107:20</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</si>
  <si>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Пак И.Э., расположенной по адресу: Ростовская область, Волгодонской район, станица Романовская, ул. Забазновой, д. 49 А, к.н.з.у.:61 :08:0070114:1039</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</si>
  <si>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Хромыченко М.В., расположенной по адресу: Ростовская область, Волгодонской район, станица Романовская, ул. Почтовая, д. 41 б, к.н.з.у.:61:08:0070102:1102</t>
  </si>
  <si>
    <t>Установка прибора коммерческого учета электрической энергии (мощности) в РУ-0,4 кв абонентского КТП для технологического присоединения базовой станции ПАО «Вымпел-Коммуникации», расположенной по адресу: Ростовская область, г. Волгодонск, ш. Цимлянское, д. 35, к.н.з.у.:61:48:0030190:37:348</t>
  </si>
  <si>
    <t>Установка прибора коммерческого учета электрической энергии (мощности) в точке поставки и монтаж ответвления от ВЛ к вводу для присоединения объекта торговли (магазин, торговый центр, прочее) ИП Терелецкого И.И., расположенного по адресу: Ростовская область, Волгодонской район, х. Рябичев, ул. Театральная, д. 53а, к.н.з.у.: 61:08:0030103:1111 (1 шт)</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</si>
  <si>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Бакунец Л.В., расположенной по адресу: Ростовская обл., Волгодонской р-н, ст-ца Романовская, пер. Колхозный, д. 92, кадастровый номер земельного участка: 61:08:0070126:486</t>
  </si>
  <si>
    <t>Установка прибора коммерческого учета электрической энергии (мощности) в точке поставки и монтаж ответвления от ВЛ к вводу для присоединения строительной площадки Шевыревой Е.А., расположенной по адресу: Ростовская обл., Волгодонской р-н, х. Парамонов, ул. Дачная, д. 6, кадастровый номер земельного участка: 61:08:0070302:7</t>
  </si>
  <si>
    <t>Установка прибора коммерческого учета электрической энергии (мощности) в точке поставки и монтаж ответвления от ВЛИ к вводу для присоединения квартиры Марковой Т.А., расположенной по адресу: Ростовская область, Константиновский район, х. Гапкин, ул. Центральная, д. 76, кв. 2, к.н.з.у.: 61:17:0040101:601</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</si>
  <si>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Абудко М.Ю., расположенной по адресу: Ростовская область, Зимовниковский район, х. Иловайский, ул. Молодежная, д. 60, к.н.з.у.: 61:13:0070302:14</t>
  </si>
  <si>
    <t>Установка прибора коммерческого учета электрической энергии (мощности) в точке поставки и монтаж ответвления от ВЛ к вводу для присоединения нежилого помещения АО «Почта России», расположенного по адресу: Ростовская область, Зимовниковский район, х. Хуторской, ул. Мира, д. 17, помещение 1,2,3, к.н.з.у.: 61:13:0060105:416</t>
  </si>
  <si>
    <t>Установка прибора коммерческого учета электрической энергии (мощности) в точке поставки и монтаж ответвления от ВЛ к вводу для присоединения нежилого помещения АО «Почта России», расположенного по адресу: Ростовская область, Зимовниковский район, х. Савоськин, ул. Кирова, д. 61, к.н.о.: 61:13:0110101:1289, к.н.з.у.: 61:13:0110101:1253</t>
  </si>
  <si>
    <t>Установка прибора коммерческого учета электрической энергии (мощности)  в точке поставки и монтаж ответвления от ВЛ к вводу для присоединения нежилого помещения АО«Почта России», расположенного по адресу: Ростовская область, Зимовниковский район, х. Глубокий, ул. Южная, д. 12, к.н.о.: 61:13:0040403:285, к.н.з.у.:61:13:0040403:243</t>
  </si>
  <si>
    <t>Установка прибора коммерческого учета электрической энергии (мощности)  в точке поставки и монтаж ответвления от ВЛ к вводу для  присоединения нежилого помещения АО «Почта России», расположенного по адресу: Ростовская область, Зимовниковский район, п. Мокрый Гашун, ул. Скибы, д. 8, к.н.о.: 61:13:0090104:68</t>
  </si>
  <si>
    <t>Установка прибора коммерческого учета электрической энергии (мощности) в точке поставки и монтаж ответвления от ВЛ к вводу для присоединения нежилого помещения АО "Почта России", расположенного по адресу: Ростовская области, Мартыновский район, х. Комаров, ул. Никифорова д.37-а</t>
  </si>
  <si>
    <t>Установка прибора коммерческого учета электрической энергии (мощности) в точке поставки и монтаж ответвления от ВЛ к вводу для присоединения объекта торговли (магазин, торговый центр, прочее) ИП Швачки А.Е., расположенной по адресу: Ростовская область, Мартыновский район, слобода Большая Мартыновка, мкр. Аэропорт, д.4, к.н.з.у.: 61:20:0600019:1194)</t>
  </si>
  <si>
    <t>Установка прибора коммерческого учета электрической энергии (мощности) в точке поставки и монтаж ответвления от ВЛ к вводу для присоединения объекта торговли (магазин, торговый центр, прочее) ИП Маржанова Х.У., расположенного по адресу: Ростовская область, Мартыновский район, слобода Большая Орловка, ул. Революционная, д. 56, корп. б, к.н.з.у.: 61:20:0020101:13036</t>
  </si>
  <si>
    <t>Установка прибора коммерческого учетаэлектрической энергии (мощности) в точке поставки и монтаж ответвления от ВЛк вводу для присоединения нежилого помещения АО «Почта России»,расположенного по адресу: Ростовская область, Ремонтненский район, п.Краснопартизанский, ул. Центральная, д. 14А, К.н.О.: 61:32:0070101:1504</t>
  </si>
  <si>
    <t>Установка прибора коммерческогоучета электрической энергии (мощности) в точке поставки и монтажответвления от ВЛИ к вводу для присоединения нежилого помещения АО«Почта России», расположенного по адресу: Ростовская область,Ремонтненский район, с. Киевка, ул. Ленинская, д. 97, К.н.О.:461:32:0050101:1286</t>
  </si>
  <si>
    <t>Установка прибора коммерческогоучета электрической энергии (мощности) в точке поставки и монтаж ответвления от ВЛ к вводу для присоединения нежилого помещения АО «ПочтаРоссии», расположенного по адресу: Ростовская область, Ремонтненскийрайон, с. Кормовое, ул. Ленина, д. 31, к.н.о.: 61:32:0060101:1113</t>
  </si>
  <si>
    <t>Установка прибора коммерческогоучета электрической энергии (мощности) в точке поставки и монтажответвления от ВЛ к вводу для присоединениянежилого помещения АО «ПочтаРоссии», расположенного по адресу: Ростовская область, Ремонтненскийрайон, с. Первомайское, ул. Ленина, д. 28, к.н.о.: 61:32:0080102:248</t>
  </si>
  <si>
    <t>Установка прибора коммерческого учетаэлектрической энергии (мощности) в точке поставки и монтаж ответвления отВЛ к вводу для присоединения нежилого помещения АО «Почта России»,расположенного по адресу: Ростовская область, Ремонтненский район, с.Богородское, ул. Буденного, д. 17, К.Н.З.у.:61:32:0040201:883</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</si>
  <si>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Савченко Г.В., расположенного по адресу: Ростовская область, Ремонтненский район, с. Валуевка, ул. Мира, д. 20А, к.н.о.: 61:32:0020101:89:15, к.н.з.у.: 61:32:0020101:89 (1 шт)</t>
  </si>
  <si>
    <t>Установка прибора коммерческого учета электрической энергии (мощности) в точке поставки и монтаж ответвления от ВЛ к вводу для присоединения нежилого помещения АО «Почта России», расположенного по адресу: Ростовская область, Дубовский район, станица. Малая Лучка, ул. Центральная,  д. 13, 1,2,3, к.н.о.: 61:09:0060101:566</t>
  </si>
  <si>
    <t>Установка прибора коммерческого учета электрической энергии (мощности) в точке поставки и монтаж ответвления от ВЛ к вводу для присоединения нежилого помещения ОА «Почта России», расположенного по адресу: 347414 Российская Федерация, Ростовская обл., Дубовский район, х. Сиротский, ул. Первомайская,  д. 44, пом.1.2, к.н.о: 61:09:0090101:1881</t>
  </si>
  <si>
    <t>Установка прибора коммерческогоучета электрической энергии (мощности) в точке поставки и монтажответвления от ВЛ к вводу для присоединения нежилого помещения АО «Почта России», расположенного по адресу: Ростовская область, Заветинский район, х.Никольский, ул. Школьная, д. 11Б, К.Н.з.у.: 61:11:0050101:920»</t>
  </si>
  <si>
    <t>Установка прибора коммерческого учета электрической энергии (мощности) в точке поставки и монтаж ответвления от ВЛИ к вводу для присоединения жилого дома Наугольновой О.В., расположенного по адресу: Ростовская область, Цимлянский район, х. Рынок-Каргальский, западнее земельного участка с к.н. 61:41:0040401:16, к.н.з.у.: 61:41:0040401:272</t>
  </si>
  <si>
    <t>Установка прибора коммерческого учета электрической энергии (мощности) в точке поставки и монтаж ответвления от ВЛИ к вводу для присоединения жилого здания Лазаренко Т.А., расположенного по адресу: Ростовская область, Цимлянский район, п. Дубравный, пер. Виноградный, д. 22, к.н.з.у. 61:41:0030405:38</t>
  </si>
  <si>
    <t>Установка прибора коммерческого учета электрической энергии (мощности) в точке поставки и монтаж ответвления от ВЛ к вводу для присоединения нежилой застройки (хозяйственная постройка, нежилое здание) Абрамчук О.Г., расположенной по адресу: Ростовская область, Волгодонской район, х. Лагутники, ул. Луговая, д. 3, к.н.з.у.: 61:08:0070209:205</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</si>
  <si>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Прасолова Н.А., расположенной по адресу: Ростовская область, Волгодонской район, станица Романовская, пер. Бобровский, д. 39, к.н.з.у.: 61:08:0070102:505</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</si>
  <si>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Елисеевой Г.М., расположенного по адресу: Ростовская область, Константиновский район, х. Правда, ул. Набережная, д. 14, к.н.з.у.: 61:17:0050401:111</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</si>
  <si>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Пахомовой П.С., расположенной по адресу: Ростовская область, Константиновский район, станица Николаевская, ул. Фридриха Энгельса, д. 104, к.н.з.у.: 61:17:0050101:98</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</si>
  <si>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Долганина В.В., расположенной по адресу: Ростовская область, Константиновский район, станица Николаевская, ул. Степана Разина, д. 7, к.н.з.у.: 61:17:0050101:2278</t>
  </si>
  <si>
    <t>Установка прибора коммерческого учета электрической энергии (мощности) в точке поставки и монтаж ответвления от ВЛИ к вводу для присоединения административного/офисного здания ИП главы К(Ф)Х Корсунова А.В., расположенного по адресу: Ростовская область, Константиновский район, х. Ведерников, Константиновское городское поселение, 0,22 км восточнее х. Ведерников, к.н.з.у.: 61:17:0600017:855</t>
  </si>
  <si>
    <t>Установка прибора коммерческого учета электрической энергии (мощности) в точке поставки и монтаж ответвления от ВЛ к вводу для присоединения артскважины №1 МУПП ЖКХ Зимовниковского района, расположенной по адресу: Ростовская область, Зимовниковский район, х. Верхоломов, в 500 м южнее улицы Молодежная, 12, к.н.о.: 61:13:0600002:107</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</si>
  <si>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Комарова И.Н., расположенной по адресу: Ростовская область, Мартыновский район, х. Засальский, ул. Молодежная, д. 7, кв. 1, к.н.з.у.: 61:20:0080301:207</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</si>
  <si>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Кибукевич П.Л., расположенной по адресу: Ростовская область, Цимлянский район, х. Рынок-Каргальский, ул. Полевая, д. 1, к.н.з.у.: 61:41:0040401:3</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</si>
  <si>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Мальцевой Л.А., расположенного по адресу: Ростовская область, Цимлянский район, станица Красноярская, ул. Победы, д. 17Б, к.н.з.у.: 61:41:0020102:233</t>
  </si>
  <si>
    <t>Установка шкафа коммерческого учета электрической энергии (мощности) в точке поставки и монтаж спуска от проводов ВЛ до шкафа коммерческого учета электрической энергии(мощности) для присоединения административного здания ИП Галова Н.В., расположенного по адресу: Ростовская область, Цимлянский район, г.Цимлянск, ул. Победы, д. 114н, к.н.з.у.:  61:41:0010506:351</t>
  </si>
  <si>
    <t>Установка прибора коммерческого учета электрической энергии (мощности) в точке поставки и монтаж ответвления от ВЛ к вводу для присоединения базовой станции/оборудования сотовой связи ООО «Т2 Мобайл», расположенной по адресу: Ростовская область, Заветинский район, х. Шебалин, ул. Гагарина, 7, кв./оф. 2, 15 метров на север от данного адреса, к.н.з.у.: 61:11:0090101:439</t>
  </si>
  <si>
    <t>Установка прибора коммерческого учета электрической энергии (мощности) в точке поставки имонтаж  ответвления от ВЛ к вводу для присоединения базовой станции/оборудования сотовой связи 000 «Т2 Мобайл», расположенной по адресу: Ростовская область, Заветинский район; с. Тюльпаны, примерно 3 метра по направлению на север от границ участка с кадастровым номером: 61:11:00401О1:843</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</si>
  <si>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Алиевой Р.А., расположенного по адресу: Ростовская обл.,Дубовский район, х. Щеглов, ул. Степная,  д. 6, к.н.з.у.: 61:09:0600004:1136</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</si>
  <si>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Сардарова К.Н., расположенной по адресу: Ростовская область, Волгодонской район, х. Потапов, ул. Юбилейная, д. 18д, к.н.з.у.: 61:08:0040110:1446</t>
  </si>
  <si>
    <t>Установка прибора коммерческого учета электрической энергии (мощности) в точке поставки и монтаж ответвления от ВЛИ к вводу для присоединения жилого дома Сидоренко О.О., расположенного по адресу: Ростовская область, Волгодонской район, станица Романовская, ул. 75 лет Победы, д. 62, к.н.з.у.: 61:08:0600601:4619</t>
  </si>
  <si>
    <t>Установка прибора коммерческого учета электрической энергии (мощности) в точке поставки и монтаж ответвления от ВЛИ к вводу для присоединения жилого дома Седышева В.В., расположенного по адресу: Ростовская область, Волгодонской район, станица Романовская, ул. Одесская, д. 1,к.н.з.у.: 61:08:0600601:3837 (1 шт)</t>
  </si>
  <si>
    <t>Установка прибора коммерческого учета электрической энергии (мощности) в точке поставки и монтаж ответвления от ВЛИ к вводу для присоединения жилого дома Седышева В.В., расположенного по адресу: Ростовская область, Волгодонской район, станица Романовская, ул. Одесская, д. 2, к.н.з.у.:61:08:0600601:3852</t>
  </si>
  <si>
    <t>Установка прибора коммерческого учета электрической энергии (мощности) в точке поставки и монтаж ответвления от ВДИ к вводу для присоединения малоэтажной жилой застройки Артемовой Ю.А., расположенной по адресу: Ростовская область, Волгодонской район, Романовская, ул. Смолякова, д. 24, к.н.з.у.: 61:08:0070109:35</t>
  </si>
  <si>
    <t>Установка прибора коммерческого учета электрической энергии (мощности) в точке поставки и монтаж ответвления от ВЛИ к вводу для присоединения антенно-мачтового сооружения связи 61-1132 АО «ПБК», расположенного по адресу: Ростовская область, Волгодонской район, х. Семенкин, ул. Южная, к.н.з.у.: 61:08:0070504</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</si>
  <si>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Гончарова Е.А., расположенной по адресу: Ростовская область, Волгодонской район, станица Романовская, пер. Октябрьский, д. 9А, к.н.з.у.: 61:08:0070120:707</t>
  </si>
  <si>
    <t>Установка прибора коммерческого учета электрической энергии (мощности) в точке поставки и монтаж ответвления от ВЛ к вводу для присоединения объекта торговли ИП Бакулиной Е.В., расположенного по адресу: Ростовская область, Волгодонской район, п. Мичуринский, ул. Ленина, д. 16, к.н.з.у.: 61:08:0060402:9</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</si>
  <si>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Струкова И.М., расположенной по адресу: Ростовская область, Волгодонской район, станица Романовская, ул. Одесская, д. 48, к.н.з.у.:61:08:0600601:3867</t>
  </si>
  <si>
    <t>Установка прибора коммерческого учета электрической энергии (мощности) в точке поставки и монтаж ответвления от ВЛИ к вводу для присоединения объекта торговли ИП Когай С.М., расположенного по адресу: Ростовская область, Волгодонской район, станица Романовская, пер. Кожанова, д. 43А, к.н.з.у.: 61:08:0070106:23</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</si>
  <si>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Афанасьева В.Н., расположенной по адресу: Ростовская область, Волгодонской район, станица Романовская, ул. 75 лет Победы, д. 78, к.н.з.у.: 61:08:0600601:4634</t>
  </si>
  <si>
    <t>Установка прибора коммерческого учета электрической энергии (мощности) в точке поставки и монтаж ответвления от ВЛИ к вводу для присоединения жилого дома Прынь А.Н., расположенного по адресу: Ростовская область, Константиновский район, х. Старая Станица, ул. Ростовская, д.2, к.н.з.у.: 61:17:0050501:147</t>
  </si>
  <si>
    <t>Установка прибора коммерческого учетаэлектрической энергии (мощности) в точке поставки и монтаж ответвления отВЛ к вводу для присоединения малоэтажной жилой застройки(Индивидуальный жилой дом/Садовый/Дачный дом) Демяненко А.М.,расположенной по адресу: Ростовская область, Мартыновский район, х.Малоорловский, ул. Новая, д. 1В, К.Н.З.у.:61:20:0060101:5182</t>
  </si>
  <si>
    <t>Установка прибора коммерческого учетаэлектрической энергии (мощности) в точке поставки и монтаж ответвления отВЛ к вводу для присоединения кошары ИП главы К(Ф)Х Атаева Д.х.,расположенной по адресу: Ростовская область, Ремонтненский район,территория земель Первомайского сельского поселения, колхоз племзавод«Первомайский»; 61:32:0600011:1:ЗУl (1) - примерно 8.1 км по направлениюна юго-восток от с. Первомайское, 39 отарный участок; 61:32:0600011:1:ЗУ1(2),61:32:0600011:1:ЗУ1(3), 6l:32:0600011:1:ЗУ1(4) - примерно 9.1 км по направлению на юго-восток от с. Первомайское, IX поле l-го полевогосевооборота, Бригада N23, К.Н.З.у.: 61:32:0600011:706</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</si>
  <si>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 садовый/ дачный дом) Шабалиной З.Г., расположенной по адресу: Ростовская область, Цимлянский район, х. Карпов, ул. Центральная, д. 27, к.н.з.у. 61:41:0040301:33</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</si>
  <si>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Сорокобаткиной Т.В., расположенной по адресу: Ростовская область, Цимлянский район, х.Богатырев, ул. Садовая, д. 15А, к.н.з.у.:   61:41:0070201:38</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</si>
  <si>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(индивидуальный жилой дом/садовый/дачный дом) Киреева С.Н., расположенной по адресу: Ростовская область, Цимлянский район, п. Саркел, пер. Полевой, д. 3-в, к.н.з.у.: 61:41:0011105:59</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</si>
  <si>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(индивидуальный жилой дом/садовый/дачный дом) Урмаева А.П., расположенной по адресу: Ростовская область, Цимлянский район, п. Саркел, пер. Боевой Славы, д. 7, к.н.з.у.: 61:41:0600009:973</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</si>
  <si>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Самокишевой Н.А., расположенного по адресу: Ростовская область, Цимлянский район, станица Красноярская, ул. Матросова, д. 2а, к.н.з.у. 61:41:020116:16</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</si>
  <si>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Ганюшкиной Е.Р., расположенной по адресу: Ростовская область, г. Волгодонск, тер. СНТ Машиностроитель, уч. 1112 ндр, к.н.з.у.: 61:48:0020702:866</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</si>
  <si>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Эфендиева С.Р., расположенной по адресу: Ростовская область, г. Волгодонск, тер. СНТ Машиностроитель, уч. 1110 ндр, к.н.з.у.: 61:48:0020702:564</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</si>
  <si>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Махадиновой З.М., расположенной по адресу: Ростовская область, Волгодонской район, х. Лагутники, ул. Ленина, д. 22и, к.н.з.у.: 61:08:0070208:275</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</si>
  <si>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Мизюк А.В., расположенной по адресу: Ростовская область, Волгодонской район, станица Романовская, пер. Комсомольский, з/у 59а, к.н.з.у.: 61:08:0070126:897</t>
  </si>
  <si>
    <t>Установка прибора коммерческого учета электрической энергии (мощности) в точке поставки и монтаж ответвления от ВЛ к вводу для присоединения нежилого помещения АО «Почта России», расположенного по адресу: Ростовская область, Волгодонской район, п. Виноградный, ул. Ленина, д. 13, пом. 3, к.н.з.у.: 61:08:0050202:758</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</si>
  <si>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Бак Д.Г., расположенного по адресу: Ростовская область, Константиновский район, х. Старая Станица, ул. Донская, д. 23а, к.н.з.у.: 61:17:0050501:747</t>
  </si>
  <si>
    <t>Установка шкафа коммерческого учета электрической энергии (мощности) на наружной стене РУ-0,4 кВ КТП и монтаж проводов от РУ-0,4 кВ КТП до шкафа коммерческого учета электрической энергии (мощности) для присоединения здания технического и инженерного обеспечения ООО «Костины Горы», расположенного по адресу: Ростовская область, Константиновский район, 0,1 километр западнее хутора Старозолотовский, к.н.з.у.: 61:17:0600010:4091</t>
  </si>
  <si>
    <t>Установка прибора коммерческого учета электрической энергии (мощности) в точке поставки и монтаж ответвления отВЛ к вводу для присоединения жилого дома Магомедова КК, расположенногопо адресу: Ростовская область,Ремонтненский район, п. Тихий Лиман, ул.Животноводческая, д. 26, К.Н.З.у.: 61:32:0600010:8538</t>
  </si>
  <si>
    <t>Установка прибора коммерческого учета электрической энергии (мощности) в точке поставки и монтаж ответвления от ВЛИ к вводу для присоединения жилого дома Мусаевой А.А., расположенного по адресу: Ростовская область, Ремонтненский район, с. Валуевка, ул. Горяинова, д. 4А, к.н.о.: 61:61:17/015/2005-403, к.н.з.у.: 61:32:002101:310</t>
  </si>
  <si>
    <t>Установка прибора коммерческого учета электрической энергии (мощности) в точке поставки и монтаж ответвления от ВЛИ к вводу для присоединения нежилого здания ООО «Виктория», расположенного по адресу: Ростовская область, Цимлянский район, х. Лозной, ул. Аббясева, д. 27А, к.н.з.у.: 61:41:0030101:32</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</si>
  <si>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Халакурбанова Г.А., расположенного по адресу: Ростовская область, Заветинский район, п. Спорная, проезд. Ковыльный, д. 6, к.н.з.у.: 61:11:0600006:40</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</si>
  <si>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Магомедова М.М., расположенного по адресу: Ростовская область, Дубовский район, х. Щеглов, ул. Молодежная, д. 5, кв. 1, к.н.о.: 61:9:45:У:00:286</t>
  </si>
  <si>
    <t>Установка прибора коммерческого учета электрической энергии (мощности) в точке поставки и монтаж ответвления от ВЛ к вводу для присоединения объекта крестьянского (фермерского) хозяйства ИП Главы К(Ф)Х Глуходедова Д.О., расположенного по адресу: Ростовская область, Дубовский район, Романовское сельское поселение, в границах кадастрового квартала 61:09:0600005, к.н.з.у.: 61:09:0600005:2045</t>
  </si>
  <si>
    <t>Установка прибора коммерческого учета электрической энергии (мощности) в точке поставки и монтаж ответвления от ВЛ к вводу для присоединения объекта торговли (магазин, торговый центр, прочее) ИП Кудимова В.В., расположенного по адресу: Ростовская область, Волгодонской район, х. Парамонов, ул. Гагарина, д. 22, корп. б, к.н.з.у.: 61:08:0070301:1230</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</si>
  <si>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Александровой Т.А., расположенной по адресу: Ростовская область, Волгодонской район, станица Романовская, пер. Изумрудный, д. 22, к.н.з.у.: 61:08:0070114:707</t>
  </si>
  <si>
    <t>Установка прибора коммерческого учета электрической энергии (мощности) в точке поставки и монтаж ответвления от ВЛИ к вводу для присоединения производственного помещения ИП Никулова А.В., расположенного по адресу: Ростовская область, Волгодонской район, 2 350 м юго-западнее дома №2 ул. Пролетарская, станица Дубенцовская, к.н.з.у.: 61:08:0600201:1393</t>
  </si>
  <si>
    <t>Установка прибора коммерческого учета электрической энергии (мощности) в точке поставки и монтаж ответвления от ВЛ к вводу для присоединения торгового павильона ИП Вифлянцева А.Е., расположенного по адресу: Ростовская область, Константиновский район, х. Вифлянцев, ул. Октябрьская, д. 11, к.н.з.у.: 61:17:0070301:334</t>
  </si>
  <si>
    <t>Установка прибора коммерческого учета электрической энергии (мощности) в точке поставки и монтаж ответвления от ВЛ к вводу для присоединения базовой станции/оборудования сотовой связи ПАО «Ростелеком»», расположенной по адресу: Ростовская область, Константиновский район, х. Суворов, примерно 71 м по направлению на юго-запад от границ участка по адресу: ул. Солнечная, 4, кв. 1 (к.н. 61:17:0040601:81) к.н.з.у.: 61:17:0040601</t>
  </si>
  <si>
    <t>Установка прибора коммерческого учета электрической энергии (мощности) в точке поставки и монтаж ответвления от ВЛ к вводу для присоединения объектов наружного освещения Министерства транспорта Ростовской области, расположенных по адресу: Ростовская область, Константиновский район, х. Трофимов, к.н.з.у.: 61:17:0000000:7156</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</si>
  <si>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ПяткинаА.А., расположенного по адресу:Ростовская область, Ремонтненский район, п.Привольный,ул.Садовая,д.  15,  к.н.о.:  61:32:0100101:1606</t>
  </si>
  <si>
    <t>Установка прибора коммерческого учетаэлектрической энергии (мощности) в точке поставки и монтаж ответвления от ВЛ к вводу для присоединения базовой станции/оборудования сотовой связи ПАО«Ростелеком», расположенной по адресу: Ростовская область, Ремонтненский район, х. Раздольный, ул. Центральная, примерно 60 м по направлению на северо-восток от границы участка по адресу: ул. Центральная, 17, К.Н.З.у.:61:32:0050201</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</si>
  <si>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Магомедова Ш.М., расположенного по адресу: Ростовская область, Ремонтненский район, с. Валуевка, ул. Восточная, д. 12, к.н.з.у.: 61:32:0600002:4102</t>
  </si>
  <si>
    <t>Установка прибора коммерческого учета электрической энергии (мощности)  в точке поставки и монтаж ответвления от ВЛ к вводу для  присоединения сарая КРС 000 «Буденновский», расположенного по адресу: Ростовская область, Зимовниковский район, х. Камышев, Отделение 4, животноводческая точка 87, к.н.о.:61:13:0000000:8429</t>
  </si>
  <si>
    <t>Установка прибора коммерческого учетаэлектрической энергии (мощности) в точке поставки и монтаж ответвления отВЛИ к вводу для присоединения жилого дома Бакаевой Л.С., расположенного поадресу: Ростовская область, Заветинский район, х. Мамонкин, ул. Содружества, д.4, к.н.з.у.: 61:11:060301:0000:7:1</t>
  </si>
  <si>
    <t>Установка прибора коммерческого учетаэлектрической энергии (мощности) в точке поставки и монтаж ответвления от ВЛ к вводу для присоединения жилого дома Пяткиной Л.В., расположенного поадресу: Ростовская область, Заветинский район, х. Фомин, ул. Школьная, д. 46,кв. 2, К.Н.О.: 61:11:0080101:0:13/1:0</t>
  </si>
  <si>
    <t>Установка прибора коммерческого учета электрической энергии (мощности) в точке поставки и монтаж ответвления от ВЛ к вводу для присоединения объекта торговли Главы К(Ф)Х Гаджиева М.О., расположенного по адресу: Ростовская область, Заветинский район, с. Тюльпаны, ул. Мира, д. 14, к.н.з.у.: 61:11:0040101:394</t>
  </si>
  <si>
    <t>Установка прибора коммерческого учета электрической энергии (мощности) в точке поставки и монтаж ответвления от ВЛИ к вводу для присоединения гаража Бережновой Ю.А., расположенного по адресу: Ростовская область, Мартыновский район, слобода Большая Орловка, ул. Дорожная, д. 29 в, к.н.з.у.: 61:20:0600011:1047</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</si>
  <si>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Тарарина  А.Ю.,расположенной по адресу: Ростовская область, Мартыновский район, п.Речной,ул.Молодежная,д.  12, кв.  1, к.н.з.у.:  61:35:0050701:39</t>
  </si>
  <si>
    <t>Установка прибора коммерческого учета электрической энергии (мощности) в точке поставки и монтаж ответвления от ВЛИ к вводу для присоединения объекта медицинского учреждения (здание/помещение медицинской организации) ГБУРО «ЦРБ» в Цимлянском районе, расположенного по адресу: Ростовская область, Цимлянский район, х. Карповский, восточнее земельного участка с к.н. 61:41:0070401:53, к.н.з.у.: 61:41:0070401:343</t>
  </si>
  <si>
    <t>Установка прибора коммерческого учета электрической энергии (мощности) в точке поставки и монтаж ответвления от ВЛИ к вводу для присоединения объекта медицинского учреждения (здание/помещение медицинской организации) ГБУРО «ЦРБ» в Цимлянском районе, расположенного по адресу: Ростовская область, Цимлянский район, станица Хорошевская, ул. Центральная, к.н.з.у.: 61:41:0020202:475</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</si>
  <si>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Хамдиева К.В., расположенной по адресу: Ростовская область, Волгодонской район, х. Лагутники, ул. Луговая, д. 26, к.н.з.у.: 61:08:0070209:685</t>
  </si>
  <si>
    <t>Установка прибора коммерческого учета электрической энергии (мощности) в точке поставки и монтаж ответвления от ВЛИ к вводу для присоединения жилого дома Мешкова А.В., расположенного по адресу: Ростовская область, Волгодонской район, станица Романовская, ул. Одесская, д. 5, к.н.з.у.: 61:08:0600601:3839</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</si>
  <si>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Айдинова И.С., расположенной по адресу: Ростовская область, Волгодонской район, х. Погожев, ул. Школьная, д. 30, к.н.з.у.: 61:08:0070401:164</t>
  </si>
  <si>
    <t>Установка прибора коммерческого учета электрической энергии (мощности) в точке поставки и монтаж ответвления от ВЛИ к вводу для присоединения жилого дома Кириченко Д.С., расположенного по адресу: Ростовская область, Волгодонской район, станица Романовская, ул. 75 лет Победы, д. 9, к.н.з.у.: 61:08:0600601:4566</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</si>
  <si>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Гончарова Е.А., расположенной по адресу: Ростовская область, Волгодонской район, станица Романовская, ул. Забазновой, д. 21, к.н.з.у.: 61:08:0070113:207</t>
  </si>
  <si>
    <t>Установка прибора коммерческого учета электрической энергии (мощности) в точке поставки для присоединения телятника Гейдарова С.А.о., расположенного по адресу: Ростовская область, Волгодонской район, 0,25 км на запад от ул. Юбилейная, х. Рябичев, к.н.з.у.: 61:08:0600501:383</t>
  </si>
  <si>
    <t>Установка прибора коммерческого учета электрической энергии (мощности) в точке поставки и монтаж ответвления от ВЛИ к вводу для присоединения жилого дома Романюк Н.Б., расположенного по адресу: Ростовская область, Волгодонской район, х. Парамонов, ул. Гагарина, д. 24, к.н.з.у.: 61:08:0070301:554</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</si>
  <si>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Семенова В.П., расположенной по адресу: Ростовская область, Волгодонской район, станица Романовская, пер. Советский, д. 117, кв. 1, к.н.з.у.: 61:08:0070115:10</t>
  </si>
  <si>
    <t>Установка прибора коммерческого учета электрической энергии (мощности) в точке поставки и монтаж ответвления от ВЛ к вводу для присоединения антенно-мачтового сооружения 52232-11-61-0-1 АО «ПБК», расположенного по адресу: Ростовская область, Константиновский район, х. Белянский, ул. Центральная, участок в 35м от дома №13, к.н.з.у.: 61:17:0040201</t>
  </si>
  <si>
    <t>Установка прибора коммерческого учетаэлектрической энергии (мощности) в точке поставки и монтаж ответвления от ВЛ к вводу для присоединения жилого дома Сулейманова м.з.,расположенного по адресу: Ростовская область, Ремонтненский район, с.Первомайское, ул. Северная, д. 6, К.н.О.: 61:32:124:1:5:506А, К.Н.З.у.:61:32:124:1:50</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</si>
  <si>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Гаджиалиева Ш.О., расположенной по адресу: Ростовская область, Зимовниковский район, п. Большая Поляна, ул. Курганная, д. 5, к.н.з.у.: 61:13:0030201:7</t>
  </si>
  <si>
    <t>Установка прибора коммерческого учета электрической энергии (мощности) в точке поставки и монтаж ответвления от ВЛ к вводу для присоединения производственного здания/помещения (к.н.о.: 61:13:0600007:1534), расположенного по адресу: Ростовская область, Зимовниковский район, примерно 120 м. по направлению на юго-запад от ориентира х. Пенчуков, к.н.з.у.: 61:13:0600007:1723  ООО "Полярная звезда"</t>
  </si>
  <si>
    <t>Установка прибора коммерческого учетаэлектрической энергии (мощности) в точке поставки и монтаж ответвления отВЛИ к вводу для присоединения малоэтажной жилой застройки Абубакаровой М. И-А., расположенной по адресу: Ростовская область, Заветинского район, х. Фрунзе, ул. Центральная, д. 6, кв. 1, к.н.о.: 61:11:0050401:472</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</si>
  <si>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Бакаевой З.Б., расположенной по адресу: Ростовская область, Заветинского район, х. Савдя, ул. Молодежная, д. 3, кв. 1,  к.н.о.: 61:11:0060101:1448</t>
  </si>
  <si>
    <t>Установка прибора коммерческого учетаэлектрической энергии (мощности) в точке поставки и монтаж ответвления отВЛИ к вводу для присоединения малоэтажной жилой застройки Ефимова Д.И.,расположенной по адресу: Ростовская область, Заветинского район, х.Шебалин, проезд Животноводческий, д. 7, к.н.о.: 61:11:0600001:1418</t>
  </si>
  <si>
    <t>Установка прибора коммерческого учета электрической энергии (мощности) в точке поставки и монтаж ответвления от ВЛ к вводу для присоединения нежилой застройки (хозяйственная постройка,нежилое здание) Исаев Ю.М., расположенной по адресу: Ростовская область,Заветинский район, с. Киселевка, ул. Центральная, д. 27, к.н.з.у.:61:11:060002:1667</t>
  </si>
  <si>
    <t>Установка прибора коммерческого учета электрической энергии (мощности) в точке поставки и монтаж ответвления от ВЛИ к вводу для присоединения коровника на 400 голов Вершинина Н.Г., расположенной по адресу: Ростовская область, Мартыновский район, п. Абрикосовый, в 490м юго-западнее земельного участка, расположенного по адресу: п.Абрикосовый, ул. Школьная, д.4, к.н.о.:61:20:0020201:1015, к.н.з.у.:61:20:0020201:1365</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</si>
  <si>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Макаровой Ю.С., расположенной по адресу: Ростовская область, Мартыновский район, х. Новоселовка, ул. Советская, д. 7, кв. 3, к.н.з.у.: 61:20:0070101:2904</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</si>
  <si>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Абрамчук А.С., расположенной по адресу: Ростовская область, Волгодонской район, станица Романовская, пер. Кожанова, д. 1Б, к.н.з.у.: 61:08:0070121:517</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</si>
  <si>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Поповой Е.А., расположенной по адресу: Ростовская область, Волгодонской район, х.Потапов, пер. Кооперативный, д. 3а, к.н.з.у.: 61:08:0040106:853</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</si>
  <si>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Кушнир Д.В., расположенной по адресу: Ростовская область, Волгодонской район, станица Каргальская, ул. Набережная, д. 9, к.н.з.у.: 61:08:0000000:3928</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</si>
  <si>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(Индивидуальный жилой дом/Садовый/Дачный дом) Мельниченко Ю.М., расположенной по адресу: Ростовская область, г. Волгодонск, ул. Отдыха, д. 39в25,  к.н.з.у.: 61:48:0020101:1552</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</si>
  <si>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Казаряна С.А., расположенного по адресу: Ростовская область, Волгодонской район, станица Большовская, ул. Мира, д. 15а, к.н.з.у.: 61:08:0030202:53</t>
  </si>
  <si>
    <t>Установка прибора коммерческого учета электрической энергии (мощности) в точке поставки и монтаж ответвления от ВЛИ к вводу для присоединения жилого дома Воробьева С.В., расположенного по адресу: Ростовская область, Константиновский район, х. Старая Станица, ул. Донская, д. 3, к.н.з.у.: 61:17:0050501:193</t>
  </si>
  <si>
    <t>Установка прибора коммерческого учета электрической энергии (мощности) в точке поставки и монтаж ответвления от ВЛИ к вводу для присоединения автомобильной дороги «г. Шахты – г. Цимлянск» - х. Белянский – пос. Стычновский» Министерства транспорта Ростовской области, расположенной по адресу: Ростовская область, Константиновский район, х. Белянский, (км 12+683,0 – км 14+000,0 км),  к.н.з.у.: 61:17:0040201:461</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</si>
  <si>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Садового С.С., расположенной по адресу: Ростовская область, Константиновский район, станица Николаевская, ул. Победы, д. 14, к.н.з.у.: 61:17:0050101:2116</t>
  </si>
  <si>
    <t>Установка прибора коммерческого учета электрической энергии (мощности) в точке поставки и монтаж ответвления от ВЛ к вводу для присоединения здания ПТО ИП главы К(Ф)Х Тимощенко Г.Я., расположенного по адресу: Ростовская область, Ремонтненский район, с. Подгорное, ул. Шолохова, д. 14, к.н.о.: 61:32:060000:9372, к.н.з.у.: 61:32:060000:9374</t>
  </si>
  <si>
    <t>Установка прибора коммерческого учета электрической энергии (мощности) в точке поставки и монтаж ответвления от ВЛ к вводу для присоединения жилого дома Шапошниковой Л.В., расположенного по адресу: Ростовская область, Зимовниковский район, х. Петухов, ул. Еременко, д. 70А, к.н.з.у.: 61:13:0020602:243</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</si>
  <si>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Абдуллаева М.М., расположенной по адресу: Ростовская область, Заветинский район, с. Тюльпаны, ул. Мира, д. 17, к.н.о.: 61:11:0040101:1006</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</si>
  <si>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Зузиева С.Ш., расположенной по адресу: Ростовская область, Заветинский район, с. Кичкино, ул. Быковского, д. 14, к.н.з.у.: 61:11:0030101:737</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</si>
  <si>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(Индивидуальный жилой дом/Садовый/Дачный дом) Бакаева Р.И., расположенной по адресу: Ростовская область, Заветинский район, х. Мамонкин, ул. Содружества, д. 3, кв. 1,  к.н.о.: 61:11:0060301:55</t>
  </si>
  <si>
    <t>Установка прибора коммерческого учета электрической энергии (мощности) в точке поставки и монтаж ответвления от ВЛ к вводу для присоединения складского здания/помещения Максакова С.Н., расположенного по адресу: Ростовская область, Мартыновский район, слобода Большая Орловка, пер. Мостовой, д. 20,  к.н.з.у.: 61:20:0020101:1018, к.н.о.: 61:20:0020101:10090</t>
  </si>
  <si>
    <t>Установка прибора коммерческого учета электрической энергии (мощности) в точке поставки и монтаж ответвления от ВЛИ к вводу для присоединения малоэтажной жилой застройки (индивидуальный жилой дом) Гуликян Л.Т., расположенного по адресу: Ростовская область, Цимлянский район, х. Лозной, ул. Мира, д. 58, к.н.з.у.: 61:41:0030108:31</t>
  </si>
  <si>
    <t>Установка прибора коммерческого учета электрической энергии (мощности) в точке поставки и монтаж ответвления от ВЛ к вводу для присоединения малоэтажной жилой застройки (индивидуальный жилой дом/садовый/дачный дом) Курбановой Л.Ш, расположенной по адресу: Ростовская область, Цимлянский район, х. Черкасский, ул. Центральная, д. 29, к.н.з.у.: 61:41:0050301:19</t>
  </si>
  <si>
    <t>Установка коммерческого учета электрической энергии (мощности) в точке поставки и установка шкафа 0,4 кВ по присоединению жилого дома Крохиной Л.А., расположенного по адресу: Ростовская область, Цимлянский район, станица Красноярская, пер. Комсомольский, д. 33, кадастровый номер земельного участка 61:41:020122:0036</t>
  </si>
  <si>
    <t>Установка прибора коммерческого учета электрической энергии (мощности) в точке поставки и монтаж ответвления от ВЛИ к вводу для присоединения жилого дома Гвоздь Г.Н., расположенного по адресу: Ростовская область, Дубовский район, х. Кривский, ул. Гвардейская, д. 4, к.н.з.у.: 61:09:0060401:57</t>
  </si>
  <si>
    <t>Строительство участка ВЛИ-0,4 кВ от опоры №7 ВЛИ 0,4 кВ №1 КТП 8608 ВЛ 6 кВ №14 ПС 35 кВ Романовская и установка прибора коммерческого учета электрической энергии (мощности) в точке поставки для присоединения малоэтажной жилой застройки Дмитриева А.Н., расположенной по адресу: Ростовская область, Волгодонской район, станица Романовская, ул. 75 лет Победы, д. 50, к.н.з.у. 61:08:0600601:4607 (ориентировочная протяженность ЛЭП 0,02 км)</t>
  </si>
  <si>
    <t>Строительство участка ВЛИ-0,4 кВ от опоры №19 ВЛ-0,4 кВ №2 КТП 8183 ВЛ-10 кВ №7 ПС 35 кВ Рябичевская и установка прибора коммерческого учета электрической энергии (мощности) в точке поставки для присоединения здания Администрации Рябичевского сельского поселения, расположенного по адресу: Ростовская область, Волгодонской район, х. Рябичев, ул. Советская, д. 47, к.н.з.у. 61:08:0030103:69 (ориентировочная протяженность ЛЭП 0,03 км)</t>
  </si>
  <si>
    <t>Строительство участка ВЛИ-0,4 кВ от опоры №9 ВЛ-0,4 кВ №2 КТП-8599/160 кВА ВЛ-6 кВ №5 ПС 35/6 кВ Романовская, с установкой шкафа 0,4 кВ, и  обеспечение коммерческим учетом электрической энергии (мощности) в точке поставки по присоединению жилого дома Бубнович С.П., расположенного по адресу: Ростовская область, Волгодонской район, станица Романовская, пер. Рубиновый,  д. 14, кадастровый номер земельного участка 61:08:0070114:540 (ориентировочная протяженность ЛЭП 0,1 км)</t>
  </si>
  <si>
    <t>Строительство участка ВЛИ-0,4 кВ от опоры №21 ВЛ-0,4 кВ №2 КТП-8560/100 кВА ВЛ-6 кВ №1 ПС 35/6 кВ НС-12, с установкой шкафа 0,4 кВ, и  обеспечение коммерческим учетом электрической энергии (мощности) в точке поставки по присоединению дачного домика Банькина Ю.С., расположенного по адресу: Ростовская область, Волгодонской район, сдт. Юбилейное, кадастровый номер земельного участка 61:08:0601901:1004 (ориентировочная протяженность ЛЭП 0,09 км)</t>
  </si>
  <si>
    <t>Строительство участка ВЛИ-0,4 кВ от опоры №1/16 ВЛ-0,4 кВ №1 КТП-8396/160 кВА по ВЛ-6 кВ №11 ПС 35/6 кВ Шлюзовая, с установкой шкафа 0,4 кВ, и  обеспечение коммерческим учетом электрической энергии (мощности) в точке поставки по присоединению квартиры Мисько Н.П., расположенной по адресу: Ростовская область, Волгодонской район, х. Лагутники, ул. Кооперативная, д. 25, кв. 2, кадастровый номер земельного участка 61:08:0070201:69 (ориентировочная протяженность ЛЭП 0,015 км)</t>
  </si>
  <si>
    <t>Строительство участка ВЛИ-0,4 кВ от вновь установленной опоры вновь построенной ВЛИ-0,4 кВ от вновь установленной ТП-6/0,4 кВ по ВЛ-6 кВ №1 ПС 35/6 кВ Романовская (по договору ТП №61-1-20-00520025 от 13.07.2020г), с установкой шкафа 0,4 кВ, и  обеспечение коммерческим учетом электрической энергии (мощности) в точке поставки и установка шкафа 0,4 кВ по присоединению спального домика Дёмина Е.В., расположенного по адресу: Ростовская область, г. Волгодонск, ул. Отдыха, д. 67, к.н. 61:48:0020101:1217 (ориентировочная протяженность ЛЭП 0,02 км)</t>
  </si>
  <si>
    <t>Строительство участка ВЛИ-0,4 кВ от опоры №6 ВЛ 0,4 кВ №2 КТП 8011 ВЛ 10 кВ №7 ПС 35 кВ Рябичевская и установка прибора коммерческого учета электрической энергии (мощности) в точке поставки для присоединения жилого дома Бычкова В.Н., расположенного по адресу: Ростовская область, Волгодонской район, х. Рябичев, ул. Белинского, д. 21, к.н.з.у. 61:08:0030101:19 (ориентировочная протяженность ЛЭП 0,065 км)</t>
  </si>
  <si>
    <t>Строительство участка ВЛИ-0,4 кВ от опоры №13 ВЛ 0,4 кВ №1 КТП 8450 ВЛ 6 кВ №5 ПС 35 кВ Романовская и установка прибора коммерческого учета электрической энергии (мощности) в точке поставки для присоединения жилого дома Макаровой Т.И., расположенного по адресу: Ростовская область, Волгодонской район, станица Романовская, ул. Юбилейная, д. 40, к.н.з.у. 61:08:00701112:426 (ориентировочная протяженность ЛЭП 0,09 км)</t>
  </si>
  <si>
    <t>Строительство участка ВЛИ-0,4 кВ от вновь установленной опоры вновь построенной ВЛИ-0,4 кВ от вновь установленной ТП-6/0,4 кВ по ВЛ-6 кВ №15 ПС 35 кВ Романовская (по договорам ТП №61-1-21-00567599 от 02.04.2021г, №61-1-21-00567577 от 02.04.2021г, №61-1-21-00567591 от 02.04.2021г, №61-1-21-00567603 от 02.04.2021г) и установка прибора коммерческого учета электрической энергии (мощности) в точке поставки для присоединения жилого дома Гордиенко Е.Ю., расположенного по адресу: Ростовская область, Волгодонской район, станица Романовская, ул. Шолохова, д. 24, к.н.з.у. 61:08:0600601:4998 (ориентировочная протяженность ЛЭП 0,02 км)</t>
  </si>
  <si>
    <t>Строительство участка ВЛИ-0,4 кВ от опоры №1/2 ВЛИ-0,4 кВ №1 КТП 8594 ВЛ 6 кВ №5 ПС 35 кВ Романовская и установка прибора коммерческого учета электрической энергии (мощности) в точке поставки для присоединения жилого дома Пикулевой Е.В., расположенного по адресу: Ростовская область, Волгодонской район, станица Романовская, ул. Ленина, д. 111, к.н.з.у. 61:08:0070128:951 (ориентировочная протяженность ЛЭП 0,035 км)</t>
  </si>
  <si>
    <t>Строительство участка ВЛИ-0,4 кВ от опоры № 12 ВЛ-0,4 кВ №3 КТП 8483 ВЛ 6 кВ №5 ПС 35 кВ Романовская и установка прибора коммерческого учета электрической энергии (мощности) в точке поставки для присоединения жилого дома Бакунца П.М., расположенного по адресу: Ростовская область, Волгодонской район, станица Романовская,  пер. Колхозный, д. 76а, к.н.з.у. 61:08:0070127:606 (ориентировочная протяженность ЛЭП 0,085 км)</t>
  </si>
  <si>
    <t>Строительство участка ВЛИ-0,4 кВ от опоры №2/16 ВЛИ 0,4 кВ №2 КТП 8108 ВЛ 10 кВ №4 ПС 35 кВ Виноградная и установка прибора коммерческого учета электрической энергии (мощности) в точке поставки для присоединения жилого дома Кравчук А.В., расположенного по адресу: Ростовская область, Волгодонской район, п. Виноградный, ул. Молодежная, д. 30, к.н.з.у. 61:08:0000000:3832 (ориентировочная протяженность ЛЭП 0,03 км)</t>
  </si>
  <si>
    <t>Строительство участка ВЛИ-0,4 кВ от опоры №3 ВЛ-0,4 кВ №1 КТП 8472 ВЛ-6 кВ №14 ПС 35 кВ Романовская и установка прибора коммерческого учета электрической энергии (мощности) в точке поставки для присоединения жилого дома Михайловой Г.А., расположенного по адресу: Ростовская область, Волгодонской район, станица Романовская, ул. Ленина, д. 14 а, к.н.з.у. 61:08:0070106:826 (ориентировочная протяженность ЛЭП 0,02 км)</t>
  </si>
  <si>
    <t>Строительство ВЛИ-0,4 кВ от РУ 0,4 кВ №2 КТП 8608 ВЛ 6 кВ №14 ПС 35 кВ Романовская и установка прибора коммерческого учета электрической энергии (мощности) в точке поставки для присоединения индивидуального жилого дома Осипик Е.Г., расположенного по адресу: Ростовская область, Волгодонской район, станица Романовская, ул. 75 лет Победы, д. 32, к.н.з.у. 61:08:0600601:4589 (ориентировочная протяженность ЛЭП 0,07 км)</t>
  </si>
  <si>
    <t>Строительство участка ВЛИ-0,4 кВ от вновь установленной опоры вновь построенной ВЛИ-0,4 кВ от вновь установленной ТП-6/0,4 кВ по ВЛ-6 кВ №15 ПС 35 кВ Романовская (по договорам ТП №61-1-21-00567599 от 02.04.2021г, №61-1-21-00567577 от 02.04.2021г, №61-1-21-00567591 от 02.04.2021г, №61-1-21-00567603 от 02.04.2021г) и установка прибора коммерческого учета электрической энергии (мощности) в точке поставки для присоединения индивидуального жилого дома Овчаровой А.Ю., расположенного по адресу: Ростовская область, Волгодонской район, станица Романовская, ул. Шолохова, д. 12, к.н.з.у. 61:08:0600601:4985 (ориентировочная протяженность ЛЭП 0,025 км)</t>
  </si>
  <si>
    <t>Строительство участка ВЛИ-0,4 кВ от опоры №7 ВЛ 0,4 кВ №1 КТП 8333 ВЛ 6 кВ №14 ПС 35 кВ Романовская и установка прибора коммерческого учета электрической энергии (мощности) в точке поставки для присоединения жилого дома Мололкина А.П., расположенного по адресу: Ростовская область, Волгодонской район, станица Романовская, ул. Одесская, д. 22, к.н.з.у.: 61:08:0600601:3880 (ориентировочная протяженность ЛЭП 0,02 км)</t>
  </si>
  <si>
    <t>Строительство участка ВЛИ-0,4 кВ от РУ 0,4 кВ №2 КТП 8342 ВЛ 6 кВ №1 ПС 35 кВ Романовская и установка прибора коммерческого учета электрической энергии (мощности) в точке поставки для присоединения малоэтажной жилой застройки Гончаровой А.П., расположенной по адресу: Ростовская область, Волгодонской район, х. Парамонов, ул. Гагарина, д. 84, к.н.з.у.: 61:08:0070302:170 (ориентировочная протяженность ЛЭП 0,099 км)</t>
  </si>
  <si>
    <t>Строительство участка ВЛИ-0,4 кВ от опоры №10 ВЛ 0,4 кВ №1 КТП 8086 ВЛ 10 кВ №1 ПС 35 кВ Донская и установка прибора коммерческого учета электрической энергии (мощности) в точке поставки для присоединения нежилой застройки ИП Гаджиева Р.Х., расположенной по адресу: Ростовская область, Волгодонской район, п. Краснодонский, ул. Центральная, д. 12, к.н.з.у. 61:08:0060301:680 (ориентировочная протяженность ЛЭП 0,05 км)</t>
  </si>
  <si>
    <t>Строительство участка ВЛИ-0,4 кВ от опоры №18 ВЛИ 0,4 кВ №1 КТП 1509 ВЛ 10 кВ №5 ПС 35 кВ Лозновская и установка прибора коммерческого учета электрической энергии (мощности) в точке поставки для присоединения жилого дома Переверзева И.А., расположенного по адресу: Ростовская область, Цимлянский район, х. Лозной, ул. Грушевая, д. 28, к.н.з.у. 61:41:0600011:2007 (ориентировочная протяженность ЛЭП 0,03 км)</t>
  </si>
  <si>
    <t>Строительство участка ВЛИ-0,4 кВ от опоры №24 ВЛ 0,4 кВ №2 КТП 1355 ВЛ 10 кВ №5 ПС 110 кВ Искра и установка прибора коммерческого учета электрической энергии (мощности) в точке поставки для присоединения жилого дома Гончарова И.А., расположенного по адресу: Ростовская область, Цимлянский район, х. Паршиков, ул. Солнечная, д. 13а, к.н.з.у. 61:41:0050402:419 (ориентировочная протяженность ЛЭП 0,03 км)</t>
  </si>
  <si>
    <t>Строительство участка ВЛИ-0,4 кВ от опоры №2/5 ВЛ 0,4 кВ №1 КТП 1443 ВЛ 10 кВ №5 ПС 110 кВ Цимлянская и установка прибора коммерческого учета электрической энергии (мощности) в точке поставки для присоединения малоэтажной жилой застройки (индивидуального жилого дома/садового/дачного дома) Ивановой Е.А., расположенной по адресу: Ростовская область, Цимлянский район, п. Саркел, по юго-западной границе примыкает к земельному участку с к.н. 61:41:0011105:120, к.н.з.у. 61:41:0011105:169 (ориентировочная протяженность ЛЭП 0,03 км)</t>
  </si>
  <si>
    <t>Строительство участка ВЛИ-0,4 кВ от вновь установленной опоры вновь построенной ВЛИ-0,4 кВ от вновь установленной ТП-6/0,4 кВ по ВЛ-6 кВ №15 ПС 35 кВ Романовская (по договору ТП №61-1-21-00567599 от 02.04.2021г) и установка прибора коммерческого учета электрической энергии (мощности) в точке поставки для присоединения малоэтажной жилой застройки Каплиева Р.А., расположенной по адресу: Ростовская область, Волгодонской район, станица Романовская, ул. Шолохова, 18, к.н.з.у. 61:08:0600601:4991 (ориентировочная протяженность ЛЭП 0,025 км)</t>
  </si>
  <si>
    <t>Строительство участка ВЛИ-0,4 кВ от опоры №3/7 ВЛ 0,4 кВ №3 КТП 8109 ВЛ 10 кВ №5 ПС 35 кВ Виноградная и установка прибора коммерческого учета электрической энергии (мощности) в точке поставки для присоединения малоэтажной жилой застройки Ярцевой Е.Н., расположенной по адресу: Ростовская область, Волгодонской район, п. Победа, ул. Юбилейная, д. 1, к.н.з.у. 61:08:0060103:251 (ориентировочная протяженность ЛЭП 0,099 км)</t>
  </si>
  <si>
    <t>Строительство участка ВЛИ-0,4 кВ от опоры №5/4 ВЛ 0,4 кВ №3 КТП 8105 ВЛ 10 кВ №4 ПС 35 кВ Виноградная и установка прибора коммерческого учета электрической энергии (мощности) в точке поставки для присоединения малоэтажной жилой застройки Поляковой О.В., расположенной по адресу: Ростовская область, Волгодонской район, п. Виноградный, ул. Юбилейная, д. 14б, к.н.з.у. 61:08:0601301:546 (ориентировочная протяженность ЛЭП 0,03 км)</t>
  </si>
  <si>
    <t>Строительство участка ВЛИ-0,4 кВ от опоры №9 ВЛ 0,4 кВ №1 КТП 8176 ВЛ 10 кВ №1 ПС 35 кВ Донская и установка прибора коммерческого учета электрической энергии (мощности) в точке поставки для присоединения малоэтажной жилой застройки Зюбы А.Н., расположенной по адресу: Ростовская область, Волгодонской район, п. Краснодонский, ул. Южная, д. 11, к.н.з.у. 61:08:0600901:616 (ориентировочная протяженность ЛЭП 0,03 км)</t>
  </si>
  <si>
    <t>Строительство участка ВЛИ-0,4 кВ от опоры №5 ВЛ 0,4 кВ №3 КТП 8378 ВЛ 6 кВ №2 ПС 35 кВ Потаповская и установка прибора коммерческого учета электрической энергии (мощности) в точке поставки для присоединения малоэтажной жилой застройки Мериакри Т.А., расположенной по адресу: Ростовская область, Волгодонской район, х. Потапов, ул. Гагарина, 35А, к.н.з.у. 61:08:0040110:1432 (ориентировочная протяженность ЛЭП 0,088 км)</t>
  </si>
  <si>
    <t>Строительство участка ВЛИ-0,4 кВ от опоры №13 ВЛ 0,4 кВ №1 КТП 8534 ВЛ 6 кВ №11 ПС 35 кВ Шлюзовая и установка прибора коммерческого учета электрической энергии (мощности) в точке поставки для присоединения малоэтажной жилой застройки Андрющенко М.А., расположенной по адресу: Ростовская область, Волгодонской район, х. Лагутники, ул. Луговая, д. 19а, к.н.з.у. 61:08:0070209:406 (ориентировочная протяженность ЛЭП 0,07 км)</t>
  </si>
  <si>
    <t>Строительство ВЛИ-0,4 кВ от опоры №1 ВЛИ 0,4 кВ № 1 КТП 8523 ВЛ 6 кВ №1 ПС 35кВ Романовская и установка прибора коммерческого учета электрической энергии (мощности) в точке поставки для присоединения базовой станции Акционерное общество «ПБК»., расположенного по адресу: Ростовская обл, г. Волгодонск, ул. Отдыха, в 45 м от участка с кадастровым № 61:48:0020101:1855. (ориентировочная протяженность ЛЭП 0,080 км)</t>
  </si>
  <si>
    <t xml:space="preserve">Строительство участка ВЛИ-0,4 кВ от опоры №1/3 ВЛ-0,4 кВ №1 КТП-8379 ВЛ-6 кВ №2 ПС 35 кВ Потаповская и установка прибора коммерческого учета электрической энергии (мощности) в точке поставки, монтажом ответвления от ВЛИ к вводу, для присоединения жилого дома Сухоноса А.Ф., расположенного по адресу: Ростовская область, Волгодонской район, х. Потапов, ул. Комсомольская, д. 67а, к.н.з.у. 61:08:0040103:417 (ориентировочная протяженность ЛЭП 0,05 км)
</t>
  </si>
  <si>
    <t>Строительство участка ВЛИ-0,4 кВ от опоры №11 ВЛ 0,4 кВ №2 КТП 7390 ВЛ 10 кВ №4 ПС 35 кВ Николаевская и установка прибора коммерческого учета электрической энергии (мощности) в точке поставки для присоединения жилого дома Бордачевой Е.А., расположенного по адресу: Ростовская область, Константиновский район, станица Николаевская, ул. Максима Горького, д. 5, к.н.з.у. 61:17:050101:2107 (ориентировочная протяженность ЛЭП 0,06 км)</t>
  </si>
  <si>
    <t>Строительство участка ВЛИ-0,4 кВ от опоры №14 ВЛ 0,4 кВ №1 КТП 7035 ВЛ 10 кВ №2 ПС 35 кВ Нижне-Журавская и установка прибора коммерческого учета электрической энергии (мощности) в точке поставки для присоединения жилого дома Сумцова В.П., расположенного по адресу: Ростовская область, Константиновский район, х. Авилов, ул. Садовая, д. 43, к.н.з.у. 61:17:0020101:290 (ориентировочная протяженность ЛЭП 0,045 км)</t>
  </si>
  <si>
    <t>Строительство участка ВЛИ-0,4 кВ от опоры №1/3 ВЛИ 0,4 кВ №1 КТП 7215 ВЛ 10 кВ №24 ПС 110 кВ КГУ и установка прибора коммерческого учета электрической энергии (мощности) в точке поставки, с монтажом ответвления от ВЛИ к вводу, для присоединения дома отдыха ИП Кравченко Н.М, расположенного по адресу: Ростовская область, Константиновский район, г. Константиновск, ул. Правобережная, д. 23Д, к.н.з.у.: 61:17:0600017:852 (ориентировочная протяженность ЛЭП 0,085 км)</t>
  </si>
  <si>
    <t>Строительство участка ВЛИ-0,4 кВ от опоры №1/1 ВЛ 0,4 кВ №2 КТП 7191 ВЛ 10 кВ №24 ПС 110 кВ КГУ и установка прибора коммерческого учета электрической энергии (мощности) в точке поставки для присоединения жилого дома Осипян К.Г., расположенного по адресу: Ростовская область, Константиновский район, х. Ведерников, ул. Донская, д. 15А, к.н.з.у. 61:17:0000000:7792 (ориентировочная протяженность ЛЭП 0,09 км)</t>
  </si>
  <si>
    <t xml:space="preserve">Строительство участка ВЛИ-0,4 кВ от опоры №2/3 ВЛ 0,4 кВ №3 КТП 7163 ВЛ 10 кВ №5 ПС 35 кВ Савельевская и установка прибора коммерческого учета электрической энергии (мощности) в точке поставки для присоединения жилого дома Дементьевой О.А., расположенного по адресу: Ростовская область, Константиновский район, х. Гапкин, ул. Центральная, д. 34, к.н.з.у. 61:17:0040101:766 (ориентировочная протяженность ЛЭП 0,023 км)
</t>
  </si>
  <si>
    <t>Строительство участка ВЛИ-0,4 кВ от опоры №3/4 ВЛ 0,4 кВ №4 КТП 6102 ВЛ 10 кВ №6 ПС 110 кВ Мартыновская и установка прибора коммерческого учета электрической энергии (мощности) в точке поставки для присоединения жилого дома Сураилиди В.Я., расположенного по адресу: Ростовская область, Мартыновский район, х. Арбузов, ул. Краснопартизанская, д. 10-а, к.н.з.у. 61:20:0080201:2687 (ориентировочная протяженность ЛЭП 0,025 км)</t>
  </si>
  <si>
    <t>Строительство участка ВЛИ-0,4 кВ от опоры №13 ВЛ 0,4 кВ №3 КТП-5420 ВЛ 10 кВ №9 ПС 35 кВ Федосеевская и установка прибора коммерческого учета электрической энергии (мощности) в точке поставки для присоединения жилого дома Ташуевой Л.Г, расположенного по адресу: Ростовская область Заветинский район, х. Воротилов, ул. Зеленая, д. 4, к.н.з.у. 61:11:0070201:13 (ориентировочная протяженность ЛЭП 0,017 км)</t>
  </si>
  <si>
    <t>Строительство ВЛИ-0,4 кВ от РУ 0,4 кВ КТП-5546 ВЛ 10 кВ №9 ПС 35 кВ Отары и установка прибора коммерческого учета электрической энергии (мощности) в точке поставки для присоединения артезианской скважины Администрации Заветинского района Ростовской области, расположенной по адресу: Ростовская область, Заветинский район, х. Савдя, к.н.з.у. 61:11:0060101:1725 (ориентировочная протяженность ЛЭП 0,04 км)</t>
  </si>
  <si>
    <t>Строительство участка ВЛИ-0,4 кВ от опоры №2 ВЛ-0,4 кВ №1 КТП-5237 ВЛ 10 кВ №9 ПС 35 кВ Отары и установка прибора коммерческого учета электрической энергии (мощности) в точке поставки для присоединения буровой на воду скважины Администрации Заветинского района Ростовской области, расположенной по адресу: Ростовская область, Заветинский район, х. Савдя, пер. Школьный, д. 1а, к.н.з.у. 61:11:0060101:1512 (ориентировочная протяженность ЛЭП 0,04 км)</t>
  </si>
  <si>
    <t>Строительство ВЛИ-0,4 кВ от РУ-0,4 кВ  вновь установленной ТП-10/0,4 кВ  ВЛ-10 кВ №5 ПС 35 кВ Лозновская (по договору №61-1-20-00547475 от 26.11.2020г), с установкой шкафа 0,4 кВ, и  обеспечение коммерческим учетом электрической энергии (мощности) в точках поставки по присоединению стройцеха ИП  Камбур-Оглы И.Б., расположенного по адресу: РО, Цимлянский район, п. Сосенки,  ул. Центральная, д. 58, к.н.з.у. 61:41:0600011:122 (ориентировочная протяженность ЛЭП 0,39 км)</t>
  </si>
  <si>
    <t>Строительство участка ВЛИ-0,4 кВ от опоры №6 ВЛ 0,4 кВ №3 КТП 1381 ВЛ 10 кВ №5 ПС 35 кВ Лозновская и установка прибора коммерческого учета электрической энергии (мощности) в точке поставки для присоединения жилого дома Алиева П.И.о., расположенного по адресу: Ростовская область, Цимлянский район, п. Дубравный, ул. Дальняя, д. 1-б, к.н.з.у. 61:41:0030404:307 (ориентировочная протяженность ЛЭП 0,03 км)</t>
  </si>
  <si>
    <t>Строительство участка ВЛИ-0,4 кВ от опоры №2/9 ВЛИ 0,4 кВ №2 КТП-1509 ВЛ 10 кВ №5 ПС 35 кВ Лозновская и установка прибора коммерческого учета электрической энергии (мощности) в точке поставки для присоединения жилого дома Бочарова В.В., расположенного по адресу: Ростовская область, Цимлянский район, х. Лозной, ул. Абрикосовая, д. 60, к.н.з.у. 61:41:0600011:1063 (ориентировочная протяженность ЛЭП 0,04 км)</t>
  </si>
  <si>
    <t>Строительство участка ВЛИ-0,4 кВ от опоры №1/1 ВЛ 0,4 кВ №2 КТП 1629 ВЛ 10 кВ №17 ПС 110 кВ Цимлянская и установка прибора коммерческого учета электрической энергии (мощности) в точке поставки, с монтажом ответвления от ВЛИ к вводу, для присоединения объекта наружного освещения Администрации Красноярского сельского поселения, расположенного по адресу: Ростовская область, Цимлянский район, станица Красноярская, ул. Спортивная, земельный участок 1а, к.н.з.у.: 61:41:0020128:539 (ориентировочная протяженность ЛЭП 0,04 км)</t>
  </si>
  <si>
    <t>Строительство участка ВЛИ-0,4 кВ от опоры №1/3 ВЛ 0,4 кВ №1 КТП 1366 ВЛ 10 кВ №1 ПС 35 кВ ЖБИ и установка прибора коммерческого учета электрической энергии (мощности) в точке поставки для присоединения малоэтажной жилой застройки Следневой О.О., расположенной по адресу: Ростовская область, Цимлянский район, станица Красноярская, ул. Набережная, д. 19, к.н.з.у. 61:41:0020113:837 (ориентировочная протяженность ЛЭП 0,03 км)</t>
  </si>
  <si>
    <t>Строительство участка ВЛИ-0,4 кВ от опоры №1/22 ВЛ 0,4 кВ №2 КТП-1372 ВЛ 10 кВ №17 ПС 110 кВ Цимлянская и установка прибора коммерческого учета электрической энергии (мощности) в точке поставки для присоединения жилого дома Левченко Л.А., расположенного по адресу: Ростовская область, Цимлянский район, станица Красноярская, пер. Западный, д. 32, к.н.з.у. 61:41:0020123:118 (ориентировочная протяженность ЛЭП 0,22 км)</t>
  </si>
  <si>
    <t>Строительство участка ВЛИ-0,4 кВ от опоры №1 ВЛ-0,4 кВ №1 КТП-3378 ВЛ 10 кВ №4 ПС 110 кВ Малая Лучка и установка прибора коммерческого учета электрической энергии (мощности) в точке поставки для присоединения жилого дома Шерстюк Т.Б., расположенного по адресу: Ростовская область, Дубовский район, х. Алдабульский, ул. Морская, д. 10, к.н.з.у. 61:09:0600002:1412 (ориентировочная протяженность ЛЭП 0,34 км)</t>
  </si>
  <si>
    <t>Строительство участка ВЛИ-0,4 кВ от опоры №15 ВЛ-0,4 кВ №3 КТП 2448 ВЛ-10 кВ №5 ПС 35 кВ Улановская и установка прибора коммерческого учета электрической энергии (мощности) в точке поставки для присоединения базовой станции сотовой связи БС-2769 ООО «Т2 Мобайл», расположенной по адресу: Ростовская область, Зимовниковский район, п. Красностепной, ул. Школьная, д. 10а, к.н.з.у. 61:13:0100108 (ориентировочная протяженность ЛЭП 0,03 км)</t>
  </si>
  <si>
    <t>Строительство участка ВЛИ-0,4 кВ от опоры №1 ВЛ-0,4 кВ №1 КТП 8002 ВЛ 10 кВ №1 ПС 35 кВ Рябичевская и установка прибора коммерческого учета электрической энергии (мощности) в точке поставки для присоединения производственного здания Гейдарова С.А.о., расположенного по адресу: Ростовская область, Волгодонской район, х. Рябичев, 250 м западнее ж.д. №43 ул. Юбилейная, х. Рябичев, к.н.з.у. 61:08:0600501:384 (ориентировочная протяженность ЛЭП 0,025 км)</t>
  </si>
  <si>
    <t>Строительство ВЛИ-0,4 кВ от РУ 0,4 кВ КТП 7181 ВЛ 10 кВ №24 ПС 110 кВ КГУ и установка прибора коммерческого учета электрической энергии (мощности) в точке поставки, с монтажом ответвления от ВЛИ к вводу, для присоединения объекта туристической отрасли (гостиница, база отдыха, гостевой дом, прочее) ИП Задорожной Т.А., расположенного по адресу: Ростовская область, Константиновский район, г. Константиновск, ул. Правобережная, д. 1-а, к.н.з.у.: 61:17:0010225:29 (ориентировочная протяженность ЛЭП 0,03 км)</t>
  </si>
  <si>
    <t>Строительство участка ВЛИ-0,4 кВ от опоры №10 ВЛ 0,4 кВ №1 КТП 7132 ВЛ 10 кВ №21 ПС 110 кВ КГУ и установка прибора коммерческого учета электрической энергии (мощности) в точке поставки, с монтажом ответвления от ВЛИ к вводу, для присоединения здания магазина ИП Лапкиной М.В., расположенного по адресу: Ростовская область, Константиновский район, х. Камышный, ул. Мира, д. 10, к.н.з.у.: 61:17:0030201:201 (ориентировочная протяженность ЛЭП 0,025 км)</t>
  </si>
  <si>
    <t>Строительство участка ВЛИ-0,4 кВ от опоры №3 ВЛ-0,4 кВ №3 КТП-7174 по ВЛ 10 кВ №2 ПС 35 кВ Савельевская и установка прибора коммерческого учета электрической энергии (мощности) в точке поставки для присоединения жилого дома Коренева С.А., расположенного по адресу: Ростовская область, Константиновский район, х. Савельев, ул. Степная,  д. 4/1, кадастровый номер земельного участка 61:17:0040501:339 (ориентировочная протяженность ЛЭП 0,25 км)</t>
  </si>
  <si>
    <t xml:space="preserve">Строительство участка ВЛИ-0,4 кВ от опоры №3/12 ВЛ 0,4 кВ №1 КТП 7149 ВЛ 10 кВ №3 ПС 35 кВ Богоявленская и установка прибора коммерческого учета электрической энергии (мощности) в точке поставки для присоединения жилого дома Рулловой Н.В., расположенного по адресу: Ростовская область, Константиновский район, станица Богоявленовская, 
ул. Садовая, д. 1, к.н.з.у. 61:17:0030101:995 (ориентировочная протяженность ЛЭП 0,063 км)»
</t>
  </si>
  <si>
    <t>Строительство участка ВЛИ-0,4 кВ от вновь установленной опоры вновь построенного участка ВЛИ-0,4 кВ от опоры №13 ВЛИ 0,4 кВ №1 ЗТП 7218 ВЛ 10 кВ №26 ПС 110 кВ КГУ (по договору ТП № 61-1-21-00608213 от 25.10.2021г.) и установка прибора коммерческого учета электрической энергии (мощности) в точке поставки для присоединения административно-бытового здания ИП Арутюняна А.Л., расположенного по адресу: Ростовская область, Константиновский район, Константиновское городское поселение, 0,2 км восточнее х. Ведерников, к.н.з.у. 61:17:0600017:837 (ориентировочная протяженность ЛЭП 0,26 км)</t>
  </si>
  <si>
    <t>Строительство участка ВЛИ-0,4 кВ от опоры №20 ВЛ 0,4 кВ №2 КТП 7156 ВЛ 10 кВ №7 ПС 35 кВ Богоявленская и установка прибора коммерческого учета электрической энергии (мощности) в точке поставки для присоединения дачного дома Борисова Г.М., расположенного по адресу: Ростовская область, Константиновский район, станица Богоявленская, ул. Парковая, д. 64а, к.н.з.у. 61:17:0030101:2549 (ориентировочная протяженность ЛЭП 0,035 км)</t>
  </si>
  <si>
    <t>Строительство ВЛИ-0,4 кВ от РУ-0,4 кВ КТП-7013 ВЛ 10 кВ №15 ПС 110 кВ Константиновская и установка прибора коммерческого учета электрической энергии (мощности) в точке поставки для присоединения складского здания /помещения ООО «Костины Горы», расположенного по адресу: Ростовская область, Константиновский район, х. Костино-Горский, в 15 км от г. Константиновска по направлению на северо-запад, к.н.з.у. 61:17:0600010:1366 (ориентировочная протяженность ЛЭП 0,022 км)</t>
  </si>
  <si>
    <t>Строительство участка ВЛИ-0,4 кВ от опоры №2 ВЛ 0,4 кВ №1 КТП 5320 ВЛ 10 кВ №5 ПС 35 кВ Никольская и установка прибора коммерческого учета электрической энергии (мощности) в точке поставки для присоединения жилого дома Багаева С-У.А., расположенного по адресу: Ростовская область, Заветинский район, х. Фрунзе, ул. Майская, д. 10, к.н.з.у. 61:11:0050401:80 (ориентировочная протяженность ЛЭП 0,3 км)</t>
  </si>
  <si>
    <t>Строительство ВЛИ-0,4 кВ от РУ-0,4 кВ КТП 5020 ВЛ 10 кВ №13 ПС 110 кВ Заветинская и установка прибора коммерческого учета электрической энергии (мощности) в точке поставки для присоединения нежилого здания ИП главы К(Ф)Х Беденко Е.А., расположенного по адресу: Ростовская область, Заветинский район, с. Заветное, к.н.з.у. 61:11:0600005:1259 (ориентировочная протяженность ЛЭП 0,547 км)</t>
  </si>
  <si>
    <t>Строительство участка ВЛИ-0,4 кВ от опоры №1/1 ВЛ 0,4 кВ №2 КТП 3202 ВЛ 10 кВ №2 ПС 35 кВ Комиссаровская и установка прибора коммерческого учета электрической энергии (мощности) в точке поставки для присоединения малоэтажной жилой застройки (Индивидуального жилого дома/Садового/Дачного дома) Кукса Н.Н., расположенной по адресу: Ростовская область, Дубовский район, х. Сиротский, ул. Центральная, д. 19, кв. 1, к.н.з.у. 61:09:0090101:1923 (ориентировочная протяженность ЛЭП 0,3 км)</t>
  </si>
  <si>
    <t>Строительство участка ВЛИ-0,4 кВ от опоры №6 ВЛ 0,4 кВ №2 КТП 1602 ВЛ 10 кВ №1 ПС 35 кВ Антоновская и установка прибора коммерческого учета электрической энергии (мощности) в точке поставки для присоединения жилого дома Коваленко М.В., расположенного по адресу: Ростовская область, Цимлянский район, станица Терновская, пер. Весенний, д. 13/13, к.н.з.у. 61:41:0060304:13 (ориентировочная протяженность ЛЭП 0,3 км)</t>
  </si>
  <si>
    <t>Строительство участка ВЛИ-0,4 кВ от опоры №4 ВЛ 0,4 кВ №2 КТП-1681 ВЛ 10 кВ №5 ПС 35 кВ Лозновская и установка прибора коммерческого учета электрической энергии (мощности) в точке поставки для присоединения жилого дома Деревянко Н.Л., расположенного по адресу: Ростовская область, Цимлянский район, п. Дубравный, ул. Заречная, д. 2а, к.н.з.у. 61:41:030404:0065 (ориентировочная протяженность ЛЭП 0,12 км)</t>
  </si>
  <si>
    <t>Строительство ВЛИ-0,4 кВ от РУ-0,4 кВ КТП 1559 ВЛ 10 кВ №5 РП 10 кВ Маркинская ПС 110 кВ Черкассы и установка прибора коммерческого учета электрической энергии (мощности) в точке поставки, с монтажом ответвления от ВЛИ к вводу, для присоединения зерносклада ИП главы К(Ф)Х Попова И.Н., расположенного по адресу: Ростовская область, Морозовский район, западнее х. Великанов, в 300 м от ул. Великанова, 15, к.н.з.у.: 61:24:0600021:668 (ориентировочная протяженность ЛЭП 0,090 км)</t>
  </si>
  <si>
    <t>Строительство участка ВЛИ-0,4 кВ от опоры №3 ВЛ 0,4 кВ №3 КТП 1441 ВЛ 10 кВ №6 РП 10 кВ Маркинская ПС 110 кВ Черкассы и установка прибора коммерческого учета электрической энергии (мощности) в точке поставки, с монтажом ответвления от ВЛИ к вводу, для присоединения антенно-мачтового сооружения 61-14485 АО «Первая Башенная Компания», расположенного по адресу: Ростовская область, Цимлянский район, станица Маркинская, ул. Социалистическая, участок в 70 м на юг от дома №10, площадью 25 м2  в кадастровом квартале 61:41:0050108 (ориентировочная протяженность ЛЭП 0,03 км)</t>
  </si>
  <si>
    <t xml:space="preserve">Строительство участка ВЛИ-0,4 кВ от опоры №1 ВЛ-0,4 кВ №4 КТП-6624/400 кВА ВЛ-6 кВ №6 ПС 110/35/6 кВ Обливная, с установкой шкафа 0,4 кВ, и  обеспечение коммерческим учетом электрической энергии (мощности) в точке поставки по присоединению нежилого здания (коровника двухрядного) ИП главы К(Ф)Х Ахмедова А.Н., расположенного по адресу: Ростовская область, Мартыновский район, х. Лесной, примерно в 340 м по направлению на юго-восток от земельного участка х. Лесной ул. Центральная, д. 2-а, кадастровый номер земельного участка 61:20:0060401:3133 (ориентировочная протяженность ЛЭП 0,299 км) </t>
  </si>
  <si>
    <t>Строительство участка ВЛИ-0,4 кВ от опоры №24 ВЛ 0,4 кВ №1 КТП 6167 ВЛ 10 кВ №4 ПС 110 кВ Несмеяновская и установка прибора коммерческого учета электрической энергии (мощности) в точке поставки для присоединения водонапорной скважины МУП ЖКХ «Мартыновское» Мартыновского района, расположенной по адресу: Ростовская область, Мартыновский район, х. Несмеяновка, ул. Несмеяновская, д. 122, к.н.з.у. 61:20:0070701:1718 (ориентировочная протяженность ЛЭП 0,27 км)</t>
  </si>
  <si>
    <t>Строительство ВЛИ-0,4 кВ от РУ 0,4 кВ КТП 6010 ВЛ 6 кВ №6 ПС 110 кВ НС-1 и установка прибора коммерческого учета электрической энергии (мощности) в точке поставки для присоединения зернотока ИП Миненка А.Д., расположенного по адресу: Ростовская область, Мартыновский район, х. Ильинов, примерно в 85 м от автодороги подъезд к х. Веселый и профильной дороги по направлению на северо-восток, к.н.о. 61:20:0040101:3973 (ориентировочная протяженность ЛЭП 0,05 км)</t>
  </si>
  <si>
    <t>Строительство участка ВЛИ-0,4 кВ от опоры №3/5 ВЛИ-0,4 кВ №2 КТП-6484 ВЛ-10 кВ №1 ПС 35 кВ Рассвет и установка прибора коммерческого учета электрической энергии (мощности) в точке поставки, монтажом ответвления от ВЛИ к вводу, для присоединения склада ИП Лозового И.Ф., расположенного по адресу: Ростовская область, Мартыновский район, п. Абрикосовый, к.н.з.у. 61:20:0020201:1594 (ориентировочная протяженность ЛЭП 0,05 км)</t>
  </si>
  <si>
    <t>Строительство участка ВЛИ-0,4 кВ от опоры №7 ВЛ 0,4 кВ №1 КТП 6402 ВЛ 10 кВ №3 ПС 110 кВ Комаровская и установка прибора коммерческого учета электрической энергии (мощности) в точке поставки для присоединения гаража Воробьева П.Н., расположенного по адресу: Ростовская область, Мартыновский район, слобода Большая Орловка, ул. Строительная, 7, к.н.з.у. 61:20:0020101:1235 (ориентировочная протяженность ЛЭП 0,015 км)</t>
  </si>
  <si>
    <t>Строительство участка ВЛИ-0,4 кВ от опоры №14 ВЛ 0,4 кВ №1 КТП 6085 ВЛ 10 кВ №12 ПС 110 кВ Мартыновская и установка прибора коммерческого учета электрической энергии (мощности) в точке поставки для присоединения административного/офисного здания ИП Ермоченко В.Н., расположенного по адресу: Ростовская область, Мартыновский район, х. Засальский, ул. Ленина, д. 69, к.н.з.у. 61:20:0080301:376 (ориентировочная протяженность ЛЭП 0,18 км</t>
  </si>
  <si>
    <t>Строительство участка ВЛИ-0,4 кВ от опоры №8 ВЛИ 0,4 кВ №1 СТП 8317 ВЛ 6 кВ №1 ПС 35 кВ Романовская и установка прибора коммерческого учета электрической энергии (мощности) в точке поставки для присоединения садового дома Цыбульняк Н.П., расположенного по адресу: Ростовская область, г. Волгодонск, ул. Отдыха, д. 37б22, к.н.з.у. 61:48:0020101:1848 (ориентировочная протяженность ЛЭП 0,03 км)</t>
  </si>
  <si>
    <t>Строительство участка ВЛИ-0,4 кВ от опоры №18 ВЛ-0,4 кВ №1 КТП 8499 ВЛ 6 кВ №7 ПС 35 кВ Романовская и установка прибора коммерческого учета электрической энергии (мощности) в точке поставки для присоединения дачного дома Уткиной Н.Ю., расположенного по адресу: Ростовская область, Волгодонской район, станица Романовская, сдт. «Энергетик», к.н.з.у. 61:08:0600601:2353 (ориентировочная протяженность ЛЭП 0,175 км)</t>
  </si>
  <si>
    <t>Строительство участка ВЛИ-0,4 кВ от опоры №15 ВЛ 0,4 кВ №1 КТП 8608 ВЛ 6 кВ №14 ПС 35 кВ Романовская и установка прибора коммерческого учета электрической энергии (мощности) в точке поставки, с монтажом ответвления от ВЛИ к вводу, для присоединения дачного дома Недовис С.Н., расположенного по адресу: Ростовская область, Волгодонской район, сдт. Энергетик, к.н.з.у.: 61:08:0600601:1969 (ориентировочная протяженность ЛЭП 0,099 км)</t>
  </si>
  <si>
    <t>Строительство участка ВЛИ-0,4 кВ от опоры №15 ВЛ 0,4 кВ №1 КТП 8608 ВЛ 6 кВ №14 ПС 35 кВ Романовская и установка прибора коммерческого учета электрической энергии (мощности) в точке поставки, с монтажом ответвления от ВЛИ к вводу, для присоединения малоэтажной жилой застройки (индивидуальный жилой дом/садовый/дачный дом) Бакунца К.П., расположенного по адресу: Ростовская область, Волгодонской район, станица Романовская, сдт. Энергетик, к.н.з.у.: 61:08:0600601:2011 (ориентировочная протяженность ЛЭП 0,16 км)</t>
  </si>
  <si>
    <t>Строительство участка ВЛИ-0,4 кВ от опоры №1 ВЛ 0,4 кВ №1 КТП 7001 ВЛ 10 кВ №15 ПС 110 кВ Константиновская и установка прибора коммерческого учета электрической энергии (мощности) в точке поставки для присоединения подкачивающей станции воды с насосом подводящего водопровода к объекту: «Строительство инновационной молочной фермы» АО «Донское молоко», расположенной по адресу: Ростовская область, Константиновский район, г. Константиновск, АО «Ленинский путь», АО «Холмистое», поле 11, к.н.з.у. 61:17:0600010:3225 (ориентировочная протяженность ЛЭП 0,073 км)</t>
  </si>
  <si>
    <t>Строительство участка ВЛИ-0,4 кВ от опоры №3 ВЛ 0,4 кВ №1 КТП 2304 ВЛ 10 кВ №1 ПС 110 кВ Глубокинская и установка прибора коммерческого учета электрической энергии (мощности) в точке поставки, с монтажом ответвления от ВЛИ к вводу, для присоединения антенно-мачтового сооружения 61-14998 АО «Первая Башенная Компания», расположенного по адресу: Ростовская область, Зимовниковский район,  х. Глубокий, ул. Садовая, вблизи д. 27 (ориентировочная протяженность ЛЭП 0,025 км)</t>
  </si>
  <si>
    <t>Строительство участка ВЛИ-0,4 кВ от опоры №5/2 ВЛИ 0,4 кВ №2 КТП 8493 ВЛ 6 кВ №5 ПС 35 кВ Романовская и установка прибора коммерческого учета электрической энергии (мощности) в точке поставки для присоединения объекта торговли (магазин, торговый центр, прочее) ИП Рыжкиной Е.А., расположенного по адресу: Ростовская область, Волгодонской район, станица Романовская, пер. Кожанова, д. 32, к.н.з.у. 61:08:0070105:19 (ориентировочная протяженность ЛЭП 0,06 км)</t>
  </si>
  <si>
    <t>Строительство участка ВЛИ-0,4 кВ от опоры №9 ВЛ-0,4 кВ №2 КТП-8607 ВЛ-6 кВ №1 ПС 35 кВ Романовская и установка прибора коммерческого учета электрической энергии (мощности) в точке поставки, монтажом ответвления от ВЛИ к вводу, для присоединения объекта наружного освещения Самохина В.М., расположенного по адресу: Ростовская область, г. Волгодонск, ул. Отдыха, д. 31в, к.н.з.у.: 61:48:0020101:1862 (ориентировочная протяженность ЛЭП 0,02 км)</t>
  </si>
  <si>
    <t>Строительство участка ВЛИ-0,4 кВ от вновь установленной опоры вновь построенной ВЛИ-0,4 кВ от опоры №12 ВЛИ 0,4 кВ №2 КТП 8608 ВЛ 6 кВ №14 ПС 35 кВ Романовская (по договору ТП №61-1-22-00666289 от 06.09.2022г.) и установка прибора коммерческого учета электрической энергии (мощности) в точке поставки, с монтажом ответвления от ВЛИ к вводу, для присоединения малоэтажной жилой застройки Астафьевой Е.В., расположенной по адресу: Ростовская область, Волгодонской район, станица Романовская, ул. 75 лет Победы, д. 84, к.н.з.у.: 61:08:0600601:5296 (ориентировочная протяженность ЛЭП 0,05 км)</t>
  </si>
  <si>
    <t>Строительство участка ВЛИ-0,4 кВ от опоры №1/6 ВЛ 0,4 кВ №2 КТП 8389 ВЛ 6 кВ №6 ПС 35 кВ Потаповская и установка прибора коммерческого учета электрической энергии (мощности) в точке поставки для присоединения малоэтажной жилой застройки Поболь А.Л., расположенной по адресу: Ростовская область, Волгодонской район, х. Потапов, ул. Юбилейная, д. 18Е, к.н.з.у. 61:08:0040110:1448 (ориентировочная протяженность ЛЭП 0,025 км)</t>
  </si>
  <si>
    <t>Строительство участка ВЛИ-0,4 кВ от опоры №28 ВЛ-0,4 кВ №1 КТП-8044 ВЛ-10 кВ №11 ПС 35 кВ Рябичевская и установка прибора коммерческого учета электрической энергии (мощности) в точке поставки, монтажом ответвления от ВЛИ к вводу, для присоединения объекта крестьянского (фермерского) хозяйства ИП Вифлянцева В.П., расположенного по адресу: Ростовская область, Волгодонской район, 2750 м северо-западнее, 1550 м юго-западнее, 1350 м юго-восточнее дома №11 ул. Северина х. Ясырев, к.н.з.у.: 61:08:0601601:1069  (ориентировочная протяженность ЛЭП 0,2 км)</t>
  </si>
  <si>
    <t xml:space="preserve">Строительство ВЛИ-0,4 кВ от РУ-0,4 кВ КТП-7001/160 кВА ВЛ-10 кВ №15 ПС 110/35/10 кВ Константиновская, с установкой шкафа 0,4 кВ, и  обеспечение коммерческим учетом электрической энергии (мощности) в точке поставки по присоединению жилого дома Политюк Д.Ю., расположенного по адресу: Ростовская область, Константиновский район, садоводческое товарищество «Зимовное» земельный участок №2, кадастровый номер земельного участка: 61:17:0500301:4 (ориентировочная протяженность ЛЭП 0,705 км)»
</t>
  </si>
  <si>
    <t>Строительство участка ВЛИ-0,4 кВ от опоры №15 ВЛ 0,4 кВ №3 КТП 6198 ВЛ 10 кВ №6 ПС 110 кВ Мартыновская и установка прибора коммерческого учета электрической энергии (мощности) в точке поставки для присоединения административного/офисного здания ИП Ермакова Н.Ю., расположенного по адресу: Ростовская область, Мартыновский район, х. Кривой Лиман, северо-западнее х. Кривой Лиман, к.н.з.у. 61:20:0600020:2195 (ориентировочная протяженность ЛЭП 0,18 км)</t>
  </si>
  <si>
    <t>Строительство ВЛИ-0,4 кВ от РУ 0,4 кВ КТП 4198 по ВЛ 10 кВ №7 ПС 110 кВ Приволенская и установка прибора коммерческого учета электрической энергии (мощности) в точке поставки для присоединения жилого дома Умиевой И.С., расположенного по адресу: Ростовская область, Ремонтненский район, п. Привольный, ул. Прудовая, д. 5, к.н.о. 61:61:17/022/2008-028, к.н.з.у.: 61:32:100101:3 (ориентировочная протяженность ЛЭП 0,37 км)</t>
  </si>
  <si>
    <t>Строительство участка ВЛИ-0,4 кВ от опоры №18 ВЛ-0,4 кВ №1 КТП 4231 ВЛ 10 кВ №7 ПС 35 кВ Киевская и установка прибора коммерческого учета электрической энергии (мощности) в точке поставки для присоединения жилого дома Сулейманова М.М., расположенного по адресу: Ростовская область, Ремонтненский район, х. Раздольный, ул. Центральная, д.1, к.н.о.: 61:32:0050201:198, к.н.з.у. 61:32:0050201:198 (ориентировочная протяженность ЛЭП 0,41 км)</t>
  </si>
  <si>
    <t>Строительство участка ВЛИ-0,4 кВ от опоры №13 ВЛИ-0,4 кВ №1 КТП 7046 ВЛ 10 кВ №2 ПС 35 кВ Нижне-Журавская и установка прибора коммерческого учета электрической энергии (мощности) в точке поставки, с монтажом ответвления от ВЛИ к вводу, для присоединения малоэтажной жилой застройки (индивидуальный жилой дом/садовый/дачный дом) Угрюмова В.Е., расположенной по адресу: Ростовская область, Константиновский район, х. Хрящевский, ул. Набережная, д. 3, к.н.з.у.: 61:17:0020601:1279 (ориентировочная протяженность ЛЭП 0,05 км)</t>
  </si>
  <si>
    <t>Строительство ВЛИ-0,4 кВ от РУ-0,4 кВ КТП 4448 ВЛ 10 кВ №7 ПС 35 кВ Краснопартизанская и установка прибора коммерческого учета электрической энергии (мощности) в точке поставки, с монтажом ответвления от ВЛИ к вводу, для присоединения склада для сельскохозяйственной продукции ИП главы К(Ф)Х Кайнурова А.К., расположенного по адресу: Ростовская область, Ремонтненский район, Краснопартизанское сельское поселение, пашня поле №129 в 4,4 км на юго-восток от п. Краснопартизанский, пастбища отварный участок №13 в 4,5 км на юго-восток от п. Краснопартизанский, к.н.з.у.: 61:32:0600007:8347 (ориентировочная протяженность ЛЭП 0,06 км)</t>
  </si>
  <si>
    <t>Строительство участка ВЛИ-0,4 кВ от опоры №15 ВЛИ 0,4 кВ №1 КТП 8607 ВЛ 6 кВ №1 ПС 35 кВ Романовская и установка прибора коммерческого учета электрической энергии (мощности) в точке поставки, с монтажом ответвления от ВЛИ к вводу, для присоединения малоэтажной жилой застройки (Индивидуальный жилой дом/Садовый/Дачный дом) Кучерявина Д.Н., расположенной по адресу: Ростовская область, г. Волгодонск, ул. Отдыха, д. 39в34, к.н.з.у.: 61:48:0020101:1821 (ориентировочная протяженность ЛЭП 0,04 км)</t>
  </si>
  <si>
    <t>Строительство участка ВЛИ-0,4 кВ от опоры №2/5 ВЛИ 0,4 кВ №2 КТП 8525 ВЛ 10 кВ №16 ПС 110 кВ ВдПТФ и установка прибора коммерческого учета электрической энергии (мощности) в точке поставки, с монтажом ответвления от ВЛИ к вводу, для присоединения малоэтажной жилой застройки (Индивидуальный жилой дом/Садовый/Дачный дом) Казаченко А.С., расположенной по адресу: Ростовская область, Волгодонской район, х. Мокросоленый, ул. Луговая, д. 3, к.н.з.у.: 61:08:0602001:260 (ориентировочная протяженность ЛЭП 0,04 км)</t>
  </si>
  <si>
    <t>Строительство участка ВЛИ-0,4 кВ от вновь установленной опоры вновь построенного участка ВЛИ-0,4 кВ от опоры №1/7 ВЛИ 0,4 кВ №1 КТП 8343 ВЛ 6 кВ №14 ПС 35 кВ Романовская (по договору ТП от 14.02.2023 №61-1-23-00687257) и установка прибора коммерческого учета электрической энергии (мощности) в точке поставки, с монтажом ответвления от ВЛИ к вводу, для присоединения жилого дома Пономаревой Е.Э., расположенного по адресу: Ростовская область, Волгодонской район, станица Романовская, ул. Язева, д. 66, к.н.з.у.: 61:08:0600601:5204 (ориентировочная протяженность ЛЭП 0,04 км)</t>
  </si>
  <si>
    <t>Строительство участка ВЛИ-0,4 кВ от опоры №1/7 ВЛИ 0,4 кВ №1 КТП 8343 ВЛ 6 кВ №14 ПС 35 кВ Романовская и установка прибора коммерческого учета электрической энергии (мощности) в точке поставки, с монтажом ответвления от ВЛИ к вводу, для присоединения жилого дома Мисина Д.А., расположенного по адресу: Ростовская область, Волгодонской район, станица Романовская, ул. Язева, д. 63, к.н.з.у.: 61:08:0600601:5210 (ориентировочная протяженность ЛЭП 0,09 км)</t>
  </si>
  <si>
    <t>Строительство участка ВЛИ-0,4 кВ от опоры №22 ВЛ 0,4 кВ №1 КТП 6092 ВЛ 10 кВ №12 ПС 110 кВ Мартыновская и установка прибора коммерческого учета электрической энергии (мощности) в точке поставки для присоединения малоэтажной жилой застройки (индивидуального жилого дома/садового/дачного дома) Черкашина Г.Г., расположенного по адресу: Ростовская область, Мартыновский район, х. Новониколаевский, ул. Центральная, д. 6, корп. б, к.н.з.у. 61:20:0000000:3247 (ориентировочная протяженность ЛЭП 0,13 км)</t>
  </si>
  <si>
    <t>Строительство участка ВЛИ-0,4 кВ от опоры №36 ВЛ 0,4 кВ №1 КТП 8330 ВЛ 6 кВ №1 ПС 35 кВ Романовская и установка прибора коммерческого учета электрической энергии (мощности) в точке поставки, с монтажом ответвления от ВЛИ к вводу, для присоединения малоэтажной жилой застройки Ковалёва Е.Ю., расположенной по адресу: Ростовская область, г. Волгодонск, СНТ Машиностроитель, д. 404а ндр, к.н.з.у. 61:48:0020702:370 (ориентировочная протяженность ЛЭП 0,36 км</t>
  </si>
  <si>
    <t>Строительство участка ВЛИ-0,4 кВ от опоры №7/9 ВЛИ 0,4 кВ №2 КТП 8330 ВЛ 6 кВ №1 ПС 35 кВ Романовская и установка прибора коммерческого учета электрической энергии (мощности) в точке поставки, с монтажом ответвления от ВЛИ к вводу, для присоединения малоэтажной жилой застройки Звягинцева Э.М., расположенной по адресу: Ростовская область, г. Волгодонск, СНТ Машиностроителей, д. 420, к.н.з.у. 61:48:0020703:22 (ориентировочная протяженность ЛЭП 0,06 км)</t>
  </si>
  <si>
    <t>Строительство ВЛИ-0,4 кВ от РУ-0,4 кВ вновь установленной ТП-10/0,4 кВ по ВЛ-10 кВ №11  ПС 35 кВ Николаевская (по договору от 29.05.2020 №61-1-20-00513205) и установка прибора коммерческого учета электрической энергии (мощности) в точке поставки для присоединения жилого дома Вифлянцевой С.Н., расположенного по адресу: Ростовская область, Константиновский район, х. Старая Станица, ул. Атаманская, д. 8, к.н.з.у.: 61:17:0600015:2936 (ориентировочная протяженность ЛЭП 0,18 км)</t>
  </si>
  <si>
    <t>Строительство участка ВЛИ-0,4 кВ от вновь установленной опоры вновь построенной ВЛИ-0,4 кВ (по договору ТП №61-1-21-00573915 от 28.04.2021г.) от РУ-0,4 кВ вновь установленной ТП-10/0,4 кВ по ВЛ-10 кВ №11 ПС 35 кВ Николаевская (по договору от 29.05.2020 №61-1-20-00513205) и установка прибора коммерческого учета электрической энергии (мощности) в точке поставки для присоединения жилого дома Иванковой А.П., расположенного по адресу: Ростовская область, Константиновский район, х. Старая Станица, ул. Атаманская, д. 6, к.н.з.у.: 61:17:0600015:2935 (ориентировочная протяженность ЛЭП 0,04 км)</t>
  </si>
  <si>
    <t>Строительство участка ВЛИ-0,4 кВ от опоры №18 ВЛ 0,4 кВ №1 КТП 1409 ВЛ 10 кВ №17 ПС 110 кВ Цимлянская и установка прибора коммерческого учета электрической энергии (мощности) в точке поставки, с монтажом ответвления от ВЛИ к вводу, для присоединения жилого дома Бизяевой Е.С., расположенного по адресу: Ростовская область, Цимлянский район, станица Красноярская, пер. Кооперативный, д. 32, к.н.з.у.: 61:41:0020122:8 (ориентировочная протяженность ЛЭП 0,15 км)</t>
  </si>
  <si>
    <t>Строительство участка ВЛИ-0,4 кВ от опоры №1/5 ВЛ 0,4 кВ №2 КТП 8389 ВЛ 6 кВ №6 ПС 35 кВ Потаповская и установка прибора коммерческого учета электрической энергии (мощности) в точке поставки, с монтажом ответвления от ВЛИ к вводу, для присоединения малоэтажной жилой застройки Кудеевой И.В., расположенной по адресу: Ростовская область, Волгодонской район, х. Потапов, ул. Юбилейная, д. 18Г, к.н.з.у.: 61:08:0040110:1443 (ориентировочная протяженность ЛЭП 0,025 км)</t>
  </si>
  <si>
    <t>Строительство участка ВЛИ-0,4 кВ от опоры №2 ВЛИ 0,4 кВ №2 КТП 8279 ВЛ 6 кВ №5 ПС 35 кВ Романовская и установка прибора коммерческого учета электрической энергии (мощности) в точке поставки, с монтажом ответвления от ВЛИ к вводу, для присоединения малоэтажной жилой застройки Водяникова Е.В., расположенной по адресу: Ростовская область, Волгодонской район, станица Романовская, пер. Стахановский, д. 83а, к.н.з.у.: 61:08:0070125:640 (ориентировочная протяженность ЛЭП 0,03 км)</t>
  </si>
  <si>
    <t>Строительство ВЛИ-0,4 кВ от РУ-0,4 кВ КТП 7120 ВЛ 10 кВ №8 ПС 35 кВ Почтовская и установка прибора коммерческого учета электрической энергии (мощности) в точке поставки, с монтажом ответвления от ВЛИ к вводу, для присоединения административного/офисного здания Государственного учреждения Ростовской области «Противопожарной службы Ростовской области», расположенного по адресу: Ростовская область, Константиновский район, х. Почтовый, ул. Школьная, д. 2, к.н.з.у.: 61:17:0060101:1064 (ориентировочная протяженность ЛЭП 0,064 км)</t>
  </si>
  <si>
    <t>Строительство участка ВЛИ-0,4 кВ от опоры №9 ВЛ 0,4 кВ №3 КТП 7309 ВЛ 10 кВ №2 ПС 35 кВ Белянская и установка прибора коммерческого учета электрической энергии (мощности) в точке поставки, с монтажом ответвления от ВЛИ к вводу, для присоединения базовой станции/оборудования сотовой связи ПАО «Ростелеком», расположенного по адресу: Ростовская область, Константиновский район, х. Суворов, ул. Солнечная, примерно 71 м по направлению на юго-запад от границ участка по адресу: ул. Солнечная 4, кв.1 (кад. номер: 61:17:0040601:81), к.н.з.у.: 61:17:0040601 (ориентировочная протяженность ЛЭП 0,05 км)</t>
  </si>
  <si>
    <t>Строительство участка ВЛИ-0,4 кВ от опоры №8 ВЛ 0,4 кВ №1 КТП 1329 ВЛ 10 кВ №5 ПС 110 кВ Цимлянская и установка прибора коммерческого учета электрической энергии (мощности) в точке поставки для присоединения складского здания/помещения Ерофеева А.Н., расположенного по адресу: Ростовская область, Цимлянский район, х. Крутой, Саркеловское сельское поселение, в районе ул. Буденного, 46б, к.н.з.у. 61:41:0600009:1448 (ориентировочная протяженность ЛЭП 0,28 км)</t>
  </si>
  <si>
    <t>Строительство участка ВЛИ-0,4 кВ от опоры №1 ВЛ-0,4 кВ №1 КТП-3324 ВЛ-10 кВ №5 ПС 110 кВ Вербовая и установка приборов коммерческого учета электрической энергии (мощности) в точках поставки для присоединения квартир Алиева М.А., Алиева К.Ш. и Никамагомедовой Д.А., расположенных по адресам: Ростовская область, Дубовский район, х. Агрономов, ул. Ериковая, д.13, кв. 1, к.н.з.у. 61:09:0130201:118; д. 22, кв. 1, к.н.з.у. 61:09:0130201:136; д. 18, кв. 1, к.н.з.у. 61:09:0130201:134 (ориентировочная протяженность ЛЭП 0,635 км, количество приборов – 3 шт)</t>
  </si>
  <si>
    <t>Строительство участка ВЛИ-0,4 кВ от опоры №2/12 ВЛ 0,4 кВ №1 КТП 3176 ВЛ 10 кВ №1 ПС 35 кВ Эркетиновская и установка прибора коммерческого учета электрической энергии (мощности) в точке поставки, с монтажом ответвления от ВЛИ к вводу, для присоединения жилого дома Ахмадова Б.Б., расположенного по адресу: Ростовская область, Дубовский район, х. Ивановка, ул. Дорожная, д. 8б, к.н.з.у. 61:09:0080201:296 (ориентировочная протяженность ЛЭП 0,045 км)</t>
  </si>
  <si>
    <t>Строительство участка ВЛИ-0,4 кВ от опоры №27 ВЛ 0,4 кВ №1 КТП 8431 ВЛ 6 кВ №5 ПС 35 кВ НС-12 и установка прибора коммерческого учета электрической энергии (мощности) в точке поставки, с монтажом ответвления от ВЛИ к вводу, для присоединения антенно-мачтового сооружения связи 61-1132 АО «ПБК», расположенного по адресу: Ростовская область, Волгодонской район, х. Семенкин, ул. Южная, к.н.з.у.: 61:08:0070504 (ориентировочная протяженность ЛЭП 0,035 км)</t>
  </si>
  <si>
    <t>Строительство участка ВЛИ-0,4 кВ от опоры №3 ВЛ 0,4 кВ №3 КТП 8489 ВЛ 6 кВ №14 ПС 35 кВ Романовская и установка прибора коммерческого учета электрической энергии (мощности) в точке поставки, с монтажом ответвления от ВЛИ к вводу, для присоединения малоэтажной жилой застройки Гончарова Е.А., расположенной по адресу: Ростовская область, Волгодонской район, станица Романовская, ул. Юбилейная, д. 3а, к.н.з.у.: 61:08:0070107:924 (ориентировочная протяженность ЛЭП 0,016 км)</t>
  </si>
  <si>
    <t>Строительство участка ВЛИ-0,4 кВ от опоры №5 ВЛ 0,4 кВ №1 КТП 7211 ВЛ 10 кВ №1 ПС 35 кВ Богоявленская и установка прибора коммерческого учета электрической энергии (мощности) в точке поставки, с монтажом ответвления от ВЛИ к вводу, для присоединения жилого дома Чамурлиева Г.Ф., расположенного по адресу: Ростовская область, Константиновский район, х. Упраздно-Кагальницкий, ул. Дорожная, д. 1, к.н.з.у.: 61:17:03:03:08:20 (ориентировочная протяженность ЛЭП 0,312 км)</t>
  </si>
  <si>
    <t>Строительство участка ВЛИ-0,4 кВ от опоры №6 ВЛ-0,4 кВ №3 КТП-4045 ВЛ-10 кВ №18 ПС 110 кВ Ремонтненская и установка прибора коммерческого учета электрической энергии (мощности) в точке поставки,с монтажом ответвления от ВЛИ к вводу, для присоединения базовой станции/оборудования сотовой связи ООО «Т2 Мобайл», расположенной по адресу: Ростовская область, Ремонтненский район, п. Новопривольный, ул. Восточная, д. 2, посёлок Новопривольный, примерно 100 м по направлению на северо-запад от границ участка по адресу: ул. Восточная 2, координаты: 46,600314, 43,522388, к.н.з.у. 61:32:0100201 (ориентировочная протяженность ЛЭП 0,088 км)</t>
  </si>
  <si>
    <t>Строительство участка ВЛИ-0,4 кВ от опоры №7 ВЛ 0,4 кВ №1 КТП-6104 ВЛ 10 кВ №9 ПС 110 кВ Октябрьская и установка прибора коммерческого учета электрической энергии (мощности) в точке поставки, с монтажом ответвления от ВЛИ к вводу, для присоединения скважины для полива огорода Волковой Н.В., расположенной по адресу: Ростовская область, Мартыновский район, х. Новый, ул. Степная, д. 12, к.н.з.у.: 61:20:0080601:142 (ориентировочная протяженность ЛЭП 0,04 км)</t>
  </si>
  <si>
    <t>Строительство участка ВЛЗ-10 кВ от опоры №1/41 ВЛ-10 кВ №5 ПС 35/10 кВ Лозновская, с установкой ТП-10/0,4 кВ, строительство ВЛИ-0,4 кВ от РУ-0,4 кВ вновь установленной ТП-10/0,4 кВ,  с установкой шкафа 0,4 кВ, и обеспечение коммерческим учетом электрической энергии (мощности) в точке поставки по присоединению здания для хранения и переработки сельскохозяйственной продукции Павличенко Н.Е., расположенного по адресу: Ростовская область, Цимлянский район, п. Сосенки, в границах ЗАО «Сосенки», 0,2 км восточная граница п. Сосенки, кадастровый номер земельного участка 61:41:0600011:1369 (ориентировочная протяженность ЛЭП 0,13 км, ориентировочная мощность трансформатора 25 кВА)</t>
  </si>
  <si>
    <t>Строительство участка ВЛЗ-10 кВ от опоры №10/79 ВЛ-10 кВ №15 ПС 110/35/10 кВ Константиновская, с установкой ТП-10/0,4 кВ, строительство ВЛИ-0,4 кВ от РУ-0,4 кВ вновь установленной ТП-10/0,4 кВ,  с установкой шкафа 0,4 кВ, и обеспечение коммерческим учетом электрической энергии (мощности) в точке поставки по присоединению площадки для наблюдения за природой и домика временного пребывания ИП Султанбахмудова А.М., расположенных по адресу: Ростовская область, Константиновский район, 2,0 км на северо-запад от х. Михайловский, кадастровый номер земельного участка 61:17:0600010:3705 (ориентировочная протяженность ЛЭП 0,205 км, ориентировочная мощность трансформатора 25 кВА)</t>
  </si>
  <si>
    <t>Строительство участка ВЛЗ-10 кВ от опоры №67 ВЛ-10 кВ №6 ПС 35 кВ Отары,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нежилого здания главы КФХ Сатуханова У.И., расположенного по адресу: Ростовская область, Заветинский район, х. Савдя, Савдянское сельское поселение, к.н.з.у.: 61:11:0600011 (ориентировочная протяженность ЛЭП 0,02 км, ориентировочная мощность трансформатора 0,025 МВА)</t>
  </si>
  <si>
    <t>Строительство участка ВЛЗ-10 кВ от вновь установленной опоры вновь построенного участка ВЛЗ-10 кВ от опоры №30/16 ВЛ 10 кВ №16 ПС 110 кВ Василевская (по договору №61-1-20-00518809 от 29.07.2020г), с установкой ТП-10/0,4 кВ, строительство ВЛИ-0,4 кВ от РУ-0,4 кВ вновь установленной ТП-10/0,4 кВ и установка шкафа коммерческого учета электрической энергии (мощности) в точке поставки для присоединения производственного здания/помещения ИП Овчаренко А.В, расположенного по адресу: Ростовская область, Зимовниковский район, п. Зимовники, ул. Железнодорожная, д. 105, поме. 1, к.н.з.у.: 61:13:0010191:292 (ориентировочная протяженность ЛЭП 0,091 км, ориентировочная мощность трансформатора 0,1 МВА)</t>
  </si>
  <si>
    <t>Строительство участка ВЛ-10 кВ от опоры №214 ВЛ 10 кВ №5 ПС 35 кВ Валуевская,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полевого стана ИП Канниева Р.Р., расположенного по адресу: Ростовская область, Ремонтненский район, территория земель Валуевского сельского поселения, примерно 5,6 км по направлению северо-запад от х. Вольный, к.н.з.у.: 61:32:0600002:4266 (ориентировочная протяженность ЛЭП 0,016 км, ориентировочная мощность трансформатора 0,025 МВА)</t>
  </si>
  <si>
    <t>Строительство участка ВЛ-10 кВ от опоры №21/12 ВЛ 10 кВ №24 ПС 110 кВ Цимлянская,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объекта сельскохозяйственного производства ИП Березы В.И., расположенного по адресу: Ростовская область, Цимлянский район, станица Хорошевская, 3,5 км северо-восточнее станицы Хорошевская, к.н.з.у.: 61:41:0600009:1108 (ориентировочная протяженность ЛЭП 0,21 км, ориентировочная мощность трансформатора 0,025 МВА)</t>
  </si>
  <si>
    <t>Строительство участка ВЛ-10 кВ от опоры №141 ВЛ 10 кВ №7 ПС 110 кВ Дружба,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с монтажом ответвления от ВЛИ к вводу, для присоединения ангара ИП главы К(Ф)Х Нургаджиева Г.Р., расположенного по адресу: Ростовская область, Зимовниковский район, к.н.з.у.: 61:13:0600003:2265 (ориентировочная протяженность ЛЭП 0,02 км, ориентировочная мощность трансформатора 0,025 МВА)</t>
  </si>
  <si>
    <t>Строительство участка ВЛ-10кВ от опоры №107 ВЛ-10кВ №2 ПС 35кВ ЖБИ, с установкой ТП-10/0,4кВ, строительство ВЛИ-0,4кВ от РУ-0,4кВ вновь установленной ТП-10/0,4кВ и установка прибора коммерческого учета электрической энергии (мощности) в точке поставки для присоединения склада сельскохозяйственной продукции ИП Нефедовой Т.А., расположенного по адресу: Ростовская область, Цимлянский район,, станица Красноярская, ЗАО им. Ленина, к.н.з.у. 61:41:0600009:414 (ориентировочная протяженность ЛЭП 0,025км, ориентировочная мощность трансформатора 0,025МВА)</t>
  </si>
  <si>
    <t>Строительство участка ВЛ-10 кВ от опоры №1/42 ВЛ 10 кВ №11 ПС 110 кВ Ремонтненская,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с монтажом ответвления от ВЛИ к вводу, для присоединения склада для сельскохозяйственной продукции ИП Яшуркаева С-Х.Ш., расположенного по адресу: Ростовская область, Ремонтненский район, с. Ремонтное, Ремонтненское сельское поселение, на расстоянии 1,3 км  юго-западнее с. Ремонтное на 2-м поле 2-го полевого севооборота, к.н.о.: 61:32:0600006:2879, к.н.з.у.: 61:32:0600006:2880 (ориентировочная протяженность ЛЭП 0,065 км, ориентировочная мощность трансформатора 0,025 МВА)</t>
  </si>
  <si>
    <t>Строительство участка ВЛ-10 кВ от опоры №45 ВЛ-10 кВ №5 РП 10 кВ Маркинская ПС 110 кВ Черкассы,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жилого дома Кадаранова А.М., расположенного по адресу: Ростовская область, Морозовский район, х. Великанов, ул. Великанова, д.6, к.н.з.у.: 61:24:0110301:206 (ориентировочная протяженность ЛЭП 0,25 км, ориентировочная мощность трансформатора 0,025 МВА)</t>
  </si>
  <si>
    <t>Строительство участка ВЛ-10 кВ от опоры №92 ВЛ 10 кВ №7 ПС 110 кВ Шебалинская,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нежилого здания Излигощина М.Д., расположенного по адресу: Ростовская область, Заветинский район, к.н.з.у.: 61:11:0600001:1865 (ориентировочная протяженность ЛЭП 0,475 км, ориентировочная мощность трансформатора 0,025 МВА)</t>
  </si>
  <si>
    <t xml:space="preserve">Строительство участка ВЛЗ-10 кВ от опоры №66 ВЛ-10 кВ №17 ПС 110/35/10 кВ Цимлянская, с установкой ТП-10/0,4 кВ, строительство ВЛИ-0,4 кВ от РУ-0,4 кВ вновь установленной ТП-10/0,4 кВ,  с установкой шкафа 0,4 кВ, и обеспечение коммерческим учетом электрической энергии (мощности) в точке поставки по присоединению жилого дома Овчинниковой Е.Н., расположенного по адресу: РО, Цимлянский район, станица Красноярская, пер. Комсомольский, д. 24, к.н.з.у. 61:41:0020118:54 (ориентировочная протяженность ЛЭП 0,43 км, ориентировочная мощность трансформатора 25 кВА) </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</si>
  <si>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Пугач П.И., расположенного по адресу: Ростовская область, Чертковский район, с. Михайлово-Александровка, ул. Первомайская, д. 35, к.н.з.у. 61:42:0090101:160»</t>
  </si>
  <si>
    <t>«Строительство ВЛ-0,4 кВ от опоры №6/2 ВЛ-0,4 кВ №1 КТП-10/0,4 кВ №354 по ВЛ-10 кВ №2 ПС 35/10 кВ «Киевская»,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ВРУ-0,4 кВ на земельном участке для сельскохозяйственного производства заявителя, Глущенко Г.Л., расположенного по адресу: Ростовская область, Кашарский р-н, с. Первомайское, 3 км. по направлению на северо-восток, (к.н.з.у. 61:16:0600016:312) (ориентировочная протяженность ЛЭП – 0,3 км)»</t>
  </si>
  <si>
    <t>Строительство ВЛ-0,4 кВ от опоры №14, ВЛ 0,4 кВ №1, КТП-10/0,4 кВ №312 по ВЛ-10 кВ №1 ПС  35/10 кВ «Терновская 2»,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Чиркова Н.С., расположенного по адресу: Ростовская область, Шолоховский р-н, х. Андроповский, пер. Садовый, д. 6, (к.н.з.у. 61:43:020201:0109) (ориентировочная протяженность ЛЭП – 0,14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</si>
  <si>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нежилого здания заявителя, Орлова А.Н., расположенного по адресу: Ростовская область, Миллеровский район, сл. Дегтево, ул. Российская, к.н.з.у. 61:22:0030101:2561</t>
  </si>
  <si>
    <t>Установка прибора учета электрической энергии (мощности) в точке поставки и установка шкафа 0,4 кВ с коммутационным аппаратом для электроснабжения здания бытовки заявителя, Кривомазова С.С., расположенного по адресу: Ростовская область, Миллеровский район, х. Новоалександровка, ул. Широкая, к.н.з.у. 61:22:0600009:441</t>
  </si>
  <si>
    <t>Строительство ВЛ-0,4 кВ от опоры №10, ВЛ 0,4 кВ №1, КТП-10/0,4 кВ №205 по ВЛ-10 кВ №1 ПС  110/35/10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(2 шт.) для технологического присоединения жилых домов заявителей, Винокуровой М.Н.и Винокурова Н.А., расположенных по адресу: Ростовская область, Шолоховский р-н, х. Дубровский, ул. Ольховая, д. 12, Ольховая, д. 14, (к.н.з.у. 61:43:0030101:456) (61:43:0030101:454), (ориентировочная протяженность ЛЭП – 0,21 км)</t>
  </si>
  <si>
    <t>«Строительство ВЛ-0,4 кВ от опоры №2/7/10, ВЛ 0,4 кВ №3, КТП-10/0,4 кВ №277 по ВЛ-10 кВ №1 ПС  110/10 кВ «Макеевская»,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ЩРУ 0,4 кВ на земельном участке для сенокошения и выпаса сельскохозяйственных животных заявителя, Кривенко М.В., расположенного по адресу: Ростовская область, Кашарский р-н, сл. Верхнемакеевка, 100 м. по направлению на восток, (к.н.з.у. 61:16:0600004:698) (ориентировочная протяженность ЛЭП – 0,2 км)».</t>
  </si>
  <si>
    <t>Строительство ВЛ-0,4 кВ от опоры №3/1, ВЛ 0,4 кВ №1, КТП-10/0,4 кВ №330 по ВЛ-10 кВ №2 ПС  35/10 кВ «Терновская 2»,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Голышенковой Д.М., расположенного по адресу: Ростовская область, Шолоховский р-н, х. Лебяженский, ул. Плоткина, д. 29а, (к.н.з.у. 61:43:0020501:262) (ориентировочная протяженность ЛЭП – 0,045 км)</t>
  </si>
  <si>
    <t>Строительство ВЛ-0,4 кВ от опоры №3А/12 по ВЛ-0,4 кВ №3 КТП-10/0,4 кВ №104 по ВЛ-10 кВ №1 ПС 35/10 кВ «Базковская», установка прибора коммерческого учета (1 шт.) электрической энергии (мощности) в точке поставки, для электроснабжения строительной площадки заявителя, Конкина Ю.А., расположенной по адресу: Ростовская область, Шолоховский р-н, х. Громковский, ул. Советская, 223б, (к.н.з.у. 61:43:0010501:936), (ориентировочная протяженность ЛЭП – 0,23 км)</t>
  </si>
  <si>
    <t>Строительство ВЛ-0,4 кВ от строящихся  по договору технологического присоединения №61-1-20-00547745 от 27.11.2020 г., РУ 0,4 кВ, КТП-10/0,4 кВ, по ВЛ-10 кВ от опоры № 13/45 по ВЛ-10 кВ № 1 ПС 110/35/10 кВ «Вешенская 1», установка прибора коммерческого учета (1 шт.) электрической энергии (мощности) в точке поставки, для электроснабжения строения для бытовых нужд заявителя, Колмыкова В.В., расположенного по адресу: Ростовская область, Шолоховский р-н, х. Пигаревский, Вешенское сельское поселение, (к.н.з.у. 61:43:0500101:203), (ориентировочная протяженность ЛЭП – 0,235 км)</t>
  </si>
  <si>
    <t>Строительство ВЛ-0,4 кВ от опоры №12 по ВЛ-0,4 кВ №2 КТП-10/0,4 кВ №145 по ВЛ-10 кВ №3 ПС 110/35/10 кВ «Ал. Лозовская», установка прибора коммерческого учета (1 шт.) электрической энергии (мощности) в точке поставки, для электроснабжения личного подсобного хозяйства заявителя, Пономаревой Е.М., расположенного по адресу: Ростовская область, Чертковский р-н, сл. Семено-Камышенская, (к.н.з.у. 61:42:0130101:901), (ориентировочная протяженность ЛЭП – 0,267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</si>
  <si>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дома культуры Заявителя, Администрация МО «Каргинское сельское поселение», расположенного по адресу: Ростовская область, Боковский район, х. Попов, ул. Школьная, д. 26-а, к.н.з.у. 61:05:0040701:229 (1 шт.)</t>
  </si>
  <si>
    <t>Установка прибора учета для электроснабжения антенно-башенного сооружения 61-10717 заявителя, АО «Первая Башенная Компания», расположенного по адресу: Ростовская область, Боковский район, х. Большенаполовский, ул. Школьная, вблизи д. 74.</t>
  </si>
  <si>
    <t>Установка прибора учета для технологического присоединения квартиры заявителя Резникова В.С., расположенного по адресу: Ростовская область, Верхнедонской район, х. Новониколаевский, ул. Луговая, д. 11, кв. 1, к.н.з.у. 61:07:0010301:121 (1шт.)</t>
  </si>
  <si>
    <t>Установка прибора учета для тех. прис. личного подсобного хозяйства заявителя Борисова В.В., РО, Кашарский район, х. Первомайский, ул. Заречная,</t>
  </si>
  <si>
    <t>Установка прибора учета для технологического присоединения магазина заявителя ИП Григорян В.Б, расположенного по адресу: Ростовская область, Боковский район, ст-ца Каргинская, пер. Подтелкова, д. 2Б, к.н.з.у. 61:05:0040106:534 (1шт.)</t>
  </si>
  <si>
    <t>Строительство ВЛ-0,4 кВ от опоры № 8, ВЛ 0,4 кВ №1, КТП-10/0,4 кВ №699 по ВЛ-10 кВ №3 ПС  35/10 кВ «Криворожская», установка прибора коммерческого учета электрической энергии (мощности) в точке поставки, (1 шт.) для технологического присоединения личного подсобного хозяйства Заявитель, Чапский Д.А., расположенного по адресу: Ростовская область, Миллеровский р-н, х. Спартак, ул. Луговая, д. 13 (к.н.з.у. 61:22:0050901:13), (ориентировочная протяженность ЛЭП – 0,52 км)</t>
  </si>
  <si>
    <t>Установка прибора учета для технологического присоединения земельного участка заявителя ООО «Поповское», расположенного по адресу: Ростовская область, Верхнедонсой район, х. Кукуевский, ул. Школьная, д. 6-м, к.н.з.у. 61:07:0040501:1277 (1шт.)</t>
  </si>
  <si>
    <t>Строительство ВЛ-0,4 кВ от опоры №1 по ВЛ-0,4 кВ №1 КТП-10/0,4 кВ №238 по ВЛ-10 кВ №6 ПС 110/35/10 кВ «Вешенская-1», установка прибора коммерческого учета (1 шт.) электрической энергии (мощности) в точке поставки, для электроснабжения базовой станции сотовой связи заявителя, ПАО «Ростелеком», расположенной по адресу: Ростовская область, Шолоховский р-н, Колундаевское сельское поселение, х. Гороховский, (в границах кадастрового квартала 61:43:0060401), (ориентировочная протяженность ЛЭП – 0,03 км)</t>
  </si>
  <si>
    <t>Установка прибора учета для технологического присоединения квартиры заявителя Юрова В.Н., расположенного по адресу: Ростовская область, Миллеровский район, х. Новоандреевка, ул. Донецкая, д. 5, кв. 4, (1шт.)</t>
  </si>
  <si>
    <t>Установка прибора учета для технологического присоединения жилого дома заявителя Краснова В.С., расположенного по адресу: Ростовская область, Миллеровский район, сл. Волошино, ул. Партизанская, д. 16, (1шт.)</t>
  </si>
  <si>
    <t>Установка прибора учета для технологического присоединения жилого помещения заявителя Администрации МО «Каргинское сельское поселение», расположенного по адресу: Ростовская область, Боковский район, ст-ца Каргинская, ул. Совхозная, д. 20, к.н. 61:05:0040106:286 (1шт.)</t>
  </si>
  <si>
    <t>Строительство ВЛ-0,4 кВ от опоры №5 по ВЛ-0,4 кВ №2, КТП-10/0,4 кВ №221 по ВЛ-10 кВ №2, ПС 110/35/10 кВ «Вешенская-1», установка прибора коммерческого учета (1 шт.) электрической энергии (мощности) в точке поставки, для электроснабжения жилого дома заявителя, Гадухина А.А., расположенного по адресу: Ростовская область, Шолоховский р-н, х. Зубковский, ул. Решетовская, д.24, (к.н.з.у. 61:43:0030301:128), (ориентировочная протяженность ЛЭП – 0,11 км)</t>
  </si>
  <si>
    <t>Установка прибора учета для технологического присоединения жилого дома заявителя Сухарева Д.А., расположенного по адресу: Ростовская область, Боковский район, ст-ца Каргинская, ул. Советская, д. 49, к.н.з.у. 61:05:0040104:16 (1шт.)</t>
  </si>
  <si>
    <t>Установка прибора учета для технологического присоединения жилого дома заявителя Путрина С.А., расположенного по адресу: Ростовская область, Миллеровский район, х. Банниково-Александровский, ул. Студенческая, д. 35, (1шт.)</t>
  </si>
  <si>
    <t>Установка прибора учета для технологического присоединения базовой станции/оборудования сотовой связи заявителя ПАО «Ростелеком», расположенного по адресу: Ростовская область, Боковский район, х. Малаховский, примерно в 32 м по направлению на юг от границы участка по адресу: ул. Молодежная, д. 7 «А» к.н.з.у. 61:05:0070103:23 (1шт.)</t>
  </si>
  <si>
    <t>Установка прибора учета для технологического присоединения антенно-мачтового сооружения заявителя, АО «Первая башенная компания», расположенного по адресу: Ростовская область, Миллеровский р-н, х. Каменка, пер. Стадионный, участок 60 метров от №1, (1шт.)</t>
  </si>
  <si>
    <t>Строительство ВЛ-0,4 кВ от опоры №1, ВЛ-0,4 кВ №1 от КТП-10/0,4 кВ 193 по ВЛ-10 кВ №3, ПС 35/10 кВ «Шулейкинская», установка прибора коммерческого учета (1 шт.) электрической энергии (мощности) в точке поставки, для электроснабжения здания телятника, заявителя, ИП Алифанова В.В., расположенного по адресу: Ростовская область, Кашарский р-н, с. Верхнегреково, ул. Молодежная, д.1, (к.н.з.у. 61:16:0600009:679), (ориентировочная протяженность ЛЭП – 0,1 км)</t>
  </si>
  <si>
    <t>Установка прибора учета для технологического присоединения административного/офисного здания, заявитель ГКУ РО «Противопожарная служба Ростовской области», расположенного по адресу: Ростовская область, Кашарский район, с. Верхнесвечниково, ул. Ленина, д. 18А, к.н.з.у. 61:16:0040101:411 (1 шт.)</t>
  </si>
  <si>
    <t>Установка прибора учета для технологического присоединения личного подсобного хозяйства заявителя Палиева А.В., расположенного по адресу: Ростовская область, Миллеровский район, сл. Греково, ул. Грузская, к.н.з.у. 61:22:0060301:1148 (1шт.)</t>
  </si>
  <si>
    <t>Строительство ВЛ-0,4 кВ от опоры №2/7 по ВЛ-0,4 кВ №1 КТП-10/0,4 кВ №250 по ВЛ-10 кВ №3 ПС 110/10 кВ «Дегтевская», установка прибора коммерческого учета (1 шт.) электрической энергии (мощности) в точке поставки, для электроснабжения антенно-мачтового сооружения №61-14877 заявителя, АО «Первая Башенная Компания», расположенного по адресу: Ростовская область, Миллеровский р-н, х. Хмызов, ул. Ленина, участок 40 метров от №2, (к.н.з.у.00:00:000000:0000), (ориентировочная протяженность ЛЭП – 0,057 км)</t>
  </si>
  <si>
    <t>Строительство ВЛ-0,4 кВ от КТП-10/0,4 кВ №87 по ВЛ-10 кВ №8, ПС 110/35/10 кВ «Кашарская», установка прибора коммерческого учета (1 шт.) электрической энергии (мощности) в точке поставки, для электроснабжения малоэтажной жилой застройки заявителя, Резанова Д.М., расположенного по адресу: Ростовская область, Кашарский р-н, сл. Кашары, ул. Заречная, д.45, (к.н.з.у. 61:16:0010101:21), (ориентировочная протяженность ЛЭП – 0,15 км)</t>
  </si>
  <si>
    <t>Установка прибора учета для технологического присоединения личного подсобного хозяйства заявителя Ильминского В.С., расположенного по адресу: Ростовская область, Миллеровский район, х. Ивановка, ул. Фабричная, к.н.з.у. 61:22:0120301:582, (1шт.)</t>
  </si>
  <si>
    <t>Установка прибора учета для технологического присоединения для ведения сельского хозяйства заявителя, ИП Шинкевич Л.Н., расположенного по адресу: Ростовская область, Миллеровский р-н, х. Новорусский, в западной части кадастрового квартала 61:22:0600010, к.н.з.у. 61:22:0600010:384, (1шт.)</t>
  </si>
  <si>
    <t>Установка прибора учета для технологического присоединения земельного участка заявителя Мурадбекова Р.А., расположенного по адресу: Ростовская область, Верхнедонсой район, 400 м. на северо-восток от х. Павловский, к.н.з.у. 61:07:0600020:1374 (1шт.)</t>
  </si>
  <si>
    <t>Установка прибора учета для технологического присоединения жилого дома заявителя Сердюкова И.В., расположенного по адресу: Ростовская область, Кашарский район, сл. Верхнемакеевка, ул. Гагарина, д. 9, к.н.з.у. 61:16:0030102:126 (1шт.)</t>
  </si>
  <si>
    <t>Установка прибора учета для технологического присоединения базовой станции сотовой связи заявителя, ПАО «Ростелеком», расположенной по адресу: Ростовская область, Чертковский р-н, с. Греково-Степановка, ул. Центральная в границе кадастрового квартала 61:42:0040101, примерно в 25 м по направлению на запад от границ земельного участка с кадастровым номером: 61:42:0040101:258, расположенного по адресу: Ростовская область, Чертковский район, с. Греково-Степановка, ул. Центральная, №15</t>
  </si>
  <si>
    <t>Установка прибора учета для технологического присоединения базовой станции сотовой связи заявителя, ПАО «Ростелеком», расположенной по адресу: Ростовская область, Чертковский р-н, сл. Семено-Камышенская, примерно 2 м по направлению на юг от границы участка по адресу: ул. Центральная, 16</t>
  </si>
  <si>
    <t>Установка прибора учета для технологического присоединения базовой станции сотовой связи заявителя, ПАО «Ростелеком», расположенной по адресу: Ростовская область, Чертковский р-н, х. Малая Лозовка, в границе кадастрового квартала 61:42:0020101, примерно в 28 м по направлению на запад от границ земельного участка с кадастровым номером: 61:42:0020101:323, расположенного по адресу: Ростовская область, Чертковский район, х. Малая Лозовка, пер. Школьный, 6</t>
  </si>
  <si>
    <t>Строительство ВЛ-0,4 кВ от опры №2/1, ВЛ 0,4 кВ №1, КТП-10/0,4 кВ №50 по ВЛ-10 кВ №6 ПС 110/35/10 кВ «Кашарская», установка прибора коммерческого учета (1 шт.) электрической энергии (мощности) в точке поставки, для электроснабжения базовой станции сотовой связи, Заявителя ПАО «Ростелеком», расположенной по адресу: Ростовская обл., р-н. Кашарский, с. Лысогорка, кадастровый номер земельного участка 61:16:0100102, (ориентировочная протяженность ЛЭП – 0,04 км)</t>
  </si>
  <si>
    <t>Строительство ВЛ-0,4 кВ от опры №17, ВЛ 0,4 кВ №1 КТП-10/0,4 кВ №309 по ВЛ-10 кВ №9 ПС 110/35/10 кВ «Чертковская», установка прибора коммерческого учета (1 шт.) электрической энергии (мощности) в точке поставки, для электроснабжения базовой станции сотовой связи, Российская Федерация, Ростовская обл., р-н. Чертковский, х. Галдин, в границе кадастрового квартала 61:42:0600005, примерно в 77 м по направлению на северо-восток от границы земельного участка с кадастровым номером: 61:42:0600005:139, расположенного по адресу: Ростовская область, Чертковский район, в границах кадастрового квартала 61:42:0600005, рабочий участок №38, западная часть рабочего участка №37, пастбищный участок №2-г (ориентировочная протяженность ЛЭП – 0,095 км)</t>
  </si>
  <si>
    <t>Установка прибора учета для технологического присоединения жилого дома заявителя Теницкого Н.И.,расположенного по адресу:Ростовская область,Миллеровский район,сл.Поповка,ул. Центральная,д.15,к.н.з.у. 61:22:0071001:250(1шт.)</t>
  </si>
  <si>
    <t>Установка прибора учета для технологического присоединения обьекта сельскохозяйственного производства, заявителя ИП Глава (КФХ) Кобцев В.Н.,расположенного по адресу:Ростовская область,Чертковский район,с.Алексеево- Лозовка,в границах кадастрового квартала,61:42:0600015,к.н.з.у. 61:42:0600015:1330(1шт.)</t>
  </si>
  <si>
    <t>Установка прибора учета для технологического присоединения земельного участка заявителя Болли Н.Ф., расположенного по адресу: Ростовская область, Верхнедонской район, х. Гормиловский, ул. Гормиловская, д. 36-А, к.н.з.у. 61:07:0080501:625 (1шт.)</t>
  </si>
  <si>
    <t>Установка прибора учета для технологического присоединения жилого дома заявителя Дыбцевой Ю.А., расположенного по адресу: Ростовская область, Шолоховский р-н, х. Дубровский, ул. Центральная, д. 57, к/н 61:43:0030101:301, (1шт.)</t>
  </si>
  <si>
    <t>Установка прибора учета для технологического присоединения железного склада заявителя ООО «Степной тюльпан», расположенного по адресу: Ростовская область, Боковский район, ст. Боковская, ул. Совхозная, д. 13-А, к.н.з.у. 61:05:010104:02026:3160/Г:1/02725 (1шт.)</t>
  </si>
  <si>
    <t>Установка прибора учета для технологического присоединения личного подсобного хозяйства заявителя Яхно Д.С., расположенного по адресу: Ростовская область, Миллеровский район, х. Терновой, ул. Степная, д. 1, к.н.з.у. 61:22:00611001:223, (1шт.)</t>
  </si>
  <si>
    <t>Строительство ВЛ-0,4 кВ от опры №13 ВЛ-0,4 кВ №2 КТП-10/0,4 кВ №247 по ВЛ-10 кВ №3 ПС 110/35/10 кВ «Ал. Лозовская», установка прибора коммерческого учета (1 шт.) электрической энергии (мощности) в точке поставки, для электроснабжения личного подсобного хозяйства, Заявителя Гуденко А.В., расположенного по адресу: Ростовская область, Чертковский район, с. Алексеево-Лозовское, ул. Дачная, д. 16, (к.н.з.у. 61:42:0010101:4492), (ориентировочная протяженность ЛЭП – 0,022 км)</t>
  </si>
  <si>
    <t>Установка прибора учета для технологического присоединения магазина, заявителя ИП Гнездилова В.И, расположенного по адресу: Ростовская область, Чертковский район, с. Алексеево-Лозовское, ул. Лисичкина, д. 59-Б, к.н.з.у. 61:42:0010101:4466 (1шт.)</t>
  </si>
  <si>
    <t>Установка прибора учета для технологического присоединения производственного здания/помещения заявителя, ИП Крицкая О.П., расположенного по адресу: Ростовская область, Боковский район, х. Земцов, ул. Школьная, д. 56, к.н.з.у. 61:05:0070502:47 (1шт.)</t>
  </si>
  <si>
    <t>Установка прибора учета для технологического присоединения земельного участка заявителя Гутова И.Н., расположенного по адресу: Ростовская область, Верхнедонской район, х. Песковатская Лопатина, ул. Песковатсколопатинская, д. 183,  к.н.з.у. 61:07:0030401:653 (1шт.)</t>
  </si>
  <si>
    <t>Установка прибора учета для технологического присоединения земельного участка заявителя Асташова В.С., расположенного по адресу: Ростовская область, Верхнедонской район, х. Поповка, ул. Атаманская, д. 38, к.н.з.у. 61:07:0040401:19 (1шт.)</t>
  </si>
  <si>
    <t>Установка прибора учета для технологического присоединения жилого дома заявителя Афанасенко Т.И., расположенного по адресу: Ростовская область, Кашарский район, с. Первомайское, ул. Торговая, д. 25, к.н.з.у. 61:16:0110105:210 (1 шт.)</t>
  </si>
  <si>
    <t>Установка прибора учета для технологического присоединения нежилого помещения заявителя АО «Почта России», расположенного по адресу: Ростовская область, Кашарский район, с. Верхнесвечниково, ул. Колхозная, д. 23, к.н.з.у. 61:16:0040101:162 (1 шт.)</t>
  </si>
  <si>
    <t>Установка прибора учета для технологического присоединения личного подсобного хозяйства заявителя Лысенко А.В., расположенного по адресу: Ростовская область, Кашарский район, х. Драчевка, ул. Маслозаводская, д. 21, к.н.з.у. 61:16:0110202:370 (1 шт.)</t>
  </si>
  <si>
    <t>Строительство ВЛ-0,4 кВ от опры №1 ВЛ 0,4 кВ №3 КТП-10/0,4 кВ №84 по ВЛ-10 кВ №7 ПС 110/35/10 кВ «Кашарская», установка прибора коммерческого учета (1 шт.) электрической энергии (мощности) в точке поставки, для электроснабжения базовой станции сотовой связи, Заявителя ПАО «Ростелеком», расположенной по адресу: Ростовская обл., р-н. Кашарский, х. Новодонецкий, кадастровый номер земельного участка 61:16:0010201, (ориентировочная протяженность ЛЭП – 0,25 км)</t>
  </si>
  <si>
    <t>Установка прибора учета для технологического присоединения базовой станции заявителя ООО «Т2 Мобайл», расположенного по адресу: Ростовская область, Миллеровский район, сл. Нижненагольная, примерно 114 м по направлению на юг от границы участка по адресу: ул. Российская, 34, (1шт.)</t>
  </si>
  <si>
    <t>Установка прибора учета для технологического присоединения нежилого помещения заявителя АО «Почта России», расположенного по адресу: Ростовская область, Миллеровский район, х. Хмызов, ул. Ленина, д. 5, к.н.з.у. 61:22:0080101:295, (1шт.)</t>
  </si>
  <si>
    <t>Установка прибора учета для технологического присоединения нежилого здания заявителя АО «Почта России», расположенного по адресу: Ростовская область, Миллеровский район, сл. Никольская, ул. Центральная, д. 11, к.н.з.у. 61:22:0100101:576, (1шт.)</t>
  </si>
  <si>
    <t>Установка прибора учета для технологического присоединения жилого дома заявителя Иванчиковой Е.Е., расположенного по адресу: Ростовская область, Кашарский р-н, с.Первомайское,ул. Комсомольская,д.11, к.н.з.у. 61:16:0110102:624 (1шт.)</t>
  </si>
  <si>
    <t>Установка прибора учета для технологического присоединения личного подсобного хозяйства заявителя Деревенчука А.А., расположенного по адресу: Ростовская область,Миллеровский р-н,Колодезянское с.п.в границах кадастрового квартала 61:22:0040101, к.н.з.у. 61:22:0040101:2190(1шт.)</t>
  </si>
  <si>
    <t>Установка прибора учета для технологического присоединения антенно-мачтового сооружения заявителя АО «Первая Башенная Компания», расположенного по адресу: Ростовская область, Миллеровский район, сл. Кудиновка, пер. Звездный, в 50 м. от дома №3, к.н.з.у. 00:00:000000:00, (1шт.)</t>
  </si>
  <si>
    <t>Строительство ВЛ-0,4 кВ от опоры №14 по ВЛ-0,4 кВ №1 КТП-10/0,4 кВ №359 по ВЛ-10 кВ №2 ПС 35/10 кВ «Колундаевская», установка прибора коммерческого учета (1 шт.) электрической энергии (мощности) в точке поставки, для электроснабжения базовой станции сотовой связи заявителя, ОАО «Мобильные ТелеСистемы», расположенной по адресу: Ростовская область, Шолоховский р-н, х. Терновской, ул. Центральная, д. 52 а, (к.н.з.у. 61:43:0090101), (ориентировочная протяженность ЛЭП – 0,04 км)</t>
  </si>
  <si>
    <t>Установка прибора учета для технологического присоединения жилого дома заявителя Грачева А.В., расположенного по адресу: Ростовская область, Шолоховский район, х. Дубровский, ул. Солнечная, д. 14 (1 шт.)</t>
  </si>
  <si>
    <t>Установка прибора учета для технологического присоединения складского здания/помещения заявителя ИП Лозовой А.А., расположенного по адресу: Ростовская область, Кашарский район, примерно в 400 м. от ориентира х. Нижний Астахов, к.н.з.у. 61:16:0600009:320 (1 шт.)</t>
  </si>
  <si>
    <t>Установка прибора учета для технологического присоединения объекта торговли (магазин, торговый центр)  заявителя ИП Шевченко М.И., расположенного по адресу: Ростовская область, Чертковский район, с. Маньково-Калитвенское, пер.Почтовый, д. 22, к.н.з.у. 61:42:0080111:106, (1шт.)</t>
  </si>
  <si>
    <t>Установка прибора учета для технологического присоединения базовой станции/оборудования сотовой связи заявителя ПАО «Ростелеком, расположенного по адресу: Ростовская область, Чертковский район, Зубрилинское сельское поселение, х. Лозовой, ул. Полевая, в границе кадастрового квартала 61:42:0060501 (1шт.)</t>
  </si>
  <si>
    <t>Строительство ВЛ-0,4 кВ от опоры №1, ВЛ 0,4 кВ №1 от КТП-10/0,4 кВ №579 по ВЛ-10 кВ №5, ПС 110/35/10 кВ «ГОК», установка прибора коммерческого учета (1 шт.) электрической энергии (мощности) в точке поставки, для электроснабжения поминальной часовни заявителя, Религиозная организация Покровский Верхнемакеевский мужской монастырь Шахтинской епархии русской православной церкви (Московский патриархат), расположенной по адресу: Ростовская область, Миллеровский р-н, х. Новоивановка, (к.н.з.у. 61:22:0600021:874), (ориентировочная протяженность ЛЭП – 0,1 км)</t>
  </si>
  <si>
    <t>Установка прибора учета для технологического присоединения магазина заявителя Прохоровой Г.А., расположенного по адресу: Ростовская область, Чертковский район, с. Алексеево-Лозовское, ул. Лисичкина, д. 22, к.н.з.у. 61:42:0010101:895 (1шт.)</t>
  </si>
  <si>
    <t>Установка прибора учета для технологического присоединения базовой станции/оборудования сотовой связи заявителя ПАО «Ростелеком», расположенного по адресу: Ростовская область, Миллеровский район, х. Новорусский, ул. Рубежная, примерно 60 м по направлению на северо-восток от границы земельного участка по адресу: ул. Рубежная, 29а, (1шт.)</t>
  </si>
  <si>
    <t>Строительство ВЛ-0,4 кВ от опоры №6 ВЛ-0,4 кВ №3 КТП-10/0,4 кВ №370 по ВЛ-10 кВ №3 ПС 110/35/10 кВ «Алексеево-Лозовская», установка прибора коммерческого учета (1 шт.) электрической энергии (мощности) в точке поставки, для электроснабжения объектов наружного освещения заявителя, Администрация муниципального образования «Алексеево- Лозовское сельское поселение», расположенных по адресу: Ростовская область, Чертковский р-н, с. Алексеево-Лозовское, ул. Лисичкина и ул. Спортивная, (к.н.з.у. 61:42:0010101:4748), (ориентировочная протяженность ЛЭП – 0,04 км)</t>
  </si>
  <si>
    <t>Установка прибора учета для технологического присоединения жилого дома заявителя Палюх Е.И., расположенного по адресу: Ростовская область, Кашарский район, х. Нижний Астахов, ул. Мира, д. 11, к.н.з.у. 61:16:0020201:135 (1шт.)</t>
  </si>
  <si>
    <t>Установка прибора учета для технологического присоединения опоры средств подвижной радиотелефонной связи заявителя ПАО «Ростелеком», расположенного по адресу: Ростовская область, Миллеровский район, Туриловское сельское поселение, х. Новая Деревня, ул. Центральная, д. 4, в границах кадастрового квартала  61:22:0160601, (1шт.)</t>
  </si>
  <si>
    <t>Установка прибора учета для технологического присоединения жилого дома заявителя Пряхина М.Н., расположенного по адресу: Ростовская область, Чертковский район, с. Осиково, пер. Зеленый, д. 8, к.н.з.у. 61:42:190101:0390, (1шт.)</t>
  </si>
  <si>
    <t>Установка прибора учета для технологического присоединения земельного участка заявителя Макушкина В.И., расположенного по адресу: Ростовская область, Верхнедонской район, х. Гормиловский, ул. Гормиловская, д. 29, корп. А, к.н.з.у. 61:07:0080501:621, (1шт.)</t>
  </si>
  <si>
    <t>Установка прибора учета для технологического присоединения жилого дома заявителя Тиунова В.И., расположенного по адресу: Ростовская область, Кашарский район, х. Вяжа, ул. Молодежная, д. 27, к.н.з.у. 61:16:0050101:319, (1шт.)</t>
  </si>
  <si>
    <t>Установка прибора учета для технологического присоединения личного подсобного хозяйства заявителя ИП Глава (КФХ) Критинин Е.И., расположенного по адресу: Ростовская область, Чертковский район, х. Павловка, ул. Молодежная, д. 16а, к.н.з.у. 61:42:0120101:1094, (1шт.)</t>
  </si>
  <si>
    <t>Установка прибора учета для технологического присоединения жилого дома заявителя Своеволина Н.С., расположенного по адресу: Ростовская область, Чертковский район, х. Марьево-Камышенский, ул. Заречная, д. 12, к.н.з.у. 61:42:0130301:70, (1шт.)</t>
  </si>
  <si>
    <t>Установка прибора учета для технологического присоединения жилого дома заявителя Плясунова А.М., расположенного по адресу: Ростовская область, Кашарский район, х. Верхнекалиновка, ул. Центральная, д. 130, к.н.з.у. 61:16:0100302:84, (1шт.)</t>
  </si>
  <si>
    <t>Строительство ВЛИ-0,4 кВ от вновь построенной ТП 10/0,4 кВ подключенной к вновь построенной ВЛ-10 кВ от опоры №74 ВЛ-10 кВ Огиб ПС 35/10 Ш-26 для присоединения фермы ИП Бахмадова А.Х. в ст. Нижнекундрюченская Усть-Донецкого района (ориентировочная протяженность ЛЭП 0,11 км, ориентировочная мощность трансформатора 25 кВА)</t>
  </si>
  <si>
    <t>"Установка прибора учета для присоединения объекта малоэтажной жилой застройки Гуковского А.А., расположенного по адресу: Ростовская область, р-н. Усть-Донецкий, ст-ца. Раздорская, ул. Донская, д. 3 КН ЗУ: 61:39:0030103:691"</t>
  </si>
  <si>
    <t>Установка прибора учета для присоединения объекта наружного освещения Министерство транспорта Ростовской области, расположенного по адресу: Ростовская область, р-н. Усть-Донецкий, х. Черни, на автомобильной дороге общего пользования (участок III), КН ЗУ: 61:39:000000000:0:52</t>
  </si>
  <si>
    <t>Установка прибора учета для присоединения объекта наружного освещения Министерство транспорта Ростовской области, расположенного по адресу: Ростовская область, р-н. Усть-Донецкий, ст-ца. Нижнекундрюченская, на автомобильной дороге общего пользования (участок I), КН ЗУ: 61:39:000000000:0:52</t>
  </si>
  <si>
    <t>Установка прибора учета для присоединения объекта наружного освещения Министерство транспорта Ростовской области, расположенного по адресу: Ростовская область, р-н. Усть-Донецкий, х. Листопадов, на автомобильной дороге общего пользования (участок II), КН ЗУ: 61:39:000000000:0:52</t>
  </si>
  <si>
    <t>Установка прибора учета для присоединения объекта малоэтажной жилой застройки Батраченко Д.А., расположенного по адресу: Ростовская область, р-н. Усть-Донецкий, х. Черни, ул. Пролетарская, д. 12 КН ЗУ: 61:39:0060501:547</t>
  </si>
  <si>
    <t>Установка прибора учета для присоединения объекта малоэтажной жилой застройки Синяпкина С. С., расположенного по адресу: Ростовская область, Усть-Донецкий район, х. Пухляковский, ул. Книжная, д. 18а, КН ЗУ: 61:39:0090102:983</t>
  </si>
  <si>
    <t>Установка прибора учета для присоединения объекта малоэтажной жилой застройки Ивановой А. Г., расположенного по адресу: Ростовская область, Усть-Донецкий район, ст-ца. Раздорская, ул. Красноармейская, д. 35-А, КН ЗУ: 61:39:0030101:696</t>
  </si>
  <si>
    <t>Установка прибора учета для присоединения жилого дома Кулюкиной Галины Васильевны расположенного по адресу: РО., р-н Красносулинский, х. Платово, ул. Советская, д. 253  КН 61:18:060117:0009, (1 шт.)</t>
  </si>
  <si>
    <t>Строительство ВЛИ-0,4 кВ от оп. №1 ВЛ-0,4 кВ №2 КТП №420 по ВЛ-10 Родина ПС 110 кВ Ш-42 для присоединения малоэтажной жилой застройки Софийского Н.И. по адресу: Ростовская область, Октябрьский район, х.Коммуна, ул. Пролетарская, д.31-А (ориентировочная протяженность ЛЭП 0,08 км)</t>
  </si>
  <si>
    <t>«Установка прибора учета для присоединения объекта малоэтажная жилая застройка (Световой В.В.), расположенного по адресу: Ростовская область, Октябрьский р-н, ст. Заплавская, ул. Северная, д. 7»</t>
  </si>
  <si>
    <t>Установка прибора учета для присоединения малоэтажной жилой застройки, расположенной по адресу: Ростовская область, р-н. Октябрьский, ст.Кривянская, ул. Матвеевка, д. 34 (Шульман П.В.)</t>
  </si>
  <si>
    <t>Строительство ВЛИ-0,4 кВ от оп. 9 по ВЛ 0,4кВ № 2 от КТП 10/0,4кВ 13 по ВЛ 10кВ Кутейниково ПС 110 кВ Н9для электроснабжения «Малоэтажная жилая застройка (Индивидуальный жилой дом/Садовый/Дачный дом)» Ткаченко Ю.И. по адресу: р-н. Родионово-Несветайский, сл. Кутейниково, ул. Румянова, д. 37а (ориентировочная протяженность ЛЭП – 0,145км)</t>
  </si>
  <si>
    <t>Строительство ВЛИ-0,4 кВ от оп.8 по ВЛ 0,4кВ № 3 от МТП № 05 ВЛ-10 кВ Кутейниково ПС Н-9, для электроснабжения «Малоэтажная жилая застройка (Индивидуальный жилой дом/Садовый/Дачный дом)»  Сурженко И.В. по адресу: р-н. Родионово-Несветайский примерно в 230 м по направлению на запад от ориентира земельного участка, расположенного по адресу: х.Юдино, ул. Новоселов,44, кадастровый номер земельного участка: 61:33:0600013:877,  (ориентировочная протяженность ЛЭП – 0,13 км)</t>
  </si>
  <si>
    <t>Строительство ВЛИ-0,4 кВ от оп.1 по ВЛ-0,4кВ № 1 от КТП 10/0,4кВ № 145 по ВЛ-10кВ Молблок ПС Н-21 для электроснабжения «нежилая застройка (хозяйственная застройка, нежилое здание)» ИП Нагорного А.М. по адресу: р-н.Родионово-Несветайский, участок находится в 1050 м от х.Болдыревка по направлению на юго-запад, кадастровый номер земельного участка: 61:33:0600006:2028(ориентировочная протяженность ЛЭП – 0,9 км)</t>
  </si>
  <si>
    <t>Строительство ВЛИ-0,4 кВ от оп. 37 по ВЛ-0,4кВ № 2 от КТП 10/0,4кВ №79 по ВЛ-10кВ Генеральское ПС 35 кВ Н19 для электроснабжения «Малоэтажная жилая застройка (Индивидуальный жилой дом/Садовый/Дачный дом)» Богодух М.В. по адресу: р-н.Родионово-Несветайский с. Генеральское, ул. Ворошилова, д. 5 (ориентировочная протяженность ЛЭП – 0,025км)</t>
  </si>
  <si>
    <t>Строительство ВЛИ-0,4 кВ от оп.2 по ВЛ-0,4кВ № 1 от КТП 10/0,4кВ №71А по ВЛ-10кВ Каменный Брод ПС АС-12 для электроснабжения «Малоэтажная жилая застройка (Индивидуальный жилой дом/Садовый/Дачный дом)» Ляшенко Н.И. по адресу: р-н. Родионово-Несветайский, х. Каменный Брод, ул. Каменка, д. 36/1 (ориентировочная протяженность ЛЭП – 0,025км)</t>
  </si>
  <si>
    <t>Строительство ВЛИ-0,4 кВ от оп. №1 по ВЛ 0,4кВ № 2 от КТП 10/0,4кВ №57 по ВЛ 10кВ Краснознаменка ПС Н-21 для электроснабжения «Малоэтажная жилая застройка (Индивидуальный жилой дом/Садовый/Дачный дом)» Киричко Л.И. по адресу: р-н. Родионово-Несветайский, х.Болдыревка ул.Заречная д.2 к.н.з.у. 61:33:0020101:167 (ориентировочная протяженность ЛЭП – 0,09 км)</t>
  </si>
  <si>
    <t>Строительство участка ВЛЗ 10 кВ от ВЛ10 кВ Крымский ПС 110/35/27,5/10 Ш14, с установкой ТП 10/0,4 кВ, и строительство ВЛИ 0,4 кВ от вновь установленной ТП 10/0,4 кВ для присоединения ВРУ-0.4кВ мусороперегрузочной станции в х. Ещеулов Усть-Донецкого района (ориентировочная протяженность ЛЭП 0,165 км, ориентировочная мощность трансформатора 0,25 МВА)</t>
  </si>
  <si>
    <t>Установка прибора учета для присоединения жилого дома, Асиков Т.В., расположенного по адресу: Ростовская обл., Родионово-Несветайский р-н., х. Каменный Брод, ул. Курсантов РАУ, д. 36, кн зу:  61:33:0030501:672.</t>
  </si>
  <si>
    <t>Строительство ТП-10/0,4 от оп. №93 за Р-1 ВЛ 10 кВ Прохоровка ПС Н-22, и ВЛИ-0,4 кВ от вновь установленной ТП-10/0,4 кВ для присоединения объекта садовый домик Таранущенко В.Г.: Ориентир сл. Алексеево-Тузловка. Участок находится примерно в 1600 м от ориентира по направлению на восток (ориентировочная протяженность ЛЭП 0,005 км, ориентировочная мощность трансформатора 25 кВА)</t>
  </si>
  <si>
    <t>Установка прибора учета для присоединения жилого дома Бондаренко Александра Павловича, расположенного по адресу: Ростовская область, Красносулинский район, х. Платово, ул. Советская, д. 165, К.Н.З.У.:61:18:0060117:45.</t>
  </si>
  <si>
    <t>Установка прибора учета для присоединения жилого дома Мазанова Ярослава Николаевича, расположенного по адресу: Ростовская область, Красносулинский район, х. Марс, ул. Первомайская, д. 140, К.Н.З.У.: 61:18:0030602:222</t>
  </si>
  <si>
    <t>Строительство участка ВЛЗ 10 кВ от ВЛ10 кВ КРС ПС 110/35/10 Ш34, с установкой ТП 10/0,4 кВ, и строительство ВЛИ 0,4 кВ от вновь установленной ТП 10/0,4 кВ для присоединения ВРУ-0.4кВ здания противопожарной службы в ст. Раздорской Усть-Донецкого района (ориентировочная протяженность ЛЭП 0,12 км, ориентировочная мощность трансформатора 0,063 МВА)</t>
  </si>
  <si>
    <t>Строительство ВЛИ 0,4 кВ от ВЛ 0,4кВ КТП 40 ВЛ 10кВ Кирова ПС 35/10 Ш18 для электроснабжения ВРУ-0.4кВ малоэтажной жилой застройки Емельянова А.И. по адресу: Ростовская область, Усть-Донецкий район, х. Тереховский, пер. Садовый, д. 3 (ориентировочная протяженность ЛЭП – 0,320 км)</t>
  </si>
  <si>
    <t>Строительство ВЛИ-0,4 кВ от оп. №23 ВЛ-0,4 кВ №1 КТП №596 по ВЛ-6 кВ Поселок ПС 35 кВ Ш-41 для присоединения малоэтажной жилой застройки Крылковой Н.М. по адресу: Ростовская область, Октябрьский район, ст. Бессергеневская, ул. Комарова, д.25А (ориентировочная протяженность ЛЭП 0,15 км)</t>
  </si>
  <si>
    <t>Строительство ВЛИ-0,4 кВ от оп. 3 по ВЛ 0,4кВ № 1 от КТП 10/0,4кВ 504 по ВЛ 10кВ Генеральское ПС 35 кВ Н19 для электроснабжения «Малоэтажная жилая застройка (Индивидуальный жилой дом/Садовый/Дачный дом)» Уварова Е.В. Родионово-Несветайский, с. Генеральское, ул. Советская, д. 6а (ориентировочная протяженность ЛЭП – 0,02км)</t>
  </si>
  <si>
    <t>Строительство ЛЭП-0,4 кВ от оп. № 19 ВЛ 0,4 кВ № 2 от КТП 6/0,4 кВ № 294 по ВЛ 6 кВ «Ударник» ПС 110/6 С2, с установкой прибора учета на границе земельного участка заявителя для жилого дома, Кукотин Ю.И., Российская Федерация, Ростовская обл., Красносулинский район, п. Черевково, ул. Октябрьская, д. 64 (ориентировочная протяженность ЛЭП – 0,150 км.)</t>
  </si>
  <si>
    <t>Строительство участка ВЛЗ10 кВ от ВЛ10 кВ Кирова ПС 35/10 Ш18, с установкой ТП 10/0,4 кВ, и строительство ВЛИ 0,4 кВ от вновь установленной ТП 10/0,4 кВ для присоединения ВРУ-0.4 кВ артезианской скважины в х. Тереховский Усть-Донецкого района (ориентировочная протяженность ЛЭП 0,44 км, ориентировочная мощность трансформатора 0,025 МВА)</t>
  </si>
  <si>
    <t>Строительство ВЛИ-0,4 кВ от оп. №13п/18 ВЛИ-0,4 кВ №1 КТП №608 по ВЛ-6 кВ Красюковка ПС 35 кВ Ш-39 для присоединения садового дома Опенышевой Т.П. по адресу: Ростовская область, Октябрьский район, сл. Красюковская, ул.Кленовая (ориентировочная протяженность ЛЭП 0,11 км)</t>
  </si>
  <si>
    <t>Строительство ВЛИ-0,4 кВ от оп. №13 ВЛ-0,4 кВ №1 КТП №491 по ВЛ-10 кВ Родина ПС 110 кВ Ш-42 для присоединения базовой станции сотовой связи 884 ООО «Т2 Мобайл» по адресу: Ростовская область, Октябрьский район, х.Суворовка (ориентировочная протяженность ЛЭП 0,1 км)</t>
  </si>
  <si>
    <t>«Установка прибора учета для присоединения жилого дома (Елхин А.В.), расположенного по адресу: Ростовская область, Октябрьский р-н, ст. Кривянская, пер. Карьерный, д.8»</t>
  </si>
  <si>
    <t>«Установка прибора учета для присоединения жилого дома (Опришко А.В.), расположенного по адресу: Ростовская область, Октябрьский р-н, х. Калинин, ул. Донская, д.2А»</t>
  </si>
  <si>
    <t>«Установка прибора учета для присоединения жилого дома (Пятибратов И.Н.), расположенного по адресу: Ростовская область, Октябрьский р-н, х. Калинин, ул. Центральная»</t>
  </si>
  <si>
    <t xml:space="preserve"> «Установка прибора учета для присоединения малоэтажной жилой застройки (Маковская О.В.), расположенного по адресу: Ростовская область, Октябрьский р-н, сл. Красюковская, ул. Молодежная, д.1-а»</t>
  </si>
  <si>
    <t>«Установка прибора учета для присоединения квартиры (Мельник В.С.), расположенной по адресу: Ростовская область, Октябрьский р-н, п. Красногорняцкий, ул. Центральная, д.7б, кв.5»</t>
  </si>
  <si>
    <t>Строительство ВЛИ-0,4 кВ от оп. 4 по ВЛ 0,4кВ № 1 от КТП 10/0,4кВ №82 по ВЛ 10кВ Юдино ПС 110 кВ Н-19 для электроснабжения «Базовая станция/оборудование сотовой связи» ПАО «Ростелеком»: Ростовская область, р-н. Родионово-Несветайский, х. Юдино, примерно 7 м по направлению на запад от границ участка по адресу: ул.Новоселов,7А (ориентировочная протяженность ЛЭП – 0,03км)</t>
  </si>
  <si>
    <t>Строительство ВЛИ-0,4 кВ от оп. №27 ВЛИ-0,4 кВ №3 КТП №200 по ВЛ-6 кВ Кривянка ПС 110 кВ Ш-43 для присоединения жилого дома Гарькуши Н.Ю. по адресу: Ростовская область, Октябрьский район, ст. Кривянская, ул. Пролетарская, д.42(ориентировочная протяженность ЛЭП 0,09 км)</t>
  </si>
  <si>
    <t>«Установка прибора учета для присоединения жилого дома (Коротков В.А.), расположенного по адресу: Ростовская область, Октябрьский р-н, х. Калинин, ул. Донская, д.131А»</t>
  </si>
  <si>
    <t>Установка прибора учета для присоединения административно/офисное здание Ковалевского сельского дома культуры, расположенного по адресу: Ростовская область, Красносулинский район, х. Платово, ул. Советская, д. 88а, К.Н.З.У.: 61:18:0060108:156.</t>
  </si>
  <si>
    <t>Установка прибора учета для присоединения нежилой застройки Ларина Юрия Юрьевича, расположенного по адресу: Ростовская область, Красносулинский район, х. Пролетарка, пер. Комсомольский, д. 23, К.Н.З.У.: 61:18:0080102:957</t>
  </si>
  <si>
    <t>Установка прибора учета для присоединения жилого дома Куксенко Евгении Викторовны, расположенного по адресу: Ростовская область, Красносулинский район, х. Большая Федоровка, ул. Заречная, д. 1, К.Н.З.У.: 61:18:0020202:59.</t>
  </si>
  <si>
    <t>Строительство ВЛИ 0,4 кВ от РУ 0,4кВ КТП 148 ВЛ 10кВ Чумаки ПС 35/10 Ш32 для электроснабжения ВРУ-0,4кВ нежилой застройки ООО «АВТОДОР» по адресу: Ростовская обл., р-н Усть-Донецкий, 61 км автодороги Шахты -Цимлянск, КН ЗУ 61:39:0600009:377 (ориентировочная протяженность ЛЭП – 0,820 км)</t>
  </si>
  <si>
    <t>Строительство ТП-10/0,4, ЛЭП-10 кВ от оп. №69 за Р-5 ВЛ 10 кВ Аграфеновка ПС Ш-15, и ВЛИ-0,4 кВ от вновь установленной ТП-10/0,4 кВ для присоединения объекта крестьянского (фермерского) хозяйства ИП Оноприенко А.В.: Родионово-Несветайский район, участок находится примерно в 1500 м по направлению на северо-запад от ориентира земельного участка, расположенного по адресу: сл. Аграфеновка, ул. Гагарина, 62. КН 61:33:0600002:469 (ориентировочная протяженность ЛЭП 0,05 км, ориентировочная мощность трансформатора 0,16 МВА)</t>
  </si>
  <si>
    <t>Строительство ВЛИ-0,4 кВ от оп. №23 ВЛ-0,4 кВ №1 КТП №260 ВЛ-10 кВ Зверпромхоз ПС Ш-42 для электроснабжения малоэтажной жилой застройки Шубина А.В. по адресу: Октябрьский р-н, сл. Красюковская, ул. М.Горького, д.21 (ориентировочная протяженность ЛЭП – 0,06 км)</t>
  </si>
  <si>
    <t>Строительство ВЛИ-0,4 кВ от оп. №5 ВЛ-0,4 кВ №1 КТП №579 по ВЛ-6 кВ Прогресс ПС 35 кВ Ш-41 для присоединения объекта медицинского учреждения МБУЗ ЦРБ по адресу: Ростовская область, Октябрьский район, ст.Заплавская, ул.Шоссейная, д.40Б (ориентировочная протяженность ЛЭП 0,05 км)</t>
  </si>
  <si>
    <t>Строительство ВЛИ-0,4 кВ от оп. №4 ВЛ-0,4 кВ №2 КТП №259 ВЛ-10 кВ Комплекс ПС Ш-42 для электроснабжения жилого дома Репиной И.В. по адресу: Октябрьский р-н, сл. Красюковская, пер. Школьный, д.26 (ориентировочная протяженность ЛЭП – 0,08 км)</t>
  </si>
  <si>
    <t>Строительство ВЛИ-0,4 кВ от опоры ВЛИ-0,4 кВ, построенной сетевой организацией по договору ТП №61-1-20-00533649 от 18.09.2020 (ООО «Джамп») от оп. №31 ВЛ-0,4 кВ №1 КТП №135 по ВЛ-10 Летний Гурт-Горняк ПС 35 кВ Ш-48 для присоединения объекта КФХ ИП главы КФХ Любимовой И.И. по адресу: Ростовская область, Октябрьский район, Краснолучское сельское поселение, вблизи х.Ягодинка (ориентировочная протяженность ЛЭП 0,05 км)</t>
  </si>
  <si>
    <t>Строительство ВЛИ-0,4 кВ от оп. №5 ВЛ 0,4 кВ №1 от КТП 10/0,4кВ №93 по ВЛ-10кВ "Кутейниково" ПС Н-9 для электроснабжения «Антенно-мачтовое сооружение 61-15004» Акционерное общество «Первая Башенная Компания» по адресу: Ростовская обл., р-н. Родионово-Несветайский, сл. Кутейниково, ул. Булановой, вблизи д.14 в пределах кадастрового квартала 61:33:030101. (ориентировочная протяженность ЛЭП – 0,085 км)</t>
  </si>
  <si>
    <t xml:space="preserve"> Строительство ВЛИ-0,4 кВ от оп. №21 ВЛ 0,4 кВ №2 от КТП 10/0,4кВ №37 по ВЛ-10кВ "Молблок" ПС Н-21 для электроснабжения «Антенно-мачтовое сооружение 61-10713» Акционерное общество «Первая Башенная Компания» по адресу: Ростовская обл., р-н. Родионово-Несветайский, х. Болдыревка, ул. Молодежная, вблизи д.7/2 в пределах кадастрового квартала 61:3360600004. (ориентировочная протяженность ЛЭП – 0,03 км)</t>
  </si>
  <si>
    <t>Установка прибора учета для присоединения административного здания (ИП Курбацкая З.А.), расположенного по адресу: Ростовская область, Октябрьский р-н, п. Интернациональный, ул. Мостовая, д.11-а</t>
  </si>
  <si>
    <t>«Установка прибора учета для присоединения сельского Дома культуры (МУК «Керчикский СДК»), расположенного по адресу: Ростовская область, Октябрьский р-н, х. Керчик-Савров, ул. Советская, д.36»</t>
  </si>
  <si>
    <t xml:space="preserve"> «Установка прибора учета для присоединения 1/3 жилого дома (Булименко Н.С.), расположенного по адресу: Ростовская область, Октябрьский р-н, х. Маркин, ул. Жорина, д. 4»</t>
  </si>
  <si>
    <t>Установка прибора учета для присоединения объекта малоэтажной жилой застройки Самко О.В.,  расположенного по адресу: Ростовская область, Усть-Донецкий район, ст-ца. Раздорская, ул. Красноармейская, д. 14, КН ЗУ: 61:39:0030101:196</t>
  </si>
  <si>
    <t>Установка прибора учета для присоединения объекта малоэтажной жилой застройки Ковалевой Т.В., расположенного по адресу: Ростовская область, Усть-Донецкий район, ст-ца. Усть-Быстрянская, ул. Социалистическая, д. 24, КН ЗУ: 61:39:0080102:100</t>
  </si>
  <si>
    <t>Установка прибора учета для присоединения объекта наружного освещения, расположенного по адресу: Российская Федерация, Ростовская область, р-н. Усть-Донецкий, ст.Мелиховская, КН ЗУ: 61:39:0000000:7110</t>
  </si>
  <si>
    <t>Установка прибора учета для присоединения объекта торговли (магазин, торговый центр) Мироненко А.М. расположенного по адресу: Ростовская область, Усть-Донецкий район, х. Апаринский, ул. Комсомольская, КН ЗУ: 61:39:0050102:1423</t>
  </si>
  <si>
    <t>Строительство ЛЭП-0,4 кВ от оп. № 9 ВЛ 0,4 кВ № 2 от КТП 6/0,4 кВ № 31 по ВЛ 6 кВ «Ударник» ПС 110/6 С2, с установкой прибора учета на границе земельного участка заявителя для антенно-мачтового сооружения 61-15828, АО «ПБК», Ростовская обл., Красносулинский район, п. Черевково, ул. Первомайская, вблизи д. 19. (ориентировочная протяженность ЛЭП – 0,060 км.)</t>
  </si>
  <si>
    <t>Установка прибора учета для присоединения нежилого помещения (ООО «Почта России»), расположенного по адресу: Ростовская область, Красносулинский р-н, х. Большая Федоровка, ул. Октябрьская, д.14</t>
  </si>
  <si>
    <t>«Установка прибора учета для присоединения жилого дома, ООО «Агрокомплекс Ростовский»., расположенного по адресу:  Ростовская обл., р-н. Родионово-Несветайский, сл. Большекрепинская, ул. Лермонтова,  д. 1Б, КН объекта 61:33:0060101:2612»</t>
  </si>
  <si>
    <t>Установка прибора учета для присоединения асфальто-бетонный завод (ИП Маргарян М.А.), расположенного по адресу: Ростовская область, Родионово-Несветайский р-он примерно 1300м по направлению на юго-запад от х. Весёлый КН ЗУ 61:33:0600017:144</t>
  </si>
  <si>
    <t>Строительство ВЛИ-0,4 кВ от оп.4 по ВЛ-0,4кВ № 4 от КТП 10/0,4кВ № 85 по ВЛ-10кВ Юдино ПС Н19 для электроснабжения «Малоэтажная жилая застройка (Индивидуальный жилой дом/Садовый/Дачный дом)» по адресу: р-н. Родионово-Несветайский, х. Волошино, участок с южной стороны примыкает к земельному участку с кадастровым номером 61:33:0070101:1548, кадастровый номер земельного участка: 61:33:0070101:1775. (ориентировочная протяженность ЛЭП – 0,098 км)</t>
  </si>
  <si>
    <t>Строительство ВЛИ-0,4 кВ от РУ 0,4 кВ ТП 10/0,4кВ № 205 по ВЛ-10кВ «Полив» ПС Н-19 для электроснабжения «Базовая станция/ оборудование сотовой связи» по адресу: Российская Федерация, Ростовская обл., р-н. Родионово-Несветайский, р-н. Родионово-Несветайский, х. Волошино, ул. Экспериментальная, участок в 80 м от дома № 5 (ориентировочная протяженность ЛЭП – 0,1 км)</t>
  </si>
  <si>
    <t>Строительство ВЛИ-0,4 кВ от оп. 29 по ВЛ 0,4кВ № 2 от КТП 10/0,4кВ 402 по ВЛ 10кВ Каменный Брод ПС 110 кВ АС-12 для электроснабжения «Малоэтажная жилая застройка (Индивидуальный жилой дом/Садовый/Дачный дом)» Железного С.В.: р-н. Родионово-Несветайский, примерно в 10м по направлению на восток от земельного участка, расположенного по адресу: х.Октябрьский, ул.Буденовская,11  к.н.з.у. 61:33:060600014:1197 (ориентировочная протяженность ЛЭП – 0,225 км)</t>
  </si>
  <si>
    <t>Строительство ВЛИ-0,4 кВ от оп. 1 по ВЛ 0,4кВ № 1 от КТП 10/0,4кВ №509 по ВЛ 10кВ Юдино ПС Н-19 для электроснабжения «Малоэтажная жилая застройка (Индивидуальный жилой дом/Садовый/Дачный дом)» Чиков С.В. по адресу: р-н. Родионово-Несветайский, х.Курлаки, ул.Степная, 13 (ориентировочная протяженность ЛЭП – 0,27км)</t>
  </si>
  <si>
    <t>Строительство ВЛИ 0,4 кВ от ВЛИ 0,4 кВ №1 КТП 312 ВЛ 10 кВ Пухляковка ПС Ш34 для электроснабжения жилого дома Жаравина А.Е. по адресу: Усть-Донецкий р-н, х. Пухляковский (ориентировочная протяженность ЛЭП – 0,11 км)</t>
  </si>
  <si>
    <t>Установка прибора учета для присоединения малоэтажной жилой застройки Висящева В.Н., расположенного по адресу: Ростовская область, Усть-Донецкий район, р.п. Усть-Донецкий, ул. Шолохова, д. 46, КН ЗУ: 61:39:010104:248</t>
  </si>
  <si>
    <t>Установка прибора учета для присоединения жилого дома Салеховой Евгении Михайловны, расположенного по адресу: Ростовская область, Красносулинский район, х. Платово, ул. Крайняя, д. 10</t>
  </si>
  <si>
    <t>«Установка прибора учета для присоединения малоэтажной жилой застройки (Ушинин Д.С.), расположенной по адресу: Ростовская область, Октябрьский р-н, х. Ильичевка, ул. Победы Революции, д. 52-а»</t>
  </si>
  <si>
    <t xml:space="preserve"> «Установка прибора учета для присоединения магазина (ИП Ушинин С.В.), расположенного по адресу: Ростовская область, Октябрьский р-н, х. Ильичевка, ул. Победы Революции, д.52»</t>
  </si>
  <si>
    <t>«Установка прибора учета для присоединения объекта медицинского учреждения (МБУЗ ЦРБ Октябрьского р-на), расположенного по адресу: Ростовская область, Октябрьский р-н, п. Залужный, ул. Школьная, д. 4»</t>
  </si>
  <si>
    <t>Строительство ВЛИ-0,4 кВ от оп. №16 ВЛ-0,4 кВ №3 КТП №218 по ВЛ-6 кВ Прогресс ПС 35 кВ Ш-41 для присоединения малоэтажной жилой застройки Гудкова Д.В. по адресу: Ростовская область, Октябрьский район, ст. Бессергеневская, ул. Шоссейная, д.11-А (ориентировочная протяженность ЛЭП 0,12 км)</t>
  </si>
  <si>
    <t>«Установка прибора учета для присоединения жилого дома Семёнова Д.С.., расположенного по адресу: Ростовская обл., Родионово-Несветайский р-н., с. Генеральское, ул. Советская,  д. 6А, кн зу:  61:33:0070601:2478»</t>
  </si>
  <si>
    <t>Установка прибора учета для присоединения жилого дома, Парило Р.В., расположенного по адресу: Ростовская обл., Родионово-Несветайский р-н., сл. Родионово-Несветайская, ул. Садовая, д. 46, кн зу: 61:33:040123:0049</t>
  </si>
  <si>
    <t>«Установка прибора учета для присоединения малоэтажной жилой застройки, Уварова Е.В., расположенного по адресу: Ростовская обл., Родионово-Несветайский р-н., с. Генеральское, ул. Советская,  д. 6 Е, кн. зу:  61:33:0070601:2481»</t>
  </si>
  <si>
    <t>Установка прибора учета для присоединения коттеджного поселка ООО «Агрофирма «Донское Подворье» расположенного по адресу: 346584 Ростовская обл., Родионово-Несветайский район, с.Генеральское, ул Советская д.10А. КН 61:33:0600012:6 (1 шт.)</t>
  </si>
  <si>
    <t>Установка прибора учета для присоединения нежилого здания ООО «МОЛОЧНЫЙ ЗАВОД «РОДИОНОВСКАЯ СЛОБОДА» расположенного по адресу: 346580 Российская Федерация, Ростовская обл., р-н. Родионово-Несветайский, сл. Родионово-Несветайская, ул. Гвардейцев-Танкистов, д. 10Ц, к.н.з.у. 61:33:0040125:352 (1 шт.)</t>
  </si>
  <si>
    <t>"Установка прибора учета для присоединения малоэтажной жилой застройки, Санчик Е.А., по адресу: Ростовская обл., Родионово-Несветайский  р-н., сл.Кутейниково, СНТ "Комбайностроитель", участок №2-532, кн зу:61:33:0500101:1226"</t>
  </si>
  <si>
    <t>«Установка прибора учета для присоединения здания социально-реабилитационного отделения, расположенного по адресу: Ростовская обл., Родионово-Несветайский р-н., х. Волошино, ул. Центральная, д. 9, кн зу: 61:33:0070101:23»</t>
  </si>
  <si>
    <t>«Установка прибора учета для присоединения малоэтажной жилой застройки Косачёва Д.С.., расположенного по адресу: Ростовская обл., Родионово-Несветайский р-н, х. Октябрьский,  СНТ "Электромонтажник", уч. №105. кн зу  61:33:0500201:414»</t>
  </si>
  <si>
    <t>Строительство ВЛИ-0,4 кВ от оп. 60 по ВЛ 0,4кВ № 4 от КТП 10/0,4кВ №2 по ВЛ 10кВ Каменный Брод ПС 110 кВ АС-12 для электроснабжения «Малоэтажная жилая застройка (Индивидуальный жилой дом/Садовый/Дачный дом)» Похило А.А. по адресу: р-н. Родионово-Несветайский, СНТ "Комбайностроитель" участок 1-7, кадастровый номер земельного участка: 61:33:0500101:113 (ориентировочная протяженность ЛЭП – 0,207км)</t>
  </si>
  <si>
    <t>Строительство ЛЭП-0,4 кВ от оп. № 4 ВЛ 0,4 кВ № 3 от КТП 6/0,4 кВ № 146 по ВЛ 6 кВ «Долотинка» ПС Г5, с установкой прибора учета на границе земельного участка заявителя для нежилой застройки Короткова В. П.,Ростовская обл., Красносулинский район, х. Молаканский, с.п. Долотинское, 11 м на юг от домовладения № 76 по ул. Гагарина, кадастровый номер земельного участка: 61:18:0600007:807 (ориентировочная протяженность ЛЭП – 0,025 км.)</t>
  </si>
  <si>
    <t>Строительство ВЛИ-0,4 кВ от оп.46 ВЛ-0,4 кВ № 3 от ЗТП 6/0,4 кВ № 177 по ВЛ-6 кВ «Пролетарка» ПС С-2, с установкой прибора учета на границе земельного участка заявителя для жилого дома Чутченко А.А., Ростовская обл., Красносулинский район, х. Пролетарка, пер. Степной, д. 38. (ориентировочная протяженность ЛЭП – 0,090 км.)</t>
  </si>
  <si>
    <t>Строительство ТП-6/0,4, ЛЭП-6 кВ от оп. №4 отпайки к КТП №479 по ВЛ 6 кВ Интернат ПС Ш-20, и ВЛИ-0,4 кВ от вновь установленной ТП-6/0,4 кВ для присоединения нежилой застройки ИП Кузминова Н.А. (ориентировочная протяженность ЛЭП 0,14 км, ориентировочная мощность трансформатора 25 кВА)</t>
  </si>
  <si>
    <t>«Установка прибора учета для присоединения магазина (ИП Афанасьева Е.П.), расположенного по адресу: Ростовская область, Октябрьский р-н, ст. Заплавская, пер. Огородний, д. 2»</t>
  </si>
  <si>
    <t>«Установка прибора учета для присоединения объекта КФХ (ИП Голдин И.В.), расположенного по адресу: Ростовская область, Октябрьский р-н, п. Новозарянский, ул. Транспортная, д.4б»</t>
  </si>
  <si>
    <t>«Установка прибора учета для присоединения малоэтажной жилой застройки (Семенова А.А.), расположенного по адресу: Ростовская область, Октябрьский р-н, ст. Заплавская, пер. Кузнечный, д.2»</t>
  </si>
  <si>
    <t>«Установка прибора учета для присоединения малоэтажной жилой застройки, Ворониной Н.И., расположенного по адресу: 346580, Ростовская обл., Родионово-Несветайский р-н., сл. Родионово-Несветайская, ул. 30 Лет Победы, д. 73, кн зу: 61:33:040123:550»</t>
  </si>
  <si>
    <t>Установка прибора учета для присоединения малоэтажной жилой застройки,  Киричковой А.П., расположенного по адресу: Ростовская обл., Родионово-Несветайский р-н., х. Глинки, ул. Степная, д. 1, кн зу: 61:33:0070401:63</t>
  </si>
  <si>
    <t>Установка прибора учета для присоединения Блокированной жилой застройки Кочиева А.Ф., расположенного по адресу: Ростовская обл., Родионово-Несветайский р-н., сл. Родионово-Несветайская, ул. 30 лет Победы, 32 КН ЗУ 61:33:0040108:287</t>
  </si>
  <si>
    <t>Установка прибора учета для присоединения малоэтажной жилой застройки Колодяжного П.Н., расположенного по адресу: Ростовская область, р-н. Усть-Донецкий, х. Крымский, ул. Центральная, д. 79, КН ЗУ: 61:39:0040102:513</t>
  </si>
  <si>
    <t>Установка прибора учета для присоединения малоэтажной жилой застройки Головатенко А.М., расположенного по адресу: Ростовская область, Усть-Донецкий район, х. Апаринский, ул. Дачная, д. 96, КН ЗУ: 61:39:0600009:509</t>
  </si>
  <si>
    <t>Установка прибора учета для присоединения здания церкви, расположенного по адресу: Ростовская область, р-н. Усть-Донецкий, х. Крымский, пер. Рождественский, д. 14, КН ЗУ: 61:39:040101:0331</t>
  </si>
  <si>
    <t>Строительство ЛЭП-0,4 кВ от  оп. № 44 ВЛ 0,4 кВ № 1 от КТП 6/0,4 кВ  № 208 по ВЛ 6 кВ «Красный Партизан» ПС С2, с установкой прибора учета на границе земельного участка заявителя для антенно-мачтового сооружения 61-15000, АО «ПБК», Российская Федерация, Ростовская обл., Красносулинский район, х. Марс, ул. Школьная, вблизи д. 32. (ориентировочная протяженность ЛЭП – 0,055 км.)</t>
  </si>
  <si>
    <t>Установка прибора учета для присоединения малоэтажной жилой застройки (Найдина А.Ю.), расположенного по адресу: Ростовская область, Красносулинский р-н, х. Нижняя Ковалевка, ул. Кулешова, д.24</t>
  </si>
  <si>
    <t>Установка прибора учета для присоединения базовой станции/оборудования сотовой связи (ПАО «Ростелеком»), расположенного по адресу: Ростовская область, Красносулинский р-н, х. Черницов, примерно 32 м по направлению на юго-восток от границ участка по ул. Щаденко, 5</t>
  </si>
  <si>
    <t>Установка прибора учета для присоединения базовой станции/оборудования сотовой связи (ООО «Соколовское»), расположенного по адресу: Ростовская область, Красносулинский р-н, х. Пролетарка, Пролетарское с/п, к востоку от земельного участка c кадастровым номером: 61:18:0600022:859</t>
  </si>
  <si>
    <t>Строительство ВЛИ-0,4 кВ от оп. 1 по ВЛ 0,4кВ № 2 от КТП 10/0,4кВ №19 по ВЛ 10кВ Юдино ПС 110 кВ Н-19 для электроснабжения «Базовая станция/оборудование сотовой связи» ПАО «Ростелеком»: Ростовская область, р-н. Родионово-Несветайский, х. Курлаки, примерно 14 м по направлению на север от границы участка по адресу: ул.Культурная,2Б/1 (ориентировочная протяженность ЛЭП – 0,065км)</t>
  </si>
  <si>
    <t>Строительство ВЛИ 0,4 кВ от ВЛ 0,4кВ КТП 54 ВЛ 10кВ МТФ ПС 110/10 Ш47 для электроснабжения ВРУ-0,4кВ Малоэтажной жилой застройки Бойченко С.С.: Ростовская область, Семикаракорский район, ст. Кочетовская, ул. Садовая 4, Усть-Донецкий РЭС (ориентировочная протяженность ЛЭП – 0,19 км)</t>
  </si>
  <si>
    <t>Строительство ЛЭП-0,4 кВ от КТП 6/0,4 кВ № 367 по ВЛ 6 кВ «Комплекс» ПС 35/6 Ш11, с установкой прибора учета на границе земельного участка заявителя для сторожки, ООО «Заречное», Ростовская обл., Красносулинский р-н, г. Красный Сулин, южнее ж/д «Горная-Новошахтинск», К.Н З.М: 61:53:0000354:147(ориентировочная протяженность ЛЭП – 0,230 км.)</t>
  </si>
  <si>
    <t>Строительство ВЛИ-0,4 кВ оп.5 ВЛ 0,4 кВ № 2 от МТП 10/0,4кВ № 05 по ВЛ-10кВ «Кутейниково» ПС Н-9 для электроснабжения жилого дома Блиновой Е.В. Родионово-Несветайский р-н сл. Родионово-Несветайская, ул. Сливовая, д. 4 (ориентировочная протяженность ЛЭП – 0,21 км)</t>
  </si>
  <si>
    <t>Строительство ВЛИ-0,4 кВ от оп. №3 ВЛИ-0,4 кВ №1 ТП №607 ВЛ-10 кВ Комсомолец ПС Ш-35 для электроснабжения нежилой застройки ИП Федоровой Е.С. по адресу: Октябрьский р-н, п. Новозарянский, ул. Транспортная, д.14-б (ориентировочная протяженность ЛЭП – 0,16 км)</t>
  </si>
  <si>
    <t>«Установка прибора учета для присоединения малоэтажной жилой застройки (Болдыревой Л.Н.), расположенной по адресу: Ростовская область, Октябрьский р-н, ст. Кривянская, ул. Кооперативная, д.28»</t>
  </si>
  <si>
    <t>«Установка прибора учета для присоединения малоэтажной жилой застройки (Бусина Т.В.), расположенной по адресу: Ростовская область, Октябрьский р-н, п. Красногорняцкий, ул. Петренко, д.2»</t>
  </si>
  <si>
    <t>«Установка прибора учета для присоединения малоэтажной жилой застройки (Кравченко Г.М.), расположенной по адресу: Ростовская область, Октябрьский р-н, х. Ильичевка, ул. Заречная, д.12-а»</t>
  </si>
  <si>
    <t>«Установка прибора учета для присоединения малоэтажной жилой застройки (Хомутова Н.В.), расположенного по адресу: Ростовская область, Октябрьский р-н, х. Керчик-Савров, ул. Алейникова, д. 11»</t>
  </si>
  <si>
    <t>Установка прибора учета для присоединения Антенно-мачтового сооружения связи 63292-11-61-1-1, расположенного по адресу: Ростовская область, р-н. Усть-Донецкий, п. Керчикский, ул. Виноградная, вблизи д. 9, Усть-Донецкий РЭС</t>
  </si>
  <si>
    <t>Установка прибора учета для присоединения нежилого здания МБУК «Культурного центра Раздорского сельского поселения», расположенного по адресу: Ростовская область, р-н. Усть-Донецкий, х. Коныгин, ул. Им. А. Шубина, д. 10, Усть-Донецкий РЭС</t>
  </si>
  <si>
    <t>«Установка прибора учета для присоединения блокированной жилой застройки Кочиева А.Ф., расположенного по адресу: Ростовская обл., Родионово-Несветайский р-н., сл. Родионово-Несветайская, ул. 30 лет Победы, 34, КН ЗУ: 61:33:0040108:288.»</t>
  </si>
  <si>
    <t>Установка прибора учета для присоединения жилого дома (Виноградов Д.В.), расположенного по адресу: Ростовская область, г. Шахты, ул. Чапаева, д.83 (1шт.)</t>
  </si>
  <si>
    <t>Строительство ВЛИ-0,4 кВ от оп. 15 по ВЛ 0,4кВ № 1 от КТП 10/0,4кВ №214 по ВЛ 10кВ Ростовский ПС 110 кВ Н-9 для электроснабжения «Нежилое здание» АО «Почта России»: Ростовская область, р-н. Родионово-Несветайский, х. Веселый, ул.Новая, д.12А (ориентировочная протяженность ЛЭП – 0,102км)</t>
  </si>
  <si>
    <t>Строительство участка ЛЭП-0,4 кВ от существующей оп. №1 ВЛ 0,4 кВ №2 КТП №67 ВЛ 6 кВ Кадамовка ПС 110 кВ С6, с установкой прибора учета на границе земельного участка для присоединения объекта крестьянского (фермерского) хозяйства, ИП Галатова А.А. по адресу: Ростовская область, Красносулинский район, х. Садки, Садковское с/п, 200 м. северо-западнее х. Садки, К.Н.З.У.:61:18:0600018:1011. (ориентировочная протяженность ЛЭП 0,260 км)</t>
  </si>
  <si>
    <t>Строительство ВЛИ-0,4 кВ от оп. №2 ВЛИ 0,4кВ №1 КТП №525 КВЛ 10кВ Совхоз ПС 110кВ Ш16 для присоединения двух жилых домов по адресу: Ростовская область, Октябрьский район, п. Каменоломни, ул. Гвардейская, д.47, д.49 (ориентировочная протяженность ЛЭП 0,25 км)</t>
  </si>
  <si>
    <t>Строительство ВЛИ-0,4 кВ от оп. №20 ВЛИ-0,4 кВ №1 МТП №802 ВЛ-10 кВ Красюковка ПС Ш-39 для электроснабжения малоэтажной жилой застройки Толмачевой Е.А. по адресу: Октябрьский р-н, с/т «Электровозостроитель», уч.235 (ориентировочная протяженность ЛЭП – 0,12 км)</t>
  </si>
  <si>
    <t>«Установка прибора учета для присоединения малоэтажной жилой застройки (Чекмарев И.А.), расположенной по адресу: Ростовская область, Октябрьский р-н, п. Интернациональный, ул. Кленовая, д.9»</t>
  </si>
  <si>
    <t>Строительство ВЛИ-0,4 кВ от оп. 69 по ВЛ 0,4кВ № 1 от КТП 10/0,4кВ №325 по ВЛ 10кВ Каменный Брод ПС 110 кВ АС-12 для электроснабжения «Малоэтажная жилая застройка» Абубакаров А.Э.: Ростовская область, р-н. Родионово-Несветайский, СНТ «Электромонтажник», №38 (ориентировочная протяженность ЛЭП – 0,035км)</t>
  </si>
  <si>
    <t>Установка прибора учета для присоединения дачного домика (Шевцов А.Ф.), расположенного по адресу: Ростовская область, Красносулинский район х. Коминтерн, ул. Дачная, б/н кадастровый номер земельного участка: 61:18:0600006:1285 (1шт.)</t>
  </si>
  <si>
    <t>Установка прибора учета для присоединения гаража (Ничитайлов О.Г.), расположенного по адресу: Ростовская область, Красносулинский район х. Новоровенецкий, ул. Карьерная, д. 168, К.Н.З.У:61:18:030705:0016. (1шт.)</t>
  </si>
  <si>
    <t>Установка прибора учета для присоединения квартиры №3 (Савченко А.П.), расположенноо по адресу: Ростовская область, п. Донлесхоз, ул. Лесная, д.15 (1 шт.)</t>
  </si>
  <si>
    <t>Строительство ЛЭП-0,4 кВ от оп. № 1 ВЛ 0,4 кВ № 1 от КТП 6/0,4 кВ № 222 по ВЛ 6 кВ «Пушкино» ПС 110/6 С2, с установкой прибора учета на границе земельного участка заявителя для кормокухни, Ткаченко Геннадия Николаевича, Российская Федерация, Ростовская обл., Красносулинский район, х. Пушкин, кадастровый номер земельного участка: 61:18:0000000:8398. (ориентировочная протяженность ЛЭП – 0,050 км.)</t>
  </si>
  <si>
    <t>Строительство ВЛИ 0,4 кВ от ВЛИ 0,4кВ КТП 118 ВЛ 10кВ Апаринский ПС 110/35/27,5/10 Ш14 для электроснабжения ВРУ-0,4кВ Малоэтажной жилой застройки Фоминой Ю.В. по адресу: Ростовская область, Усть-Донецкий район, х. Апаринский, ул. Дачная 89, КН 61:39:0600009:496 (ориентировочная протяженность ЛЭП – 0,09 км)</t>
  </si>
  <si>
    <t>Установка прибора учета для присоединения объекта туристической отрасли (гостиница, база отдыха, гостевой дом, прочее) ООО «Левел Эдс», расположенного по адресу: Ростовская область, р-н. Усть-Донецкий, ст-ца. Нижнекундрюченская, примерно в 1 км на северо-восток от ст. Нижнекундрюченская, КН ЗУ: 61:39:0600005:163, Усть-Донецкий РЭС</t>
  </si>
  <si>
    <t>Установка прибора учета для присоединения объекта малоэтажной жилой застройки Терехова А.Л., расположенного по адресу: Ростовская область, р-н. Усть-Донецкий, ст-ца. Мелиховская, ул. Набережная, д. 11, КН ЗУ: 61:39:0020105:394, Усть-Донецкий РЭС</t>
  </si>
  <si>
    <t>Установка прибора учета для присоединения объекта наружного освещения, расположенного по адресу: Ростовская область, Усть-Донецкий район, х. Апаринский, КН ЗУ: 61:39:0050101:1873</t>
  </si>
  <si>
    <t>«Установка прибора учета для присоединения малоэтажной жилой застройки (Булгаков Н.Ю.), расположенной по адресу: Ростовская область, Октябрьский р-н, х. Калинин, ул. Донская, д. 55-б»</t>
  </si>
  <si>
    <t>Строительство ВЛИ-0,4 кВ от оп. 73 по ВЛ 0,4кВ № 1 от КТП 10/0,4кВ №230 по ВЛ 10кВ Кутейниково ПС Н-9 для электроснабжения «Малоэтажная жилая застройка (Индивидуальный жилой дом/Садовый/Дачный дом)» Шумейко Э.С.: Ростовская область, р-н. Родионово-Несветайский, сл. Родионово-Несветайская, ул. Челюскина, д.2Б (ориентировочная протяженность ЛЭП – 0,245км)</t>
  </si>
  <si>
    <t>Строительство ВЛИ-0,4 кВ от оп. №37 ВЛИ 0,4кВ №1 МТП №802 ВЛ 10 кВ Красюковка ПС 35кВ Ш39 для присоединения малоэтажной жилой застройки Черных Н.А. по адресу: Ростовская область, Октябрьский район, с/т «Электровозостроитель», уч.210 (ориентировочная протяженность ЛЭП 0,1 км)</t>
  </si>
  <si>
    <t>Строительство ВЛ-10 кВ от  оп. 14 за Р-4 по ВЛ 10 кВ Генеральское  ПС Н-19,с установкой ТП 10/0,4кВ и строительство ВЛИ 0,4кВ от вновь установленной ТП 10/0,4 кВ для электроснабжения «малоэтажная жилая застройка» Одежный А.М по адресу: р-н. Родионово-Несветайский, с. Генеральское, ул.Сказочная,76 к.н.з.у.:  61:33:0070601:1939 (ориентировочная протяженность ЛЭП – 0,120 км, ориентировочная мощность ТП -25 кВА)</t>
  </si>
  <si>
    <t>Установка прибора коммерческим учетом электрической энергии (мощности) в точке поставки по присоединению объекта Заявителя ВРУ-6 кВ для электроснабжения объекта рамная конструкция систем стационарного контроля № 581 для «РТ-Инвест Транспортные системы», расположенного по адресу: Ростовская область, Красносулинский район, х. Володарский, установлено относительно ориентира, расположенного в границах участка. Почтовый адрес ориентира: Ростовская область, Красносулинский р-н., автомагистраль М-4 «Дон» км 944+380-км 955+150 и км 967+1040-км 997+1020, К.Н.З.У: 61:18:0000000:36</t>
  </si>
  <si>
    <t>Установка прибора учета для присоединения гаража (Гуцалюк Д.В.), расположенного по адресу: Ростовская область, п. Тополёвый, ул. Советская, д. б/н, К.Н.З.У:61:18:0010703:339. (1 шт.)</t>
  </si>
  <si>
    <t>«Установка прибора учета электрической энергии (мощности) в точке поставки по присоединению объекта Заявителя ВРУ-6 кВ для электроснабжения объекта АЗС № 629 для ООО «Лукойл-Югнефтепродукт», расположенного по адресу: Ростовская область, Красносулинский район, на 947 км + 300 м автодороги «Воронеж-Ростов», К.Н.З.У: 61:18:0600004:2.»</t>
  </si>
  <si>
    <t>Установка прибора учета для присоединения объекта малоэтажной жилой застройки Югатовой Т.В., расположенного по адресу: Ростовская область, р-н. Усть-Донецкий, ст-ца. раздорская, ул. Матросова, д. 14, кв./оф. а, КН ЗУ: 61:39:0030102:1481</t>
  </si>
  <si>
    <t>«Установка прибора учета для присоединения нежилого здания (сарай)  ИП Арзуманян Ш.В. расположенного по адресу: Ростовская обл., Родионово-Несветайский р-н, сл. Большекрепинская, пер. Средний, 6/1, кн зу: 61:33:0060101:63»</t>
  </si>
  <si>
    <t>Строительство ВЛИ 0,4 кВ от ВЛ 0,4кВ КТП 87 ВЛ 10кВ Крымский ПС 110/35/27,5/10 Ш14 для электроснабжения ВРУ-0,4кВ МБУК Культурного центра Крымского с/п по адресу: Ростовская область, Усть-Донецкий район, х. Ещеулов, ул. Гагарина 1 (ориентировочная протяженность ЛЭП – 0,27 км)</t>
  </si>
  <si>
    <t>Строительство ВЛИ 0,4 кВ от ВЛ 0,4кВ КТП 412 ВЛ 10кВ МТФ ПС 110/10 Ш47 для электроснабжения ВРУ-0,4кВ Малоэтажной жилой застройки Лысюк Д.С. по адресу: Ростовская обл., Семикаракорский район, ст-ца. Кочетовская, ул. Набережная, д. 23а (ориентировочная протяженность ЛЭП – 0,22 км)</t>
  </si>
  <si>
    <t>Строительство ВЛИ 0,4 кВ от ВЛ 0,4кВ ТП 118 ВЛ 10кВ Апаринка ПС 110/35/27,5/10 Ш14 для электроснабжения ВРУ 0,4кВ малоэтажной жилой застройки Ильгов С.А.: Ростовская область, Усть-Донецкий район, х. Апаринский, ул. Дачная 126 (ориентировочная протяженность ЛЭП – 0,22 км)</t>
  </si>
  <si>
    <t>Строительство ВЛИ-0,4 кВ от оп. №8 ВЛ 0,4кВ №1 МТП №80 ВЛ 10 кВ Летний Гурт-Горняк ПС 35кВ Ш48 для присоединения базовой станции сотовой связи ПАО «Ростелеком» по адресу: Ростовская область, Октябрьский район, п. Заречный, ул. Центральная (ориентировочная протяженность ЛЭП 0,22 км)</t>
  </si>
  <si>
    <t>Строительство участка ВЛ-10 кВ от существующей оп. №4 отпайки к КТП № 17 по ВЛ-10 кВ «Киселево» ПС 35 кВ С11, с установкой ТП-10/0,4 кВ, и строительство ВЛИ-0,4 кВ от вновь установленной ТП-10/0,4 кВ для присоединения сельского Дома культуры, Красносулинский район, с. Киселево, ул. Мичурина, д. 2 (ориентировочная протяженность ЛЭП 0,325 км, ориентировочная мощность трансформатора 0,25 МВА)</t>
  </si>
  <si>
    <t>Установка прибора учета для присоединения объекта малоэтажной жилой застройки Иванова В.М., расположенного по адресу: Ростовская область, р-н. Усть-Донецкий, х. Апаринский, ул. Набережная, д.6 кв./оф. 2 КН ЗУ: 61:39:0050102:1433</t>
  </si>
  <si>
    <t>Строительство ЛЭП-0,4 кВ от оп. № 16 ВЛ 0,4 кВ № 1 от КТП 6/0,4 кВ № 204 по ВЛ 6 кВ «Смирнов» ПС 110/6 Г15, с установкой прибора учета на границе земельного участка заявителя для жилого дома, Харчук Ю.В., Российская Федерация, Ростовская обл., Красносулинский район, х. Васецкий, ул. Колхозная, д. 35а. (ориентировочная протяженность ЛЭП – 0,085 км.)</t>
  </si>
  <si>
    <t>Установка прибора учета для присоединения ЭПУ опоры ООО «СТ-Энергосетевая Инфраструктура», расположенного по адресу: Ростовская область, Красносулинский район п. Первомайский, ул. Гагарина, д. 24. (1шт.)</t>
  </si>
  <si>
    <t>Установка прибора учета для присоединения квартиры № 1 (Ткачев В.В.), расположенного по адресу: Ростовская область, Красносулинский район п. Пригородный, ул. Школьная, д. 6, кв./оф. 1. (1шт.)</t>
  </si>
  <si>
    <t>«Установка прибора учета для присоединения малоэтажной жилой застройки (Денисенко В.В.), расположенной по адресу: Ростовская область, Октябрьский р-н, сл. Красюковская, ул. Революции, д. 150»</t>
  </si>
  <si>
    <t>Установка прибора учета для присоединения малоэтажной жилой застройки (Иванов А.А.), расположенной по адресу: Ростовская область, Октябрьский р-н, х. Сусол, ул. Солнечная, д. 32-а</t>
  </si>
  <si>
    <t>Установка прибора учета для присоединения малоэтажной жилой застройки (Ситникова А.С.), расположенной по адресу: Ростовская область, Октябрьский р-н, п. Красногорняцкий, ул. Парковая, д.1</t>
  </si>
  <si>
    <t>Строительство ВЛИ-0,4 кВ от оп. №19 ВЛ-0,4 кВ №2 КТП №609 по ВЛ-10 кВ Совхоз ПС 110 кВ Ш-16 для присоединения жилого дома Соломатиной С.Ю. по адресу: Ростовская область, Октябрьский район, п. Каменоломни, ул. Комарова, д.48 (ориентировочная протяженность ЛЭП 0,14 км)</t>
  </si>
  <si>
    <t>Строительство ВЛИ-0,4 кВ от оп. №18 ВЛ-0,4 кВ №2 КТП №393 по ВЛ-10 кВ Мясосовхоз ПС 110 кВ Ш-36 для здания коровника ИП Ивашиной Е.В. по адресу: Ростовская область, Октябрьский район, х. Керчик-Савров, ул. Советская, д.76 (ориентировочная протяженность ЛЭП 0,14 км)</t>
  </si>
  <si>
    <t>"Строительство ВЛИ-0,4 кВ от оп. №15 ВЛИ-0,4 кВ №1 КТП №626 по ВЛ-6 кВ Прогресс ПС 35 кВ Ш-41 для присоединения малоэтажной жилой застройки Вакуленкова Н.Ю. по адресу: Ростовская область, Октябрьский район, ст. Заплавская, ул. Шоссейная, д.89 (ориентировочная протяженность ЛЭП 0,2 км)"</t>
  </si>
  <si>
    <t>Строительство ВЛИ-0,4 кВ от оп. №31 ВЛ 0,4кВ №2 КТП №370 ВЛ 10кВ Зерновой ПС 110кВ Ш36 для присоединения нежилой застройки ИП Сорокина В.Б. по адресу: Ростовская область, Октябрьский район, на территории АКХ «Луговое» (ориентировочная протяженность ЛЭП 0,3 км)</t>
  </si>
  <si>
    <t>Строительство ВЛИ-0,4 кВ от оп. №28 ВЛИ 0,4кВ №3 КТП №670 КВЛ 10кВ Совхоз ПС 110кВ Ш16 для присоединения малоэтажной жилой застройки Лигай М.С. по адресу: Ростовская область, Октябрьский район, п. Красногорняцкий, ул. Зинченко, д. 5 (ориентировочная протяженность ЛЭП 0,26 км)</t>
  </si>
  <si>
    <t>Строительство ВЛИ-0,4 кВ от опоры ВЛИ 0,4кВ, построенной сетевой организацией по договору ТП от 27.01.2023г. №61-1-23-00685205 от оп. №15 ВЛ 0,4кВ №1 КТП №304 ВЛ 6кВ Рыбхоз ПС 35кВ Ш41 для присоединения малоэтажной жилой застройки Донченко О.А. по адресу: Ростовская область, Октябрьский район, х. Калинин, садоводческое товарищество «Дон», уч.404а (ориентировочная протяженность ЛЭП 0,26 км)</t>
  </si>
  <si>
    <t>Обеспечение коммерческим учетом электрической энергии  в точке поставки, по присоединению строящегося жилого дома Куклина А.Н., расположенного по адресу: Ростовская область, Белокалитвинский район, ст. Краснодонецкая, ул. Екатериновская, д. № 73, к.н. 61:04:0080101:167 (прибор учета электроэнергии – 1шт)</t>
  </si>
  <si>
    <t>Установка прибора коммерческого учёта электрической энергии, для присоединения жилого дома Цыбенко С.А., расположенного по адресу: Ростовская область, Белокалитвинский р-н, х. Семимаячный, ул. Набережная, д. 39, к.н. з.у. 61:04:0110401:141, (прибор учёта электроэнергии - 1шт)</t>
  </si>
  <si>
    <t>Установка прибора коммерческого учёта электрической энергии, для присоединения здания коровника Исаева А.Н., расположенного по адресу: Ростовская область, Белокалитвинский р-н, п. Сосны (в районе х. Верхнепопов) от пункта триангуляции «Дороговский» примерно в 1800 метрах от ориентира по направлению на север., к.н. 61:04:0600007:412, (прибор учёта электроэнергии 50 кВт - 1шт)</t>
  </si>
  <si>
    <t>Установка прибора коммерческого учёта электрической энергии, для присоединения жилого дома Пепанян Г.М., расположенного по адресу: Ростовская область, Белокалитвинский р-н, х. Крутинский, ул. Майская, д. 10, к.н. 61:04:01310104:133 (прибор учёта электроэнергии - 1шт)</t>
  </si>
  <si>
    <t>Установка прибора коммерческого учёта электрической энергии, для присоединения магазина Новиковой Ю.Е., расположенного по адресу: Ростовская область, Белокалитвинский р-н, с. Литвиновка, ул, Центральная, д.82, к.н. 61:04:0060107:93 (прибор учёта электроэнергии - 1шт)</t>
  </si>
  <si>
    <t>Установка прибора коммерческого учёта электрической энергии, для присоединения Муниципального бюджетного учреждения здравоохранения Белокалитвинского района «Центральная районная больница», расположенного по адресу: Ростовская область, Белокалитвинский р-н, х. Семимаячный, ул, Хрящевка, д. 23 а, к.н. 61:04:0110402:74 (прибор учёта электроэнергии - 1шт)</t>
  </si>
  <si>
    <t>Установка прибора коммерческого учёта электрической энергии для присоединения Магазина Индивидуального предпринимателя Плужникова О.С., расположенного по адресу: Ростовская область, Белокалитвинский р-н, п. Сосны, ул. 50 лет СССР, дом. 29, к.н.з.у.: 61:04:0150405:508 (прибор учёта электроэнергии - 1шт.)</t>
  </si>
  <si>
    <t>Установка прибора коммерческого учёта электрической энергии, для присоединения Общества с ограниченной ответственностью «АСБ-Калитва», расположенного по адресу: Ростовская область, Белокалитвинский р-н, х. Ильинка, ул. Вдовенко, кадастровый номер земельного участка: 61:04:0140101:233 (прибор учёта электроэнергии – 1 шт.)</t>
  </si>
  <si>
    <t>Установка прибора коммерческого учёта электрической энергии, для присоединения жилого дома Пузанова Н.Н., расположенного по адресу: Ростовская область, Белокалитвинский р-н, с. Литвиновка, ул. Подгорная, д. 14, к.н.: 61:04:0060106:83 (прибор учёта электроэнергии – 1 шт.)</t>
  </si>
  <si>
    <t>Установка прибора коммерческого учёта электрической энергии для присоединения строящегося жилого дома Павловой Н.П., расположенного по адресу: Ростовская область, Белокалитвинский р-н, п. Сосны, ул. Лазоревая, д, 22, к.н.з.у.: 61:04:0150409:140 (прибор учёта электроэнергии - 1шт.)</t>
  </si>
  <si>
    <t>Установка прибора коммерческого учёта электрической энергии, для присоединения жилого дома Рябцевой Л.В., расположенного по адресу: Ростовская область, Белокалитвинский р-н,  х. Ленина, ул. Ленина, д. 33, кадастровый номер земельного участка: 61:04:01100113:150 (прибор учёта электроэнергии – 1 шт.)</t>
  </si>
  <si>
    <t>Установка прибора коммерческого учёта электрической энергии, для присоединения строящегося жилого дома  Куракина П.С., расположенного по адресу: Ростовская область, г. Белая Калитва, п. Сосны, ул. Крайняя, д. 5, к.н.з.у.: 61:04:0150405:116 (прибор учёта электроэнергии – 1 шт.)</t>
  </si>
  <si>
    <t>Установка прибора коммерческого учёта электрической энергии, для присоединения жилого дома Новицкого О.В., расположенного по адресу: Ростовская обл., Каменский р-н, х. Масаловка, пер. Маяковского, д. № 1, корп. А, к.н.з.у. 61:15:0080201:1214 (прибор учёта электроэнергии - 1 шт.)</t>
  </si>
  <si>
    <t>Установка прибора коммерческого учета электрической энергии, для присоединения «базовой станции/оборудование сотовой связи» ПАО «Ростелеком» расположенного по адресу: Российская Федерация, Ростовская обл., р-н. Каменский, х. Караичев, координаты 48.48646/40.09744 (прибор учета электроэнергии - 1 шт.)</t>
  </si>
  <si>
    <t>Установка прибора коммерческого учета электрической энергии, для присоединения объекта сельскохозяйственного производства АО «Каменскволокно», расположенного по адресу: Ростовская область, Каменский район, х. Малая Каменка, северо-западнее к.н. з.у. 61:15:0602001:573 (прибор учета электроэнергии - 1 шт.)</t>
  </si>
  <si>
    <t>Установка прибора коммерческого учета электрической энергии, для присоединения ВРУ-0,4кВ административного/ офисного здания  АО «Почта России», расположенного по адресу: Ростовская область, Каменский р-н, х. Красновка, ул. Профильная, 127, К.Н. 61:15:0080105:313 (прибор учета электрической энергии - 1 шт.)</t>
  </si>
  <si>
    <t>Установка прибора коммерческого учёта электрической энергии, для присоединения ВРУ-0,4 кВ хозяйственной постройки, нежилое здание Морозовой Н.И., расположенной по адресу: Ростовская область, Милютинский район, х. Юдин, пер. Березовый, д. 7/1, к.н.з.у. 61:02:0030101:2054 (прибор учёта электроэнергии – 1 шт.)</t>
  </si>
  <si>
    <t>Установка прибора коммерческого учёта электрической энергии, для присоединения Базовой станции ПАО «Ростелеком», расположенной по адресу: Ростовская область, Морозовский р-н, х. Донской, кадастровый номер земельного участка: 00:00:000000:00 (прибор учёта электроэнергии - 1шт.)</t>
  </si>
  <si>
    <t>Установка прибора коммерческого учёта электрической энергии, для присоединения Базовой станции ПАО «Ростелеком», расположенной по адресу: Ростовская область, Морозовский р-н, х. Владимиров, кадастровый номер земельного участка: 00:00:000000:00 (прибор учёта электроэнергии - 1шт.)</t>
  </si>
  <si>
    <t>Установка прибора коммерческого учёта электрической энергии, для присоединения Базовой станции ПАО «Ростелеком», расположенной по адресу: Ростовская область, Морозовский р-н, х. Широко-Атамановский, кадастровый номер земельного участка: 00:00:000000:00 (прибор учёта электроэнергии - 1шт.)</t>
  </si>
  <si>
    <t>Установка прибора коммерческого учёта электрической энергии, для присоединения Базовой станции ПАО «Ростелеком», расположенной по адресу: Ростовская область, Морозовский р-н, х. Трофименков, кадастровый номер земельного участка: 00:00:000000:00  (прибор учёта электроэнергии - 1шт.)</t>
  </si>
  <si>
    <t>Установка прибора коммерческого учёта электрической энергии, для присоединения Базовой станции ПАО «Ростелеком», расположенной по адресу: Ростовская область, Морозовский р-н, х. Чекалов, кадастровый номер земельного участка: 00:00:000000:00 (прибор учёта электроэнергии - 1шт.)</t>
  </si>
  <si>
    <t>Установка прибора коммерческого учёта электрической энергии, для присоединения жилого дома Финогеева А.В., расположенного по адресу: Ростовская область, Морозовский р-н, х. Донской, ул. Солнечная, д. 13, кадастровый номер земельного участка: 61:24:0080301:134 (прибор учёта электроэнергии – 1 шт.)</t>
  </si>
  <si>
    <t>Установка прибора коммерческого учёта электрической энергии, для присоединения жилого дома Вдовенко В.П., расположенного по адресу: Ростовская область, Морозовский р-н,  х. Парамонов, ул. Молодежная, д. 14, к.н.з.у.: 61:24:0110103:154 (прибор учёта электроэнергии – 1 шт.)</t>
  </si>
  <si>
    <t>Установка прибора коммерческого учёта электрической энергии для присоединения коровника ИП главы КФХ  Омарова М.Ш., расположенного по адресу: Ростовская область, Морозовский р-н, х. Трофименков, территория зона сельскохозяйственного производства, земельный участок №1, к.н.з.у.: 61:24:0600005:279 (прибор учёта электроэнергии - 1шт.)</t>
  </si>
  <si>
    <t>Установка прибора коммерческого учёта электрической энергии, для присоединения крытого тока ИП главы К(Ф)Х Петринчик П.Н., расположенного по адресу: Ростовская область, Морозовский р-н, х. Николаев, ул. Придорожная, д. 10 б, кадастровый номер земельного участка: 61:24:100203:0076 (прибор учёта электроэнергии - 1шт.)</t>
  </si>
  <si>
    <t>Установка прибора коммерческого учёта электрической энергии, для присоединения строящегося жилого дома Кобзарь А.И., расположенного по адресу: Ростовская область, Морозовский р-н, х. Общий, ул. Белояровская, д. 3, к.н.з.у.: 61:24:0050104:25 (прибор учёта электроэнергии - 1шт.)</t>
  </si>
  <si>
    <t>Установка прибора коммерческого учёта электрической энергии, для присоединения холодного склада  ООО «Искра», расположенного по адресу: Ростовская область, Морозовский   р-н, п. Чистые Пруды, 26 м южнее жилого дома п. Чистые Пруды, 1, к.н.з.у.: 61:24:0600016:403 (прибор учёта электроэнергии – 1 шт.)</t>
  </si>
  <si>
    <t>Установка прибора коммерческого учета электрической энергии, для присоединения ВРУ-0,4кВ жилого дома Щепелева Н.В., расположенного по адресу: Ростовская область, Советский район, слобода Калач-Куртлак, улица Набережная, дом 5, к.н.з.у.:61:36:0040101:350 (прибор учета электроэнергии -   1 шт.)</t>
  </si>
  <si>
    <t>Установка прибора коммерческого учета электрической энергии, для присоединения ВРУ-0,4кВ строящегося нежилого здания Буртак С.В., расположенного по адресу: Ростовская область, Советский район, станица Советская, улица 40 лет Октября, дом 47«л», к.н.з.у.:61:36:0010101:5253 (прибор учета электроэнергии - 1 шт.)</t>
  </si>
  <si>
    <t>Установка прибора коммерческого учёта электрической энергии, для присоединения ВРУ-0,4 кВ объекта медицинского учреждения МБУЗ «ЦРБ», расположенного по адресу: Ростовская область, Тацинский район, х. Крюков, пер. Речной, д.4, к.н. 61:38:0060701:1246. (прибор учёта электроэнергии - 1шт.)</t>
  </si>
  <si>
    <t>Установка прибора коммерческого учёта электрической энергии, для присоединения ВРУ-0,4кВ строящегося здания Зимовейского М.С., расположенного по адресу: Ростовская область, Тацинский район,  х. Новороссошанский,  ул. Молодежная, д. 4-е, к.н. 61:38:0080401:2323 (прибор учёта электроэнергии –  1 шт.)</t>
  </si>
  <si>
    <t>Установка прибора коммерческого учёта электрической энергии, для присоединения ВРУ-0,4кВ здания гаража-мастерской ООО «Родина» расположенного по адресу: Ростовская область, Тацинский район,  х. Новороссошанский, ул. Молодежная, д. 4Д, к.н. 61:38:0000000:5902 (прибор учёта электроэнергии –  1 шт.)</t>
  </si>
  <si>
    <t>Установка прибора коммерческого учёта электрической энергии, для присоединения ВРУ-0,4кВ жилого дома Бондарева А.В., расположенного по адресу: Ростовская область, Тацинский район, п. Быстрогорский,   ул. Карьерная, д. 6 а, к.н. 61:38:0040134:1 (прибор учёта электроэнергии –  1 шт.)</t>
  </si>
  <si>
    <t>Установка прибора коммерческого учёта электрической энергии, для присоединения ВРУ-0,4кВ здания склада ИП Зимовейского С.Н., расположенного по адресу: Ростовская область, Тацинский район,   х. Новороссошанский, примерно в 0,7 км  по направлению на юго-восток от ул. Коммунистическая, д. 23, к.н. 61:38:0080401:281 (прибор учёта электроэнергии –  1 шт.)</t>
  </si>
  <si>
    <t>Установка прибора коммерческого учёта электрической энергии, для присоединения ВРУ-0,4кВ магазина ИП Кушнир А.В., расположенного по адресу: Ростовская область, Тацинский район, п. Быстрогорский, пер. Торговый, д. 1, к.н. 61:38:040127:0030 (прибор учёта электроэнергии –  1 шт.)</t>
  </si>
  <si>
    <t>Установка прибора коммерческого учёта электрической энергии, для присоединения ВРУ-0,4кВ объекта крестьянского (фермерского) хозяйства ИП Зиновьева А.В., расположенного по адресу: Ростовская область, Тацинский район, х. Зазерский, пер. Заречный, д. 9а, к.н. 61:38:0090101:1312 (прибор учёта электроэнергии –  1 шт.)</t>
  </si>
  <si>
    <t>Установка прибора коммерческого учёта электрической энергии, для присоединения ВРУ-0,4кВ жилого дома Гапонова Ю.Б., расположенного по адресу: Ростовская область, Тацинский район, х. Потапов, ул. Мира, д. 12, к.н. 61:38:0030901:37 (прибор учёта электроэнергии –  1 шт.)</t>
  </si>
  <si>
    <t>Установка прибора коммерческого учёта электрической энергии, для присоединения ВРУ-0,4кВ ЛЭП-0,4кВ Государственного казенного учреждения Ростовской области «Противопожарная служба Ростовской области» в лице начальника Кравцова В.В., расположенного по адресу: Ростовская область, Тацинский район, ст. Ермаковская, ул. Попова, д.34, корпус А, к.н. 61:38:0080101:2001 (прибор учёта электроэнергии - 1шт)</t>
  </si>
  <si>
    <t>Установка прибора коммерческого учёта электрической энергии, для присоединения здания механизированной тракторной мастерской Черняева С.В., расположенного по адресу: Ростовская область, Тарасовский р-н, п.Тарасовский, ул. Береговая, д. 2 а, у. н. 61:37:000000:5951:2853/АА1 (прибор учёта электроэнергии - 1шт.)</t>
  </si>
  <si>
    <t>Установка прибора коммерческого учёта электрической энергии, для присоединения строящегося зерносклада Никишиной С.С., расположенного относительно ориентира, установленного в границах участка, адрес ориентира: Ростовская область, Тарасовский район, х. Нижнемакеевский, к. н. з. у. 61:37:0600008:1154 (прибор учета электрической энергии - 1 шт.)</t>
  </si>
  <si>
    <t>Установка прибора коммерческого учёта электрической энергии, для присоединения ВРУ-0,38кВ административного/офисного здания АО «Почта России», расположенного по адресу: Ростовская обл., р-н. Тарасовский, х. Можаевка, ул. Мира, д. 1, к.н. 61:37:0110101:2153 (прибор учёта электроэнергии - 1шт)</t>
  </si>
  <si>
    <t>Установка прибора коммерческого учёта электрической энергии для присоединения жилого дома Слепченко В.А., расположенного по адресу: Ростовская область, Тарасовский р-н, сл. Колушкино, ул. Советская, д. 80, к.н.з.у.: 61:37:090101:82 (прибор учёта электроэнергии - 1шт.)</t>
  </si>
  <si>
    <t>Установка прибора коммерческого учёта электрической энергии, для присоединения ½ доли жилого дома  Пузанковой З.М., расположенного по адресу: Ростовская область, Тарасовский р-н, сл. Колушкино, ул. Дружбы, дом 7, квартира 1, к.н.з.у. 61:37:0090101:173 (прибор учёта электроэнергии - 1шт)</t>
  </si>
  <si>
    <t>Установка прибора коммерческого учёта электрической энергии, для присоединения жилого дома Коротаева В.И., расположенного по адресу: Ростовская область, Тарасовский р-н, х. Нижнемакеевский, ул. Молодежная,  д. 6, к.н. 61:37:0080301:135 (прибор учёта электроэнергии - 1шт)</t>
  </si>
  <si>
    <t>Установка прибора коммерческого учёта электрической энергии, для присоединения музея , Муниципального учреждения культуры «Митякинский дом культуры», расположенного по адресу: Ростовская область, Тарасовский р-н, ст. Митякинская, ул. Менжинского, д.70, у.н.з.у. 61-61-43/006/2009-367 (прибор учёта электроэнергии - 1шт)</t>
  </si>
  <si>
    <t>Установка прибора коммерческого учёта электрической энергии, для подключения жилого дома Кнурева П.А., расположенного по адресу: Ростовская область, Белокалитвинский р-н, п. Сосны, примыкает к участку по ул. Новая, кв. 1, к.н. 61:04:0150405:269 (прибор учёта электроэнергии - 1шт)</t>
  </si>
  <si>
    <t>Строительство участка ВЛ-0,4 кВ от опоры № 8, ВЛ-0,4 кВ №1, КТП № 375, ВЛ-10 кВ № 2, ПС 35/10 кВ «Нижнепоповская» для подключения объекта медицинского учреждения Муниципального бюджетного учреждения здравоохранения Белокалитвинского района «Центральная районная больница», расположенного по адресу: Ростовская область, р-он Белокалитвинский, х. Погорелов, ул. Школьная, д.23 к.н. 61:04:0130202:579 (ориентировочная протяженность ВЛ – 0,025 км, прибор учёта  электроэнергии - 1шт)</t>
  </si>
  <si>
    <t>Строительство участка ЛЭП-0,4 кВ от опоры № 2, ВЛ-0,4 кВ №1, КТП № 464, ВЛ-10 кВ Л-28 Фид. №14, ПС 110/35/10 кВ «Б-3 РП 28» для подключения малоэтажной жилой постройки Свиридова А.С., расположенной по адресу: Ростовская область, Белокалитвинский р-он, х. Дороговский, пер. Кривой, д.6, к.н. 61:04:0150301:250 (ориентировочная протяженность ЛЭП – 0,060 км, прибор учёта электроэнергии - 1шт)</t>
  </si>
  <si>
    <t>Строительство участка ЛЭП-0,4 кВ от ВЛ-0,4 кВ № 4, КТП № 419, ВЛ-10 кВ № 3, ПС 35/10 кВ «Нижнепоповская», для подключения строящегося жилого дома Мельникова М.А., расположенного по адресу: Ростовская область, Белокалитвинский р-он, п. Сосны, ул. Сосновая, д. 2,  к.н. 61:04:0150415:45 (ориентировочная протяженность ЛЭП – 0,095 км, прибор учёта электроэнергии - 1шт)</t>
  </si>
  <si>
    <t>Установка прибора коммерческого учёта электрической энергии, для присоединения жилого дома Белоконевой В.П., расположенного по адресу: Ростовская область, Белокалитвинский р-н, х. Богураев, ул. Нижняя, д. 119, кадастровый номер земельного участка: 61:04:0160105:97 (прибор учёта электроэнергии – 1 шт.)</t>
  </si>
  <si>
    <t>Установка прибора коммерческого учёта электрической энергии, для присоединения ВРУ-0,4 кВ малоэтажная жилая застройка (Индивидуальный жилой дом/садовый/дачный дом) Колесниченко Е.Г., расположенной по адресу: Ростовская область, Милютинский район, х. Юдин, пер. Мостовой, д. 2, к.н.з.у. 61:23:0030101:561 (прибор учёта электроэнергии - 1 шт.)</t>
  </si>
  <si>
    <t>Установка прибора коммерческого учёта электрической энергии, для присоединения ВРУ-0,4 кВ жилого дома Кравцова В.А., расположенной по адресу: Ростовская область, Милютинский район, п. Аграрный, ул. Совхозная, д. 1, к.н.з.у. 61:23:0010401:18 (прибор учёта электроэнергии - 1 шт.)</t>
  </si>
  <si>
    <t>Установка прибора коммерческого учёта электрической энергии, для присоединения ВРУ-0,4 кВ производственного здания/помещения  ИП Шевчук С.Н., расположенного по адресу: Ростовская область, Милютинский район, сл. Маньково-Березовская, в 1040 метрах на запад от сл. Маньково-Березовская, к.н.з.у. 61:23:0600006:772 (прибор учёта электроэнергии - 1 шт.)</t>
  </si>
  <si>
    <t>Строительство участка ВЛ-0,4 кВ от опоры № 39 ВЛ-0,4 кВ № 3, КТП № 51, ВЛ-10 кВ № 1, ПС 35/10 кВ «Владимировская», для подключения жилого дома Жиренко Николая Дмитриевича, расположенного по адресу: Ростовская обл., Морозовский р-н, х. Беляев, ул. Центральная, д. 23, к.н.з.у. 61:24:0070104:40 (ориентировочная   протяженность ЛЭП – 0,07 км, прибор учёта электроэнергии - 1шт)</t>
  </si>
  <si>
    <t>Установка прибора коммерческого учёта электрической энергии, для присоединения объекта «Индивидуальный жилой дом» Наконечного В.А., расположенного по адресу: Ростовская область, Морозовский р-н, ст-ца Вольно-Донская, ул. Береговая, д. 45, кадастровый номер земельного участка: 61:24:0060102:90 (прибор учёта электроэнергии – 1 шт.)</t>
  </si>
  <si>
    <t>Установка прибора коммерческого учёта электрической энергии для присоединения цеха сборки оборудования для разлива газированных напитков Овеян И.И., расположенного по адресу: Ростовская область, Тарасовский р-н, ст. Митякинская, ул. Красноармейская, д.1, к.н.з.у.: 61:37:0100101:4205 (прибор учёта электроэнергии - 1шт.)</t>
  </si>
  <si>
    <t>Установка прибора коммерческого учёта электрической энергии, для присоединения жилого дома Леурда Е.В., расположенного по адресу: сл. Большинка, ул. ул. Буденного, д.24 к.н. 61:37:0120101:3229 (прибор учёта электроэнергии - 1шт)</t>
  </si>
  <si>
    <t>Установка прибора коммерческого учёта электрической энергии, для присоединения жилого дома Симоненко Д.А., расположенного по адресу: сл. Ефремово-Степановка, ул. Ленина, д.12 к.н. 61:37:0080101:562 (прибор учёта электроэнергии - 1шт)</t>
  </si>
  <si>
    <t>Строительство участка ВЛИ-0,4 кВ от опоры № 11, ВЛ-0,4 кВ № 2, КТП № 259, ВЛ-10 кВ № 3, ПС 35/10 кВ «Алифановская» для подключения ВРУ-0,4 кВ жилого дома Шинкарева С.В., расположенного по адресу: Ростовская область, Тацинский район, х. Потапов, ул. Мира, д. 24, к.н. 61:38:0030901:28 (ориентировочная протяженность ЛЭП – 0,36 км, прибор учёта электроэнергии - 1шт)</t>
  </si>
  <si>
    <t>Строительство участка ЛЭП-0,4 кВ от опоры № 38, ВЛ-0,4 кВ №1, КТП № 113, ВЛ-10 кВ № 4, ПС 110/10 кВ «Головокалитвинская» для подключения базовой станции/оборудования сотовой связи  ПАО «Ростелеком», расположенной по адресу: Ростовская область, р-он Белокалитвинский, х. Демишев к.н. 00:00:00000:000 (ориентировочная протяженность ЛЭП –   0,249 км, прибор учёта электроэнергии - 1шт.)</t>
  </si>
  <si>
    <t>Строительство участка ЛЭП-0,4 кВ от опоры № 17, ВЛ-0,4 кВ №1, КТП № 54, ВЛ-10 кВ № 2, ПС 110/10 кВ «Головокалитвинская» для подключения жилых домов Сулименко Ю.И. и Юрова А.Н., расположенных по адресу: Ростовская область, р-он Белокалитвинский, х. Ильинка, ул. Юбилейная, д.38, д.34,  к.н. 61:04:0140105:82, к.н.61:04:0140105:86 (ориентировочная протяженность ЛЭП – 0,210 км, прибор учёта электроэнергии – 2 шт.)</t>
  </si>
  <si>
    <t>Строительство участка ВЛИ-0,4 кВ от опоры № 38/7, ВЛ-0,4 кВ № 1, КТП № 172, ВЛ-10 кВ № 2, ПС 110/35/10/6 кВ «К - 4» для подключения базовой станции сотовой связи ООО «Т2 Мобайл», расположенной по адресу: Ростовская область, Каменский район, хутор Березовый, южнее земельного участка с КН 61:15:0020101:5, КНЗУ 00:00:000000:00 (ориентировочная протяженность ЛЭП – 0,076 км, прибор учёта электроэнергии - 1 шт.)</t>
  </si>
  <si>
    <t>Строительство участка ВЛИ-0,4 кВ от РУ-0,4 кВ КТП № 400, ВЛ-10 кВ № 4, ПС 35/10 кВ «Каменская СХТ», для подключения ВРУ-0,4 кВ насоса для полива Соколова А.П., расположенного по адресу: Ростовская область, Каменский район, хутор Абрамовка, ул. Ленина, д. № 61, корпус Б, КНЗУ 61:15:0602101:2483 (ориентировочная протяженность ЛЭП – 0,352 км, прибор учёта электроэнергии - 1 шт.)</t>
  </si>
  <si>
    <t>Строительство участка ЛЭП-0,4 кВ от ВЛ-0,4 кВ № 2, КТП № 543, ПС 35/10 кВ «Первомайская», для подключения объектов крестьянско-фермерских хозяйств ИП Трушко и ИП Хоперскова В.И., расположенных по адресу: Ростовская область, Каменский р-н, Гусевское сп., х. Гусев, к.н.з.у.:61:15:0601701:1087, х. Гусев, ТОО «Гусевское», пашня р.у. № 9,  10,12,13,19,24, пастбище р.у. № 1,  № 12, к.н.з.у.: 61:15:0601701:2001 (ориентировочная протяженность ЛЭП – 0,400 км, прибор учёта электроэнергии – 2 шт.)</t>
  </si>
  <si>
    <t>Строительство участка ВЛИ-0,4 кВ от опоры №34 ВЛ-0,4кВ №2 КТП № 12 ВЛ-10 кВ № 2, ПС 110/35/10 кВ «Обливская-1»  для подключения жилого дома Мишуренко О.В., расположенного по адресу: Ростовская область, Обливский р-он, хутор Ковыленский, улица Терновая, дом №9 к.н.з.у. 61:27:0071103:88 (ориентировочная протяженность ЛЭП – 0,250 км, прибор учёта электроэнергии - 1шт)</t>
  </si>
  <si>
    <t>Строительство участка ВЛИ-0,4 кВ от опоры № 2/11, ВЛ-0,4 кВ № 1, КТП № 356, ВЛ-10 кВ № 4, ПС 35/10 кВ "Верхне-Кольцовская", для подключения ВРУ-0,4 кВ жилого дома Диденко О.Н., расположенного по адресу: Ростовская область, Тацинский район, ст. Ермаковская, ул. Попова, д. 93, корп. А, к.н. 61:38:0080101:1748 (ориентировочная протяженность ЛЭП – 0,03 км, прибор учёта электроэнергии - 1шт)</t>
  </si>
  <si>
    <t>Строительство участка ВЛИ-0,4 кВ от РУ-0,4кВ, КТП № 231, ВЛ-10 кВ № 5, ПС 35/10 кВ «Верхнекольцовская», для подключения ВРУ-0,4 кВ жилого дома Курбанова А.М., расположенного по адресу: Ростовская область, Тацинский район, п. Лубяной, ул. Восточная, д. 14, к.н. 61:38:0100301:1 (ориентировочная протяженность ЛЭП – 0,6 км, прибор учёта электроэнергии - 1шт)</t>
  </si>
  <si>
    <t>Установка прибора коммерческого учёта электрической энергии для присоединения нежилой застройки Демина П.Е., расположенного по адресу: Ростовская область, Белокалитвинского р-н,  п. Сосны, ул. 50 лет СССР, д. 23б, к.н.з.у.: 61:04:0150405:533 (прибор учёта электроэнергии – 1 шт.)</t>
  </si>
  <si>
    <t>Установка прибора коммерческого учета электрической энергии, для присоединения «антенно-мачтового сооружения 61-14587» АО «Первая Башенная Компания» расположенного по адресу: Ростовская область, Каменский р-н, х. Старая Станица, 924 км автомагистрали М-4 «Дон», вблизи с участком к.н. 61:15:0602101:24, координаты 48.355703/40.335208 (прибор учета электроэнергии - 1 шт.)</t>
  </si>
  <si>
    <t>Установка прибора коммерческого учета электрической энергии, для присоединения «жилого дома» ООО «Альянс» расположенного по адресу: Российская Федерация, Ростовская обл., район Каменский, х. Старая Станица, ул. Строителей, 86 Б (прибор учета электроэнергии - 1 шт.)</t>
  </si>
  <si>
    <t>Установка прибора коммерческого учета электрической энергии, для присоединения «освещение парка» Администрации Каменского района, расположенного по адресу: Российская Федерация, Ростовская обл.,  р-н. Каменский, х. Малая Каменка, примыкает к ЗУ по ул. Карла Маркса, 21А (прибор учета электроэнергии - 1 шт.)</t>
  </si>
  <si>
    <t>Установка прибора коммерческого учета электрической энергии, для присоединения объектов торговли (магазин, торговый центр, прочее), расположенных по адресу: Ростовская область, Каменский р-н, х. Красновка, ул. Профильная, примыкает к земельному участку с к.н. 61:15:0080108:1893, к.н.з.у. 61:15:0080108:1913 (прибор учета электроэнергии - 1 шт.)</t>
  </si>
  <si>
    <t>Установка прибора коммерческого учёта электрической энергии, для присоединения ВРУ-0,4 кВ малоэтажной жилой застройки Гордиенко Н.В., расположенной по адресу: Ростовская область, Милютинский район,   х. Приходько-Придченский, ул. Петровка, д. 34, к.н.з.у. 61:23:0040201:68 (прибор учёта электроэнергии – 1 шт.)</t>
  </si>
  <si>
    <t>Установка прибора коммерческого учёта электрической энергии, для присоединения объекта строительства (гаража) Зрожаева Н.Н., расположенного по адресу: Ростовская область, Морозовский р-н, х. Общий, ул. Энтузиастов, д. 52, к.н.з.у.: 61:24:0050102:638 (прибор учёта электроэнергии - 1шт.)</t>
  </si>
  <si>
    <t>Установка прибора коммерческого учёта электрической энергии, для присоединения ВРУ-0,4 кВ здания склада ИП Мищенко В.Н. расположенного по адресу: Ростовская область, Тацинский район, примерно в 0,4 км на восток от х. Араканцев, к.н. 61:38:0600017:709 (прибор учёта электроэнергии –  1 шт.)</t>
  </si>
  <si>
    <t>Установка прибора коммерческого учёта электрической энергии, для присоединения ВРУ-0,4кВ здания склада №2 ИП Мищенко В.Н. расположенного по адресу: Ростовская область, Тацинский район, примерно в 0,2 км на восток от х. Араканцев, к.н. 61:38:0600017:708 (прибор учёта электроэнергии –  1 шт.)</t>
  </si>
  <si>
    <t>Установка прибора коммерческого учёта электрической энергии, для присоединения строящегося здания ИП Мищенко В.Н. расположенного по адресу: Ростовская область, Тацинский район, примерно в 50м на северо-запад от х. Араканцев,  к.н. 61:38:0600017:945 (прибор учёта электроэнергии –  1 шт.)</t>
  </si>
  <si>
    <t>Установка прибора коммерческого учёта электрической энергии, для присоединения строящегося здания Дадоновой Г.Н., расположенного по адресу: Ростовская область, Тацинский район, х. Крылов, в 0,5 км на северо-запад от ул. Молодежная, 19, к.н. 61:38:0600013:1068 (прибор учёта электроэнергии – 1 шт.)</t>
  </si>
  <si>
    <t>Обеспечение коммерческим учетом электрической энергии  в точке поставки, по присоединению строящегося жилого дома Убийко Л.И., расположенного по адресу: Ростовская область, Белокалитвинский район, х. Богатов, пер. Степной, д. № 4а, к.н. 61:04:0080202:250 (прибор учета электроэнергии – 1шт).</t>
  </si>
  <si>
    <t>Установка прибора коммерческого учёта электрической энергии для присоединения жилого дома Кнурева М.Н., расположенного по адресу: Ростовская область, Белокалитвинский район, х. Нижнепопов, ул. Первая, д. № 4, к.н. 61:04:0150201:71 (прибор учета электроэнергии – 1шт)</t>
  </si>
  <si>
    <t>Установка прибора коммерческого учёта электрической энергии  для присоединения строящегося жилого дома Аксёнов Л.А., расположенного по адресу: Ростовская область, Белокалитвинский район, п. Сосны, ул. Сосновая, д. № 2 д, к.н. 61:04:0150415:73 (прибор учета электроэнергии – 1шт)</t>
  </si>
  <si>
    <t>Установка прибора коммерческого учёта электрической энергии, для присоединения жилого дома Абрамовой С.И., расположенного по адресу: Ростовская область, Белокалитвинский район, х. Поцелуев, ул. Старцева, д. № 8, к.н. 61:04:0050101:167 (прибор учета электроэнергии – 1шт)</t>
  </si>
  <si>
    <t>Установка прибора коммерческого учёта электрической энергии, для присоединения жилого дома Демченко Н.Н., расположенного по адресу: Ростовская область, Белокалитвинский р-н, х. Какичев, ул. Центральная, д. 66, к.н. 61:04:0160502:74, (прибор учёта электроэнергии - 1шт)</t>
  </si>
  <si>
    <t>Установка прибора коммерческого учёта электрической энергии, для присоединения строящегося жилого дома Олейникова А.В., расположенного по адресу: Ростовская область, Белокалитвинский р-н, п. Сосны, ул. Молодежная, д. 74 а, к.н. з.у. 61:04:0150410:213, (прибор учёта электроэнергии - 1шт)</t>
  </si>
  <si>
    <t>Установка приборов коммерческого учёта электрической энергии, для присоединения жилых домов Винниковой Л.А., Воронкова О.Н., Гончаровой А.Н., Грачевой Н.В., Захарченко А.Л., Копылова Д.М., Лукиных Н.В., Пащенко С.И., расположенных по адресу: Ростовская обл., Белокалитвинский р-н, х. Дубовой, ул.  Степная, дома №№ 65, 69, 66,70,77,84,81,82, к.н. з.у.: 61:04:0110502:102, 61:04:0110502:124, 61:04:0110502:121, 61:04:0110502:119, 61:04:0110502:0108, 61:04:0110502:115, 61:04:0110502:113, 61:04:0110502:114 (прибор учёта электроэнергии – 8 шт)</t>
  </si>
  <si>
    <t>Установка прибора коммерческого учёта электрической энергии, для присоединения жилого помещения Деникс Ю.В., расположенного по адресу: Ростовская область, Белокалитвинский р-н, п. Сосны, ул. Новая, д. 1, кв./оф. № 1, к.н. 61:04:0150405:268, (прибор учёта электроэнергии 15 кВт - 1шт)</t>
  </si>
  <si>
    <t>Установка прибора коммерческого учёта электрической энергии, для присоединения жилого дома Ильенко А.А., расположенного по адресу: Ростовская область, Белокалитвинский р-н, п. Сосны, ул. Кирова, д. 1/1., кв., к.н. 61:04:150400:1391, (прибор учёта электроэнергии 15 кВт - 1шт)</t>
  </si>
  <si>
    <t>Установка прибора коммерческого учёта электрической энергии, для присоединения жилого дома Лобурь Р.В., расположенного по адресу: Ростовская область, Белокалитвинский р-н, х. Нижнепопов, ул. Молодежная, д. 1., кв/оф.1, к.н. з.у. 61:04:150204:0058 (прибор учёта электроэнергии 15 кВт - 1шт)</t>
  </si>
  <si>
    <t>Установка прибора коммерческого учёта электрической энергии, для присоединения Базовой станции сотовой связи № 61-02919 Публичного Акционерного Общества «Мобильные ТелеСистемы»., расположенного по адресу: Ростовская область, Белокалитвинский р-н, х. Богатов, ул. Станкевского, 0,08 км северо-западнее дома № 14, к.н.з.у. отсутствует, (прибор учёта электроэнергии - 1шт)</t>
  </si>
  <si>
    <t>Установка прибора коммерческого учёта электрической энергии, для присоединения жилого дома Абрамян Г.В., расположенного по адресу: Ростовская область, Белокалитвинский р-н, х. Ильинка, ул. Набережная, д. 3, к.н. 61:04:0140106:85 (прибор учёта электроэнергии - 1шт)</t>
  </si>
  <si>
    <t>Установка прибора коммерческого учёта электрической энергии, для присоединения жилого дома Авагяна Г.Г., расположенного по адресу: Ростовская область, Белокалитвинский р-н, х. Нижнепопов, ул. Школьная, д. 38, к.н. 61:04:0150202:96 (прибор учёта электроэнергии - 1шт)</t>
  </si>
  <si>
    <t>Установка прибора коммерческого учёта электрической энергии, для присоединения жилого дома Калюжина П.В., расположенного по адресу: Ростовская область, Белокалитвинский р-н, х. Дороговский, пер. Мирный, д. 4., к.н. 61:04:0150301:583., (прибор учёта электроэнергии - 1шт)</t>
  </si>
  <si>
    <t>Установка прибора коммерческого учёта электрической энергии, для присоединения жилого дома Кулик П.В., расположенного по адресу: Ростовская область, Белокалитвинский р-н, х. Нижнесеребряковский, ул. Советская, д. 26., к.н. 61:04:0070104:80., (прибор учёта электроэнергии - 1шт)</t>
  </si>
  <si>
    <t>Установка прибора коммерческого учёта электрической энергии, для присоединения жилого дома Курченко Е.А., расположенного по адресу: Ростовская область, Белокалитвинский р-н, х. Марьевка, ул. Ленина, д. 9, к.н. 61:04:0140601:117 (прибор учёта электроэнергии - 1шт)</t>
  </si>
  <si>
    <t>Установка прибора коммерческого учёта электрической энергии, для присоединения жилого дома Стещенко Д.В., расположенного по адресу: Ростовская область, Белокалитвинский р-н, х. Погорелов, ул. Сергея Саринова, д. 61., к.н. 61:04:130202:0066., (прибор учёта электроэнергии - 1шт)</t>
  </si>
  <si>
    <t>Установка прибора коммерческого учёта электрической энергии, для присоединения жилого дома Шакенус Е.А., расположенного по адресу: Ростовская область, Белокалитвинский р-н, х. Ильинка, ул. Гагарина, д. 32., к.н. 61:04:0140103:141 (прибор учёта электроэнергии - 1шт)</t>
  </si>
  <si>
    <t>Установка прибора коммерческого учёта электрической энергии, для присоединения мастерских Янгуловой Н.Е., расположенного по адресу: Ростовская область, Белокалитвинский р-н, п. Сосны, к.н. 61:04:0600007:334 (прибор учёта электроэнергии - 1шт)</t>
  </si>
  <si>
    <t>Установка прибора коммерческого учёта электрической энергии, для присоединения строящегося жилого дома Костоева А.С., расположенного по адресу: Ростовская область, Белокалитвинский р-н, х. Поцелуев, ул. Донецкая, д. 1, к.н. 61:04:0050104:86 (прибор учёта электроэнергии - 1шт)</t>
  </si>
  <si>
    <t>Установка прибора коммерческого учёта электрической энергии, для присоединения строящегося жилого дома Закиновой Н.А., расположенного по адресу: Ростовская область, Белокалитвинский р-н, п. Сосны, ул. Заречная, уч. 19-б, к.н. 61:04:0150406:236 (прибор учёта электроэнергии - 1шт)</t>
  </si>
  <si>
    <t>Установка прибора коммерческого учёта электрической энергии, для присоединения строящегося жилого дома Сюськиной Н.С., расположенного по адресу: Ростовская область, Белокалитвинский р-н, п. Сосны, ул. Солнечная, д. 1, к.н. 61:04:0150404:382 (прибор учёта электроэнергии - 1шт)</t>
  </si>
  <si>
    <t>Установка прибора коммерческого учёта электрической энергии, для присоединения строящегося жилого дома Чумак Г.М., расположенного по адресу: Ростовская область, Белокалитвинский р-н, х. Нижнепопов, ул. Мостовая, д. 3., к.н. 61:04:0150201:43., (прибор учёта электроэнергии - 1шт)</t>
  </si>
  <si>
    <t>Установка прибора коммерческого учёта электрической энергии, для присоединения строящегося магазина Индивидуального предпринимателя Прохоровой А.П., расположенного по адресу: Ростовская область, Белокалитвинский р-н, п. Сосны, ул. 50 лет СССР, уч. 25а, к.н. 61:04:0150405:262 (прибор учёта электроэнергии - 1шт)</t>
  </si>
  <si>
    <t>Установка прибора коммерческого учёта электрической энергии, для присоединения строящегося жилого дома Семерникова С.А., расположенного по адресу: Ростовская область, Белокалитвинский р-н, х. Мечетный, ул. Бузиновская, д. 6, к.н. 61:04:16:07 (прибор учёта электроэнергии - 1шт)</t>
  </si>
  <si>
    <t>Установка прибора коммерческого учёта электрической энергии, для присоединения жилого дома Дубинской О.Л., расположенного по адресу: Ростовская область, Белокалитвинский р-н, х. Ильинка, ул, Советская, д. 6, к.н. 61:04:0140107:105 (прибор учёта электроэнергии - 1шт)</t>
  </si>
  <si>
    <t>Установка прибора коммерческого учёта электрической энергии, для присоединения жилого дома Ивановой И.М., расположенного по адресу: Ростовская область, Белокалитвинский р-н, х. Чернышев, ул. Центральная, д.13, к.н. 61:04:0110302:191 (прибор учёта электроэнергии - 1шт)</t>
  </si>
  <si>
    <t>Установка прибора коммерческого учёта электрической энергии, для присоединения жилого дома Белогубова В.Г., расположенного по адресу: Ростовская область, Белокалитвинский р-н, с. Литвиновка, ул, Центральная, д. 28, к.н. 61:04:0060101:14 (прибор учёта электроэнергии - 1шт)</t>
  </si>
  <si>
    <t>Установка прибора коммерческого учёта электрической энергии, для жилого дома Недина П.Г., расположенного по адресу: Ростовская область, Белокалитвинский р-н, х. Крутинский, ул, Набережная, д. 12, к.н. 61:04:0130101:144 (прибор учёта электроэнергии - 1шт)</t>
  </si>
  <si>
    <t>Установка прибора коммерческого учёта электрической энергии для присоединения Магазина 508 Общества с ограниченной ответственностью «Управляющая компания Донская народная»., расположенного по адресу: Ростовская область, Белокалитвинский р-н, п. Сосны, ул. 50 лет СССР, д. 29, к.н.з.у. 61:04:0150405:508 (прибор учёта электроэнергии - 1шт.)</t>
  </si>
  <si>
    <t>Установка прибора коммерческого учёта электрической энергии, для присоединения строящегося магазина Индивидуального предпринимателя Прохоровой А.П., расположенного по адресу: Ростовская обл., Белокалитвинский р-н, п. Сосны, ул. 50 лет СССР, к.н.з.у.: 61:04:0150405:517 (прибор учёта электроэнергии - 1шт.)</t>
  </si>
  <si>
    <t>Строительство участка ВЛ-0,4 кВ от ВЛ-0,4 кВ № 4, КТП № 419, ВЛ-10 кВ № 3, ПС-35/10 кВ «Нижнепоповская», для подключения строящегося магазина Венглярского С.Г., расположенного по адресу: Ростовская обл., Белокалитвинский р-н, п. Сосны, ул. 50 лет СССР, уч № 24, КНЗУ 61:04:0150401:659 (ориентировочная   протяженность ЛЭП – 0,020 км, прибор учёта электроэнергии - 1шт)</t>
  </si>
  <si>
    <t>Строительство участка ЛЭП-0,4 кВ от ВЛ-0,4 кВ № 2, КТП № 953,ВЛ-10 кВ фид. «Западной», ПС 35/10 кВ «Ш-26», для подключения жилого дома Хиропулос Е П., расположенного по адресу: Ростовская область, Белокалитвинский р-н, х. Западный, ул. Садовая, д. 21. к.н.з.у.: 61:04:0080301:115 (ориентировочная протяженность ЛЭП – 0,356 км,прибор учёта электроэнергии - 1шт.)</t>
  </si>
  <si>
    <t>Строительство участка ВЛ-10 кВ от опоры № 73 ВЛ-10 кВ, Л-28 фид № 14, ПС 110/35/10 кВ «Б-3» от РП-28, ТП 10/0,4 кВ  и  участка ВЛ-0,4 кВ от РУ-0,4 кВ новой ТП 10/0,4 кВ, для подключения Садоводства Остащенко Д.Н., расположенных по адресу: Ростовская область, Белокалитвинский район,  Нижнепоповское сельское поселение, к.н.з.у.: 61:04:0600011:1196 (ориентировочная протяженность ЛЭП – 0,626 км, трансформаторная мощность – 0,025 МВА, прибор учёта электроэнергии - 1 шт)</t>
  </si>
  <si>
    <t>Строительство участка ЛЭП-0,4 кВ от ВЛ-0,4 кВ № 2, КТП № 678, ВЛ-6 кВ «Восход», ПС 110/6 кВ «Б-1», для подключения жилого дома  Иовенко А.Н., расположенного по адресу: Ростовская область, Белокалитвинский р-н, х. Поцелуев, ул. Солнечная, д. 37, кв. 2., к.н. 61:04:0050103:124 (ориентировочная протяженность ЛЭП – 0,366 км, прибор учёта электроэнергии - 1шт)</t>
  </si>
  <si>
    <t>Установка прибора коммерческого учёта электрической энергии для присоединения жилого дома Ивановой И.А., расположенного по адресу: Ростовская область, Белокалитвинского р-н,  х. Какичев, ул. Центральная, д. 88, к.н.з.у.: 61:04:0160502:65 (прибор учёта электроэнергии – 1 шт.)</t>
  </si>
  <si>
    <t>Установка прибора коммерческого учёта электрической энергии, для присоединения жилого дома Колобова М.П., расположенного по адресу: Ростовская область, Белокалитвинский р-н,  г. Белая Калитва, тер. СНТ Дружный, д. 88 кадастровый номер земельного участка: 61:47:0010220:182 (прибор учёта электроэнергии – 1 шт.)</t>
  </si>
  <si>
    <t>Установка прибора коммерческого учёта электрической энергии, для присоединения жилого дома Терехова Д.О., расположенного по адресу: Ростовская область, Белокалитвинский р-н, п. Сосны, ул. Абрикосовая, д. 2 кадастровый номер земельного участка: 61:04:0150408:229 (прибор учёта электроэнергии – 1шт.)</t>
  </si>
  <si>
    <t>Обеспечение коммерческим учетом электрической энергии в точке поставки, по присоединению жилого дома Склярова П.Н., расположенного по адресу: Ростовская область, Каменский район, х. Старая Станица, пер. Новоселый, д. № 8, к.н. 61:15:0130104:60(прибор учета электроэнергии – 1шт).</t>
  </si>
  <si>
    <t>Установка прибора коммерческого учёта электрической энергии, для присоединения жилого дома Киритченко А.Е., расположенного по адресу: Ростовская область, Каменский район, х. Урывский, ул. Молодежная, д. № 4, к.н.з.у. 61:15:0120701:82 (прибор учёта электроэнергии - 1шт.)</t>
  </si>
  <si>
    <t>Установка прибора коммерческого учёта электрической энергии, для присоединения жилого дома Гостевой Е.Н., расположенного по адресу: Ростовская область, Каменский район, х. Старая Станица, ул. Садовая, д. № 155, к.н.з.у. 61:15:0130103:510 (прибор учёта электроэнергии - 1 шт.)</t>
  </si>
  <si>
    <t>Установка прибора коммерческого учёта электрической энергии, для присоединения жилого дома Гречко В.Т., расположенного по адресу: Ростовская область, Каменский район, х. Груцинов, пер. Виноградный,  дом № 7, кв./оф. № 2, к.н.з.у. 61:15:0050101:462 (прибор учёта электроэнергии - 1 шт.)</t>
  </si>
  <si>
    <t>Установка прибора коммерческого учёта электрической энергии,для присоединения жилого дома Новодарского С.И., расположенного по адресу: Ростовская обл., Каменский р-н, х. Диченский, ул. Левитана,  д. № 62, корп. А, к.н.з.у. 61:15:0130301:380 (прибор учёта электроэнергии - 1 шт.)</t>
  </si>
  <si>
    <t>Установка прибора коммерческого учёта электрической энергии, для присоединения жилого дома Казаковой О.М., расположенного по адресу: Ростовская область, Каменский район, х. Старая Станица, пер. Новоселый, д. № 18, к.н.з.у. 61:15:0130104:95 (прибор учёта электроэнергии - 1 шт.)</t>
  </si>
  <si>
    <t>Установка прибора коммерческого учёта электрической энергии, для присоединения жилого дома Емелина П.В., расположенного по адресу: Ростовская область, Каменский р-н, х. Старая Станица, ул. Донская, д. № 13, к.н.з.у. 61:15:0130103:1288 (прибор учёта электроэнергии - 1 шт.)</t>
  </si>
  <si>
    <t>Строительство участка ВЛИ-0,4 кВ от ВЛ-0,4 кВ № 1, КТП № 10, ВЛ-10 кВ № 3, ПС 35/10 кВ «Каменская СХТ», для подключения ВРУ-0,4 кВ базовой станции сотовой связи АО «Первая Башенная Компания», расположенной по адресу: Ростовская область, Каменский район, х. Старая Станица, ул. 50 лет Победы, участок в 130 м от № 1, корпус Б, КНЗУ 00:00:00000000:00 (ориентировочная протяженность ЛЭП – 0,307 км, прибор учёта электроэнергии - 1 шт.)</t>
  </si>
  <si>
    <t>Строительство участка ВЛИ-0,4 кВ от ВЛ – 0,4 кВ № 2, КТП № 294, ВЛ-10 кВ № 3, ПС 110/35/10/6 кВ «К - 4», для подключения жилого дома Мартыновой Г.И., расположенного по адресу: Ростовская обл.,  Каменский р-н, х. Старая Станица, ул. Еланская, КНЗУ 61:15:06022101:2944 (ориентировочная протяженность ЛЭП – 0,157 км, прибор учёта электроэнергии - 1 шт.)</t>
  </si>
  <si>
    <t>Установка прибора коммерческого учета электрической энергии, для присоединения «жилого дома» Салтыковой Т.А. расположенного по адресу: Российская Федерация, Ростовская обл., р-н. Каменский, х. Муравлев, ул. Зеленая, 34 (прибор учета электроэнергии - 1 шт.)</t>
  </si>
  <si>
    <t>Установка прибора коммерческого учета электрической энергии, для присоединения «жилой дом» Брицын Л.Л. расположенного по адресу: Российская Федерация, Ростовская обл., р-н. Каменский, х. Нижнеерохин, ул. Молодежная, 12 (прибор учета электроэнергии - 1 шт.)</t>
  </si>
  <si>
    <t>Установка прибора коммерческого учета электрической энергии, для присоединения «жилой дом» Рузанова А.А., расположенного по адресу: Российская Федерация, Ростовская обл., р-н. Каменский, х. Старая Станица, ул. Ломоносова, 163 корп. Г, КН 61:15:00130106:815 (прибор учета электроэнергии - 1 шт.)</t>
  </si>
  <si>
    <t>Установка прибора коммерческого учета электрической энергии, для присоединения «жилой дом» Удавихиной Н.А. расположенного по адресу: Российская Федерация, Ростовская обл., р-н. Каменский, х. Муравлев, ул. Зеленая, 56, КН 61:15:0070401:779 (прибор учета электроэнергии - 1 шт.)</t>
  </si>
  <si>
    <t>Строительство участка ВЛ-0,4 кВ от опоры № 10 ВЛ-0,4 кВ № 1, КТП № 266, ВЛ-10 кВ № 3, ПС 35/10 кВ «Селивановская», для присоединения ВРУ-0,4 кВ Базовая станция (оборудования сотовой связи) ООО «Ресурс», расположенного по адресу: Ростовская область, Милютинский район, ст.Селивановская, пер. Вишнёвый д. 9, к.н.з.у. 61:23:0080101 (ориентировочная протяжённость ЛЭП - 0,03 км, прибор учёта электроэнергии 15 кВт - 1шт)</t>
  </si>
  <si>
    <t>Строительство участка ВЛ-0,4 кВ от опоры № 13, ВЛ-0,4 кВ № 1,КТП № 14, ВЛ-10 кВ № 4, ПС110/35/10 кВ " Милютинская", для подключения нежилого здания Магомедова Гусайни Магомедовича, расположенного по адресу: Ростовская область, Милютинский район, х. Старокузнецов, пер. Грушевский, в 100 м от д. 11, к.н.з.у. 61:23:0600013:612 (ориентировочная протяженность ЛЭП – 0,120 км, прибор учёта электроэнергии - 1шт)</t>
  </si>
  <si>
    <t>Строительство участка ВЛ-0,4 кВ от опоры № 27 ВЛ-0,4 кВ № 2, КТП № 295, ВЛ-10 кВ № 7, ПС 35/10 кВ "Селивановская", для подключения ВРУ- 0,4 кВ склада ИП Главы К(Ф)Х Штоколова А.А., расположенного по адресу: Ростовская обл., Милютинский р-н, х. Степаново-Савченский, примерно в 300 м севернее х. Степаново-Савченский, к.н.з.у. 61:23:00600005:394 (ориентировочная протяженность ЛЭП – 0,105 км, прибор учёта  электроэнергии - 1шт)</t>
  </si>
  <si>
    <t>Строительство участка ВЛ-0,4 кВ от РУ-0,4 кВ КТП №181, ВЛ 10 кВ №3 ПС 35/10 кВ «Семеновская» для подключения складского здания    Рычкова Д.В., расположенного по адресу: Ростовская обл., Милютинский р-н, п. Доброполье, пер. Короткий, д.10, к.н.з.у. 61:23:0060201:798 (ориентировочная протяженность ЛЭП – 0,210 км, прибор учёта электроэнергии - 1 шт.)</t>
  </si>
  <si>
    <t>Установка прибора коммерческого учёта электрической энергии, для присоединения ВРУ-0,4 кВ объекта наружного освещения,расположенного по адресу: Ростовская область, Милютинский район,ст. Селивановская. ул. Кооперативная, д.15 А (прибор учёта электроэнергии – 1 шт.)</t>
  </si>
  <si>
    <t>Установка прибора коммерческого учёта электрической энергии для присоединения жилого дома Асманова Ш.А., расположенного по адресу: Ростовская область, район Милютинский, х. Петровский, ул. Продольная, д. 19, кадастровый номер земельного участка: 61:23:0010301:13 (прибор учёта электроэнергии - 1 шт.)</t>
  </si>
  <si>
    <t>Установка прибора коммерческого учёта электрической энергии, для присоединения Модульного ФАП МБУЗ "ЦРБ" Морозовского района Ростовской области, расположенного по адресу: Ростовская область, Морозовский р-н, х. Морозов, ул. Кольцевая, д. 20 а, кадастровый номер земельного участка: 61:24:0080102:767 (прибор учёта  электроэнергии - 1шт.)</t>
  </si>
  <si>
    <t>Строительство участка ВЛ-0,4 кВ от ВЛ-0,4 кВ № 3, КТП № 213,  ВЛ-10 кВ № 1, ПС 35/10 кВ «Элеватор», для присоединения Зерносклада   ИП главы КФХ Земцова И.И., расположенного по адресу: Ростовская обл., Морозовский р-н, х. Морозов, ул. Заречная, д. 5 а, к.н.з.у. 61:24:0080103:244 (ориентировочная   протяженность ЛЭП – 0,175 км, прибор учёта электроэнергии - 1шт)</t>
  </si>
  <si>
    <t>Строительство участка ВЛ-10 кВ от ВЛ-10 кВ № 3, ПС 35/10 кВ «Вольно-Донская», ТП 10/0,4 кВ и участка ВЛ-0,4 кВ от РУ-0,4 кВ новой ТП 10/0,4 кВ, для подключения Зернохранилища №1 ИП Главы К(Ф)Х Зайцевой Анны Александровны, расположенного по адресу: Ростовская обл., Морозовский р-н, х. Сибирьки, 308 м юго-западнее ул. Степная, 41, КНЗУ 61:24:0600007:1003, (ориентировочная   протяженность ЛЭП – 0,260 км, трансформаторная мощность – 0,025 МВА, прибор учёта электроэнергии - 1шт)</t>
  </si>
  <si>
    <t>Установка прибора коммерческого учёта электрической энергии, для присоединения «Объекта сельскохозяйственного производства» Годунко Василия Александровича, расположенного по адресу: Ростовская область, Морозовский р-н, в границах землепользования реорганизованного колхоза им. XXIII Партсъезда, кадастровый номер земельного участка: 61:24:0600003:616 (прибор учёта электроэнергии - 1шт.)</t>
  </si>
  <si>
    <t>Установка прибора коммерческого учёта электрической энергии, для присоединения Жилого дома Омельчук Л.С., расположенного по адресу: Ростовская область, Морозовский р-н, х. Грузинов, пер. Вербный, д. 6, кадастровый номер земельного участка: 61:24:0050305:83 (прибор учёта электроэнергии - 1шт.)</t>
  </si>
  <si>
    <t>Установка прибора коммерческого учёта электрической энергии для присоединения объекта «Антенно-мачтовое сооружение 61-15826» АО «ПБК», расположенного по адресу: Ростовская область, Морозовский р-н, х. Грузинов, ул. Вишневая, вблизи д.40, кадастровый номер земельного участка: 00:00:000000:00 (прибор учёта электроэнергии –  1 шт.)</t>
  </si>
  <si>
    <t>Строительство участка ВЛИ-0,4 кВ от опоры № 30 ВЛ-0,4кВ №2 КТП № 106 ВЛ-10 кВ № 2, ПС 35/10 кВ «Обливская-2», для подключения жилого дома Паршина Ю.А., расположенного по адресу: Ростовская область, Обливский  р-он, хутор Алексеевский, улица Зеленая, дом №23 к.н.з.у. 61:27:0020101:450 (ориентировочная протяженность ЛЭП – 0,105 км, прибор учёта   электроэнергии - 1шт)</t>
  </si>
  <si>
    <t>Строительство участка ВЛИ-0,4 кВ от опоры №16 ВЛ-0,4кВ №2 КТП № 107 ВЛ-10 кВ № 2, ПС 35/10 кВ «Обливская-2», для подключения жилого дома Агекян М.А., расположенного по адресу: Ростовская область, Обливский р-он, хутор Алексеевский, улица Ленина, дом №75 к.н.з.у. 61:27:0020101:332 (ориентировочная протяженность ЛЭП – 0,205 км, прибор учёта электроэнергии - 1шт)</t>
  </si>
  <si>
    <t>Установка прибора коммерческого учёта электрической энергии, для присоединения ВРУ-0,4 кВ жилого дома Фролова Г.Ф., расположенного по адресу: Ростовская область, Советский р-н, сл. Калач-Куртлак, ул. Набережная, д. 4, к.н. 61:36:0040101:204 (прибор учёта электроэнергии - 1шт.)</t>
  </si>
  <si>
    <t>Установка прибора коммерческого учета электрической энергии, для присоединения ВРУ-0,4 кВ объекта торговли (магазина) Масленниковой С.И., расположенного по адресу: Ростовская область, Советский р-н, ст. Советская, ул. Красноармейская, дом № 24, помещение 2, К.Н. 61:36:0010101:4848 (прибор учета электроэнергии - 1 шт.)</t>
  </si>
  <si>
    <t>Установка прибора коммерческого учёта электрической энергии, для присоединения складские здания здания/помещения ИП Скорикова Ж.Е,.расположенного по адресу: Ростовская область, Советский район , сл.Петрово, ул.Молодежная, д.  17, к.н.  61:36:060000:107 (прибор учёта электроэнергии  –  1  шт.)</t>
  </si>
  <si>
    <t>Установка прибора коммерческого учёта электрической энергии, для присоединения строящегося склада ИП Васильева Ф.В., расположенного по адресу: Ростовская область, Советский район примерно в 0,58 км. на юго-восток от ориентира сл. Калач-Куртлак к.н. 61:36:0600005:707 (прибор учёта электроэнергии – 1 шт.)</t>
  </si>
  <si>
    <t>Установка прибора коммерческого учёта электрической энергии для присоединения жилого дома Антонова Н.О., расположенного по адресу: Ростовская область, Тарасовский район, х. Мартыновка, ул. Мира, д. 13, у.н. 61-61-43/008/2008-799 (прибор учета электроэнергии- 1шт)</t>
  </si>
  <si>
    <t>Установка прибора коммерческого учёта электрической энергии для присоединения жилого дома Кравченко В.Н., расположенного по адресу: Ростовская область, Тарасовский район, сл. Ефремово-Степановка, ул. Буденного, д. 26, к.н. 61:37:0080101:2002 (прибор учета электроэнергии – 1шт).</t>
  </si>
  <si>
    <t>Обеспечение коммерческим учетом электрической энергии в точке поставки, по присоединению жилого дома Кутеповой Л.И., расположенного по адресу: Ростовская область, Тарасовский район,  х. Новоалексеевка, ул. Малиновая, д. 1, к.н. 61:37:0050701:77 (прибор учёта электроэнергии - 1шт).</t>
  </si>
  <si>
    <t>Строительство участка ВЛ-0,4 кВ от РУ-0,4 кВ КТП № 391, ВЛ-10 кВ № 2, ПС 35/10 кВ «Курнолиповская», для подключения водонасосной станции, нежилого здания (бытовка) Пивоварова А.С. расположенных по адресу: Ростовская обл.,Тарасовский р-н, х. Новоалексеевка, 500м на восток от ориентира х. Новоалексеевка, КН 61:37:0000000:1957, 61:37:0000000:1956 (ориентировочная протяженность ЛЭП – 0,1 км, прибор учёта электроэнергии 15 кВт - 1шт)</t>
  </si>
  <si>
    <t>Установка прибора коммерческого учёта электрической энергии, для присоединения базовой станции сотовой связи ПАО «Ростелеком», расположенной по адресу: Ростовская область, Тарасовский р-н, сл. Александровка, к.н.з.у. 00:00:000000:00 (прибор учёта электроэнергии - 1шт)</t>
  </si>
  <si>
    <t>Установка прибора коммерческого учёта электрической энергии, для присоединения базовой станции сотовой связи ПАО «Ростелеком», расположенной по адресу: Ростовская область, Тарасовский р-н,х. Нижнемакеевский, к.н.з.у. 00:00:000000:00 (прибор учётаэлектроэнергии - 1шт)</t>
  </si>
  <si>
    <t>Установка прибора коммерческого учёта электрической энергии, для присоединения базовой станции сотовой связи ПАО «Ростелеком», расположенной по адресу: Ростовская область, Тарасовский р-н, п. Малое Полесье, к.н.з.у. 00:00:000000:00 (прибор учёта электроэнергии - 1шт)</t>
  </si>
  <si>
    <t>Установка прибора коммерческого учёта электрической энергии, для присоединения базовой станции сотовой связи ПАО «Ростелеком», расположенной по адресу: Ростовская область, Тарасовский р-н, х. Прогной, к.н.з.у. 00:00:000000:00 (прибор учёта электроэнергии - 1шт)</t>
  </si>
  <si>
    <t>Строительство участка ЛЭП-0,4 кВ от РУ-0,4 кВ КТП № 369 ВЛ-10 кВ № 1, ПС 35/10 кВ «Тарасовская СХТ» и установка АВ-0,4 кВ в КТП № 369 ВЛ-10 кВ № 1, ПС 35/10 кВ «Тарасовская СХТ», для подключения строящегося склада для хранения с/х продукции ИП Зареченского А.Н., расположенного по адресу: Ростовская область, Тарасовский р-он, с восточной стороны от сл. Дячкино, к.н. 61:37:0600012:1505 (ориентировочная протяженность ЛЭП – 0,210 км, прибор учёта электроэнергии - 1шт)</t>
  </si>
  <si>
    <t>Установка прибора коммерческого учёта электрической энергии, для присоединения МТМ ИП главы К(Ф)Х Кузьмина А.Б., расположенного по адресу: установлено относительно ориентира, расположенного в границах участка. Почтовый адрес ориентира: Ростовская область, Тарасовский район, ст. Митякинская, ул. Сосновая, д.17, к.н. 61:37:0100101:973 (прибор учёта электроэнергии - 1шт)</t>
  </si>
  <si>
    <t>Строительство участка ВЛИ-0,4 кВ от КТП № 501, ВЛ-6 кВ "ЗРП-1",ПС 35/6 кВ "Б-6", для подключения строящегося здания Синякова В.А., расположенного по адресу: Ростовская область, Тацинский район,  п. Быстрогорский, примерно в 343 м по направлению на северо-восток от ул. Погудина, д. 8, к.н. 61:38:0600008:1915 (ориентировочнаяпротяженность ЛЭП – 0,27 км, прибор учёта электроэнергии - 1шт)</t>
  </si>
  <si>
    <t>Строительство участка ВЛИ-0,4 кВ от опоры № 42 ВЛ-0,4 кВ № 2,КТП № 297, ВЛ-10 кВ № 3, ПС 35/10 кВ "Скосырская", для подключения ВРУ-0,4 кВ жилого дома Харченко Н.Н., расположенного по адресу: Ростовская область, Тацинский район, х. Качалин, ул. Мира, д. 1, к.н. 61:38:0070501:125 (ориентировочная протяженность ЛЭП – 0,16 км, прибор учёта электроэнергии - 1шт)</t>
  </si>
  <si>
    <t>Строительство участка ВЛИ-0,4 кВ от ВЛ-0,4 кВ № 1, КТП № 360, ВЛ-10 кВ № 2, ПС 35/10 кВ "Верхне-Кольцовская", для подключения ВРУ-0,4 кВ строящегося здания Исаева И.М., расположенного по адресу: Ростовская область, Тацинский район, х. Пуличёв, ул. Кривая, д. 3, к.н. 61:38:0020401:264 (ориентировочная протяженность ЛЭП – 0,08 км, прибор учёта электроэнергии - 1шт)</t>
  </si>
  <si>
    <t>Установка прибора коммерческого учёта электрической энергии для присоединения антенно-мачтового сооружения 61-15002 объекта АО «Первая Башенная Компания», расположенного по адресу: Ростовская область, Тацинский р-н, х. Ковылкин, ул. Новая, вблизи д. 12 к.н. 61:38:0110101 (прибор учёта электроэнергии – 1 шт.)</t>
  </si>
  <si>
    <t>Установка прибора коммерческого учёта электрической энергии для присоединения ЛЭП-0,4 кВ объектов ЖКХ Отдела образования Администрации Тацинского района, расположенных по адресу: Ростовская область, Тацинский район, п. Быстрогорский, ул. Волгодонская, д. 7 А, к.н. 61:38:0040126:80 (прибор учёта электроэнергии - 1шт.)</t>
  </si>
  <si>
    <t>Строительство участка ВЛ-0,4 кВ от ВЛ-0,4 кВ      № 6, КТП №353, ВЛ-6 кВ «Курский карьер», ПС-110/35/6 кВ «Б-2»,  для подключения  Антенно–мачтового соооружения  61-11252 АО «Первая Башенная Компания», расположенного по адресу: Ростовская обл., Белокалитвинский р-н, х. Крутинский, ул. Центральная, вблизи д.10, КНЗУ 00:00:000000:000 (ориентировочная   протяженность ЛЭП – 0,040 км, прибор учёта электроэнергии - 1шт)</t>
  </si>
  <si>
    <t>Строительство участка ВЛ-10 кВ от ВЛ-10 кВ, Л-28, Фид. №14, ПС 110/35/10 кВ «Б-3» РП-28, ТП-10/0,4 кВ и участка ВЛ-0,4 кВ от РУ-0,4 кВ новой ТП 10/0,4 кВ, для подключения нежилого производственного здания ООО «Завод Эксклюзивстрой» расположенного по адресу: Ростовская обл., Белокалитвинский р-н, г. Белая Калитва, участок находится примерно в 630м на северо-восток от ориентира пункт полигометрии № 5098, КНЗУ ориентира: 61:04:0600011:1457 (ориентировочная протяженность ЛЭП-0,040 км, трансформаторная мощность - 0,160 МВА, прибор учета электроэнергии - 1шт)</t>
  </si>
  <si>
    <t>Установка прибора коммерческого учёта электрической энергии для присоединения Малоэтажной жилой застройки (индивидуальный жилой дом) Гарбуз Ю.А., расположенного по адресу: Ростовская область, Белокалитвинского р-н, п. Сосны, ул. Сосновая, д. 15, к.н.з.у.: 61:04:0150415:70 (прибор учёта электроэнергии – 1 шт.</t>
  </si>
  <si>
    <t>Установка прибора коммерческого учёта электрической энергии для присоединения строящегося жилого дома Бородина С.Г., расположенного по адресу: Ростовская область, Белокалитвинский р-н, п. Сосны, ул. Октябрьская, уч. 45а, к.н.з.у.: 61:04:0150413:488(прибор учёта электроэнергии - 1шт.)</t>
  </si>
  <si>
    <t>Установка прибора коммерческого учёта электрической энергии, для присоединения жилого дома Голаева Е.В., расположенного по адресу: Ростовская область, Белокалитвинский р-н,  п. Сосны, ул. Кирова, д. 4А, к.н. 61:04:150402:0100 (прибор учёта электроэнергии - 1шт)</t>
  </si>
  <si>
    <t>Строительство участка ВЛИ-0,4 кВ от опоры № 4/2, ВЛ-0,4 кВ № 1,  КТП № 518, ВЛ-10 кВ № 3, ПС 35/10 кВ «Первомайская» для подключения жилого дома Миронова М.Н. расположенного по адресу: Ростовская обл., Каменский р-н, х. Груцинов, ул. Молодежная, д. № 1, КНЗУ 61:15:050101:0016 (ориентировочная протяженность ЛЭП – 0,020 км, прибор учёта электроэнергии - 1шт)</t>
  </si>
  <si>
    <t>Строительство участка ВЛ-0,4 кВ от ВЛ-0,4 кВ № 1, КТП № 480, ВЛ-10 кВ № 3, ПС 35/10 кВ «Глубокинская», для подключения ВРУ -0,4 кВ базовой станции сотовой связи №2298 ООО «Т2 Мобайл», расположенной по адресу: Ростовская обл., Каменский р-н, х.Урывский, в северном направлении от ул. Молодёжная д. 64, координаты 48.556977/40.243863 (ориентировочная протяженность ЛЭП – 0,045 км, прибор учёта электроэнергии - 1 шт.)</t>
  </si>
  <si>
    <t>Строительство участка ВЛИ-0,4 кВ от опоры № 8, ВЛ – 0,4 кВ № 3,КТП № 432, ВЛ-10 кВ № 1, ПС 35/10 кВ «ЗСК», для подключения базовой станции сотовой связи ООО «Т2 Мобайл», расположенной по адресу: Ростовская обл., Каменский р-н, х. Верхний Пиховкин, восточнее земельного участкас КН 61:15:0120101:2225, координаты 48.557331/40.330926(ориентировочная протяженность ЛЭП – 0,033 км, прибор учёта электроэнергии - 1 шт.)</t>
  </si>
  <si>
    <t>Строительство участка ВЛИ-0,4 кВ от ВЛ-0,4 кВ № 1, КТП № 31, ВЛ-10 кВ № 5, ПС 35/10 кВ «Калитвенская», для подключения строящегося жилого дома Назарова Р.П., расположенного по адресу: Ростовская обл., Каменский     р-н, ст-ца Калитвенская, ул. Фурманова, д.10, КН ЗУ 61:15:070101:6151 (ориентировочная протяженность ЛЭП – 0,036 км, прибор учёта электроэнергии - 1 шт.)</t>
  </si>
  <si>
    <t>Строительство участка ВЛИ-0,4 кВ от ВЛ-0,4 кВ № 4, КТП № 400, ВЛ-10 кВ № 5, ПС 35/10 кВ «Каменская СХТ», для подключения жилого дома Сыпченко А.Г. расположенного по адресу: Ростовская обл., Каменский р-н, х. Абрамовка, ул. Ленина, с северной стороны примыкает к земельному участку с КН 61:15:0000000:6012, КН ЗУ 61:15:0602101:2651 (ориентировочная протяженность ЛЭП – 0,025 км, прибор учёта электроэнергии - 1 шт.)</t>
  </si>
  <si>
    <t>Установка прибора коммерческого учета электрической энергии, для присоединения «нежилого здания» МПРО приход храма равноапостольных Константина и Елены х. Малая Каменка расположенного по адресу: Российская Федерация, Ростовская обл., р-н. Каменский, х. Малая Каменка, ул. Первомайская, 42А(прибор учета электроэнергии - 1 шт.)</t>
  </si>
  <si>
    <t>Установка прибора коммерческого учета электрической энергии, для присоединения «жилой дом» Бондаревой М.П., расположенного по адресу: Российская Федерация, Ростовская обл., р-н. Каменский, х. Старая Станица, ул. Ленина, 35, КН 61:15:0130102:753 (прибор учета электроэнергии - 1 шт.)</t>
  </si>
  <si>
    <t>Установка прибора коммерческого учета электрической энергии, для присоединения «нежилого здания» ИП Ординарцевой Е.В. расположенного по адресу: Российская Федерация, Ростовская обл., р-н. Каменский, х. Старая станица, пересечение ул. Буденного и ул. Большевистской (прибор учета электроэнергии - 1 шт.)</t>
  </si>
  <si>
    <t>Строительство участка ЛЭП-0,4 кВ от ВЛ-0,4 кВ № 2, КТП № 36, ВЛ-10 кВ  № 5, ПС 35/10 кВ «Владимировская», для подключения Склада хранения техники ЗАО «Нива», расположенного по адресу: Ростовская область, Морозовский р-н, с/п Широко-Атамановское, х. Чекалов, территория ЗАО «Нива» 200 метров на север от ул. Дружбы 1, к.н. 61:24:0600015:327 (ориентировочная протяженность ЛЭП – 0,18 км, прибор учёта электроэнергии - 1 шт.)</t>
  </si>
  <si>
    <t>Строительство участка ЛЭП-0,4 кВ от ВЛ-0,4 кВ № 1, КТП № 204, ВЛ-10 кВ  № 4, ПС 110/35/10 кВ «Б-11», для подключения Малоэтажной    жилой застройки (Индивидуального жилого дома) Сухоставской Валентины Ивановны, расположенного по адресу: Ростовская область, Морозовский р-н, г. Морозовск, ул. Каруна, д. 8/136, к.н. 61:24:0014007:308 (ориентировочная протяженность ЛЭП – 0,065 км, прибор учёта электроэнергии - 1 шт.)</t>
  </si>
  <si>
    <t>Строительство участка ЛЭП-0,4 кВ от ВЛ-0,4 кВ №2, КТП № 258,ВЛ-10 кВ № 1, ПС 35/10 кВ «Элеватор», для подключения Объекта сельскохозяйственного производства Кобцева А.И., расположенного по адресу: Ростовская область, Морозовский р-н, х. Морозов, ул. Дорожная, д.2 ж, к.н. 61:24:0080102:770 (ориентировочная протяженность ЛЭП – 0,32 км, прибор учёта электроэнергии - 1 шт.)</t>
  </si>
  <si>
    <t>Строительство участка ВЛ-10 кВ от опоры № 18, ВЛ-10 кВ № 5,ПС 110/35/10 кВ «Б-11», ТП 10/0,4 кВ и участка ВЛ-0,4 кВ от РУ-0,4 кВ новой ТП 10/0,4 кВ, для электроснабжения садового домика Гасанбекова М.Р., расположенного по адресу: Ростовская обл., г. Морозовск, СТ «Вагонник», ул. Верхняя, 1, КН ЗУ 61:24:0014000:478 (ориентировочная протяженность ЛЭП – 0,620 км, ориентировочная мощность ТП – 0,025 МВА)</t>
  </si>
  <si>
    <t>Установка прибора коммерческого учёта электрической энергии, для присоединения объекта «Мастерская» Плех Елены Андреевны, расположенного по адресу: Ростовская область, р-н Морозовский, х. Козинка, ул. Крайняя, 1-б, кадастровый номер земельного участка: 61:24:0050202:89 (прибор учёта электроэнергии - 1шт.)</t>
  </si>
  <si>
    <t>Установка прибора коммерческого учета электрической энергии, для присоединения ВРУ-0,4 кВ жилого дома   Обухова  В.В.., расположенного по адресу: Ростовская область, Обливский р-н, х. Александровский, пер. Луговой, дом № 5,  К.Н. 61:27:0010101:132 (прибор учета электроэнергии - 1 шт.)</t>
  </si>
  <si>
    <t>Установка прибора коммерческого учёта электрической энергии, для присоединения здания животноводческой фермы Кравцовой Н.Ф., расположенного по адресу: Ростовская область, Обливский район, х. Киреев, к.н. 61:27:0600010:447 (прибор учёта электроэнергии - 1шт)</t>
  </si>
  <si>
    <t>Установка прибора коммерческого учета электрической энергии, для присоединения ВРУ-0,4 кВ объекта животноводства ИП Тимофеева О.Е., расположенного по адресу: Ростовская область, Советский р-н, х. Парамонов, ул. Заречная, дом № 8,  К.Н. 61:36:0010301:24 (прибор учета электроэнергии - 1 шт.)</t>
  </si>
  <si>
    <t>Строительство участка ВЛИ-0,4 кВ от опоры № 5, ВЛ-0,4 кВ № 1, КТП № 21, ВЛ-10 кВ № 2, ПС 35/10 кВ "Кустоватовская", для подключения ВРУ-0,4 кВ жилого дома Логинова А.Н., расположенного по адресу: Ростовская область, Тацинский район, х. Кустоватов, ул. Пролетарская, д. 16, к.н. 61:38:0090401:42 (ориентировочная протяженность ЛЭП – 0,048 км, прибор учёта электроэнергии - 1шт)</t>
  </si>
  <si>
    <t>Строительство участка ВЛИ-0,4 кВ от ВЛ-0,4 кВ № 2, КТП № 90, ВЛ-10 кВ № 1, ПС 35/10 кВ "Верхне-Кольцовская", для подключения ВРУ-0,4 кВ жилого дома Васильевой Х.Р., расположенного по адресу: Ростовская область, Тацинский район, х. Новороссошанский, ул. Комунистическая, д. 10, к.н. 61:38:0080401:142 (ориентировочная протяженность ЛЭП – 0,088 км, прибор учёта электроэнергии - 1шт)</t>
  </si>
  <si>
    <t>Строительство участка ВЛ-10 кВ от опоры № 189, ВЛ-10 кВ № 3, ПС 35/10 кВ «Краснодонецкая», ТП 10/0,4 кВ и ВЛ-0,4 кВ от РУ-0,4 кВ  новой ТП 10/0,4 кВ, для подключения нежилой застройки Дубинина В.В., расположенной по адресу; Ростовская область, Белокалитвинский район, на северо-восток от х. Усть-Быстрый, КН ЗУ 61:04:0600017:139 (ориентировочная протяженность ЛЭП –0,030 км, трансформаторная мощность – 0,025 МВА, прибор учёта электроэнергии - 1шт)</t>
  </si>
  <si>
    <t>Установка прибора коммерческого учёта электрической энергии для присоединения жилого дома Ивашковой А.А., расположенного по адресу: Ростовская область, Белокалитвинского р-н, г. Белая Калитва, п. Сосны д. 98, к.н.з.у.: 61:04:0150417:214 (прибор учёта электроэнергии – 1 шт.)</t>
  </si>
  <si>
    <t>Установка прибора коммерческого учёта электрической энергии для присоединения жилого дома Муриной Н.Д., расположенного по адресу: Ростовская область, Белокалитвинского р-н,   х. Крутинский, ул. Майская, д. 19, к.н.з.у.: 61:04:130107:03 (прибор учёта электроэнергии – 1 шт.)</t>
  </si>
  <si>
    <t>Установка прибора коммерческого учета электрическо йэнергии, для присоединения «жилого дома» Степко И.А. расположенного по адресу:Российская Федерация, Ростовская обл., р-н. Каменский, Красновка, ул.Янтарная, 13, КН 61:15:0080101:124, (прибор учета электроэнергии - 1 шт.)</t>
  </si>
  <si>
    <t>Установка прибора коммерческого учета электрической энергии, для присоединения «Нижнеерохинский сельский клуб» МУК Гусевский ЦПСДК, расположенного по адресу: Российская Федерация, Ростовская обл., р-н. Каменский, х. Нижнеерохин, ул. Придорожная,  10,  (прибор учета электроэнергии  -  1  шт.)</t>
  </si>
  <si>
    <t>Строительство участка ВЛ-10 кВ от опоры № 8, Л-163 ВЛ-10 кВ № 1, ПС 110/10 кВ «К-4», ТП 10/0,4 кВ и участка ВЛ-0,4 кВ от РУ-0,4 кВ новой ТП 10/0,4 кВ для электроснабжения оборудования для хранения и переработки с/х продукции ООО «Содействие», расположенного по адресу: Ростовская обл., Каменский р-он, АКХ «Колос»,  КН ЗУ 61:15:0601101:2966 (ориентировочная протяженность ЛЭП – 1,742 км, ориентировочная мощность ТП – 0,160 МВА)</t>
  </si>
  <si>
    <t>Строительство участка ЛЭП-0,4 кВ от ВЛ-0,4 кВ № 1, КТП № 158,    ВЛ-10 кВ № 4, ПС 110/35/10 кВ «Б-11» для подключения Кормоцеха КРС МТФ Зрожаева Н.В., расположенного по адресу: Ростовская область, Морозовский р-н, х. Общий, ул. Энтузиастов, д. 1 д, к.н.з.у.: 61:24:0050103:86 (ориентировочная протяженность ЛЭП – 0,16 км, прибор учёта электроэнергии - 1шт)</t>
  </si>
  <si>
    <t>Строительство участка ВЛ-0,4 кВ от РУ-0,4 кВ КТП № 163, ВЛ-10 кВ № 3, ПС 110/35/10 кВ «Чеботовская» для подключения строящегося гаража Курочкина С.А., расположенного по адресу: местоположение установлено относительно ориентира, расположенного в границах участка. Почтовый адрес ориентира: Ростовская область, район Тарасовский, х. Зеленовка к.н. 61:37:0600021:42 (ориентировочная протяженность ЛЭП – 0,135 км, прибор учёта электроэнергии - 1шт)</t>
  </si>
  <si>
    <t>Установка прибора коммерческого учёта электрической энергии, для присоединения жилого дома Смыслова В.Р., расположенного по адресу: Ростовская область, Тарасовский район, х.Липовка, ул. Пролетарская, д.109, к.н. 61:37:0020301:51 (прибор учёта электроэнергии - 1шт)</t>
  </si>
  <si>
    <t>Установка прибора коммерческого учёта электрической энергии, для присоединения жилого дома Фисенко А.А., расположенного по адресу: Ростовская область, Тарасовский район,  сл. Большинка, ул. Буденного, д. 28 к.н. 61:37:0120101:1323 (прибор учёта электроэнергии - 1шт)</t>
  </si>
  <si>
    <t>Установка прибора коммерческого учёта электрической энергии, для присоединения торгового павильона ИП Ярцевой И.В., расположенного по адресу: Ростовская область, Тарасовский район, ст.Митякинская, слева от Администрации Митякинского сельского поселения на 7 м. от земельного участка № 61:37:0100101:4606 (прибор учёта электроэнергии - 1шт)</t>
  </si>
  <si>
    <t>Строительство участка ВЛ-10 кВ от опоры № 66 на отпайке Л 427,  ВЛ-10 кВ № 4, ПС 35/10 кВ «Курнолиповская», ТП 10/0,4 кВ и участка   ВЛ-0,4 кВ от РУ-0,4 кВ новой ТП 10/0,4 кВ, для подключения объекта К(Ф)Х ИП главы К(Ф)Х Гаммаева М.Д., расположенного по адресу: Ростовская область, Тарасовский район, Курно-Липовское сельское поселение, 900 м на север от х. Грачи, КН ЗУ 61:37:0600022:1451 (ориентировочная протяженность ЛЭП – 0,44 км, ориентировочная мощность ТП – 0,025 МВА)</t>
  </si>
  <si>
    <t>Строительство участка ВЛИ-0,4 кВ от РУ-0,4 кВ КТП № 249, ВЛ-6 кВ «Михайловка-1», ПС 110/35/6 кВ "Б-8", для подключения ВРУ-0,4 кВ жилого дома Коротков В.В., расположенного по адресу: Ростовская область, Тацинский район, х. Потапов, пер. Полевой, д. 3, к.н. 61:38:0030901:68 (ориентировочная протяженность ЛЭП – 0,36 км, прибор учёта электроэнергии - 1шт)</t>
  </si>
  <si>
    <t>Установка прибора коммерческого учёта электрической энергии, для присоединения нежилой застройки Цветкова В.И., расположенного по адресу: Ростовская область, Белокалитвинский р-н, с. Литвиновка, ул,Луговая, к.н. 61:04:0000000:5824 (прибор учёта электроэнергии - 1шт)</t>
  </si>
  <si>
    <t>Строительство участка ЛЭП-0,4 кВ от ВЛ-0,4 кВ №1, КТП № 707, ВЛ-6 кВ «Донец», ПС 110/6 кВ «Б-1», для подключения жилого дома Фомичевой А.В., расположенного по адресу: Ростовская область, р-он Белокалитвинский, х. Какичев, ул. Крайняя, д. 2, к.н. 61:04:0160503:86 (ориентировочная протяженность ЛЭП – 0,114 км, прибор учёта электроэнергии - 1шт)</t>
  </si>
  <si>
    <t>Строительство участка ЛЭП-0,4 кВ от ВЛ-0,4 кВ № 1, КТП № 418, ВЛ-10 кВ № 3, ПС 35/10 кВ «Нижнепоповская», для подключения строящегося жилого дома Каплуна Ю.М., расположенного по адресу: Ростовская  область,    р-он Белокалитвинский, п. Сосны, ул. Крайняя, уч. № 12, к.н.61:04:0150405:534 (ориентировочная протяженность ЛЭП – 0,150 км, прибор учёта электроэнергии - 1шт)</t>
  </si>
  <si>
    <t>Установка прибора коммерческого учёта электрической энергии, для присоединения объекта муниципального учреждения., расположенного по адресу: Ростовская область, Белокалитвинский р-н, х. Грушевка, ул. Центральная, д. 12 б, кадастровый номер земельного участка: 61:04:0110102:487 (прибор учёта электроэнергии – 1 шт.)</t>
  </si>
  <si>
    <t>Установка прибора коммерческого учёта электрической энергии, для присоединения жилого дома Чалой А.В, расположенного по адресу: Ростовская обл., Каменский р-н, ст. Калитвенская, ул. Пионерская, д. 2, к.н.з.у. 61:15:070101:0749 (прибор учёта электроэнергии - 1шт)</t>
  </si>
  <si>
    <t>Установка прибора коммерческого учёта электрической энергии, для присоединения жилого дома Ткачева А.В., расположенного по адресу: Ростовская область, Каменский район, х. Старая Станица, ул. Буденного, дом  № 121, корп. А, к.н.з.у. 61:15:0130103:1039 (прибор учёта электроэнергии - 1 шт.)</t>
  </si>
  <si>
    <t>Установка прибора коммерческого учета электрической энергии, для присоединения «нежилого помещения» АО «Почта России» расположенного по адресу: Российская Федерация, Ростовская обл., р-н.Каменский, х.Старая Станица, ул.Ленина, 12 КН 61:15:0130102:2862 (прибор учета электроэнергии  -  1  шт.)</t>
  </si>
  <si>
    <t>Установка прибора коммерческого учета электрической энергии, для присоединения «жилого дома» Федорцова А.В., расположенного по адресу: Российская Федерация, Ростовская обл., р-н .Каменский, х. Красновка, ул. Котовского 1А, КН 61:15:0080105:197(прибор учета электроэнергии - 1 шт.)</t>
  </si>
  <si>
    <t>Установка прибора коммерческого учета электрической энергии , для присоединения «объекта торговли» Донскова С.И. расположенного по адресу :Российская Федерация, Ростовская обл., р-н .Каменский,  х. Лесной, ул. Лермонтова, 1А  КН  61:15:0130501:2012  (прибор учета электроэнергии - 1 шт.)</t>
  </si>
  <si>
    <t>Установка прибора коммерческого учета электрической энергии, для присоединения «нежилого помещения» АО «Почта России» расположенного по адресу :Российская Федерация, Ростовская обл., р-н. Каменский, х. х. Гусев, ул. Центральная,    15  пом.5, Н61:15:0060101:1275 (прибор учета электроэнергии  -  1 шт.)</t>
  </si>
  <si>
    <t>Строительство участка ВЛИ-0,4 кВ от ВЛ-0,4 кВ № 2, КТП № 15, ВЛ-10 кВ № 5, ПС 35/10 кВ «Каменская СХТ», для подключения строящегося жилого дома Юхневича И.В., расположенного по адресу: Ростовская обл., Каменский р-н, х. Диченский , ул. Левитана, д.42 корп.Б, КН ЗУ 61:15:0130301:1678  (ориентировочная протяженность ЛЭП – 0,045 км, прибор учёта электроэнергии - 1 шт.)</t>
  </si>
  <si>
    <t>Строительство ТП 10/0,4 кВ с переводом ВЛ 0,4 кВ №1 на вновь построенную ТП 10/0,4кВ по ВЛ 10 кВ №6 ПС 110/35/10 кВ «Б-11», для подключения жилого дома Белименко Светланы Михайловны, расположенного по адресу: Ростовская обл., Морозовский р-н, х. Рязанкин, ул. Луговая, д. 11, КНЗУ 61:24:0020401:91, (ориентировочная трансформаторная мощность –  0,1 МВА, прибор учёта электроэнергии - 1шт)</t>
  </si>
  <si>
    <t>Установка прибора коммерческого учёта электрической энергии, для присоединения ВРУ-0,4кВ квартиры Дарнецкой А.В., расположенного по адресу: Ростовская область, Обливский район,х. Лобачев, ул. Чирская, д.1, кв.1 к.н.   61:27:0070301:55  (прибор учёта электроэнергии  -  1шт)</t>
  </si>
  <si>
    <t>Установка прибора коммерческого учёта электрической энергии, для присоединения ВРУ-0,4 кВ базовой станции ПАО «Ростелеком», расположенной по адресу: Ростовская область, Советский район, х. Усть-Грязновский, Широта 48.836978, Долгота 42.095821, КНЗУ 00:00:000000:00 (прибор учёта электроэнергии - 1шт.)</t>
  </si>
  <si>
    <t>Строительство участка ЛЭП-0,4 кВ от ВЛ-0,4 кВ №2, КТП № 558, ВЛ-10 кВ № 5, ПС 35/10 кВ «Колушкинская» для подключения  зернового склада Филенко Н.В., расположенного по адресу: Ростовская область, р-он Тарасовский, примерно в 300 м от х. Рыновка по направлению на восток,   к.н. 61:37:0600023:926  (ориентировочная протяженность ЛЭП – 0,11 км, прибор учёта электроэнергии - 1шт)</t>
  </si>
  <si>
    <t>Строительство участка ВЛИ-0,4 кВ от ВЛ-0,4 кВ № 2, КТП № 259, ВЛ-10 кВ № 3, ПС 35/10 кВ "Алифановская", для подключения ВРУ-0,4 кВ жилого дома Гапонова А.Б., расположенного по адресу: Ростовская область, Тацинский район, х. Потапов, ул. Мира, д. 11, к.н. 61:38:0030901:38 (ориентировочная протяженность ЛЭП – 0,16 км, прибор учёта электроэнергии - 1шт)</t>
  </si>
  <si>
    <t>Строительство участка ВЛИ-0,4 кВ от опоры № 2 ВЛ-0,4 кВ № 2, КТП № 281, ВЛ-10 кВ № 4, ПС 35/10 кВ "Скосырская", для подключения ВРУ-0,4 кВ жилого дома Гавриленко С.Г., расположенного по адресу: Ростовская область, Тацинский район, х. Надежёвка, ул. Колхозная, д. 31, к.н. 61:38:0060901:58 (ориентировочная протяженность ЛЭП – 0,120 км, прибор учёта электроэнергии - 1шт)</t>
  </si>
  <si>
    <t>Строительство участка ВЛИ-0,4 кВ    ВЛ-0,4 кВ № 1, КТП № 264, ВЛ-10 кВ № 3, ПС 35/10 кВ "Алифановская", для подключения ВРУ-0,4 кВ строящегося здания Лупушор В.В., расположенного по адресу: Ростовская область, Тацинский район, х. Новопавловка, ул. Садовая, д. 3 а, к.н. 61:38:0030801:348 (ориентировочная протяженность ЛЭП – 0,16 км, прибор учёта электроэнергии - 1шт)</t>
  </si>
  <si>
    <t>Строительство участка ВЛ-0,4 кВ от опоры № 10 ВЛ-0,4 кВ №1 КТП №953, ВЛ 10 кВ фид. «Западной» ПС35/10-Ш-26 для подключения нежилой застройки Жебрякова О.Н., расположенной по адресу: Ростовская обл., Белокалитвинский р-н, х. Западный, ул. Садовая, д.2б, к.н.з.у. 61:04:00803021:149 (ориентировочная протяженность ЛЭП – 0,111 км,     прибор учёта электроэнергии - 1 шт.)</t>
  </si>
  <si>
    <t>Строительство участка ЛЭП-0,4 кВ от опоры № 6, ВЛ-0,4 кВ №1, КТП № 395, ВЛ-10 кВ № 2, ПС 35/10 кВ «Нижнепоповская» для подключения жилого дома Егоровой Н.В., расположенного по адресу: Ростовская область, р-он Белокалитвинский, х. Верхнепопов, ул. Верхняя, д.21 к.н. 61:04:0150101:006 (ориентировочная протяженность ЛЭП – 0,110 км, прибор учёта электроэнергии - 1шт)</t>
  </si>
  <si>
    <t>Строительство участка ЛЭП-0,4 кВ от ВЛ-0,4 кВ №1, КТП № 516, ВЛ-10 кВ №2, Л-СП3, ПС 110/10 кВ «Богатовская ПТФ», для подключения строящегося жилого дома Чайкиной Л.В., расположенного по адресу: Ростовская область, Белокалитвинский район, хутор Богатов, ул. Набережная, д. 51 А,  к.н.з.у.: 61:04:0080201:1366 (ориентировочная протяженность ЛЭП – 0,145 км, прибор учёта электроэнергии - 1шт)</t>
  </si>
  <si>
    <t>Строительство участка ЛЭП-0,4 кВ от ВЛ-0,4 кВ № 1, КТП № 522,  ВЛ-10 кВ №2 Л-СП-3, ПС 110/10 кВ «Богатовская ПТФ», для подключения  Объекта сельскохозяйственного назначения Карапетова А.А., расположенного по адресу: Ростовская обл., Белокалитвинский р-он, г. Белая Калитва, КН ЗУ: 61:04:0600013:283 (ориентировочная протяженность ЛЭП - 0,400 км, прибор учёта электроэнергии - 1шт)</t>
  </si>
  <si>
    <t>Строительство участка ЛЭП-0,4 кВ от ВЛ-0,4 кВ №2, КТП № 277, ВЛ-6 кВ «х. Рудаков», ПС 110/35/6 кВ «Б-2» РП-Горняцкий для подключения жилого дома Устиновой Е.И., расположенного по адресу: Ростовская область, р-он Белокалитвинский, х. Рудаков, ул. Пышкинская, д № 8, к.н. ,61:04:0100201:128 (ориентировочная протяженность ЛЭП – 0,330 км, прибор учёта электроэнергии - 1шт)</t>
  </si>
  <si>
    <t>Строительство участка ВЛИ-0,4 кВ от ВЛ- 0,4 кВ № 1, КТП № 146, ВЛ-10 кВ № 3, ПС 35/10 кВ «Каменская СХТ», для подключения базовой станции сотовой связи ООО «Тауэр», расположенной по адресу: Ростовская обл., Каменский р-н, х. Старая Станица, ул. Буденного, юго-восточнее 45 м от участка с КН 61:15:0130104:2182 (48.330327/40.305690), КН ЗУ 00:00:0000000:00 (ориентировочная протяженность ЛЭП – 0,174 км, прибор учёта электроэнергии - 1 шт.)</t>
  </si>
  <si>
    <t>Установка прибора коммерческого учета электрической энергии, для присоединения «жилого дома Ульянова В.А. , расположенного по адресу: Российская Федерация, Ростовская обл., р-н. Каменский, х.Белгородцев,ул.Станичная,  94, КН61:15:0040301:101 (прибор учета электроэнергии  -  1 шт.)</t>
  </si>
  <si>
    <t>Установка прибора коммерческого учета электрической энергии, для присоединения «жилого дома» Наумовой М.В., расположенного по адресу: Российская Федерация, Ростовская обл., р-н. Каменский, х.Сибилев, ул.Гоголя, 6, КН 61:15:0120501:10 (прибор учета электроэнергии - 1 шт.)</t>
  </si>
  <si>
    <t>Установка прибора коммерческого учета электрической энергии, для присоединения «торгового павильона некапитального типа» ИП Кугатовой О.В., расположенного по адресу:Российская Федерация, Ростовская обл.,р-н.Каменский, х.Красновка, севернее земельного участка по ул.Профильной 7 Б, 40,5м (прибор учета электроэнергии - 1  шт.)</t>
  </si>
  <si>
    <t>Строительство участка ЛЭП-0,4 кВ от ВЛ-0,4 кВ № 1, КТП № 167, ВЛ-10 кВ № 5, ПС 35/10 кВ «Владимировская», для подключения Объекта сельскохозяйственного производства Петряковой Н.А., расположенного по адресу: Ростовская область, р-н Морозовский, х. Чекалов, ЗАО "Нива" пастбища слева от въезда в х. Чекалов, к.н. 61:24:0600015:685 (ориентировочная протяженность ЛЭП – 0,400 км, прибор учёта электроэнергии - 1 шт.)</t>
  </si>
  <si>
    <t>Строительство участка ЛЭП-0,4 кВ от КТП №93 ВЛ-10кВ №6 ПС 110/35/10кВ «Б-11», для подключения Индивидуального жилого дома Пасько Н.А., расположенного по адресу: Ростовская область, р-н Морозовский, г. Морозовск, снт Заря, 27, к.н. 61:24:0014000:675 (ориентировочная протяженность ЛЭП – 0,365 км, прибор учёта электроэнергии - 1 шт.)</t>
  </si>
  <si>
    <t>Установка прибора коммерческого учёта электрической энергии, для присоединения объекта «Комсомольская основная общеобразовательная школа» Ламбарян Арама Самвеловича, расположенного  по  адресу:  Ростовская  область,  Морозовский  р-н, п. Комсомольский, ул. Центральная, д.  1,  кадастровый номер земельного участка:  61:24:0040501:8  (прибор учёта электроэнергии  –  1  шт.)</t>
  </si>
  <si>
    <t>Установка прибора коммерческого учёта электрической энергии , для присоединени янежилого здания Акционерного общества «ПочтаРоссии», расположенного по адресу: Ростовская область, Советский район, п.Чирский, ул. Школьная 1-я, д.   24/1,  к.н.    61:36:0030101:1538  (прибор учёта электроэнергии - 1шт)</t>
  </si>
  <si>
    <t>Установка прибора коммерческого учёта электрической энергии, для присоединения  базовая  станция  Публичное  акционерное  общество «Ростелеком», расположенного по адресу: Ростовская область ,Советский район, слобода Петрово, примерно 41 м по направлению на восток от границ участка по адресу: улица Центральная, д.   44,  к.н.   61:36:0040301:212  (прибор учёта электроэнергии – 1шт)</t>
  </si>
  <si>
    <t>Установка прибор акоммерческого учёта электрической энергии, для присоединения ВРУ-0,4 кВ здания зернохранилища ИП Грабов А.В.,расположенного по адресу: Ростовская область,Тацинский район, х.Маслов,примерно в  0,08 км по направлению на северо-запад от ул.Клубная,  24, к.н.61:38:0600004:941 (прибор учёта электроэнергии  –    1 шт.)</t>
  </si>
  <si>
    <t>Установка прибора коммерческого учёта электрической энергии для присоединения земельного участка Кожиной О.В., расположенного по адресу:Ростовская область, Белокалитвинский р-н, х.Богатов, ул. Станкевского, д. 7,  к.н.з.у.:   61:04:080201:29   (прибор учёта электроэнергии  –  1  шт.)</t>
  </si>
  <si>
    <t>Установка прибора коммерческого учёта электрической энергии для присоединения Малоэтажной жилой застройки Васютина С.В., расположенного по адресу: Ростовская область,Белокалитвинского р-н, п. Сосны, ул. Крымская, д.   5,  ув.   2,  к.н.з.у.:61:04:0150405:538 (прибор учёта электроэнергии – 1 шт.)</t>
  </si>
  <si>
    <t>Установка прибора коммерческого учёта электрической энергии для присоединения Малоэтажной жилой застройки Сопельниковой Н.В., расположенного по адресу: Ростовская область, Белокалитвинский р-н, х. Курнаков, ул. Подгорная, д.19,  к.н.з.у.: 61:04:0140701:119   (прибор учёта электроэнергии   –   1  шт.)</t>
  </si>
  <si>
    <t>Установка прибора коммерческого учёта электрической энергии, для присоединения магазина ООО «Сервисгрупп», расположенного по адресу Ростовская область, Каменский район, х. Красновка, ул. Профильная, примыкает к ЗУ с КН 61:15:0080108:1893, к.н.з.у. 61:15:0080108:1913 (прибор учёта электроэнергии - 1 шт.)</t>
  </si>
  <si>
    <t>Строительство участка ЛЭП-0,4 кВ от ВЛ-0,4 кВ № 3, КТП № 352,  ВЛ-10 кВ № 3, ПС 35/10 кВ «Знаменская», для подключения ВРУ-0,4 кВ склада Булановой Н.Н., расположенного по адресу: Ростовская обл., Милютинский р-он, х. Нижнепетровский, ул. Промышленная, д № 13, КН ЗУ 61:23:0020901:611 (ориентировочная протяженность  ЛЭП – 0,040 км, прибор учёта электроэнергии - 1шт)</t>
  </si>
  <si>
    <t>Установка прибора коммерческого учёта электрической энергии, для присоединения объекта «Нежилое помещение» АО «Почта России», расположенного по адресу: Ростовская область ,Морозовский р-н, х.Парамонов,ул.Центральная, д. 28, кадастровый номер земельного участка: 61:24:0110108:284 (прибор учёта электроэнергии – 1  шт.)</t>
  </si>
  <si>
    <t>Установка прибора коммерческого учёта электрической энергии, для присоединения жилого дома Войтенко С.А., расположенного по адресу: Ростовская область, Тарасовский район, сл.Александровка, ул.Ольховая, д.5,  к.н. 61:37:0080201:147 (прибор учёта электроэнергии - 1шт)</t>
  </si>
  <si>
    <t>Установка прибора коммерческого учёта электрической энергии, для присоединения жилого дома Думчева Р.А., расположенного по адресу: Ростовская область, Тарасовский район, сл.Александровка, ул.Набережная, д.6,  к.н. 61:37:0080201:867 (прибор учёта электроэнергии - 1шт)</t>
  </si>
  <si>
    <t>Установка прибора коммерческого учёта электрической энергии ,для присоединения жилого дома Зинова А.И., расположенного по адресу: Ростовская область, Тарасовский район, х. Ерофеевка, ул. Школьная, д.  13,   к.н.  61:37:050401:0331  (прибор учёта электроэнергии  -  1шт)</t>
  </si>
  <si>
    <t>Установка прибора коммерческого учёта электрической энергии, для присоединения жилого дома Кондрахина Д.В., расположенного по адресу:Ростовская область, Тарасовский район , ст.Митякинская, ул.Дюбина, д. 55,  к.н. 61:37:0100101:541 (прибор учёта электроэнергии - 1шт)</t>
  </si>
  <si>
    <t>Установка прибора коммерческого учёта электрической энергии, для присоединения жилого дома Шапарь Ю.А., расположенного по адресу: Ростовская область,Тарасовский район, х.Нижняя Тарасовка, ул. Центральная, д.   26,  к.н.   61:37:020401:0044  (прибор учёта электроэнергии  -  1шт)</t>
  </si>
  <si>
    <t>Установка прибора коммерческого учёта электрической  энергии,  для  присоединения  объекта  незавершенного строительства Григорян Г.Г.,расположенного по адресу:Ростовская область,Тарасовский район, х. Смеловка, к.н.   61:37:0600026:68  (прибор учёта электроэнергии  -  1шт)</t>
  </si>
  <si>
    <t>Установка прибора коммерческого учётаэлектрической энергии, для присоединения складского здания/помещения ИП главы К(Ф)Х Мацакян Т.К., расположенного по адресу: Ростовская область, Тарасовский район, Курно-Липовское сельское поселение,  407  м. северо-восточнее х.Рыновка,к.н. 61:37:0600023:1313 (прибор учёта электроэнергии - 1шт)</t>
  </si>
  <si>
    <t>Строительство участка ВЛ-0,4 кВ от ВЛ-0,4 кВ № 1, КТП № 539,  ВЛ-10 кВ № 4,  ПС 35/10 кВ  «Колушкинская»,  для  подключения  жилого дома Фастовец О.П. расположенного по адресу: Ростовская область, Тарасовский р-он, сл. Александровка, ул.  Лесная, д. 4, к.н. 61:37:0080201:295, (ориентировочная протяженность ЛЭП – 0,16 км, прибор учёта электроэнергии - 1шт)</t>
  </si>
  <si>
    <t>Строительство участка ВЛИ-0,4 кВ от ВЛ-0,4 кВ № 3, КТП № 7, ВЛ-10 кВ № 3, ПС 35/10 кВ "Кустоватовская", для подключения ВРУ-0,4 кВ жилого дома Ермакова Н.И., расположенного по адресу: Ростовская область, Тацинский р-н, х. Зазерский, ул. Новая, д. 8, кф./оф. 2, к.н. 61:38:090101:0192 (ориентировочная протяженность ЛЭП – 0,03 км, прибор учёта  электроэнергии - 1шт)</t>
  </si>
  <si>
    <t>Установка прибора коммерческого учёта электрической энергии,для присоединения ВРУ-0,4 кВ нежилого здания ИП Алексеенко А.Ю., расположенного по адресу: Ростовская область, Тацинский район, х.Качалин, ул.Свободы, д.1б, к.н.  61:38:0070501:876 (прибор учёта электроэнергии  –    1 шт.)</t>
  </si>
  <si>
    <t>Установка прибора коммерческого учёта электрической энергии, для присоединения ВРУ-0,4 кВ жилого дома Летченя С.В., расположенного по адресу: Ростовская область, Тацинский район, п. Быстрогорский, ул. 40 лет Октября, д. 26,  к.н. 61:38:0040146:6 (прибор учёта электроэнергии –  1 шт.)</t>
  </si>
  <si>
    <t>Установка прибора коммерческого учёта электрической энергии,для присоединения ВРУ-0,4 кВ нежилого помещения АО «Почта России» расположенного по адресу: Ростовская область, Тацинский район, х.Исаев, пер.Южный, д. 2, пом. 1,  к.н. 61:38:0020301:1047 (прибор учёта электроэнергии –  1  шт.)</t>
  </si>
  <si>
    <t>Установка прибора коммерческого учёта электрической энергии для присоединения домика отдыха Кондратенко С.В., расположенного по адресу: Ростовская область,Белокалитвинский р-н, Литвиновское сельское поселение, примерно на расстоянии   2200  м по направлению на северо-восток от х.Титов,к.н.з.у.: 61:04:0600006:5054 (прибор учёта электроэнергии – 1 шт.)</t>
  </si>
  <si>
    <t>Установка прибора коммерческого учёта электрической энергии для присоединения земельного участка Копылова А.А., расположенного, Ростовская обл., р-н. Белокалитвинский, х. Западный, ул. Садовая, д. 38 К, кадастровый номер земельного участка: 61:04:0080301:150 (прибор учёта электроэнергии - 1 шт.)</t>
  </si>
  <si>
    <t>Установка прибора коммерческого учета электрической энергии, для присоединения «жилого дома» Полухиной Т.А., расположенного по адресу: Российская Федерация, Ростовская обл., р-н. Каменский, х. Красновка, ул.Профильная, 20 А, КН 61:15:0080109:1306 (приборучетаэлектроэнергии - 1 шт.)</t>
  </si>
  <si>
    <t>Установка прибора коммерческого учета электрической энергии, для присоединения «жилого дома Москвитиной Е.Р., расположенного по адресу: Российская Федерация, Ростовская обл., р-н. Каменский, х.Михайловка, ул. Лесная,    25,  КН    61:15:0100401:302  (прибор учета электроэнергии  -  1  шт.)</t>
  </si>
  <si>
    <t>Установка прибора коммерческого учета электрической энергии, для присоединения «жилого дома Пузанова И.И., расположенного по адресу: Российская Федерация, Ростовская обл., р-н. Каменский, х. Хоботок, ул.Казачья, 8, КН 61:15:0031101:15 (прибор учета электроэнергии - 1 шт.)</t>
  </si>
  <si>
    <t>Установка прибора коммерческого учета электрической энергии, для присоединения «жилого дома» Брянцеву Е.О.,   расположенного по адресу: Российская Федерация, Ростовская обл., р-н. Каменский, х. Старая Станица, ул. Буденного, 215А, КН 61:15:0130104:529(прибор учета электроэнергии - 1 шт.)</t>
  </si>
  <si>
    <t>Установка прибора коммерческого учета электрической энергии, для присоединения «жилого дома» Донскова С.И.,  расположенного по адресу: Российская Федерация, Ростовская обл., р-н. Каменский, х. Верхнекрасный, ул. Чехова, 20 Б, КН 61:15:0100201:1026 (прибор учета электроэнергии - 1 шт.)</t>
  </si>
  <si>
    <t>Установка прибора коммерческого учета электрической энергии, для присоединения «жилого дома» Елфимова Р.В.,  расположенного по адресу: Российская Федерация, Ростовская обл., р-н. Каменский, х. Старая Станица, ул. Шолохова, 1 В, КН 61:15:0130101:2877 (прибор учета электроэнергии - 1 шт.)</t>
  </si>
  <si>
    <t>Установка прибора коммерческого учёта электрической энергии, для присоединения объекта «антенно-мачтовое сооружение 52655-11-61-0-1»  АО «ПБК», расположенного по адресу:Ростовская область, Морозовский р-н, х. Вишневка, в  35  м от дома № 2 ул.Центральная (прибор учёта электроэнергии – 1 шт.)</t>
  </si>
  <si>
    <t>Установка прибора коммерческого учёта электрической энергии, для присоединения объекта «Нежилое помещение» АО «Почта России», расположенного по адресу: Ростовская область, Морозовский р-н, х. Старопетровский, ул. Абрикосовая, д.   29, кадастровый номер земельного участка:   61:24:0110401:105  (прибор учёта электроэнергии – 1 шт.)</t>
  </si>
  <si>
    <t>Установка прибора коммерческого учёта электрической энергии, для присоединения объекта «антенно-мачтовое сооружение 52234-11-61-0-1»  АО «ПБК», расположенного по адресу:Ростовская область, Морозовский р-н, х. Вербочки, в  50  м от дома № 35 ул. Мира (прибор учёта электроэнергии  – 1 шт.)</t>
  </si>
  <si>
    <t>Установка прибора коммерческого учётаэлектрической энергии, для присоединения «строящийся жилой дом» Штольп А.И., расположенного по адресу: Ростовская область, Обливский район, ст.Обливская, ул. Кагальника, д.13, к.н.з.у.  61:27:0070143:413  (прибор учёта электроэнергии  -  1шт.)</t>
  </si>
  <si>
    <t>Строительство участка ЛЭП-0,4 кВ от ВЛ-0,4 кВ № 2, КТП № 145,   ВЛ-10 кВ № 1, ПС 35/10 кВ «Советская-1», для подключения  Базовой станции сотовой связи ПАО «Ростелеком»,  которая будет располагаться Ростовская область, Советский район, село Чистяково , примерно 87 м  по направлению на запад от границ участка по адресу: ул. Западная, д. 2 ,  КН  61:37:0020101:ЗУ1, КН ЗУ заявителя 61:36:00101301:ЗУ1 (ориентировочная протяженность  ЛЭП – 0,045 км, прибор учёта электроэнергии - 1шт)</t>
  </si>
  <si>
    <t>Строительство участка ВЛ-10 кВ от опоры № 4 на отпайке Л 372,  ВЛ-10 кВ № 1, ПС 35/10 кВ «Тарасовская СХТ», ТП 10/0,4 кВ и участка   ВЛ-0,4 кВ от РУ-0,4 кВ новой ТП 10/0,4 кВ, для подключения производственного здания/помещения Карагёзян А.Р., расположенного по адресу: Ростовская область, Тарасовский р-н, Дячкинское сельское поселение, северо-восточнее, сл. Дячкино, КН ЗУ 61:37:0600012:1929 (ориентировочная протяженность ЛЭП – 1,37 км, ориентировочная  мощность ТП – 0,025 МВА)</t>
  </si>
  <si>
    <t>Строительство участка ВЛИ-0,4 кВ от опоры № 10, ВЛ-0,4 кВ № 1, КТП № 522, ВЛ-6 кВ "Жилпоселок", ЗРП-6 кВ "БКУ", ВЛ-6 кВ "ЗРП-2", ПС 35/6 кВ "Б-6", для подключения ВРУ-0,4 кВ квартиры Кудашова И.Х., расположенного по адресу: Ростовская область, Тацинский район, п. Быстрогорский, ул. Волгодонская, д. 2, кф./оф. 5, к.н. 00:00:0000:000 (ориентировочная протяженность ЛЭП – 0,15 км, прибор учёта электроэнергии - 1шт)</t>
  </si>
  <si>
    <t>Строительство участка ВЛИ-0,4 кВ от РУ-0,4кВ, КТП № 231, ВЛ-10 кВ № 5, ПС 35/10 кВ «Верхнекольцовская», для подключения строящегося здания Курбановой Ш.М., расположенного по адресу: Ростовская область, Тацинский район, п. Лубяной, ул. Восточная, д. 9, корп. а, к.н. 61:38:01003011:238 (ориентировочная протяженность ЛЭП – 0,200 км, прибор учёта  электроэнергии - 1шт.)</t>
  </si>
  <si>
    <t>Установка прибор акоммерческого учёта электрической энергии, для  присоединения  ВРУ-0,4  кВ  магазина  ИП  Араканцевой  Л.И., расположенного по адресу: Ростовская область, Тацинский район, ст.Ермаковская, пер. Липкина, д. 8А, к.н.   00:00:000000:00  (прибор учёта электроэнергии  –    1  шт.)</t>
  </si>
  <si>
    <t>Установка прибора коммерческого учёта электрической энергии,для  присоединения  ВРУ-0,4  кВ  магазина  ИП  Араканцевой Л.И., расположенного по адресу: Ростовская область, Тацинский район, х.Зазерский, ул.Центральная, д.48а, к.н. 00:00:00000:00 (прибор учёта электроэнергии –  1 шт.)</t>
  </si>
  <si>
    <t>Установка прибора коммерческого учёта электрической энергии, для  присоединения  ВРУ-0,4  кВ  магазина  ИП  Араканцевой  Л.И.,расположенного по адресу: Ростовская область, Тацинский район, п.Новосуховый, ул.Административная, д.2а, к.н. 00:00:00000:00 (прибор учёта электроэнергии  –  1  шт.)</t>
  </si>
  <si>
    <t>Строительство участка ЛЭП-0,4 кВ  от ВЛ-0,4 кВ №2, КТП № 517,  ВЛ-10 кВ № 2 Л-СП-3, ПС 110/10 кВ «Богатовская ПТФ» для подключения Дачного участка Федченко А.С., расположенного по адресу: Ростовская область, р-он Белокалитвинский, х. Богатов, ул. Набережная, д № 29А,  к.н. 61:04:0080201:207 (ориентировочная протяженность ЛЭП – 0,050 км, прибор учёта электроэнергии - 1шт)</t>
  </si>
  <si>
    <t>Строительство участка ЛЭП-0,4 кВ от ВЛ-0,4 кВ № 2, КТП № 863,  ВЛ-10 кВ № 2, ПС 35/10 кВ «Грушевская» для подключения Жилого дома Соколова С.В., расположенного по адресу: Ростовская область, р-он Белокалитвинский, х. Грушевка, ул. Учительская, д № 49, к.н. 61:04:0110102:122 (ориентировочная протяженность ЛЭП – 0,040 км,  прибор учёта электроэнергии - 1шт)</t>
  </si>
  <si>
    <t>Строительство участка ЛЭП-0,4 кВ от ВЛ-0,4 кВ № 2, КТП № 419,ВЛ-10 кВ № 3, ПС 35/10 кВ «Нижнепоповская» для подключения строящегося жилого дома Липового В.Е., расположенного по адресу: Ростовская область, р-он Белокалитвинский, п. Сосны, ул. Сосновая, уч № 13, к.н.61:04:0150415:64 (ориентировочная протяженность ЛЭП – 0,035 км, прибор учёта электроэнергии - 1шт)</t>
  </si>
  <si>
    <t>Установка прибора коммерческого учёта электрической энергии для присоединения Малоэтажной жилой застройки Щербакова Н.С., расположенного по адресу: Ростовская область, Белокалитвинский р-н, земли бывшего СПК «Сосновый Бор» к.н.з.у.:61:04:0600007:737 (прибор учёта электроэнергии – 1 шт.)</t>
  </si>
  <si>
    <t>Установка прибора коммерческого учёта электрической энергии для присоединения Административного здания АО «Почта России»., расположенного по адресу: Ростовская область, Белокалитвинский р-н, х. Апанасовка, ул. А. Невского,  д.  2,  к.н.з.у.: 61:04:0120103:113   (прибор учёта электроэнергии   –   1  шт.)</t>
  </si>
  <si>
    <t>Установка прибора коммерческого учёта электрическо йэнергии для присоединения жилого дома Кудратовой Т.Н., расположенного по адресу: Ростовская область, Белокалитвинский р-н, х.Головка, ул. Стадионная,  д.   21,  к.н.з.у.:   61:04:090103:25   (прибор учёта электроэнергии  –  1  шт.)</t>
  </si>
  <si>
    <t>Установка прибора коммерческого учёта электрической энергии для присоединения малоэтажная жилая застройка Семиглазова А.С., расположенного по адресу: Ростовская область, Белокалитвинский р-н, п. Сосны, пер. Молодежный, д. 12, к.н.з.у.: 61:04:0150410:108 (прибор учёта электроэнергии –      1 шт.)</t>
  </si>
  <si>
    <t>Установка прибора коммерческого учета электрической энергии, для присоединения «жилого дома» Буханцова М.А. расположенного по адресу: Российская Федерация, Ростовская обл., р-н. Каменский, х.Богданов, ул. 2-я Набережная, 50, КН 61:15:0030101:1410 (прибор учета электроэнергии - 1 шт.)</t>
  </si>
  <si>
    <t>Установка прибора коммерческого учета электрической энергии, для присоединения «жилого дома» Воронина С.Н., расположенного по адресу: Российская Федерация, Ростовская обл., р-н. Каменский, х. Урывский, ул.Российская, 7, КН 61:15:0120701:15 (прибор учета электроэнергии - 1 шт.)</t>
  </si>
  <si>
    <t>Установка прибора коммерческого учета электрической энергии, для присоединения «жилого дома» Гизе Е.В., расположенного по адресу: Российская Федерация, Ростовская обл., р-н. Каменский, х. Старая Станица, пер. Молодежный, 60, корп.Б, КН 61:15:0130105:602 (прибор учета электроэнергии - 1 шт.)</t>
  </si>
  <si>
    <t>Установка прибора коммерческого учета электрической энергии, для присоединения «жилого дома» Козиной Л.В., расположенного по адресу: Российская Федерация, Ростовская обл., р-н. Каменский, Малая Каменка, ул. Октябрьская, 5, КН 61:15:0090101:981 (прибор учета электроэнергии - 1 шт.)</t>
  </si>
  <si>
    <t>Установка прибора коммерческого учета электрической энергии, для присоединения «жилого дома» Красновой А.Я., расположенного по адресу: Российская Федерация, Ростовская обл., р-н. Каменский, х. Астахов, ул. Гагарина, 3, КН 61:15:0020201:599 (прибор учета электроэнергии - 1 шт.)</t>
  </si>
  <si>
    <t>Строительство новой ТП 10/0,4 кВ, присоединение новой ТП 10/0,4 кВ выполнить от опоры № 6, ВЛ-10 кВ № 1, ПС 35/10 кВ «Владимировская», для электроснабжения объекта животноводства ООО «РЗК «Ресурс», расположенного по адресу: Ростовская область, Морозовский район, Широко-Атамановское сельское поселение, х. Беляев в 800 м на юг отул. Чумакова, 28, КН ЗУ 61:24:0600014:306 (ориентировочная мощность – 0,160 МВА, прибор учёта электроэнергии - 1 шт.)</t>
  </si>
  <si>
    <t>Установка прибора коммерческого учёта электрической энергии, для присоединения объекта «Модульный ФАПх. Донской» ГБУ Ростовской области «Центральная районная больница» в Морозовском районе, расположенного по адресу: Ростовская область,Морозовский р-н, х. Донской, ул. Школьная, д. 18а, кадастровый номер земельного участка: 61:24:00800301:670 (прибор учёта электроэнергии – 1 шт.)</t>
  </si>
  <si>
    <t>Строительство участка ВЛ-10 кВ от ВЛ-10 кВ № 1, ПС 35/10 кВ «Артемовская», ТП 10/0,4 кВ и участка ВЛ-0,4 кВ от РУ-0,4 кВ новой  ТП 10/0,4 кВ, для подключения ВРУ-0,4 кВ (карбоновый полигон) ФНЦ агроэкологии РАН, расположенной по адресу: Ростовская обл., Обливский р-н, вблизи п. Сосновый, к.н.з.у.: 61:27:0600009:3 (ориентировочная протяженность  ЛЭП – 0,025 км, трансформаторная мощность – 0,025 МВА, прибор учёта электроэнергии - 1шт)</t>
  </si>
  <si>
    <t>Строительство участка ЛЭП-0,4 кВ от ВЛ-0,4 кВ № 2, КТП № 252,  ВЛ-10 кВ № 2, ПС 35/10 кВ «Митякинская», для подключения  базовой станции/оборудование сотовой связи ПАО «Ростелеком» с условным КН 61:37:0040101:ЗУ1, которые будут располагаться примерно в 30 м по направлению на северо-запад от границы адресного ориентира  ЗУ с КН 61:37:0040101:63, расположенного по адресу: Ростовская область,  Тарасовский район, п. Весенний, ул. 13 Героев, д.2 кв.1 (ориентировочная протяженность ЛЭП – 0,035 км,  прибор учёта электроэнергии - 1шт)</t>
  </si>
  <si>
    <t>Установка прибора коммерческого учёта электрической энергии, для присоединения объектов наружного освещения Министерства транспорта Ростовской области , расположенных по адресу: Ростовская обл., р-н. Тарасовский, х. Дубы, ст.Митякинская, 44+500 км автодороги «пос. Тарасовский - х. Верхний Митякин-х.Можаевка» далее в западном направлении 9+000 км через «х.Дубы и ст.Митякинская», кадастровый номер земельного участка: 61:37:0000000:0:36 (прибор учёта электроэнергии - 1шт)</t>
  </si>
  <si>
    <t>Установка прибора коммерческого учёта электрической энергии, для присоединения административного/офисного здания (сельский дом культуры) МБУК Ефремово-Степановского сельского поселения Тарасовского района «Ефремово-Степановский сельский дом культуры» ,расположенного по адресу:Ростовская область,Тарасовский район, сл.Александровка, ул.Клубная, д.1, к.н.з.у 61:37:0080201:243:15 (прибор учёта электроэнергии  -  1шт)</t>
  </si>
  <si>
    <t>Установка прибора коммерческого учёта электрической энергии, для присоединения жилого дома Березенко А.П.,расположенного по адресу:Ростовская обл., р-н.Тарасовский, сл.Ефремово-Степановка, ул.Молотова, д.35, кадастровый номер земельного участка: 61:37:0080101:468  (прибор учёта электроэнергии  -  1шт)</t>
  </si>
  <si>
    <t>Установка прибора коммерческого учёта электрической энергии, для присоединения ¼ доли жилого дома Чучман Н.Л., расположенного по адресу: Ростовская область, Тарасовский район, сл.Дячкино, ул. Садовая, д.    23,  к.н.    61:37:0030101:145  (прибор учёта электроэнергии  -  1шт)</t>
  </si>
  <si>
    <t>Установка прибора коммерческого учёта электрической энергии, для присоединения нежилого помещения Гонтаренко М.В., расположенного по адресу: Ростовская обл., р-н. Тарасовский, сл. Большинка, ул.Кладбищенская, д.11, кадастровый номер земельного участка: 61:37:0120101:3756 (прибор учёта электроэнергии  - 1шт)</t>
  </si>
  <si>
    <t>Строительство участка ВЛИ-0,4 кВ от ВЛ-0,4 кВ № 2, КТП № 369, ВЛ-10 кВ № 2, ПС 35/10 кВ «Верхне-Кольцовская», для подключения ВРУ-0,4 кВ нестационарного торгового объекта ИП Фетисова В.В., расположенного по адресу: Ростовская область, Тацинский район,  п. Быстрогорский, ул. Спортивная, д. 7, кв./оф. 1, к.н. 00:00:00000:00 (ориентировочная протяженность ЛЭП – 0,03 км, прибор учёта электроэнергии - 1шт)</t>
  </si>
  <si>
    <t>Установка прибора коммерческого учёта электрической энергии, для присоединения ВРУ-0,4 кВ здания коровника ИП Зайцевой Т.А., расположенного по адресу: Ростовская область, Тацинский район, примерно в 1,4 км на юго-восток от поселка Жирнов, к.н. 61:38:0600008:1917 (прибор учёта электроэнергии  –    1  шт.)</t>
  </si>
  <si>
    <t>Установка прибора коммерческого учёта электрической энергии, для присоединения ВРУ-0,4 кВ земельного участка Грабовой Н.П.,расположенного  по  адресу:  Ростовская  область,  Тацинский  район, Михайловское сельское поселение к.н.   61:38:0600004:930  (прибор учёта электроэнергии  –  1  шт.)</t>
  </si>
  <si>
    <t>Строительство участка ВЛ-10 кВ от опоры № 19 отпайки Л 138, ВЛ-10 кВ № 1, ПС110/35/10 кВ «Милютинская», ТП 10/0,4 кВ  и  двух участковВЛ-0,4 кВ от РУ-0,4 кВ новой ТП 10/0,4 кВ, для подключения зерноочистительного комплекса и зернохранилища ООО «Колос», расположенных по адресу: Ростовская обл., Милютинский р-н, примерно в 0,6 км на юго – восток от п. Светоч, к.н.з.у. 61:23:0600017:783; примерно в 1 км на юго – восток от п. Светоч, к.н.з.у. 61:23:0600017:784  (ориентировочная протяженность ЛЭП – 0,520 км, трансформаторная мощность – 0,160 МВА, прибор учёта электроэнергии - 2 шт)</t>
  </si>
  <si>
    <t>Строительство ВЛ 0,4 кВ от опоры проектируемой ВЛ 0,4 кВ по договору №61-1-20-00537157 от 08.10.2020 для технологического присоединения жилого дома Заявителя (Птицына О.А.) по адресу: Ростовская область, Мясниковский район, х. Недвиговка, ул. Молодежная, д. 33А, к.н. №61:25:0070101:175. (ориентировочная протяженность ЛЭП 0,08 км)</t>
  </si>
  <si>
    <t>Строительство ВЛ 0,4 кВ от РУ 0,4 кВ ТП 10/0,4 кВ №3-94 по ВЛ 10 кВ №3 ПС 110/35/10 кВ Чалтырь, для технологического присоединения нежилого здания Заявителя (Шпакова О.А.) по адресу: Мясниковский район, с. Крым, ул. Большесальская д. 24 (ориентировочная протяженность ЛЭП 0,11 км)</t>
  </si>
  <si>
    <t>Строительство ВЛ 0,4 кВ от РУ 0,4 кВ ТП 10/0,4 кВ №12-5 по ВЛ 10 кВ №12 ПС 110/35/10 кВ Чалтырь, для технологического присоединения жилого дома Заявителя (Бобохян С.А.) по адресу: Ростовская область, Мясниковский район, с. Чалтырь, ул. Пионерская, д. 8/б, к.н. №61:25:0101128:26, (ориентировочная протяженность ЛЭП 0,1 км)</t>
  </si>
  <si>
    <t>Строительство ВЛ 0,4 кВ от новой ТП 10/0,4 кВ, строительство ТП 10/0,4 кВ, строительство ВЛ 10 кВ от ВЛ 10 кВ №3 ПС 35/10 кВ «ГСКБ», для технологического присоединения нежилого помещения Заявителя (ИП Шкрабо И.В.) по адресу: Ростовская область, Неклиновский район, п. Комаровка, ул. Свердлова, 2В, к.н. 61:26:0180301:992 (ориентировочная протяженность ЛЭП 0,11 км; мощность силового трансформатора 160 кВА)</t>
  </si>
  <si>
    <t>Строительство ВЛ 0,4 кВ от опоры по ВЛ 0,4 кВ №2 ТП 10/0,4 кВ №7-17 по ВЛ 10 кВ №7 ПС 110/35/10 кВ Синявская, для технологического присоединения жилого дома Заявителя (Долобаян М.Т.) по адресу: Ростовская область, Мясниковский район, х. Недвиговка, ул. Ченцова, д. 103, корп. А, к.н. №61:25:0070101:9 (ориентировочная протяженность ЛЭП 0,02 км)</t>
  </si>
  <si>
    <t>Строительство ВЛ 0,4 кВ от ВЛИ 0,4 кВ №1 ТП 10/0,4 кВ №1-102 по ВЛ 10 кВ №1 ПС 110/35/10 кВ Чалтырь, для технологического присоединения индивидуального жилого дома Заявителя: (Анненко А.А.) по адресу: Ростовская обл. Мясниковский р-н, х. Ленинаван, ул. М.Сарьяна, д 13 к.н. 61:25:0030202:1258 (ориентировочная протяженность ЛЭП -0,045 км)</t>
  </si>
  <si>
    <t>Строительство ВЛ 0,4 кВ от опоры по ВЛ 0,4 кВ №1 ТП 10/0,4 кВ №4-9 по ВЛ 10 кВ №4 ПС 110/35/10 кВ Чалтырь, для технологического присоединения жилого дома Заявителя (Саакян Н.М.) по адресу: Ростовская область, Мясниковский район, с. Крым, ул. 19-я линия, д. 16/в, к.н. №61:25:0201019:1015 (ориентировочная протяженность ЛЭП 0,05 км)</t>
  </si>
  <si>
    <t>Строительство ВЛ 0,4 кВ от проектируемой ВЛ 0,4 кВ по договору №61-1-21-00563203 от 11.03.2021г. для технологического присоединения жилого дома Заявителя (Рудниченко А.А.) по адресу: Ростовская область, Неклиновский район, с. Весело-Вознесенка, ул. Пограничная, 40Г, к.н. 61:26:0100101:5088 (ориентировочная протяженность ЛЭП 0,03 км)</t>
  </si>
  <si>
    <t>Строительство ВЛ 0,4 кВ от концевой опоры ВЛ 0,4 кВ построенной по договору № 61-1-20-00501455 от 10.03.2020, для технологического присоединения нежилого помещения Заявителя (Беседовский А.Г..) по адресу: Ростовская область, Таганрог, ул. Бакинская, к.н. 61:58:0004523:989 (ориентировочная протяженность ЛЭП 0,06 км)</t>
  </si>
  <si>
    <t>Строительство ВЛ 0,4 кВ от ВЛ 0,4 кВ №1 КТП 10/0,4 кВ №413Ам ВЛ 10 кВ №4 ПС 35/10 кВ «Русский Колодец» для технологического присоединения жилого дома Заявителя (Туров А.В.) по адресу: Ростовская область, Неклиновский район, с. Боцманово, ул. Седова, 22, к.н. 61:26:0070801:190 (ориентировочная протяженность ЛЭП 0,06 км)</t>
  </si>
  <si>
    <t>Строительство ВЛ 0,4 кВ от ВЛ 0,4 кВ, проектируемой по договору № 61-1-21-00559079 от 17.02.2021 г. с ИП Саркисян Р.А., для технологического присоединения объекта крестьянского хозяйства Заявителя (ИП Саркисян З.Р.) по адресу: Ростовская область, Неклиновский район, с. Троицкое, ул. Ленина, 198-К, к.н. 61:26:0600014:1978 (ориентировочная протяженность ЛЭП 0,06 км)</t>
  </si>
  <si>
    <t>Строительство ВЛ 0,4 кВ от ВЛ 0,4 кВ №2 КТП 10/0,4 кВ №9м ВЛ 10 кВ №3 ПС 35/10 кВ «ГСКБ» для технологического присоединения жилого дома Заявителя (Татульян Р.Г.) по адресу: Ростовская область, Неклиновский район, с. Новобессергнеевка, ул. Гагарина, 6-а, к.н. 61:26:0180101:7893 (ориентировочная протяженность ЛЭП 0,08 км)</t>
  </si>
  <si>
    <t>Строительство ВЛ 0,4 кВ от ВЛ 0,4 кВ №1 КТП 10/0,4 кВ №356 ВЛ 10 кВ №6 ПС 110/10 кВ «Самбек» для технологического присоединения жилого дома Заявителя (Снегуров Р.С.) по адресу: Ростовская область, г. Таганрог, ул. Мирная, д.1, корп.В, к.н. 61:58:0007019:342 (ориентировочная протяженность ЛЭП 0,06 км)</t>
  </si>
  <si>
    <t>Строительство ВЛ 0,4 кВ от опоры по ВЛ 0,4 кВ №1 ТП 10/0,4 кВ №1-227 по ВЛ 10 кВ №1 ПС Чалтырь, запитанной от ВЛ 10 кВ №29-35 отпайки на ТП 10/0,4 кв №1-54 ПС Р-29, для технологического присоединения нежилой застройки Заявителя (ИП Юрковец Р.Б.) по адресу: Ростовская область, Мясниковский район, х. Ленинаван, ул. Садовая, д. 30/2, к.н. 61:25:0600401:17337 (ориентировочная протяженность ЛЭП 0,17 км)</t>
  </si>
  <si>
    <t>Установка системы учета для технологического присоединения энергопринимающих устройств Заявителя (МБУЗ «Городская поликлиника №1») по адресу: Ростовская область, г. Таганрог, ул. Пархоменко, д. 15-а, к.н. 61:58:0000000:40325 (1 шт.)</t>
  </si>
  <si>
    <t>Строительство ВЛ 0,4 кВ от ВЛ 0,4 кВ №1 ТП 6/0,4кВ №318 для технологического присоединения жилого дома Заявителя (Кокоха Ю.А.) по адресу: Ростовская обл., г. Таганрог, ул. Бакинская к.н. 61:58:0004523:1435 (ориентировочная протяженность ЛЭП 0,065 км)</t>
  </si>
  <si>
    <t>Строительство ВЛ 0,4 кВ от ВЛИ 0,4 кВ №1 ТП 10/0,4 кВ №6-3 по ВЛ 10 кВ №6 ПС 35/10 кВ Б.Салы, для технологического присоединения жилого дома Заявителя: (Лскавян И.О.) по адресу: Ростовская обл. Мясниковский р-н, х. Красный Крым, ул. Молодежная, д 20/1 к.н. 61:25:0030101:2123 (ориентировочная протяженность ЛЭП -0,11 км)</t>
  </si>
  <si>
    <t>Строительство ВЛ 0,4 кВ от РУ 0,4 кВ ТП 10/0,4 кВ №6-3 по ВЛ 10 кВ №6 ПС 35/10 кВ Б.Салы, для технологического присоединения жилого дома Заявителя: (Морковкина Е.К.) по адресу: Ростовская обл. Мясниковский р-н, х. Красный Крым, ул. Молодежная, д 74 к.н. 61:25:0600401:16092 (ориентировочная протяженность ЛЭП -0,17 км)</t>
  </si>
  <si>
    <t>Строительство ВЛ 0,4 кВ от ВЛ 0,4 кВ, проектируемой по договору № 61-1-20-00551705 от 18.12.2020 г. для технологического присоединения нежилого здания Заявителя (ИП Мельников О.Б.) по адресу: Ростовская область, Неклиновский район к.н. 61:26:0600014:2296 (ориентировочная протяженность ЛЭП 0,05 км)</t>
  </si>
  <si>
    <t>Строительство ВЛ 0,4 кВ от ВЛ 0,4 кВ, проектируемой по договору № 61-1-20-00555517 25.01.2021 г., для технологического присоединения гаража Заявителя (ИП Давтян А.В.) по адресу: Ростовская область, Неклиновский район, к.н. 61:26:0600014:2036 (ориентировочная протяженность ЛЭП 0,06 км)</t>
  </si>
  <si>
    <t>Строительство ВЛ 0,4 кВ от ВЛ 0,4 кВ №1 КТП №494м ВЛ 10 кВ №7/8 ПС 35/10/6 кВ «Гаевка» для технологического присоединения жилого дома Заявителя (Потик Е.А.) по адресу: Ростовская область, Неклиновский район, с. Гаевка, ул. Набережная, 34-Б, к.н. 61:26:0160301:2474 (ориентировочная протяженность ЛЭП 0,09 км)</t>
  </si>
  <si>
    <t>Строительство ВЛ 0,4 кВ от проектируемой ВЛ 0,4 кВ по договору №61-1-21-00596899 от ВЛ 0,4 кВ №1 КТП №494м ВЛ 10 кВ №7/8 ПС 35/10/6 кВ «Гаевка» для технологического присоединения жилого дома Заявителя (Зенкин П.А.) по адресу: Ростовская область, Неклиновский район, с. Гаевка, ул. Набережная, 34-В, к.н. 61:26:0160301:2475 (ориентировочная протяженность ЛЭП 0,06 км)</t>
  </si>
  <si>
    <t>Строительство ВЛ 0,4 кВ от опоры ВЛ 0,4 кВ №23 ТП 6/0,4 кВ №294 по КЛ 6 кВ №166 РП- 6 кВ №16 по КЛ 6 кВ №1316/2 ПС Т-13 для технологического присоединения жилого дома Заявителя (Тимофеев М.Е.) по адресу: Ростовская область, г. Таганрог, пер. 3-й Новый, д. 71, к.н. 61:58:0004523:695 (ориентировочная протяженность ЛЭП 0,16 км)</t>
  </si>
  <si>
    <t>Строительство ВЛ 0,4 кВ от опоры по ВЛИ 0,4 кВ №4 ТП 10/0,4 кВ №6-5 по ВЛ 10 кВ №6 ПС 35/10 кВ Б. Салы для технологического присоединения жилого дома Заявителя (Курявая Т.В.) по адресу: Ростовская область, Мясниковский район, х. Красный Крым, ул. Юбилейная, д. 29, корп. Б, к.н. №61:25:0600401:16039 (ориентировочная протяженность ЛЭП 0,05 км)</t>
  </si>
  <si>
    <t>Строительство ВЛ 0,4 кВ от опоры по ВЛИ 0,4 кВ №3 ТП 10/0,4 кВ №1-24 по ВЛ 10 кВ №1 ПС 110/35/10 кВ Чалтырь для технологического присоединения жилого дома Заявителя (Загика Н.А.) по адресу: Ростовская область, Мясниковский район, х. Красный Крым, ул. Братьев Баян, д. 80, к.н. №61:25:0600401:17028 (ориентировочная протяженность ЛЭП 0,08 км)</t>
  </si>
  <si>
    <t>Строительство ВЛ 0,4 кВ от опоры по ВЛ 0,4 кВ проектируемой по договору №61-1-21-00582401 от ВЛИ 0,4 кВ №4 ТП 10/0,4 кВ №6-5 по ВЛ 10 кВ №6 ПС 35/10 кВ Б. Салы для технологического присоединения жилого дома Заявителя (Скидан Ю.В.) по адресу: Ростовская область, Мясниковский район, х. Красный Крым, ул. Юбилейная, д. 29, корп. В, к.н. №61:25:0600401:16038, (ориентировочная протяженность ЛЭП 0,017 км)</t>
  </si>
  <si>
    <t>Строительство ВЛ 0,4 кВ от опоры по ВЛ 0,4 кВ №2 ТП 10/0,4 кВ №1-27А по ВЛ 10 кВ №1 ПС 110/35/10 кВ Чалтырь для технологического присоединения жилых домов Заявителей (Егунян К.Г., Егунян Э.Г., Егунян Г.Э.) по адресу: Ростовская область, Мясниковский район, х. Красный Крым, ул. 2-я Молодежная, д. 26/б, д. 26/в, 26/г к.н. №61:25:0030101:2108, к.н. №61:25:0030101:2111, к.н. 61:25:0030101:2110 (ориентировочная протяженность ЛЭП 0,06 км)</t>
  </si>
  <si>
    <t>Строительство ВЛИ 0,4 кВ от опоры по ВЛИ 0,4 кВ №2 ТП 10/0,4 кВ №6-5 по ВЛ 10 кВ №6 ПС 35/10 кВ Б. Салы для технологического присоединения жилых домов Заявителей (Михайлова Т.В., Кадыров А.М., Легусова И.В.) по адресу: Ростовская область, Мясниковский район, х. Красный Крым, ул. Юбилейная, д. 25/а, д. 25/б, 25/в к.н. №61:25:0600401:17355, к.н. №61:25:0600401:17356, к.н. №61:25:0600401:17357 (ориентировочная протяженность ЛЭП 0,06 км)</t>
  </si>
  <si>
    <t>Строительство ВЛ 0,4 кВ от РУ 0,4 кВ КТП 10/0,4кВ №58 ВЛ 10кВ №4 ПС «Куйбышево-1», для технологического присоединения административного здания Заявителя (Пограничное управление Федеральной службы безопасности РФ по Ростовской области) по адресу: Ростовская область, Куйбышевский р-н, х. Новая Надежда, с. Каменно-Тузловка, с. Кумшатское, х. Обийко, х. Ясиновский к.н 61:19:0600002:1639 (ориентировочная протяженность ЛЭП 0,04 км)</t>
  </si>
  <si>
    <t>Строительство ВЛ 0,4 кВ от опоры, строящейся по Договору № 61-1-21-00568487 от 02.04.2021 г., для технологического присоединения объекта Заявителя (Погукай Д.А) по адресу: Ростовская область, Куйбышевский р-н, х. Свободный, западнее х.Свободный, 1м, к.н: 61:19:0600004:464 (ориентировочная протяженность ЛЭП 0,03 км)</t>
  </si>
  <si>
    <t>Строительство ВЛ 0,4 кВ от ВЛ 0,4 кВ №2 КТП №232 ВЛ 10 кВ №5/3 ПС 110/35/10 кВ «Троицкая-1» для технологического присоединения жилого дома Заявителя (Галстян К.П.) по адресу: Ростовская область, Неклиновский район, с. Николаевка, ул. Гоголя, 29-А, к.н. 61:26:0110101:9966 (ориентировочная протяженность ЛЭП 0,06 км)</t>
  </si>
  <si>
    <t>Строительство ВЛ 0,4 кВ от ВЛ 0,4 кВ №1 КТП 10/0,4 кВ №831 ВЛ 10 кВ №3 ПС 110/10 кВ «Лиманная» для технологического присоединения жилого дома Заявителя (Кравцова М.Н.) по адресу: Ростовская область, Неклиновский район, с. Андреево-Мелентьево, ул. Молодежная, д. 42-А, к.н. 61:26:0600013:1921 (ориентировочная протяженность ЛЭП 0,05 км)</t>
  </si>
  <si>
    <t>Строительство ВЛ 0,4 кВ от РУ 0,4 кВ ТП 10/0,4 кВ № 1-21 по ВЛ 10 кВ № 1 ПС 110/35/10 кВ "Чалтырь", для технологического присоединения жилого дома Заявителя (Дехтярева А. Д.) по адресу: Ростовская область, Мясниковский район, х. Красный Крым, ул. Кирова, д. 8/б, к.н. 61:25:0030101:1994 (ориентировочная протяжённость ЛЭП 0,24 км)</t>
  </si>
  <si>
    <t>Установка системы учета для технологического присоединения энергопринимающих устройств Заявителя (Архипенко Е.О.) по адресу: Ростовская область, г. Таганрог, ул. Энергетическая, д. 218-б, к.н.: 61:58:0005064:40 (1 шт.)</t>
  </si>
  <si>
    <t>Установка системы учета для технологического присоединения энергопринимающих устройств Заявителя (ИП Доценко В.Б.) по адресу: Ростовская область, г. Таганрог, ул. Розы Люксембург/13-й переулок, д. 237/65, к.н.: 61:58:0002137:53 (1 шт.)</t>
  </si>
  <si>
    <t>Установка системы учета для технологического присоединения энергопринимающих устройств Заявителя (ИП Ярызько С.А.) по адресу: Ростовская область, г. Таганрог, ул. Дзержинского, д. 111-т, к.н. 61:58:0003197:43 (1шт)</t>
  </si>
  <si>
    <t>Установка системы учета для технологического присоединения энергопринимающих устройств Заявителя (Григорян В.И.) по адресу: Ростовская область, М-Курганский район, п. Матвеев Курган, примерно в 15м в южном направлении от ул. Комсомольская, д. 1Д, к.н. 61:21:0010106:337 (1 шт.)</t>
  </si>
  <si>
    <t>Установка системы учета для технологического присоединения энергопринимающих устройств Заявителя (ИП Надточий К.А.) по адресу: Ростовская область, г. Таганрог, ул. Чехова, д. 96/пер. Антона Глушко, д. 34, к.н. 61:58:0001124:546 (1шт)</t>
  </si>
  <si>
    <t>Установка системы учета для технологического присоединения энергопринимающих устройств Заявителя (Ильянов И.А.) по адресу: Ростовская область, г. Таганрог, ул. Ждановская, д. 35, к.н. 61:58:0005008:69 (1 шт.)</t>
  </si>
  <si>
    <t>Установка системы учета для технологического присоединения энергопринимающих устройств Заявителя (ИП Мартыненко А.С.) по адресу: Ростовская область, г. Таганрог, Николаевское Шоссе, д. 6-А, к.н. 61:58:0005237:88 (1 шт.)</t>
  </si>
  <si>
    <t>Установка системы учета для технологического присоединения энергопринимающих устройств Заявителя (Брауэр Р.А.) по адресу: Ростовская область, г. Таганрог, ул. Ореховая, д. 8, к.н. 61:58:0005230:73 (1 шт.)</t>
  </si>
  <si>
    <t>Установка системы учета для технологического присоединения энергопринимающих устройств Заявителя (Озорнин Г.В.) по адресу: Ростовская область, г. Таганрог, ул. Ломакина, 9-а, 9-в, 9-д, к.н. 61:58:0001116:270 (1шт)</t>
  </si>
  <si>
    <t>Установка системы учета для технологического присоединения энергопринимающих устройств Заявителя (АО «Первая Башенная Компания») по адресу: Ростовская область, Неклиновский район, с. Новостроенка, ул. Гагарина, вблизи д. 3, к.н. 61:26:0200301 (1 шт.)</t>
  </si>
  <si>
    <t>Установка системы учета для технологического присоединения энергопринимающих устройств Заявителя (ООО «Т2 Мобайл») по адресу: Ростовская область, г. Таганрог, ул. Дзержинского (между ул. Фрунзе и Привокзальная площадь), около ул. Дзержинского, д. 185, к.н. 61:58:0000000:39847 (1шт)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</si>
  <si>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Неклиновский район, с. Синявское, ул. Красноармейская, д. 222, к.н. 61:26:0060101:189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</si>
  <si>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Неклиновский район, с. Ефремовка, ул. Октябрьская, д. 5, к.н. 61:26:0170101:1610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</si>
  <si>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Неклиновский район, с. Николаевка, ул. Ленина, д. 307, к.н. 61:26:0110101:254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</si>
  <si>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Неклиновский район, с. Натальевка, ул. Чехова, д. 91, к.н. 61:26:0030101:1268 (1 шт.)</t>
  </si>
  <si>
    <t>Установка системы учета для технологического присоединения энергопринимающих устройств Заявителя (ИП Плахотина Е.В.) по адресу: Ростовская область, Неклиновский район, с. Троицкое, пер. Парковый, д. 14, к.н. 61:26:0010101:1164 (1 шт.)</t>
  </si>
  <si>
    <t>Установка системы учета для технологического присоединения энергопринимающих устройств Заявителя (ИП Апетян Т.С.) по адресу: Ростовская область, Неклиновский район с. Николаевка, ул. Ленина, д.272-А к.н. 61:26:0110101:1672 (1 шт.)</t>
  </si>
  <si>
    <t>Установка системы учета для технологического присоединения энергопринимающих устройств Заявителя (Скальская С.И.) по адресу: Ростовская область, Неклиновский район с. Беглица, ул. Садовая, д. 28-А, к.н. 61:26:0160401:239 (1 шт.)</t>
  </si>
  <si>
    <t>Установка системы учета для технологического присоединения энергопринимающих устройств Заявителя (Пашина О.А.) по адресу: Ростовская область, Неклиновский район, с. Гаевка, ул. Ленина, д. 179, к.н. 61:26:0160301:2495 (1 шт.)</t>
  </si>
  <si>
    <t>Установка системы учета для технологического присоединения энергопринимающих устройств Заявителя (ИП Закарян Х.К.) по адресу: Ростовская область, Мясниковский район, с. Чалтырь, ул. Западная, д. 118/а, к.н. 61:25:0101608:100 (1 шт.)</t>
  </si>
  <si>
    <t xml:space="preserve">Установка системы учета для технологического присоединения энергопринимающих устройств Заявителя (Родимушкина Л.С.) по адресу: Ростовская область, Мясниковский район, х. Ленинаван, ул. Штрауса, д. 23/б, к.н. 61:25:0600401:15113 (1 шт.) </t>
  </si>
  <si>
    <t>Установка системы учета для технологического присоединения энергопринимающих устройств Заявителя (Петросян А.А.) по адресу: Ростовская область, Мясниковский район, х. Ленинакан, ул. Ростовская, д. 28/а, к.н. 61:25:0030301:1334 (1 шт.)</t>
  </si>
  <si>
    <t>Установка системы учета для технологического присоединения энергопринимающих устройств Заявителя (Чобанян Л.Б.) по адресу: Ростовская область, Мясниковский район, х. Хапры, ул. Гагарина, д. 31/а, к.н. 61:25:0070201:2239 (1 шт.)</t>
  </si>
  <si>
    <t>Установка системы учета для технологического присоединения энергопринимающих устройств Заявителя (Кучеренко А.И.) по адресу: Ростовская область, Мясниковский район, с. Большие Салы, ул. Согласия, д. 10, к.н. 61:25:0600501:1758 (1 шт.)</t>
  </si>
  <si>
    <t>Установка системы учета для технологического присоединения энергопринимающих устройств Заявителя (Баласанян С.А.) по адресу: Ростовская область, Мясниковский район, с. Крым, ул. Мадояна, д. 47, к.н. 61:25:0600201:1576 (1 шт.)</t>
  </si>
  <si>
    <t>Установка системы учета для технологического присоединения энергопринимающих устройств Заявителя (Симикян Н.С.) по адресу: Ростовская область, Мясниковский район, с. Чалтырь, ул. Пионерская, д. 2/а, к.н. 61:25:0101127:5 (1 шт.)</t>
  </si>
  <si>
    <t>Установка системы учета для технологического присоединения энергопринимающих устройств Заявителя (Смирнов А.А.) по адресу: Ростовская область, Мясниковский район, х. Ленинаван, ул. Волжская, д. 2/46, к.н. 61:25:0600401:1009 (1 шт.)</t>
  </si>
  <si>
    <t>Установка системы учета для технологического присоединения энергопринимающих устройств Заявителя (Пегливанян И.Д.) по адресу: Ростовская область, Мясниковский район, с. Большие Салы, ул. Чапчахова, д. 7, к.н. 61:25:0040101:1269 (1 шт.)</t>
  </si>
  <si>
    <t>Установка системы учета для технологического присоединения энергопринимающих устройств Заявителя (Пегливанян С.А.) по адресу: Ростовская область, Мясниковский район, с. Большие Салы, ул. Чапчахова, д. 5, к.н. 61:25:0040101:379 (1 шт.)</t>
  </si>
  <si>
    <t>Установка системы учета для технологического присоединения энергопринимающих устройств Заявителя (Дадаян А.Н.) по адресу: Ростовская область, Мясниковский район, с. Большие Салы, ул. Московская, д. 18,  к.н. 61:25:0600501:2511 (1 шт.)</t>
  </si>
  <si>
    <t>Установка системы учета для технологического присоединения энергопринимающих устройств Заявителя (Дзреян Р.Б.) по адресу: Ростовская область, Мясниковский район, с. Чалтырь, ул. Первомайская, д. 66/б,  к.н. 61:25:0101328:16 (1 шт.)</t>
  </si>
  <si>
    <t>Установка системы учета для технологического присоединения энергопринимающих устройств Заявителя (Олейник Ю.А.) по адресу: Ростовская область, Мясниковский район, с. Крым, ул. Александра Суворова, д. 7, к.н. 61:25:0600201:1389 (1 шт.)</t>
  </si>
  <si>
    <t>Установка системы учета для технологического присоединения энергопринимающих устройств Заявителя (Рамдени Е.А.) по адресу: Ростовская область, Мясниковский район, х. Красный Крым,  к.н. 61:25:0600401:13202 (1 шт.)</t>
  </si>
  <si>
    <t>Установка системы учета для технологического присоединения энергопринимающих устройств Заявителя (Астаповский А.А.) по адресу: Ростовская область, Мясниковский район, с. Большие Салы, ул. Крымская, д. 9/а,  к.н. 61:25:0040101:4962 (1 шт.)</t>
  </si>
  <si>
    <t>Установка системы учета для технологического присоединения энергопринимающих устройств Заявителя (Явруев В.А.) по адресу: Ростовская область, Мясниковский район, х. Ленинаван, ул. Абовяна, д. 59,  к.н. 61:25:0030202:345 (1 шт.)</t>
  </si>
  <si>
    <t>Установка системы учета для технологического присоединения энергопринимающих устройств Заявителя (Швандерова Е.А.) по адресу: Ростовская область, Мясниковский район, с. Чалтырь, ул. Октябрьская, д. 6/б,  к.н. 61:25:0101306:521 (1 шт.)</t>
  </si>
  <si>
    <t>Установка системы учета для технологического присоединения энергопринимающих устройств Заявителя (Филонова Д.Б.) по адресу: Ростовская область, Неклиновский район, с. Николаевка, ул. Парковая, д. 143-б, к.н. 61:26:0110101:7285 (1 шт.)</t>
  </si>
  <si>
    <t>Установка системы учета для технологического присоединения энергопринимающих устройств Заявителя (Масеврина М.Н.) по адресу: Ростовская область, Мясниковский район, с. Султан Салы, ул. Налбандяна, д. 39/б, к.н. 61:25:0030401:1808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</si>
  <si>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№61-1-21-00617135 от 08.12.2021), в г. Таганроге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</si>
  <si>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№61-1-21-00616735 от 08.12.2021), в г. Таганроге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</si>
  <si>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№61-1-21-00615703 от 08.12.2021), в г. Таганроге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</si>
  <si>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№61-1-21-00613311 от 24.11.2021) в г. Таганрог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</si>
  <si>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№61-1-21-00613293 от 24.11.2021) в г. Таганрог Ростовской области (1 шт)</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</si>
  <si>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(Договор №61-1-21-00613013 от 24.11.2021) в г. Таганрог Ростовской области (1 шт)</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</si>
  <si>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(Договор №61-1-21-00609655 от 03.11.2021),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</si>
  <si>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№61-1-21-00609505 03.11.2021),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</si>
  <si>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№61-1-21-00609375 от 03.11.2021),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</si>
  <si>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№61-1-21-00609355 от 03.11.2021),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</si>
  <si>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№61-1-21-00609307 от 03.11.2021),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</si>
  <si>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№61-1-21-00609267 от 03.11.2021), Ростовской области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</si>
  <si>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№61-1-21-00609195 03.11.2021), Ростовской области (1 шт)</t>
  </si>
  <si>
    <t>«Установка системы учета для технологического присоединения энергопринимающих устройств Заявителя (ИП Миневский А.А.) по адресу: Ростовская область, г. Таганрог, пер. Гоголевский, д. 9-а, к.н. 61:58:0000000:22704 (1 шт.)»</t>
  </si>
  <si>
    <t>Установка системы учета для технологического присоединения энергопринимающих устройств Заявителя (Мишко Д.Н.) по адресу: Ростовская область, М-Курганский район, х. Лесной, ул. Юбилейная, д. 14, к.н. 61:21:0070901:24 (1 шт.)</t>
  </si>
  <si>
    <t>Установка системы учета для технологического присоединения энергопринимающих устройств Заявителя (Новиков А.А.) по адресу: Ростовская область, Неклиновский район с. Троицкое, пер. Миусский, д.17, к.н. 61:26:0010101:224 (1 шт.)</t>
  </si>
  <si>
    <t>Установка системы учета для технологического присоединения энергопринимающих устройств Заявителя (Кривонос И.А.) по адресу: Ростовская область, Неклиновский район с. Новобессергеневка, ул. Садовая, д. 3-А, к.н. 61:26:0180101:7517 (1 шт.)</t>
  </si>
  <si>
    <t>Установка системы учета для технологического присоединения энергопринимающих устройств Заявителя (Егорцев А.В.) по адресу: Ростовская область, Неклиновский район с. Бессергеновка, ул. Первомайская, д.47 к.н. 61:26:040201:3778 (1 шт.)</t>
  </si>
  <si>
    <t>Установка системы учета для технологического присоединения энергопринимающих устройств Заявителя (Лягович К.И.) по адресу: Ростовская область, г. Таганрог, пер. 6-й, д.38 к.н. 61:58:0002077:32 (1 шт.)</t>
  </si>
  <si>
    <t>Установка системы учета для технологического присоединения энергопринимающих устройств Заявителей (Мищенко Е.И.) по адресу: Ростовская область, Неклиновский район с. Лакедемоновка, ул. Степная, д.1 (1 шт.)</t>
  </si>
  <si>
    <t>Установка системы учета для технологического присоединения энергопринимающих устройств Заявителя (ИП Гилин С.А.) по адресу: Ростовская область, Неклиновский район с. Николаевка, ул. Ленина, д.309-д/1 к.н. 61:26:01101011:350 (1 шт.)</t>
  </si>
  <si>
    <t>Установка системы учета для технологического присоединения энергопринимающих устройств Заявителя (Гараханян Н.Н.) по адресу: Ростовская область, Неклиновский район с. Николаевка, ул. Лермонтова, д.36 к.н. 61:26:0110101:1311 (1 шт.)</t>
  </si>
  <si>
    <t>Установка системы учета для технологического присоединения энергопринимающих устройств Заявителя (Пукало А.Д.) по адресу: Ростовская область, Неклиновский район, с. Николаевка, пер. Молодежный, д. 6, к.н. 61:26:0110101:2056 (1 шт.)</t>
  </si>
  <si>
    <t>Установка системы учета для технологического присоединения энергопринимающих устройств Заявителя (Жданова Т.В.) по адресу: Ростовская область, Неклиновский район, д. Золотарево, ул. Лиманная, д. 98, к.н. 61:26:0090301:141 (1 шт.)</t>
  </si>
  <si>
    <t>Установка системы учета для технологического присоединения энергопринимающих устройств Заявителя (Григоренко И.В.) по адресу: Ростовская область, Неклиновский район, п. Золотая Коса, ул. Октябрьская, д. 105, к.н. 61:26:0071001:2572 (1 шт.)</t>
  </si>
  <si>
    <t>Установка системы учета для технологического присоединения энергопринимающих устройств Заявителя (Исаенко М.Ю.) по адресу: Ростовская область, Неклиновский район, д. Золотарево, ул. Лиманная, д. 18-А, к.н. 61:26:0090301:826 (1 шт.)</t>
  </si>
  <si>
    <t>Установка системы учета для технологического присоединения энергопринимающих устройств Заявителя (Терещенко М.Е.) по адресу: Ростовская область, Неклиновский район, с. Покровское, ул. Луговая, д. 20-А, к.н. 61:26:0050114:150 (1 шт.)</t>
  </si>
  <si>
    <t>Установка системы учета для технологического присоединения энергопринимающих устройств Заявителя (Назарук В.А.) по адресу: Ростовская область, Неклиновский район, с. Новобессергеневка, ул. Восточная, д. 42-Б, к.н. 61:26:0180101:6832 (1 шт.)</t>
  </si>
  <si>
    <t>Установка системы учета для технологического присоединения энергопринимающих устройств Заявителя (Пышутин В.В.) по адресу: Ростовская область, Неклиновский район, с. Покровское, ул. Полевая, д. 19, к.н. 61:26:0050114:107 (1 шт.)</t>
  </si>
  <si>
    <t>Установка системы учета для технологического присоединения энергопринимающих устройств Заявителя (Кривошапка Л.И.) по адресу: Ростовская область, Неклиновский район, х. Дарагановка, ул. Спортивная, д. 19, к.н. 61:26:0180701:23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</si>
  <si>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по адресу: Ростовская область, г. Таганрог, пер. Смирновский (между тупиком и обрывом у моря), около плщ. Восстания, 1-2, к.н. 61:58:0000000:47346 (1 шт.)</t>
  </si>
  <si>
    <t>Установка системы учета для технологического присоединения энергопринимающих устройств Заявителей: Иванов С.Н., в Матвеево Курганском районе Ростовской области – 1 шт.</t>
  </si>
  <si>
    <t>Установка системы учета для технологического присоединения энергопринимающих устройств Заявителя: Никора А.М. в г. Таганроге, Ростовской области (1 шт)</t>
  </si>
  <si>
    <t>Установка системы учета для технологического присоединения энергопринимающих устройств Заявителя: Федеральное Казенное Учреждение "Управление автомобильной магистрали Москва-Волгоград Федерального дорожного агентства" в г. Таганроге, Ростовской области (1 шт)</t>
  </si>
  <si>
    <t>Установка системы учета для технологического присоединения энергопринимающих устройств Заявителя: ИП Мурадов С.Г. в г. Таганроге, Ростовской области (1 шт)</t>
  </si>
  <si>
    <t>Установка системы учета для технологического присоединения энергопринимающих устройств Заявителя (Круликовский А.Н.)</t>
  </si>
  <si>
    <t>Строительство ВЛ 0,4 кВ от опоры по ВЛ 0,4 кВ №1 ТП 10/0,4 кВ №6-7 по ВЛ 10 кВ №6 ПС 35/10 кВ Б.Салы, для технологического присоединения жилого дома Заявителя (Мартиросян Д.В.) по адресу: Ростовская область, Мясниковский район, с. Б.Салы, ул. Семейная, д.22 к.н. №61:25:0600501:1879., (ориентировочная протяженность ЛЭП 0,11 км)</t>
  </si>
  <si>
    <t>Строительство ВЛ 0,4 кВ от ВЛ 0,4 кВ №2 КТП 10/0,4 кВ №710 ВЛ 10 кВ №1/3 ПС 110/35/10 кВ «Троицкая-1» для технологического присоединения жилого дома Заявителя (Драгун С.Г.) по адресу: Ростовская область, г. Таганрог, около ул. Варданяна, 74 (участок 4), к.н. 61:26:0006027:927 (ориентировочная протяженность ЛЭП 0,085 км)</t>
  </si>
  <si>
    <t>Строительство ВЛ 0,4 кВ от опоры по ВЛИ 0,4 кВ №1 ТП 10/0,4 кВ №3-17 по ВЛ 10 кВ №3 ПС 110/35/10 кВ Чалтырь, для технологического присоединения жилого дома Заявителя (Поповян А.Г.) по адресу: Ростовская область, Мясниковский район, х. Мокрый Чалтырь, ул. Ворошиловская, д. 16/а, к.н. №61:25:0010201:252, (ориентировочная протяженность ЛЭП 0,11 км)</t>
  </si>
  <si>
    <t>Строительство ВЛ 0,4 кВ от ВЛ 0,4 кВ №1 КТП 10/0,4 кВ №443 ВЛ 10 кВ №2 ПС 35/10 кВ «Троицкая» для технологического присоединения жилого дома Заявителя (Прокопенко П.И.) по адресу: Ростовская область, Неклиновский район, с. Троицкое, пер. Парковый, 8-В, к.н. 61:26:0010101:6094 (ориентировочная протяженность ЛЭП 0,12 км)</t>
  </si>
  <si>
    <t>Строительство ВЛИ 0,4 кВ от ТП 10/0,4 кВ №84 по ВЛ 10 кВ №2 ПС 35/10 кВ Колесниковская, для технологического присоединения АБК станция технического обслуживания Заявителя (ИП Климова Е.А.) по адресу: Ростовская область, М-Курганский район, п. М-Курган, ул. Придорожная, д. 8/а, к.н. 61:21:0010161:659 (ориентировочная протяженность ЛЭП 0,1 км)</t>
  </si>
  <si>
    <t>Строительство ВЛ 0,4 кВ от опоры, проектируемой ВЛ 0,4 кВ по договору №61-1-22-00643913 от 27.04.2022 г. от ВЛ 0,4 кВ №1 КТП 10/0,4 кВ №3/17 ВЛ 10 Кв №3  ПС 110/35/10 кВ "Синявская" для технологического объекта сельскохозяйственного производства Заявителя (Айриян К.Я.) по адресу: Ростовская область, Неклиновский район, 250 м юго-восточнее х. Мержаново, к.н. 61:26:0600016:1083 (ориентировочная протяженность ЛЭП 0,240 км)</t>
  </si>
  <si>
    <t>Строительство ВЛ 0,4 кВ от ВЛ 0,4 кВ №2 КТП 10/0,4 кВ №522 ВЛ 10 кВ №1/3 ПС 110/35/10 кВ «Троицкая-1» для технологического присоединения жилых домов Заявителей (Карелина Ю.В., Кучукбаева Н.Н.) по адресу: Ростовская область, Неклиновский район, с. Николаевка, ДНТ «Коммунальник», уч. 151, 153, (ориентировочная протяженность ЛЭП 0,280 км)</t>
  </si>
  <si>
    <t>Строительство ВЛ 0,4 кВ от ВЛ 0,4 кВ №3 КТП 10/0,4 кВ №244 ВЛ 10 кВ №8 ПС 35/10 кВ «Покровская» для технологического присоединения производственного здания Заявителя (ИП Козинец С.В.) по адресу: Ростовская область, Неклиновский район, с. Покровское, ул. Привокзальная, д.98-А, к.н. 61:26:0050137:295 (ориентировочная протяженность ЛЭП 0,270 км)</t>
  </si>
  <si>
    <t>«Строительство ВЛ 0,4 кВ от ВЛ 0,4 кВ №1 СТП 10/0,4 кВ №877 ВЛ 10 кВ №3 ПС 110/35/10 кВ «Синявская» для технологического присоединения жилого дома Заявителя (Пархоменко Э.И.) по адресу: Ростовская область, Неклиновский район, х. Мержаново, СНТ «Металлург-6», уч. 1061, к.н. 61:26:0505901:545 (ориентировочная протяженность ЛЭП 0,3 км)»</t>
  </si>
  <si>
    <t>Установка системы учета для технологического присоединения энергопринимающих устройств Заявителя (Управление Судебного департамента в Ростовской области) по адресу: Ростовская обл., Куйбышевский р-н., с. Куйбышево, ул. Куйбышевская, д. 1, к.н: 61:19:0010159:100 (1 шт.)</t>
  </si>
  <si>
    <t>Строительство ВЛ 0,4 кВ от опоры по ВЛ 0,4 кВ №1 ТП 10/0,4 кВ №1-12 по ВЛ 10 кВ №1 ПС 110/35/10 кВ Чалтырь для технологического присоединения жилого дома Заявителя (Сухариян С.С.) по адресу: Ростовская область, Мясниковский район, х. Ленинаван, ул. Шаумяна 29 г к.н. №61:25:0030202:1132 (ориентировочная протяженность ЛЭП 0,03 км)</t>
  </si>
  <si>
    <t>Строительство ВЛИ 0,4 кВ от опоры по ВЛ 0,4 кВ №2 ЗТП 10/0,4 кВ №328 по ВЛ 10 кВ №3 ПС 35/10 кВ М-Курганская, для технологического присоединения БССС №70254 Заявителя (ПАО «Вымпел-Коммуникации») по адресу: Ростовская область, М-Курганский район, п. М-Курган, ул. Пугачева, д.1 к.н. № 61:21:0010128:75, (ориентировочная протяженность ЛЭП 0,06 км)»</t>
  </si>
  <si>
    <t>Строительство ВЛ 0,4 кВ от ВЛ 0,4 кВ №2 ЗТП 10/0,4 кВ №4 ВЛ 10 кВ №4 ПС 35/10 кВ «Покровская» для технологического присоединения Заявителя (Григорян М.С.) по адресу: Ростовская область, Неклиновский р-н, с. Покровское, ул. Ленина, 302А, к.н. 61:26:0050129:155 (ориентировочная протяженность ЛЭП 0,03 км)</t>
  </si>
  <si>
    <t>Строительство ВЛ 0,4 кВ от опоры ВЛ 0,4 кВ №2 от КТП №22 по ВЛ 10 кВ №3 ПС 35/10 кВ Куйбышево-1 для технологического присоединения энергопринимающих устройств Заявителя (Бабкин А.С.) по адресу: Ростовская обл., р-н. Куйбышевский, с. Куйбышево, ул. Восточная, д. 11, к.н.: 61:19:0010166:14 (ориентировочная протяжённость ЛЭП 0,035 км)</t>
  </si>
  <si>
    <t>Строительство ВЛ 0,4 кВ от опоры по ВЛ 0,4 кВ №2 ТП 10/0,4 кВ №4-8 по ВЛ 10 кВ №4 ПС 110/35/10 кВ Чалтырь, для технологического присоединения жилого дома Заявителя (Хамбурян С.А.) по адресу: Ростовская область, Мясниковский район, с. Крым, ул. 16-я линия, д. 2, к.н. №61:25:0201012:12 (ориентировочная протяженность ЛЭП 0,025 км)</t>
  </si>
  <si>
    <t>Строительство ВЛ 0,4 кВ от РУ 0,4 кВ ТП 10/0,4 кВ №8-22 по ВЛ 10 кВ №8 ПС 110/35/10 кВ Синявская, для технологического присоединения нежилого здания Заявителя (ООО ГК «Чистый город») по адресу: Ростовская область, Мясниковский район, земли СПК «Пролетарская диктатура», к.н. №61:25:0600801:385, (ориентировочная протяженность ЛЭП 0,18 км)</t>
  </si>
  <si>
    <t>Строительство ВЛ 0,4 кВ от опоры ВЛ 0,4кВ №2 КТП №22 по ВЛ 10 кВ №3 ПС Куйбышево-1 для технологического присоединения энергопринимающих устройств Заявителя (Стрельченко В.Н.) в с. Куйбышево Куйбышевского района Ростовской области (ориентировочная протяжённость ЛЭП 0,03 км)</t>
  </si>
  <si>
    <t>Строительство ВЛ 0,4 кВ от ВЛ 0,4 кВ №2 КТП №86 ВЛ 10 кВ №3 ПС 110/10 кВ «Отрадненская» для технологического присоединения жилого дома Заявителя (Кривошапко А.Л.) по адресу: Ростовская область, Неклиновский район, х. Прядки, ул. Дачная, 1, к.н. 61:26:0190501:147 (ориентировочная протяженность ЛЭП 0,06 км)</t>
  </si>
  <si>
    <t>Строительство ВЛ 0,4 кВ от ВЛ 0,4 кВ №4 ТП 6/0,4 кВ №5 по КЛ 6 кВ №72 ПС 110/6 кВ Т-17 для технологического присоединения остановочной площадки заявителя (ООО «Синара-Городские Транспортные Решения Таганрог») по адресу: Ростовская область, г. Таганрог, ул. К. Либкнехта, д. 103, к.н. 61:58:0000000:46983 (ориентировочная протяженность ЛЭП 0,17 км)</t>
  </si>
  <si>
    <t>Строительство ВЛ 0,4 кВ от РУ 0,4 кВ ТП 10/0,4 кВ №518 РП 10 кВ №11 по КЛ 6 кВ №2711/2 ПС 110/10 кВ Т-27 для технологического присоединения заявителя (ИП Гринева С.А.) по адресу: Ростовская область, г. Таганрог, ул. С. Шило, д. 247/1 (ориентировочная протяженность ЛЭП 0,160 км)</t>
  </si>
  <si>
    <t>Строительство ВЛ 0,4 кВ от ВЛ 0,4 кВ №14 ТП 6/0,4 кВ №96 по КЛ 6 кВ №117 ПС 110/35/6 кВ Т-11 для технологического присоединения (ООО «Синара-Городские Транспортные Решения Таганрог») (Договор №61-1-21-00613001 от 24.11.2021) по адресу: Ростовская область, г. Таганрог, пер. Смирновский, д. 64, к.н. 61:58:0000000:47367 (ориентировочная протяженность ЛЭП 0,150 км)</t>
  </si>
  <si>
    <t>Строительство ВЛ 0,4 кВ от опоры ВЛ 0,4 кВ №1 от КТП 10/0,4кВ №175 по ВЛ 10 кВ №3 ПС М-Курганская, для технологического присоединения жилого дома Заявителя (Бондарева Л.П.) по адресу: Ростовская область, Матвеево-Курганский район, п. Матвеев Курган, ул. Фрунзе, д.136, к.н. 61:21:0010136:2 (ориентировочная протяженность ЛЭП 0,08 км)</t>
  </si>
  <si>
    <t>Строительство ВЛИ 0,4 кВ от опоры до границ земельного участка заявителя по существующим опорам по ВЛ-0,4кВ №2 от КТП-10/0,4кВ №187 по ВЛ-10кВ №2 ПС 35/10 кВ Колесниковская, для технологического присоединения ВРУ-0,38кВ для питания жилого дома Заявителя (Бородин Н.В.) по адресу: Ростовская область, М-Курганский район, п. М-Курган, ул. Придорожная д. 5 к.н. 61:21:0010138:144 (ориентировочная протяженность ЛЭП 0,08 км)</t>
  </si>
  <si>
    <t>Строительство ВЛ 0,4 кВ от ВЛ 0,4 кВ проектируемой по договору № 61-1-21-00555543 от 26.01.2021 г.  для технологического присоединения нежилого помещения Заявителя (ИП Григоренко П.В.) по адресу: Ростовская область, Неклиновский район, к.н. 61:26:0600014:2027 (ориентировочная протяженность ЛЭП 0,06 км)</t>
  </si>
  <si>
    <t>Строительство ВЛ 0,4 кВ от ВЛ 0,4 кВ №1 КТП 10/0,4 кВ №244м ВЛ 10 кВ №8 ПС 35/10 кВ «Русский Колодец» для тех
нологического присоединения жилого дома Заявителя (Курьянов В.А.) по адресу: Ростовская область, Неклиновский район, с. Долоковка, ул. Набережная, д. 5, к.н. 61:26:0070401:222 (ориентировочная протяженность ЛЭП 0,060 км)</t>
  </si>
  <si>
    <t>Строительство ВЛ 0,4 кВ от новой ТП 10/0,4 кВ, строительство ТП 10/0,4 кВ, строительство ВЛ 10 кВ от ВЛ 10 кВ №1 ПС 35/10 кВ «Таганрогская», для технологического присоединения дачного дома Заявителя (Петров П.И.) по адресу: Ростовская область, Неклиновский район, с. Весело-Вознесенка, к.н. 61:26:0600018:1768 (ориентировочная протяженность ЛЭП 0,620 км; мощность силового трансформатора 0,025 МВА)</t>
  </si>
  <si>
    <t>Строительство ВЛ 0,4 кВ от опоры по ВЛ 0,4 кВ №2 ТП 10/0,4 кВ №7-2 по ВЛ 10 кВ №7 ПС 35/10 кВ Б. Салы для технологического присоединения производственно-складского здания Заявителя (ИП Арустамян А.Л.) по адресу: Ростовская область, Мясниковский район, с. Большие Салы, ул. 1-я Промышленная, д. 1, (ориентировочная протяженность ЛЭП 0,25 км)</t>
  </si>
  <si>
    <t>Строительство ВЛ 0,4 кВ от РУ 0,4 кВ ТП 10/0,4 кВ № 1-199 по ВЛ 10 кВ № 1 ПС 110/35/10 кВ "Чалтырь", для технологического объектов торговли Заявителей (Азизов Е. Р., Подчумачев В. Г.)) по адресу: Мясниковский район, х. Ленинакан, ул. Торговый проспект, к.н. 61:25:0600401:16551, к.н. 61:25:0600401:13338 (ориентировочная протяжённость ЛЭП 0,245 км)</t>
  </si>
  <si>
    <t>Строительство системы учета для технологического присоединения энергопринимающих устройств Заявителей: Чирва Н.С., Сердюченко С.Г., Инькова А.Н., Багдасарян Р.Ц.  в Мясниковском районе Ростовской области</t>
  </si>
  <si>
    <t>Установка системы учета для технологического присоединения энергопринимающих устройств Заявителей: Хатламаджиян С.Х., Мусаелян Э.О., Добрева С.Ю., Бебия И.А. в Мясниковском районе Ростовской области» (4 шт)</t>
  </si>
  <si>
    <t>Установка системы учета для технологического присоединения энергопринимающих устройств Заявителя (Сорокин Д.М.) по адресу: Ростовская область, г. Таганрог, ул. Варданяна, д. 65/пер. Лавровский, д. 5, к.н. 61:58:0006027:875</t>
  </si>
  <si>
    <t>Установка системы учета для технологического присоединения энергопринимающих устройств Заявителя (ИП Конкин В.В.) по адресу: Ростовская область, г. Таганрог, ул. Сызранова, д.20-2, к.н: 61:58:0005272:2804 (1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</si>
  <si>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(Договор №61-1-21-00615035 от 29.11.2021), в г. Таганроге Ростовской области (1 шт)</t>
  </si>
  <si>
    <t>Установка системы учета для технологического присоединения энергопринимающих устройств гаража литер АЖ Заявителя (Черкесова В.Н.) по адресу: Ростовская область, г. Таганрог, ул. Петровская, д.29/2, к.н. 61:58:0001050:9:15 (1 шт.)</t>
  </si>
  <si>
    <t>Установка системы учета для технологического присоединения энергопринимающих устройств Заявителя (Ткач Ю.А.) по адресу: Ростовская область, Неклиновский район, с. Николаевка, ул. Дачная, д. 6-А, к.н. 61:26:0110101:9197 (1 шт.)</t>
  </si>
  <si>
    <t>Установка системы учета для технологического присоединения энергопринимающих устройств Заявителя (Броммер Д.В.) по адресу: Ростовская область, Неклиновский район, с. Троицкое, ул. Дзержинского, д. 4-Б, к.н. 61:26:0010101:5973 (1 шт.)</t>
  </si>
  <si>
    <t>Установка системы учета для технологического присоединения энергопринимающих устройств Заявителя (Артюшенко Н.Н.) по адресу: Ростовская область, Неклиновский район с. Малая Неклиновка, ул. Заречная, д. 19-а, к.н. 61:26:0130201:1262 (1 шт.)</t>
  </si>
  <si>
    <t>Установка системы учета для технологического присоединения энергопринимающих устройств Заявителя (ООО «К-ДЕВЕЛОПМЕНТ») по адресу: Ростовская область, г. Таганрог, ул. Большая Лиманная, д. 41-А, к.н. 61:58:0006053:21 (1 шт.)</t>
  </si>
  <si>
    <t>Установка системы учета для технологического присоединения энергопринимающих устройств Заявителя (Клёц О.В.) по адресу: Ростовская область, г. Таганрог, ул. Шишкина д.15/11 к.н. 61:58:0006027:750 (1 шт.)</t>
  </si>
  <si>
    <t>Установка системы учета для технологического присоединения энергопринимающих устройств Заявителя (Папирова А.В.) по адресу: Ростовская область, Неклиновский район, п. Золотая Коса, ул. Новаторов, д. 4, к.н. 61:26:0071001:768 (1 шт.).</t>
  </si>
  <si>
    <t>Установка системы учета для технологического присоединения энергопринимающих устройств Заявителя (Семакова Л.Л.) по адресу: Ростовская область, г. Таганрог, ул. Варданяна, д. 25, к.н. 61:58:0006027:546 (1 шт.)</t>
  </si>
  <si>
    <t>Установка системы учета для технологического присоединения энергопринимающих устройств Заявителя (Заремба О.Н.) в городе Таганрог Ростовской области (1 шт.)</t>
  </si>
  <si>
    <t>Установка системы учета для технологического присоединения энергопринимающих устройств Заявителей: Дубасар О.А., Стариченко Е.А., Гулов Г.В., Савольчук Ю.И., Зайцева Л.М.  в Неклиновском районе Ростовской области (5 шт.)</t>
  </si>
  <si>
    <t>Установка системы учета для технологического присоединения энергопринимающих устройств Заявителей: Бардахчиян А.Х., Качалова И.А., Крюков А.В., Дзиваян Е.А., Мзикян С.Ц., Олибаш А.И.  в Мясниковском районе Ростовской области (6 шт.)</t>
  </si>
  <si>
    <t>Установка системы учета для технологического присоединения энергопринимающих устройств Заявителей: Дзиваян С.Х., Алимова Л.А., Новрузов Р.Н., Агламерян З.З., Павлова Е.В., Павлова Л.А., Хачатурян С.С., Галечян А.С. в Мясниковском районе Ростовской области (8 шт.)</t>
  </si>
  <si>
    <t>Установка системы учета для технологического присоединения энергопринимающих устройств Заявителей: Василатов П.Н., Баграмян Е.С., Коваленко О.А., Худолеева Е.В., Поповян Е.В., Дородова Н.О., Авагумян Д.К., Варданян С.С., Лазаренко Е.П. в Мясниковском районе Ростовской области (10 шт.)</t>
  </si>
  <si>
    <t>Установка системы учета для технологического присоединения энергопринимающих устройств Заявителя (Тирацуян М.М.) по адресу: Ростовская область, Мясниковский район, х. Ленинаван, ул. Абовяна, д. 69, к.н. 61:25:0030202:4926 (1 шт.)</t>
  </si>
  <si>
    <t>Установка системы учета для технологического присоединения энергопринимающих устройств Заявителя (Некрасова А.А.) по адресу: Ростовская область, Мясниковский район, х. Красный Крым, ул. Новая, д. 2/3, к.н. 61:25:0600401:16796 (1 шт.)</t>
  </si>
  <si>
    <t>Установка системы учета для технологического присоединения энергопринимающих устройств Заявителя (Чупак А.А.) по адресу: Ростовская область, Мясниковский район, х. Ленинаван, ул. Набережная, д. 4, к.н. 61:25:0030202:3271 (1 шт.)</t>
  </si>
  <si>
    <t>Строительство ВЛ 0,4 кВ от ВЛ 0,4кВ №2 ТП 6/0,4кВ №116 КЛ 6 кВ №80 ПС 35/6 кВ Т-8 для технологического присоединения Заявителя (Любарцев Ю.В.) по адресу: Ростовская область, г. Таганрог, проезд 6-й Линейный, д.87 (к.н.:61:58:0004261:31) (ориентировочная протяженность ЛЭП 0,11 км)</t>
  </si>
  <si>
    <t>Строительство ВЛ 0,4 кВ от РУ 0,4 кВ ТП 10/0,4 кВ, строительство ТП 10/0,4 кВ, строительство ВЛ 10 кВ от ВЛ 10 кВ №1 ПС 110/35/10 кВ Чалтырь, отпайки на ТП 10/0,4 кВ №1-195, запитанной от ВЛ 10 кВ №13 ПС 110/35/10 кВ Чалтырь для технологического присоединения складского помещения Заявителя: (Никитина О.В.), по адресу: Мясниковский район, х. Ленинакан, пер. Содружества, д. 7 (ориентировочная протяженность ЛЭП 0,03 км; мощность силового трансформатора – 160 кВА)</t>
  </si>
  <si>
    <t>Строительство ВЛ 0,4 кВ от ВЛ 0,4 кВ №1 МТП 10/0,4 кВ №156м ВЛ 10 кВ №2 ПС 110/10 кВ «Носовская» для технологического присоединения жилого дома Заявителя (Лягович Д.В.) по адресу: Ростовская область, Неклиновский район, с. Ивановка, ул. Миусская, 10, к.н. 61:26:0150401:105 (ориентировочная протяженность ЛЭП 0,2 км)</t>
  </si>
  <si>
    <t>Строительство ВЛ 0,4 кВ от опоры по ВЛ 0,4 кВ №1 ТП 10/0,4 кВ №5-1 по ВЛ 10 кВ №5 ПС 35/10 кВ Б. Салы, для технологического присоединения жилого дома Заявителя (Амирханян А.О.) по адресу: Ростовская область, Мясниковский район, с. Большие Салы, ул. Абовяна, д. 22/е, к.н. №61:25:0040101:4594 (ориентировочная протяженность ЛЭП 0,15 км)</t>
  </si>
  <si>
    <t>Строительство ВЛИ 0,4 кВ от опоры по ВЛИ 0,4 кВ №2 ТП 10/0,4 кВ №5-1 по ВЛ 10 кВ №5 ПС 110/27/10 кВ Хапры-Тяговая для технологического присоединения жилого дома Заявителя (Бирюкова В.А.) по адресу: Ростовская область, Мясниковский район, х. Калинин, ул. Беляева, д. 2, корп. А, к.н. №61:25:0050101:7924 (ориентировочная протяженность ЛЭП 0,03 км)</t>
  </si>
  <si>
    <t>Строительство ВЛ 0,4кВ от ВЛ 0,4кВ №3 ТП 6/0,4кВ №127 для технологического присоединения нежилого помещения Заявителя (ООО «УК «СервисСтрой») по адресу: Ростовская обл., г. Таганрог, ул. Толбухина, 5-2, к.н.:61:58:0003484:55 (ориентировочная протяженность ЛЭП 0,095 км)</t>
  </si>
  <si>
    <t>Строительство ВЛ 0,4кВ от ВЛ 0,4кВ №3 ТП 6/0,4кВ №27 для технологического присоединения жилого дома Заявителя (Аваков Юрий Сергеевич) по адресу: Ростовская обл., г. Таганрог, ул. Портовая, д.40, к.н.:61:58:0003020:29 (ориентировочная протяженность ЛЭП 0,08 км)</t>
  </si>
  <si>
    <t>Строительство ВЛ 0,4 кВ от ВЛ 0,4 кВ №2 ТП 10/0,4 кВ №1-15 по ВЛ 10 кВ №1 ПС 110/35/10 кВ Чалтырь запитанной от ВЛ 10кВ №29-35 ПС 110/10кВ Р-29, для технологического присоединения объекта торговли Заявителя: (Абраменко Р.А.) по адресу: Ростовская обл. Мясниковский р-н, х. Ленинаван, ул. Ленина, д 7-Г к.н. 61:25:0600401:16513 (ориентировочная протяженность ЛЭП -0,025 км)</t>
  </si>
  <si>
    <t>Строительство ВЛ 0,4 кВ от ВЛ 0,4 кВ №8 ТП 6/0,4кВ №121 для технологического присоединения Заявителя (ООО «Синара-Городские Транспортные Решения Таганрог»), Ростовская область, г. Таганрог, (ориентировочная протяженность ЛЭП 0,09 км)</t>
  </si>
  <si>
    <t>Строительство ВЛ 0,4 кВ от опоры по ВЛ 0,4 кВ №1 ТП 10/0,4 кВ №1-11 по ВЛ 10 кВ №1 ПС 110/35/10 кВ Чалтырь для технологического присоединения жилого дома Заявителя (Антонян Д.Н.) по адресу: Ростовская область, Мясниковский район, х. Ленинаван, ул. Абовяна, д. 40, кор. А, к.н. №61:25:0030202:1386 (ориентировочная протяженность ЛЭП 0,18 км)</t>
  </si>
  <si>
    <t>Строительство ВЛИ 0,4 кВ от опоры по ВЛИ 0,4 кВ №1 ТП 10/0,4 кВ №2-27 по ВЛ 10 кВ №2 ПС 110/35/10 кВ Чалтырь для технологического присоединения жилого дома Заявителя (Эзегелян А.Г.) по адресу: Ростовская область, Мясниковский район, с. Крым, ул. генерала Джелаухова, д. 52 к.н. №61:25:0600201:1380 (ориентировочная протяженность ЛЭП 0,11 км)</t>
  </si>
  <si>
    <t>Строительство ВЛИ 0,4 кВ от опоры проектируемой по договору №61-1-21-00559335 для технологического присоединения жилых домов Заявителей (Кизогян А.В., Барсукова Л.Н.) по адресу: Ростовская область, Мясниковский район, х. Ленинаван, ул. Набережная, д. 13, 14 (ориентировочная протяженность ЛЭП 0,04 км)</t>
  </si>
  <si>
    <t>Строительство ВЛ 0,4 кВ от ВЛ 0,4 кВ №2 КТП 10/0,4 кВ №413Ам ВЛ 10 кВ №4 ПС 35/10 кВ «Русский Колодец» для технологического присоединения жилого дома Заявителя (Зачепа Ю.А.) по адресу: Ростовская область, Неклиновский район, с. Боцманово, проезд Сквозной, д. 1-в, к.н. 61:26:0070801:662 (ориентировочная протяженность ЛЭП 0,11 км)</t>
  </si>
  <si>
    <t>Строительство ВЛИ 0,4 кВ от новой ТП 10/0,4 кВ, строительство ТП 10/0,4 кВ, строительство ВЛ 10 кВ от ВЛ 10 кВ №2 ПС 35/10 кВ Политотдельская, для технологического присоединения ВРУ-0,38кВ для питания хозпостройки Заявителя (Бочко Р.Ю.) по адресу: Ростовская область, М-Курганский район, примерно 95 м на юг от с. Камышевка, ул. Восточная 1, к.н. 61:21:0600008:1444 (ориентировочная протяженность ЛЭП 0,025 км; мощность силового трансформатора 0,025 МВА)</t>
  </si>
  <si>
    <t>Строительство ВЛ 0,4 кВ от ВЛ 0,4кВ №1  ТП 6/0,4кВ № 47 по КЛ 6кВ №2 РП-12 по КЛ 6кВ №512/1 ПС-110/6 кВ Т-5, для технологического присоединения жилого здания Заявителя (Морозов В.В.) по адресу: Ростовская область, г. Таганрог, ул. Фурманова, д. 5, к.н. 61:58:0002008:22 (ориентировочная протяженность ЛЭП 0,16 км)</t>
  </si>
  <si>
    <t xml:space="preserve">«Строительство ВЛ 0,4 кВ от РУ 0,4 кВ ТП 10/0,4 кВ №1-199 по ВЛ 10 кВ №1 ПС 110/35/10 кВ Чалтырь для технологического присоединения нежилого здания Заявителя (ЗАО «ДОНМАШСТРОЙ») по адресу: Ростовская область, Мясниковский район, х. Ленинакан, ул. Торговый проспект, к.н. 61:25:0600401:17421 (ориентировочная протяженность ЛЭП 0,11 км)» 
</t>
  </si>
  <si>
    <t xml:space="preserve">Строительство ВЛ 0,4 кВ от ВЛ 0,4 кВ, проектируемой по договору № 61-1-21-00587391 от 07.07.2021 г. с Мельников О.Б., для технологического присоединения объекта обслуживания автотранспорта Заявителя (ИП Хачатрян Я.Р.) по адресу: Ростовская область, Неклиновский район к.н. 61:26:0600014:2346 (ориентировочная протяженность ЛЭП 0,05 км)» </t>
  </si>
  <si>
    <t>Строительство ВЛ 0,4 кВ от опоры №6 ВЛ 0,4кВ №2 КТП 10/0,4кВ №53 ВЛ 10кВ №1 ПС Куйбышево-1, для технологического присоединения объекта Заявителя (Линькова Л.В) по адресу: Ростовская область, Куйбышевский р-н, 1430м на юго-восток от х.Скелянский, к.н: 61:19:0600001:2591 (ориентировочная протяженность ЛЭП 0,12 км)</t>
  </si>
  <si>
    <t xml:space="preserve">Строительство ВЛ 0,4 кВ от ВЛ 0,4кВ № 5 ТП 6/0,4кВ №9 по КЛ 6кВ № 61 РП-3 по КЛ 6кВ №170 ПС-110/6 кВ Т-17, для технологического присоединения нежилого здания Заявителя (МУП «Городское хозяйство») по адресу: Ростовская область, г. Таганрог, ул. Р. Люксембург, д. 38 (ориентировочная протяженность ЛЭП 0,09 км)
</t>
  </si>
  <si>
    <t xml:space="preserve">Строительство ВЛ 0,4 кВ от ВЛ 0,4кВ № 6 ТП 6/0,4кВ №57 по КЛ 6кВ № 1702 ПС-110/6 кВ Т-17, для технологического присоединения миникотельная Заявителя (МУП «Городское хозяйство») по адресу: Ростовская область, г. Таганрог, ул. Фрунзе, д. 35 (ориентировочная протяженность ЛЭП 0,151 км)
</t>
  </si>
  <si>
    <t xml:space="preserve">Строительство ВЛ 0,4 кВ от ВЛ 0,4кВ №9 ТП 6/0,4кВ №543 по ВЛ 6кВ № АБЗ ПС-110/35/6 кВ ТОС, для технологического присоединения нежилого здания Заявителя (Бочкарев И.И.) по адресу: Ростовская область, г. Таганрог, ул. Паустовского, д. 57/ул. Шолохова, д. 22, к.н. 61:58:0005202:66 (ориентировочная протяженность ЛЭП 0,095 км)
</t>
  </si>
  <si>
    <t>Строительство ВЛ 0,4 кВ от ВЛ 0,4 кВ №2 КТП 10/0,4 кВ №522 ВЛ 10 кВ №1/3 ПС 110/35/10 кВ «Троицкая-1» для технологического присоединения жилого дома Заявителя (Дикий Б.В.) по адресу: Ростовская область, Неклиновский район, с. Николаевка, ДНТ «Коммунальник», уч. 184, к.н. 61:26:0513701:131 (ориентировочная протяженность ЛЭП 0,170 км)</t>
  </si>
  <si>
    <t>Строительство ВЛ 0,4 кВ от ВЛ 0,4 кВ №2 КТП 10/0,4 кВ №651 ВЛ 10 кВ №2 ПС 35/10 кВ «Покровская» для технологического присоединения жилого дома Заявителя (Бороненко А.Н.) по адресу: Ростовская область, Неклиновский район, с. Покровское, ул. Н.Головченко, д. 13, к.н. 61:26:0050114:913 (ориентировочная протяженность ЛЭП 0,140 км)</t>
  </si>
  <si>
    <t>«Строительство ВЛ 0,4 кВ от ВЛ 0,4 кВ №1 КТП 10/0,4 кВ №90 ВЛ 10 кВ №3 ПС 35/10 кВ «Советка» для технологического присоединения базовой станции Заявителя (ПАО «Ростелеком») по адресу: Ростовская область, Неклиновский район, х. Некрасовка, примерно 48м по направлению на юго-восток ул. Центральная, д. 2, к.н. 61:26:060601 (ориентировочная протяженность ЛЭП 0,330 км)»</t>
  </si>
  <si>
    <t>«Строительство ВЛ 0,4 кВ от от ВЛ 0,4 кВ №1 КТП 10/0,4 кВ №710 ВЛ 10 кВ №1/3 ПС 110/35/10 кВ «Троицкая-1» для технологического объекта сельскохозяйственного производства Заявителя (Шаповалова Л.И.) по адресу: Ростовская область, г. Таганрог, около ул. Бровикова, уч.53 к.н. 61:58:0006027:1052 (ориентировочная протяженность ЛЭП 0,120 км)»</t>
  </si>
  <si>
    <t>«Строительство системы учета для технологического присоединения энергопринимающих устройств Заявителей: Согоян Н.М., Кочарян А.С., Сидоревич Л.С., Жарова Н.В., Горюнов О.С., Чекрыгина М.В., Михайленко А.В., Хбликян С.А., Краплин А.М., Геворкян Г.Г., Тищенко А.В., Алмасян М.Г., Чувараян С.А., Баталова Л.С., Абраменко А.В., Пилипосян А.П., Агаглуян К.С., Однороб С.В., Васильев Д. И., Атоян А.С., Платонова А.А., Барашян Х.А., Нахатакян С.Г., Ширинян С.М. в Мясниковском районе Ростовской области»</t>
  </si>
  <si>
    <t>Строительство системы учета для технологического присоединения энергопринимающих устройств Заявителей: Мельник В.Б., Лобачев А.В., Мушкамбарян Г.Г., Геворгян А.А., Ильянова Я.С. в Мясниковском районе Ростовской области</t>
  </si>
  <si>
    <t>Строительство системы учета для технологического присоединения энергопринимающих устройств Заявителей: Авдонина А.А., Поправкина А.В., Кондратенко О.В., Ушакова И.Г., Миронов С.А., Нечитайло Д.А., Морозова О.Н., Радченко А.Н., Оконешникова П.Е., Воросов А.А., Корольков Д.А., ИП Пешекерян А.А., Пешекерян А.А., Долакова Е.А.  в Мясниковском районе Ростовской области</t>
  </si>
  <si>
    <t>Установка системы учета для технологического присоединения энергопринимающих устройств Заявителя (Галкина Е.В.) адресу: Ростовская область, г. Таганрог, пер. 5-й Новый, д. 112, к.н. 61:58:0004522:492 (1 шт.)</t>
  </si>
  <si>
    <t>Установка системы учета для технологического присоединения энергопринимающих устройств Заявителя (Лавриненко А.И.) адресу: Ростовская область, г. Таганрог, ул. Капитана Кравцова, д. 27, к.н. 61:58:0003236:241 ( 1 шт.)</t>
  </si>
  <si>
    <t>Установка системы учета для технологического присоединения энергопринимающих устройств Заявителя (Церюта М.В.) адресу: Ростовская область, г. Таганрог, пер. 8-й Артиллерийский, д. 46, к.н. 61:58:0003296:161 ( 1 шт.)</t>
  </si>
  <si>
    <t>Установка системы учета для технологического присоединения энергопринимающих устройств Заявителя (Конькова Т.В.) по адресу: Ростовская область, г. Таганрог, ул. Бабаушкина, д. 43, к.н. 61:58:03354:25:3:354:25:А (1 шт.)</t>
  </si>
  <si>
    <t>Установка системы учета для технологического присоединения энергопринимающих устройств Заявителя (Кордилевич А.В.) по адресу: Ростовская область, г. Таганрог, пер. 4-й Мариупольский, д. 13, к.н. 61:58:0005217:66 (1 шт.)</t>
  </si>
  <si>
    <t>Установка системы учета для технологического присоединения энергопринимающих устройств Заявителя (Лысенко А.С.) по адресу: Ростовская область, г. Таганрог, СТ «Педагог», уч. №230, к.н. 61:58:0006047:682 (1 шт.)</t>
  </si>
  <si>
    <t>Установка системы учета для технологического присоединения энергопринимающих устройств Заявителя (Буяновский Д.В.) по адресу: Ростовская область, г. Таганрог, ул. Мало-Почтовая, д. 81/ул. Железная, д. 3, к.н. 61:58:0003271:306 (1 шт.)</t>
  </si>
  <si>
    <t>Установка системы учета для технологического присоединения энергопринимающих устройств Заявителя (Артеменко Л.Я.) по адресу: Ростовская область, г. Таганрог, Северо-Западное Шоссе, 1-в, СНТ «Дачное-3», участок № 4, к.н. 61:58:0000000:47584 (1 шт.)</t>
  </si>
  <si>
    <t>Установка системы учета для технологического присоединения энергопринимающих устройств Заявителя (Тригубко И.В.) по адресу: Ростовская область, г. Таганрог, ул. Дачная, к.н. 61:58:0004217:297 (1 шт.)</t>
  </si>
  <si>
    <t>Установка системы учета для технологического присоединения энергопринимающих устройств Заявителя (Песецкий С.М.) по адресу: Ростовская область, г. Таганрог, ул. Чехова, д. 38, кв. 5, к.н. 61:58:0001047:266 (1 шт.)</t>
  </si>
  <si>
    <t>Установка системы учета для технологического присоединения энергопринимающих устройств Заявителя (Тахтамышев Н.И.) по адресу: Ростовская область, г. Таганрог, СНТ «Дачное-1», аллея 9, участок 21, к.н. 61:58:0006056:948 (1 шт.)</t>
  </si>
  <si>
    <t>Установка системы учета для технологического присоединения энергопринимающих устройств Заявителя (АО «Первая Башенная Компания») по адресу: Ростовская область, г. Таганрог, ул. Дачная, участок в 20м от дома №201 (1шт)</t>
  </si>
  <si>
    <t>Установка системы учета для технологического присоединения энергопринимающих устройств Заявителя (ИП Дерновая Н.Я.) по адресу: Ростовская область, г. Таганрог, пер. Комсомольский, земельный участок 54, к.н. 61:58:0001148:450 (1шт)</t>
  </si>
  <si>
    <t>Установка системы учета для технологического присоединения энергопринимающих устройств Заявителя (Махов А.В. ) по адресу: Ростовская область, г. Таганрог, проезд Каштановый, 5, к.н. земельного участка: 61:58:0004523:1453 (1шт.)</t>
  </si>
  <si>
    <t>Установка системы учета для технологического присоединения энергопринимающих устройств Заявителя (МКУ «Приморье») по адресу: Ростовская область, г. Таганрог, ул. Инструментальная, 13-б, к.н. 61:58:0002245:64 (1шт)</t>
  </si>
  <si>
    <t>Установка системы учета для технологического присоединения энергопринимающих устройств Заявителя (Иваненко Ю.В.) по адресу: Ростовская область, г. Таганрог, 16-й Переулок, д. 19а, к.н. 61:58:0002164:384 (1 шт.)</t>
  </si>
  <si>
    <t>Установка системы учета для технологического присоединения энергопринимающих устройств Заявителя (ИП Козлов М.И.) по адресу: Ростовская область, г. Таганрог, пер. 16-й Новый, д. 1-а, к.н. 61:58:0004381:4 (1 шт.)</t>
  </si>
  <si>
    <t>Установка системы учета для технологического присоединения энергопринимающих устройств Заявителя (Соколенко А.Л.) по адресу: Ростовская область, г. Таганрог, пер. 9-й Мариупольский, д. 53, к.н. 61:58:0005222:35, (1 шт.)</t>
  </si>
  <si>
    <t>Установка системы учета для технологического присоединения энергопринимающих устройств Заявителя (ООО «ТехСнабПром») по адресу: Ростовская область, г. Таганрог, ул. Ломоносова, д. 69 в, (1 шт.)</t>
  </si>
  <si>
    <t>Установка системы учета для технологического присоединения энергопринимающих устройств Заявителя (Вышняков И.Н.) по адресу: Ростовская область, г. Таганрог, Северо-Западное Шоссе, 3, СНТ «Дачное-2», участок №368, к.н. 61:58:0006028:451 (1 шт.)</t>
  </si>
  <si>
    <t>Установка системы учета для технологического присоединения энергопринимающих устройств Заявителя (ИП Беляева Е.Л.) по адресу: Ростовская область, г. Таганрог, между ул. Транспортная, д. 85 и ул. Кузнечная (1 шт.)</t>
  </si>
  <si>
    <t>Установка системы учета для технологического присоединения энергопринимающих устройств Заявителя (ООО «ДонСвязьКонструкция») по адресу: Ростовская область, г. Таганрог, вблизи Большой Проспект, 16 д, к.н.: 61:58:0002514:3У1 (1 шт.)</t>
  </si>
  <si>
    <t>Установка системы учета для технологического присоединения энергопринимающих устройств Заявителя (Цыркова Е.Г.) по адресу: Ростовская область, г. Таганрог, проезд 2-й Линейный/переулок 8-й Новый, к.н. 61:58:0004085:273 (1 шт.)</t>
  </si>
  <si>
    <t>Установка системы учета для технологического присоединения энергопринимающих устройств Заявителя (Свердлов В.И.) по адресу: Ростовская область, г. Таганрог, ул. Циолковского, 55, СНТ «Спутник», уч. 151 к.н.:61:58:0005166:380 (1 шт.)</t>
  </si>
  <si>
    <t>Установка системы учета для технологического присоединения энергопринимающих устройств Заявителя (Сорокина М.Т.) по адресу: Ростовская область, г. Таганрог, пер. 5-й Новый, д. 117, к.н.: 61:58:0004479:72 (1 шт.)</t>
  </si>
  <si>
    <t>Установка системы учета для технологического присоединения энергопринимающих устройств Заявителя (Сердечный Д.И.) по адресу: Ростовская область, Мясниковский район, х. Красный Крым, ул. Пшеничная, д. 20/а, к.н. 61:25:0600401:21476 (1 шт.)</t>
  </si>
  <si>
    <t>Установка системы учета для технологического присоединения энергопринимающих устройств Заявителя (Приходько В.И.) по адресу: Ростовская область, Мясниковский район, с. Большие Салы, ул. Вавилова, д. 13-а, к.н. 61:25:0040101:6234 (1 шт.)</t>
  </si>
  <si>
    <t>Установка системы учета для технологического присоединения энергопринимающих устройств Заявителя (Дыгай С.Ю.) по адресу: Ростовская область, Неклиновский район, с. Николаевка, пер. Барбарисовый, д. 86, к.н. 61:26:0513801:65 (1 шт.)</t>
  </si>
  <si>
    <t>Установка системы учета для технологического присоединения энергопринимающих устройств Заявителя (Кюркчю Е.Д.) по адресу: Ростовская область, Неклиновский район, с. Николаевка, ул. Петровская, д. 20-а, к.н. 61:26:0110101:10117 (1 шт.)</t>
  </si>
  <si>
    <t>Установка системы учета для технологического присоединения энергопринимающих устройств Заявителя (Пилипенко А.Н.) по адресу: Ростовская область, Неклиновский район, х. Гаевка, ул. Пионерская, д. 41-А, к.н. 61:26:0110201:1411 (1 шт.)</t>
  </si>
  <si>
    <t>Установка системы учета для технологического присоединения энергопринимающих устройств Заявителя (Ткаченко М.В.) по адресу: Ростовская область, Неклиновский район, с. Николаевка, ДНТ «Коммунальник», д. 210, к.н. 61:26:0513701:337 (1 шт.)</t>
  </si>
  <si>
    <t>Установка системы учета для технологического присоединения энергопринимающих устройств Заявителя (Триф И.В.) по адресу: Ростовская область, Неклиновский район, с. Новобессергеневка, ул. Солнечная, д. 43-А, к.н. 61:26:0600024:1220 (1 шт.).</t>
  </si>
  <si>
    <t>Установка системы учета для технологического присоединения энергопринимающих устройств Заявителя (Масленников И.С.) по адресу: Ростовская область, Неклиновский район, с. Николаевка, ул. Юности, к.н. 61:26:0110101:9941 (1 шт.)</t>
  </si>
  <si>
    <t>Установка системы учета для технологического присоединения энергопринимающих устройств Заявителя (Агеева Т.М.) по адресу: Ростовская область, Неклиновский район, с. Покровское, ул. Энгельса, д. 55 (1 шт.)</t>
  </si>
  <si>
    <t>Установка системы учета для технологического присоединения энергопринимающих устройств Заявителя (Колесников Е.И.) по адресу: Ростовская область, Неклиновский район, с. Николаевка, пер. Молодежный, д. 11-А, к.н. 61:26:0110101:7203 (1 шт.)</t>
  </si>
  <si>
    <t>Установка системы учета для технологического присоединения энергопринимающих устройств Заявителя (Лазаренко В.А.) по адресу: Ростовская область, Неклиновский район, с. Николаевка, пер. Ореховый, д. 8, к.н. 61:26:0110101:2435 (1 шт.)</t>
  </si>
  <si>
    <t>Установка системы учета для технологического присоединения энергопринимающих устройств Заявителя (ООО ЦЭП «Зеленая планета») по адресу: Ростовская область, Неклиновский район, 800м восточнее с. Троицкое, к.н. 61:26:0600014:1593 (1 шт.)</t>
  </si>
  <si>
    <t>Установка системы учета для технологического присоединения энергопринимающих устройств Заявителя (Юрченко Г.П.) по адресу: Ростовская область, Неклиновский район, с. Троицкое, ул. Чехова, д. 7-В, к.н. 61:26:0010101:4692 (1 шт.)</t>
  </si>
  <si>
    <t>Установка системы учета для технологического присоединения энергопринимающих устройств Заявителя (ПАО «Уральский банк реконструкции и развития») по адресу: Ростовская область, Неклиновский район, с. Покровское, пер. Тургеневский, д. 10, корп. Б к.н. 61:26:0050129:129 (1 шт.)</t>
  </si>
  <si>
    <t>Установка системы учета для технологического присоединения энергопринимающих устройств Заявителя (Бобкович С.В.) по адресу: Ростовская область, Неклиновский район с. Николаевка, пер. Кутузовский, д.9 к.н. 61:26:0110101:2202 (1 шт.)</t>
  </si>
  <si>
    <t>Установка системы учета для технологического присоединения энергопринимающих устройств Заявителя (Сумбаров В.Н.) по адресу: Ростовская область, Неклиновский район с. Троицкое, ул. Октябрьская, д.91-А к.н. 61:26:0010101:6424 (1 шт.)</t>
  </si>
  <si>
    <t>Установка системы учета для технологического присоединения энергопринимающих устройств Заявителей (Еворенко Г.В.) по адресу: Ростовская область, Неклиновский район с. Троицкое, ул. Кавказская д. 53-А (1 шт.)</t>
  </si>
  <si>
    <t>Установка системы учета для технологического присоединения энергопринимающих устройств Заявителя (Белокудренко А.А.) по адресу: Ростовская область, Неклиновский район с. Троицкое, ул. Чехова, д.106-А к.н. 61:26:0010101:5895 (1 шт.)</t>
  </si>
  <si>
    <t>Установка системы учета для технологического присоединения энергопринимающих устройств Заявителя (Русак Р.Ч.) по адресу: Ростовская область, Неклиновский район с. Николаевка, ДНТ «Коммунальник», д.67, к.н. 61:26:0513701:49 (1 шт.)</t>
  </si>
  <si>
    <t>Установка системы учета для технологического присоединения энергопринимающих устройств Заявителя (Уразгильдеева Л.Ю.) по адресу: Ростовская область, Неклиновский район, с. Гаевка, ул. Набережная, д.3, к.н. 61:26:0160301:78 (1 шт.)</t>
  </si>
  <si>
    <t>Установка системы учета для технологического присоединения энергопринимающих устройств Заявителя (Алексеева Е.Ю.) по адресу: Ростовская область, Неклиновский район, с. Гаевка, ул. Ленина, д. 312-А, к.н. 61:26:0160301:70 (1 шт.)</t>
  </si>
  <si>
    <t>Установка системы учета для технологического присоединения энергопринимающих устройств Заявителя (Уразгильдеева Н.И.) по адресу: Ростовская область, Неклиновский район, с. Гаевка, ул. Набережная, д.4, к.н. 61:26:0160301:79 (1 шт.)</t>
  </si>
  <si>
    <t>Установка системы учета для технологического присоединения энергопринимающих устройств Заявителя (Уразгильдеев И.Ф.) по адресу: Ростовская область, Неклиновский район с. Гаевка, ул. Набережная, д.1-Г, к.н. 61:26:0160301:77 (1 шт.)</t>
  </si>
  <si>
    <t>Установка системы учета для технологического присоединения энергопринимающих устройств Заявителя (Уразгильдеев Ф.Н.) по адресу: Ростовская область, Неклиновский район с. Гаевка, ул. Набережная, д.2, к.н. 61:26:0160301:94 (1 шт.)</t>
  </si>
  <si>
    <t>Установка системы учета для технологического присоединения энергопринимающих устройств Заявителя (Богуш В.В.) по адресу: Ростовская область, Неклиновский район, с. Николаевка, ул. Чехова, д. 115-Ж, к.н. 61:26:0110101:8522 (1 шт.)</t>
  </si>
  <si>
    <t>Установка системы учета для технологического присоединения энергопринимающих устройств Заявителя (Дударко Е.А.) по адресу: Ростовская область, Неклиновский район, х. Гаевка, ул. Кольцова, д. 2, к.н. 61:26:0110101:950 (1 шт.)</t>
  </si>
  <si>
    <t>Установка системы учета для технологического присоединения энергопринимающих устройств Заявителя (Василенко Ю.В.) по адресу: Ростовская область, Неклиновский район, с. Николаевка, ул. Комсомольская, д. 39, к.н. 61:26:0000000:5939 (1 шт.)</t>
  </si>
  <si>
    <t>Установка системы учета для технологического присоединения энергопринимающих устройств Заявителя (Четверткова Г.И.) по адресу: Ростовская область, Неклиновский район с. Николаевка, ДНТ «Коммунальник», уч. 177, к.н. 61:26:0513701:139 (1 шт.)</t>
  </si>
  <si>
    <t>Установка системы учета для технологического присоединения энергопринимающих устройств Заявителя (Базавлюк Л.С.) по адресу: Ростовская область, Неклиновский район с. Николаевка, ДНТ «Коммунальник», уч.116, к.н. 61:26:0513701:204 (1 шт.)</t>
  </si>
  <si>
    <t>Установка системы учета для технологического присоединения энергопринимающих устройств Заявителя (Моспан Д.И.) по адресу: Ростовская область, Неклиновский район с. Николаевка, ДНТ «Коммунальник», уч.122, к.н. 61:26:0513701:197 (1 шт.)</t>
  </si>
  <si>
    <t>Установка системы учета для технологического присоединения энергопринимающих устройств Заявителя (Стенина Е.А.) по адресу: Ростовская область, Неклиновский район с. Николаевка, ДНТ «Коммунальник», уч. 145, к.н. 61:26:0513701:172 (1 шт.)</t>
  </si>
  <si>
    <t>Установка системы учета для технологического присоединения энергопринимающих устройств Заявителя (Максимова А.В.) по адресу: Ростовская область, Неклиновский район с. Николаевка, ул. Парковая, к.н. 61:26:0110101:10194 (1 шт.)</t>
  </si>
  <si>
    <t>Установка системы учета для технологического присоединения энергопринимающих устройств Заявителя (Востриков О.А.) по адресу: Ростовская область, Неклиновский район, х. Гаевка, ул. Пионерская, д. 69-А, к.н. 61:26:0110201:1165 (1 шт.)</t>
  </si>
  <si>
    <t>Установка системы учета для технологического присоединения энергопринимающих устройств Заявителя (Соколова В.А.) по адресу: Ростовская область, Неклиновский район, х. Мержаново, СНТ «Металлург-6», уч. 1109, к.н. 61:26:0505901:496 (1 шт.)</t>
  </si>
  <si>
    <t>Установка системы учета для технологического присоединения энергопринимающих устройств Заявителя (Динье З.Ф.) по адресу: Ростовская область, Неклиновский район, с. Николаевка, ул. Петровская, д. 2, к.н. 61:26:0110101:1096 (1 шт.)</t>
  </si>
  <si>
    <t>Установка системы учета для технологического присоединения энергопринимающих устройств Заявителя (Судникович Д.Ч.) по адресу: Ростовская область, Неклиновский район, х. Гаевка, ул. Кооперативная, д. 7, к.н. 61:26:0110201:303 (1 шт.)</t>
  </si>
  <si>
    <t>Установка системы учета для технологического присоединения энергопринимающих устройств Заявителя (Козырева Е.Е.) по адресу: Ростовская область, Неклиновский район, с. Николаевка, ул. Петровская, д. 14, к.н. 61:26:0110101:10222 (1 шт.)</t>
  </si>
  <si>
    <t>Установка системы учета для технологического присоединения энергопринимающих устройств Заявителя (Захаров А.М.) по адресу: Ростовская область, Неклиновский район, с. Новобессергеневка, ул. Янтарная, д. 32-В, к.н. 61:26:0600024:7633 (1 шт.)</t>
  </si>
  <si>
    <t>Установка системы учета для технологического присоединения энергопринимающих устройств Заявителя (Лакеев А.Е.) по адресу: Ростовская область, Мясниковский район, с. Крым, ул. Мясникяна, д. 66/а, к.н. 61:25:0201015:516 (1 шт.)</t>
  </si>
  <si>
    <t>Установка системы учета для технологического присоединения энергопринимающих устройств Заявителя (Назаретян А.Е.) по адресу: Ростовская область, Мясниковский район, х. Красный Крым, ул. Шаумяна, д. 15/а, к.н. 61:25:0030101:1973 (1 шт.)</t>
  </si>
  <si>
    <t>Установка системы учета для технологического присоединения энергопринимающих устройств Заявителя (Кечеджиян М.А.) по адресу: Ростовская область, Мясниковский район, с. Чалтырь, ул. Северная, д. 2/в к.н. 61:25:0101406:435 (1 шт.)</t>
  </si>
  <si>
    <t>Установка системы учета для технологического присоединения энергопринимающих устройств Заявителя (Майкоглуян В.В.) по адресу: Ростовская область, Мясниковский район с. Чалтырь, ул. Мец-Чорвах, д. 23, к.н. 61:25:0101116:20 (1 шт.)</t>
  </si>
  <si>
    <t>Установка системы учета для технологического присоединения энергопринимающих устройств Заявителя (Кцикян Р.Г.) по адресу: Ростовская область, Мясниковский район с. Чалтырь, ул. Шагиняна, д. 67, к.н. 61:25:0101602:573 (1 шт.)</t>
  </si>
  <si>
    <t>Установка системы учета для технологического присоединения энергопринимающих устройств Заявителя (Поркшеян М.Л.) по адресу: Ростовская область, Мясниковский район с. Чалтырь, ул. Жукова, д. 39, к.н. 61:25:0101425:42 (1 шт.)</t>
  </si>
  <si>
    <t>Установка системы учета для технологического присоединения энергопринимающих устройств Заявителя (Русских Л.С.) по адресу: Ростовская область, Мясниковский район, х. Ленинаван, ул. Жукова, д. 16/1, к.н. 61:25:0600401:20129 (1 шт.)</t>
  </si>
  <si>
    <t>Установка системы учета для технологического присоединения энергопринимающих устройств Заявителя (ИП Хейгетян А.Л.) по адресу: Ростовская область, Мясниковский район, с. Чалтырь, ул. Пролетарская, д. 93/б, к.н. 61:25:0101334:966 (1 шт.)</t>
  </si>
  <si>
    <t>Установка системы учета для технологического присоединения энергопринимающих устройств Заявителя (Авакян Т.Р.) по адресу: Ростовская область, Мясниковский район х. Ленинаван, ул. С. Хатламаджияна, д. 9/6, к.н. 61:25:0030202:811 (1 шт.)</t>
  </si>
  <si>
    <t>Установка системы учета для технологического присоединения энергопринимающих устройств Заявителя (Копылов В.Н.) по адресу: Ростовская область, Мясниковский район с. Крым, ул. Селькор Баева, д. 47/а, к.н. 61:25:0201014:0086 (1 шт.)</t>
  </si>
  <si>
    <t>Установка системы учета для технологического присоединения энергопринимающих устройств Заявителя (Галчева Н.Д.) по адресу: Ростовская область, Мясниковский район х. Ленинаван, ул. Ленина, д. 79/в, к.н. 61:25:0030202:4144 (1 шт.)</t>
  </si>
  <si>
    <t>Установка системы учета для технологического присоединения энергопринимающих устройств Заявителя (Саркисян Г.А.) по адресу: Ростовская область, Мясниковский район, с. Крым, ул. Григора Бабияна, д. 26, к.н. 61:25:0600201:574 (1 шт.)</t>
  </si>
  <si>
    <t>Установка системы учета для технологического присоединения энергопринимающих устройств Заявителя (Бликян Л.В.) по адресу: Ростовская область, Мясниковский район, х. Ленинаван, ул. Ленина, д. 70, к.н. 61:25:0030202:119 (1 шт.)</t>
  </si>
  <si>
    <t>Установка системы учета для технологического присоединения энергопринимающих устройств Заявителя (ИП Петросян С.С.) по адресу: Ростовская область, Мясниковский район, х. Ленинаван, ул. Садовая, д. 11/15, к.н. 61:25:0600401:22094 (1 шт.)</t>
  </si>
  <si>
    <t>Установка системы учета для технологического присоединения энергопринимающих устройств Заявителя (Толохян Н.В.) по адресу: Ростовская область, Мясниковский район, с. Чалтырь, ул. Шагиняна, д. 87, к.н. 61:25:0600601:1363 (1 шт.)</t>
  </si>
  <si>
    <t>Установка системы учета для технологического присоединения энергопринимающих устройств Заявителя (Алексанян А.М.) по адресу: Ростовская область, Мясниковский район, х. Ленинаван, ул. Орджоникидзе, д. 23/1, к.н. 61:25:0030202:5086 (1 шт.)</t>
  </si>
  <si>
    <t>Установка системы учета для технологического присоединения энергопринимающих устройств Заявителя (ИП Зубкова С.А.) по адресу: Ростовская область, Мясниковский район, х. Ленинаван, ул. Мира, д. 23-а, к.н. 61:25:0030202:3015 (1 шт.)</t>
  </si>
  <si>
    <t>Установка системы учета для технологического присоединения энергопринимающих устройств Заявителя (Киркорянц Г.М.) по адресу: Ростовская область, Мясниковский район, с. Чалтырь, ул. 50 лет Победы, д. 107, к.н. 61:25:0600601:1131 (1 шт.)</t>
  </si>
  <si>
    <t>Установка системы учета для технологического присоединения энергопринимающих устройств Заявителя (Севостьянова С.Б.) по адресу: Ростовская область, Мясниковский район, с. Чалтырь, ул. Пионерская, д. 1-а, к.н. 61:25:0101129:6 (1 шт.)</t>
  </si>
  <si>
    <t>Установка системы учета для технологического присоединения энергопринимающих устройств Заявителя (Марков Р.О.) по адресу: Ростовская область, Мясниковский район, х. Ленинакан, ул. Ростовская, д. 24-а, к.н. 61:25:0030301:1918 (1 шт.)</t>
  </si>
  <si>
    <t>Установка системы учета для технологического присоединения энергопринимающих устройств Заявителя (Дзиваян Х.С.) по адресу: Ростовская область, Мясниковский район, х. Красный Крым, ул. Молодежная 2-я, д. 12-б, к.н. 61:25:0030101:2402 (1 шт.)</t>
  </si>
  <si>
    <t>Установка системы учета для технологического присоединения энергопринимающих устройств Заявителя (Сахаджиян В.С.) по адресу: Ростовская область, Мясниковский район, с. Крым, ул. Первомайская, д. 15, к.н. 61:25:0201016:69 (1 шт.)</t>
  </si>
  <si>
    <t>Установка системы учета для технологического присоединения энергопринимающих устройств Заявителя (Акопян Д.К.) по адресу: Ростовская область, Мясниковский район, с. Крым, ул. Линия 19-я, д. 27-ж, к.н. 61:25:0201019:1078 (1 шт.)</t>
  </si>
  <si>
    <t>Установка системы учета для технологического присоединения энергопринимающих устройств Заявителя (Краплина Е.Н.) по адресу: Ростовская область, Мясниковский район, х.Красный Крым, ул. Еловая, д. 17, к.н. 61:25:0600401:23642 (1 шт.)</t>
  </si>
  <si>
    <t>Установка системы учета для технологического присоединения энергопринимающих устройств Заявителя (Дорошенко А.В.) по адресу: Ростовская область, Мясниковский район, х. Ленинакан, ул. Трудовая, д. 32-а, к.н. 61:25:0030301:323 (1 шт.)</t>
  </si>
  <si>
    <t>Установка системы учета для технологического присоединения энергопринимающих устройств Заявителя (Кожевников С.А.) по адресу: Ростовская область, Мясниковский район, с. Чалтырь, ул. Пролетарская, д. 42, к.н. 61:25:0101315:477 (1 шт.)</t>
  </si>
  <si>
    <t>Установка системы учета для технологического присоединения энергопринимающих устройств Заявителя (Почикян Л.В.) по адресу: Ростовская область, Мясниковский район, х. Ленинаван, ул. Суворова, д. 22, к.н. 61:25:0600401:20168 (1 шт.)</t>
  </si>
  <si>
    <t>Установка системы учета для технологического присоединения энергопринимающих устройств Заявителя (Баграмян Т.А.) по адресу: Ростовская область, Мясниковский район, с. Чалтырь, ул. Западная, д. 142, к.н. 61:25:0600601:1216 (1 шт.)</t>
  </si>
  <si>
    <t>Установка системы учета для технологического присоединения энергопринимающих устройств Заявителя (Закарян С.М.) по адресу: Ростовская область, Мясниковский район, с. Чалтырь, ул. Патканяна, д. 52, к.н. 61:25:0101604:43 (1 шт.)</t>
  </si>
  <si>
    <t>Установка системы учета для технологического присоединения энергопринимающих устройств Заявителя (Сахаджиян А.С.) по адресу: Ростовская область, Мясниковский район, с. Крым, ул. Медиков, д. 16-а, к.н. 61:25:0201025:127 (1 шт.)</t>
  </si>
  <si>
    <t>Установка системы учета для технологического присоединения энергопринимающих устройств Заявителя (Агванян А.Г.) по адресу: Ростовская область, Мясниковский район, с. Чалтырь, ул. Социалистическая, д. 25-м, к.н. 61:25:0101334:1274 (1 шт.)</t>
  </si>
  <si>
    <t>Установка системы учета для технологического присоединения энергопринимающих устройств Заявителя (Мардиросян С.Л.) по адресу: Ростовская область, Мясниковский район, х. Ленинаван, ул. Шаумяна, д. 21-а, к.н. 61:25:0030202:1320 (1 шт.)</t>
  </si>
  <si>
    <t>Установка системы учета для технологического присоединения энергопринимающих устройств Заявителя (ИП Осипян В.Г.) по адресу: Ростовская область, Мясниковский район, с. Большие Салы, ул. 1-я Ленинская, д. 4-б, к.н. 61:25:0040101:6203 (1 шт.)</t>
  </si>
  <si>
    <t>Установка системы учета для технологического присоединения энергопринимающих устройств Заявителя (ИП Кесеян М.А.) по адресу: Ростовская область, Мясниковский район, х. Красный Крым, ул. Туманяна, д. 47/б, к.н. 61:25:0030101:448 (1 шт.)</t>
  </si>
  <si>
    <t>Установка системы учета для технологического присоединения энергопринимающих устройств Заявителя (Килафян В.В.) по адресу: Ростовская область, Мясниковский район, с. Чалтырь, ул. Шаумяна, д. 75, к.н. 61:25:0101112:0017</t>
  </si>
  <si>
    <t>Установка системы учета для технологического присоединения энергопринимающих устройств Заявителя (Шеболдина А.Г.) по адресу: Ростовская область, Мясниковский район, х. Ленинаван, ул. Жукова, д. 64, к.н. 61:25:0600401:8893</t>
  </si>
  <si>
    <t>Установка системы учета для технологического присоединения энергопринимающих устройств Заявителя (Макинян С.Д.) по адресу: Ростовская область, Мясниковский район, с. Большие Салы, ул. Оганяна, д. 10-в, к.н. 61:25:0040101:6114</t>
  </si>
  <si>
    <t>Установка системы учета для технологического присоединения энергопринимающих устройств Заявителя (Илюхин А.П.) по адресу: Ростовская область, Мясниковский район с. Крым, ул. Кардашяна, д. 8, к.н. 61:25:0201001:33</t>
  </si>
  <si>
    <t>Установка системы учета для технологического присоединения энергопринимающих устройств Заявителя (Щебет А.Ю.) по адресу: Ростовская область, Мясниковский район х. Хапры, ул. Первомайская, д. 38/а, к.н. 61:25:0070201:793</t>
  </si>
  <si>
    <t>Установка системы учета для технологического присоединения энергопринимающих устройств Заявителя (Хатламаджиян В.В.) по адресу: Ростовская область, Мясниковский район с. Чалтырь, ул. 1-й тупик, д. 11/а, к.н. 61:25:0101307:384</t>
  </si>
  <si>
    <t>Установка системы учета для технологического присоединения энергопринимающих устройств Заявителя (Тананян А.А.) по адресу: Ростовская область, Мясниковский район с. Чалтырь, ул. 6-я линия, д. 36 к.н. 61:25:0101105:18</t>
  </si>
  <si>
    <t>1.14. «Установка системы учета для технологического присоединения энергопринимающих устройств Заявителя (Загика К.Н.) по адресу: Ростовская область, Мясниковский район х. Красный Крым, ул. Братьев Баян, д. 86, к.н. 61:25:0600401:19310 (1 шт.)»</t>
  </si>
  <si>
    <t>1.13. «Установка системы учета для технологического присоединения энергопринимающих устройств Заявителя (Латыпов О.Г.) по адресу: Ростовская область, Мясниковский район х. Ленинаван, ул. Садовая, д. 11/13, к.н. 61:25:0600401:21420 (1 шт.)»</t>
  </si>
  <si>
    <t>1.12. «Установка системы учета для технологического присоединения энергопринимающих устройств Заявителя (ИП Егиазарян А.Г.) по адресу: Ростовская область, Мясниковский район х. Ленинаван, ул. Центральная, д. 34/1, к.н. 61:25:0600401:9591 (1 шт.)»</t>
  </si>
  <si>
    <t>1.11. «Установка системы учета для технологического присоединения энергопринимающих устройств Заявителя (Маркосян О.М.) по адресу: Ростовская область, Мясниковский район с. Чалтырь, ул. Гагарина, д. 35, к.н. 61:25:0101230:17 (1 шт.)»</t>
  </si>
  <si>
    <t>1.10. «Установка системы учета для технологического присоединения энергопринимающих устройств Заявителя (Мхитарян Г.А.) по адресу: Ростовская область, Мясниковский район с. Крым, ул. генерала Джелаухова, д. 41, к.н. 61:25:0600201:935 (1 шт.)»</t>
  </si>
  <si>
    <t>1.9. «Установка системы учета для технологического присоединения энергопринимающих устройств Заявителя (Оганнисян К.Т.) по адресу: Ростовская область, Мясниковский район с. Большие Салы, ул. Крестьянская, д. 6/а, к.н. 61:25:0040101:1508 (1 шт.)»</t>
  </si>
  <si>
    <t>1.8. «Установка системы учета для технологического присоединения энергопринимающих устройств Заявителя (Наумова Л.В.) по адресу: Ростовская область, Мясниковский район х. Ленинаван, ул. С. Хатламаджияна, д. 30, к.н. 61:25:0030202:4942 (1 шт.)»</t>
  </si>
  <si>
    <t>1.5. «Установка системы учета для технологического присоединения энергопринимающих устройств Заявителя (Ковальский В.В.) по адресу: Ростовская область, Мясниковский район с. Карпо-Николаевка, ул. Ростовская, д. 30, к.н. 61:25:0080401:12 (1 шт.)»</t>
  </si>
  <si>
    <t>Установка системы учета для технологического присоединения энергопринимающих устройств Заявителя (Багдасарян Н.Ю.) по адресу: Ростовская область, Мясниковский район х. Ленинаван, ул. Ландышевая, д. 7, к.н. 61:25:0600401:8378</t>
  </si>
  <si>
    <t>Установка системы учета для технологического присоединения энергопринимающих устройств Заявителя (Джелаухян Т.Д.) по адресу: Ростовская область, Мясниковский район с. Крым, ул. Октябрьская, д. 26, к.н. 61:25:0201006:105</t>
  </si>
  <si>
    <t>Установка системы учета для технологического присоединения энергопринимающих устройств Заявителя (Погосян А.Г.) по адресу: Ростовская область, Мясниковский район с. Крым, ул. 25-я линия, д. 8/а, к.н. 61:25:0201023:275</t>
  </si>
  <si>
    <t>Установка системы учета для технологического присоединения энергопринимающих устройств Заявителя (Кошелева Ю.А.) по адресу: Ростовская область, Мясниковский район с. Большие Салы, ул. Конституции, д. 1/м, к.н. 61:25:0040101:6230</t>
  </si>
  <si>
    <t>Установка системы учета для технологического присоединения энергопринимающих устройств Заявителя (Лопатина Л.В.) по адресу: Ростовская область, Мясниковский район х. Красный Крым, ул. Бирюзовая, д. 51/3, к.н. 61:25:0600401:18519</t>
  </si>
  <si>
    <t>Установка системы учета для технологического присоединения энергопринимающих устройств Заявителя (Макаренко Н.Е.) по адресу: Ростовская область, Мясниковский район с. Большие Салы, ул. Центральная, д. 35, к.н. 61:25:0600501:1649</t>
  </si>
  <si>
    <t>Установка системы учета для технологического присоединения энергопринимающих устройств Заявителя (Харахашян Т.О.) по адресу: Ростовская область, Мясниковский район х. Ленинаван, ул. Мясникяна, д. 14/4, к.н. 61:25:0030202:4887</t>
  </si>
  <si>
    <t>Установка системы учета для технологического присоединения энергопринимающих устройств Заявителя (Агаглуян Е.В.) по адресу: Ростовская область, Мясниковский район х. Хапры, ул. Гагарина, д. 16/а, к.н. 61:25:0070201:2650</t>
  </si>
  <si>
    <t>Установка системы учета для технологического присоединения энергопринимающих устройств Заявителя (Абрамян К.И.) по адресу: Ростовская область, Мясниковский район с. Крым, ул. Генерала Джелаухова, д. 10/а, к.н. 61:25:0201019:487</t>
  </si>
  <si>
    <t>Установка системы учета для технологического присоединения энергопринимающих устройств Заявителя (Даллакян Р.А.) по адресу: Ростовская область, Мясниковский район, х. Ленинакан, ул. Трудовая, д. 28/5, к.н. 61:25:0030301:1905 (1 шт.)</t>
  </si>
  <si>
    <t>Установка системы учета для технологического присоединения энергопринимающих устройств Заявителя (Небрат В.А.) по адресу: Ростовская область, Мясниковский район, х. Калинин, ул. Степная, д. 83/б, к.н. 61:25:0050101:7928 (1 шт.)</t>
  </si>
  <si>
    <t>Установка системы учета для технологического присоединения энергопринимающих устройств Заявителя (Мышинский А.С.) по адресу: Ростовская область, Мясниковский район, сл. Петровка, ул. Первомайская, д. 16, к.н. 61:25:0080101:1910 (1 шт.)</t>
  </si>
  <si>
    <t>Установка системы учета для технологического присоединения энергопринимающих устройств Заявителя (Ракова А.А.) по адресу: Ростовская область, Мясниковский район, х. Красный Крым, ул. Звездная, д. 33, к.н. 61:25:0600401:17146 (1 шт.)</t>
  </si>
  <si>
    <t>Установка системы учета для технологического присоединения энергопринимающих устройств Заявителя (Шинаков Р.В.) по адресу: Ростовская область, Мясниковский район, с. Султан-Салы, ул. Суворова, д. 7/а, к.н. 61:25:0030401:1836 (1 шт.)</t>
  </si>
  <si>
    <t>Установка системы учета для технологического присоединения энергопринимающих устройств Заявителя (Кухаренко Д.Г.) по адресу: Ростовская область, Мясниковский район, х. Ленинаван, ул. Кутузова, д. 11, к.н. 61:25:0600401:7171 (1 шт.)</t>
  </si>
  <si>
    <t>Установка системы учета для технологического присоединения энергопринимающих устройств Заявителя (Кравченко Н.В.) по адресу: Ростовская область, Мясниковский район, х. Калинин, ул. Набережная, д. 126/м, к.н. 61:25:0050101:7967 (1 шт.)</t>
  </si>
  <si>
    <t>Установка системы учета для технологического присоединения энергопринимающих устройств Заявителя (Барнагян Х.К.) по адресу: Ростовская область, Мясниковский район, с. Чалтырь, ул. Гаражная, д. 1/г,  к.н. 61:25:0101334:981 (1 шт.)</t>
  </si>
  <si>
    <t>Установка системы учета для технологического присоединения энергопринимающих устройств Заявителя (Хачатрян К.О.) по адресу: Ростовская область, Мясниковский район, х. Красный Крым, ул. Новая, д. 25/а,  к.н. 61:25:0600401:10374 (1 шт.)</t>
  </si>
  <si>
    <t>Установка системы учета для технологического присоединения энергопринимающих устройств Заявителя (Сардарян О.А.) по адресу: Ростовская область, Мясниковский район, с. Большие Салы, ул. 2-я Ленинская, д. 1/б, к.н. 61:25:0040101:5284 (1 шт.)</t>
  </si>
  <si>
    <t>Установка системы учета для технологического присоединения энергопринимающих устройств Заявителя (Оганян А.Т.) по адресу: Ростовская область, Мясниковский район, с. Чалтырь, ул. Гаражная, д. 117,  к.н. 61:25:0101334:849 (1 шт.)</t>
  </si>
  <si>
    <t>Установка системы учета для технологического присоединения энергопринимающих устройств Заявителя (Фурсова Е.А.) по адресу: Ростовская область, Мясниковский район, с. Большие Салы, ул. Конституции, д. 1/н,  к.н. 61:25:0040101:6231 (1 шт.)</t>
  </si>
  <si>
    <t>Установка системы учета для технологического присоединения энергопринимающих устройств Заявителя (Моисеенко Е.В.) по адресу: Ростовская область, Мясниковский район, х. Красный Крым, ул. Юбилейная, д. 28/а,  к.н. 61:25:0600401:17608 (1 шт.)</t>
  </si>
  <si>
    <t>Установка системы учета для технологического присоединения энергопринимающих устройств Заявителя (Меликян А.К.) по адресу: Ростовская область, Мясниковский район, х. Калинин, ул. Малыгина, д. 37/в,  к.н. 61:25:0050101:7196 (1 шт.)</t>
  </si>
  <si>
    <t>Установка системы учета для технологического присоединения энергопринимающих устройств Заявителя (Агакишиева А.В.) по адресу: Ростовская область, Мясниковский район, с. Александровка 2-я, ул. Новая, д. 13,  к.н. 61:25:0080201:1272 (1 шт.)</t>
  </si>
  <si>
    <t>Установка системы учета для технологического присоединения энергопринимающих устройств Заявителя (Смирнова Л.Н.) по адресу: Ростовская область, Мясниковский район, х. Калинин, ул. Степная, д. 88,  к.н. 61:25:170000:3304:2427 (1 шт.)</t>
  </si>
  <si>
    <t>Установка системы учета для технологического присоединения энергопринимающих устройств Заявителя (ИП Малхасян А.А.) по адресу: Ростовская область, Мясниковский район, с. Чалтырь, ул. 7-я линия, д. 35,  к.н. 61:25:0101322:11 (1 шт.)</t>
  </si>
  <si>
    <t>Установка системы учета для технологического присоединения энергопринимающих устройств Заявителя (Явруян В.Р.) по адресу: Ростовская область, Мясниковский район, х. Ленинаван, ул. Мясникяна, д. 16/а,  к.н. 61:25:0030202:328 (1 шт.)</t>
  </si>
  <si>
    <t>Установка системы учета для технологического присоединения энергопринимающих устройств Заявителя (Дедова Э.А.) по адресу: Ростовская область, Мясниковский район, х. Красный Крым, ул. Юбилейная, д. 26/б,  к.н. 61:25:0600401:18571 (1 шт.)</t>
  </si>
  <si>
    <t>Установка системы учета для технологического присоединения энергопринимающих устройств Заявителя (Гагаринова Е.С.) по адресу: Ростовская область, Мясниковский район, х. Красный Крым, ул. Пшеничная, д. 8/а,  к.н. 61:25:0600401:18634 (1 шт.)</t>
  </si>
  <si>
    <t>Установка системы учета для технологического присоединения энергопринимающих устройств Заявителя (Бочкова С.В.) по адресу: Ростовская область, Мясниковский район, с. Султан-Салы, ул. Мясникяна, д. 23/а,  к.н. 61:25:0030401:491 (1 шт.)</t>
  </si>
  <si>
    <t>Установка системы учета для технологического присоединения энергопринимающих устройств Заявителя (Майкоглуян Х.Б.) по адресу: Ростовская область, Мясниковский район, с. Чалтырь, ул. Карла Маркса, д. 22, к.н. 61:25:0101125:18 (1 шт.)</t>
  </si>
  <si>
    <t>Установка системы учета для технологического присоединения энергопринимающих устройств Заявителя (Конеев А.А.) по адресу: Ростовская область, Мясниковский район, с. Султан Салы, ул. Мясникяна, уч. 4, к.н. 61:25:0030401:483 (1 шт.)</t>
  </si>
  <si>
    <t>Установка системы учета для технологического присоединения энергопринимающих устройств Заявителей: Горина Н.О., Карелов И.И., Насыр М.В., Иваницкий Г.М., Абдуллин М.Ш., Бабкина Е.Р., Устинов А.В., Масленникова Н.Н., Дзиваян М.А., Климова О.С., Сухариян А.В., Облога В.А., Ганжа О.Е. в Мясниковском районе Ростовской области (13 шт.)</t>
  </si>
  <si>
    <t>Установка системы учета для технологического присоединения энергопринимающих устройств Заявителей: Жаравина Т.Т., Жаравин Е.А., Рамазян Ю.Г., Нетяженко М.А., Гукасян Е.М., Кострыкин М.А., Саакян Р.С. в Мясниковском районе Ростовской области (7 шт.)</t>
  </si>
  <si>
    <t>Установка системы учета для технологического присоединения энергопринимающих устройств Заявителей: Скачкова А.В., Сидоренко В.А., Рожковский И.В., Копылова О.А., Бирюкова И.А., Клементьева И.В., Стрельченко Р.В., Завгородний М.М., Кудряшов Г.Е., Ануфриева Е.В., Шахман А.В. в Мясниковском районе Ростовской области (11 шт.)</t>
  </si>
  <si>
    <t>Установка системы учета для технологического присоединения энергопринимающих устройств Заявителей: Чибичян Л.М., Уварова В.К., Овсянников В.В., Селезнёв А.Н., Хараян Л.Ю., ПАО «Вымпел-Коммуникации», Ушакова С.Ш., Мусаев Э.Г. в Мясниковском районе Ростовской области (8 шт.)</t>
  </si>
  <si>
    <t>Установка системы учета для технологического присоединения энергопринимающих устройств Заявителей: ИП Хазарян С.В., ИП Григорян Р.Э., Фарманян М.М., Деремян К.А., Плотников С.В., Агджоян А.И., Габриелян С.М., Хабаликян Р.Г. в Мясниковском районе Ростовской области (8 шт.)</t>
  </si>
  <si>
    <t>Установка системы учета для технологического присоединения энергопринимающих устройств Заявителей: Зинченко А.С., Заседкина Е.В., Пашаян Э.А., Гавриличенко Ю.В., Атоян А.С., Томасян С.В., Килафян А.К., Прытова К.О., Коробицын Р.П., ИП Вардуни Ж.Р., Дзреян С.Г., Бобров С.Г., Григорян О.В., Гуликян Т.М., Нестеренко М.Е., Николушенко Г.А., Боженова Е.В., Зимакова А.В., Светличная О.А., Мусикян С.Х. в Мясниковском районе Ростовской области (21 шт.)</t>
  </si>
  <si>
    <t>Установка системы учета для технологического присоединения энергопринимающих устройств Заявителя (ООО «Синара-Городские Транспортные Решения Таганрог») по адресу: Ростовская область, г. Таганрог, пл. Северная Площадь (между ул. Восточная и Большой Проспект), к.н.: 61:58:0002507:253 (1 шт.)</t>
  </si>
  <si>
    <t>Установка системы учета для технологического присоединения энергопринимающих устройств Заявителей: Татенашвили Н.О., Ивашечкин А.Н., Красова Г.В., Согомонян Г.И., Надолинская Е.А. в Мясниковском районе Ростовской области (5 шт.)</t>
  </si>
  <si>
    <t>Установка системы учета для технологического присоединения энергопринимающих устройств Заявителей: Михайленко А.В., Скорнякова С.А., Василенко И.В., Гянджалиев В.Ш.О., Мелконян А.А., в Мясниковском районе Ростовской области (5 шт.)</t>
  </si>
  <si>
    <t>Установка системы учета для технологического присоединения энергопринимающих устройств Заявителя (Мирзоян С.А.) по адресу: Ростовская область, Мясниковский район, с. Большие Салы, ул. Кооперативная, д. 32,  к.н. 61:25:0040101:4992 (1 шт.)</t>
  </si>
  <si>
    <t>Установка системы учета для технологического присоединения энергопринимающих устройств Заявителя (Абраамян Г.Э.) по адресу: Ростовская область, Мясниковский район, с. Крым, ул. 3-я линия, д. 3/д, к.н. 61:25:0201016:443 (1 шт.)</t>
  </si>
  <si>
    <t>Установка системы учета для технологического присоединения энергопринимающих устройств Заявителя (Чораян М.С.) по адресу: Ростовская область, Мясниковский район, с. Крым, ул. 1-й Тупик, д. 17/а, к.н. 61:25:0201028:204 (1 шт.)</t>
  </si>
  <si>
    <t>Установка системы учета для технологического присоединения энергопринимающих устройств Заявителя (Машегирова О.Б.) по адресу: Ростовская область, Мясниковский район, х. Ленинаван, ул. Орджоникидзе, д. 28/а,  к.н. 61:25:0030202:4231 (1 шт.)</t>
  </si>
  <si>
    <t>Установка системы учета для технологического присоединения энергопринимающих устройств Заявителя (Меликян Л.А.) по адресу: Ростовская область, Мясниковский район, с. Чалтырь, ул. Пролетарская, д. 72/а,  к.н. 61:25:0101316:20 (1 шт.)</t>
  </si>
  <si>
    <t>Строительство ВЛ 0,4 кВ от РУ 0,4 кВ ТП 10/0,4 кВ, строительство ТП 10/0,4 кВ, строительство ВЛ 10 кВ от ВЛ 10 кВ №4 ПС 35/10 кВ «Русский Колодец» для технологического присоединения помещения сельскохозяйственного производства Заявителя: (Литвинов Н.А.), по адресу: Ростовская область, Неклиновский район, с. Христофоровка, земли Рыбколхоза «Первомайский», поле №2, к.н. 61:58:0600023:448 (ориентировочная протяженность ЛЭП 0,01 км; мощность силового трансформатора – 25 кВА)</t>
  </si>
  <si>
    <t>Строительство ВЛ 0,4 кВ от опоры по ВЛ 0,4 кВ №1 ТП 10/0,4 кВ №4-29 по ВЛ 10 кВ №4 ПС 110/35/10 кВ Чалтырь, для технологического присоединения жилого дома Заявителя (Айрапетян Л.П.) по адресу: Ростовская область, Мясниковский район, с. Крым, ул. 2-й тупик, д. 7, к.н. №61:25:0201024:538 (ориентировочная протяженность ЛЭП 0,025 км)</t>
  </si>
  <si>
    <t>Строительство ВЛ 0,4 кВ от ВЛ 0,4 кВ №2 КТП 10/0,4 кВ №49 ВЛ 10 кВ №3 ПС 110/10 кВ «Самбек» для технологического присоединения жилого дома Заявителя (Попов В.Н.) по адресу: Ростовская область, Неклиновский район, с. Самбек, ул. Колхозная, 2г, к.н. 61:26:0000000:6178 (ориентировочная протяженность ЛЭП 0,065 км)</t>
  </si>
  <si>
    <t>Строительство ВЛ 0,4 кВ от опоры по ВЛ 0,4 кВ №1 ТП 10/0,4 кВ №1-6 по ВЛ 10 кВ №1 ПС 110/35/10 кВ Чалтырь для технологического присоединения жилого дома Заявителя (Оганесян М.А.) по адресу: Ростовская область, Мясниковский район, х. Ленинакан, ул. Цветочная, д. 24, к.н. №61:25:0030301:315 (ориентировочная протяженность ЛЭП 0,035 км)</t>
  </si>
  <si>
    <t>Строительство ВЛ 0,4 кВ от РУ 0,4 кВ ТП 10/0,4 кВ №7-15 по ВЛ 10 кВ №7 ПС 110/35/10 кВ Синявская, для технологического присоединения теплицы Заявителя: (ИП Сюсюра Л.В.) по адресу: Ростовская обл. Мясниковский р-н, х. Недвиговка, ул. Молодежная, д 42-в, к.н. 61:25:0070101:4643 (ориентировочная протяженность ЛЭП -0,04 км)</t>
  </si>
  <si>
    <t>Строительство ВЛ 0,4 кВ от новой ТП 10/0,4 кВ, строительство ТП 10/0,4 кВ, строительство ВЛ 10 кВ от ВЛ 10 кВ №1/3 ПС 110/35/10 кВ «Троицкая-1», для технологического присоединения автостоянки Заявителя (Саакян С.А.) по адресу: Ростовская область, Неклиновский район, с. Троицкое, х-во СПК к-з «Россия», поле №2, к.н. 61:26:0600014:1466 (ориентировочная протяженность ЛЭП 0,015 км; мощность силового трансформатора 25 кВА)</t>
  </si>
  <si>
    <t>Строительство ВЛ 0,4 кВ от опоры по ВЛ 0,4 кВ №2 ТП 10/0,4 кВ №2-4 по ВЛ 10 кВ №2 ПС 110/35/10 кВ Чалтырь для технологического присоединения жилого дома Заявителя (Дивинец О.М.) по адресу: Ростовская область, Мясниковский район, с. Султан Салы, ул. Селиверстова, д. 50, корп. Б, к.н. №61:25:0030401:1519 (ориентировочная протяженность ЛЭП 0,03 км)</t>
  </si>
  <si>
    <t>Строительство ВЛ 0,4 кВ от проектируемой опоры по договору №61-1-21-00568355 для технологического присоединения жилого дома Заявителя (Мартиросян К.К.) по адресу: Ростовская область, Мясниковский район, х. Ленинаван, ул. Майская, д. 9, к.н. 61:25:0030202:1042 (ориентировочная протяженность ЛЭП 0,04 км)</t>
  </si>
  <si>
    <t>Строительство ВЛ 0,4 кВ от опоры по ВЛИ 0,4 кВ №1 ТП 10/0,4 кВ №2-27 по ВЛ 10 кВ №2 ПС 110/35/10 кВ Чалтырь для технологического присоединения жилого дома Заявителя (Михайленко А.В.) по адресу: Ростовская область, Мясниковский район, с. Крым, ул. Имени Майи Пегливановой, д. 34/а, к.н. 61:25:0600201:1378 (ориентировочная протяженность ЛЭП 0,07 км)</t>
  </si>
  <si>
    <t xml:space="preserve">Строительство ВЛ 0,4 кВ от ВЛ 0,4 кВ №5 ЗТП 10/0,4 кВ №82 ВЛ 10 кВ №4 ПС 110/10 кВ «Лиманная» для технологического присоединения жилого дома Заявителя (Грушка А.Б.) по адресу: Ростовская область, Неклиновский район, п. Сухосарматка, ул. Лесная, д. 17, к.н. 61:26:0090201:175 (ориентировочная протяженность ЛЭП 0,050 км)» </t>
  </si>
  <si>
    <t>Строительство ВЛ 0,4 кВ от РУ 0,4 кВ КТП 10/0,4 кВ №387м ВЛ 10 кВ №1 ПС 35/10 кВ «Таганрогская» для технологического присоединения объекта физической культуры и спорта Заявителя (ИП Протасовицкая И.Г.) по адресу: Ростовская область, Неклиновский район, с. Весело-Вознесенка, ул. Приморская, д. 13, к.н. 61:26:0600018:1296 (ориентировочная протяженность ЛЭП 0,270 км)</t>
  </si>
  <si>
    <t>Установка системы учета для технологического присоединения энергопринимающих устройств Заявителя (ИП Киракосян Г.С.) по адресу: Ростовская область, Мясниковский район, с. Чалтырь, ул. Шаумяна, д. 6, к.н. 61:25:0101403:93 (1 шт.)</t>
  </si>
  <si>
    <t>Установка системы учета для технологического присоединения энергопринимающих устройств Заявителя (ИП Насонов Н.Н.) по адресу: Ростовская область, Мясниковский район, х. Ленинакан, пер. Содружества, д. 5, к.н. 61:25:0600401:15053 (1 шт.)</t>
  </si>
  <si>
    <t>Установка системы учета для технологического присоединения энергопринимающих устройств Заявителя (Ступников С.Г.) по адресу: Ростовская область, Мясниковский район,с. Чалтырь, ул. Тащияна, д. 107, к.н. 61:25:0600601:1321 (1 шт.)</t>
  </si>
  <si>
    <t>Установка системы учета для технологического присоединения энергопринимающих устройств Заявителя (Казарян В.Р.) по адресу: Ростовская область, Мясниковский район, х. Красный Крым, ул. Братьев Баян, д. 18, к.н. 61:25:0030101:2372 (1 шт.)</t>
  </si>
  <si>
    <t>Установка системы учета для технологического присоединения энергопринимающих устройств Заявителя (Мамулян Ш.А.) по адресу: Ростовская область, Мясниковский район, с. Чалтырь, ул. Первоиюньская, д. 6, к.н. 61:25:0101307:153 (1 шт.)</t>
  </si>
  <si>
    <t>Установка системы учета для технологического присоединения ФКУ «Управление автомобильной магистрали Москва-Волгоград Федерального дорожного агентства» по адресу: Ростовская область, Неклиновский район, автодорога А-280(М-23) «Ростов-на-Дону – Таганрог – граница с Украиной» (4шт.).</t>
  </si>
  <si>
    <t>Установка системы учета для технологического присоединения энергопринимающих устройств Заявителя (Малунин Д.Л.) по адресу: Ростовская область, Неклиновский район, с. Бессергеновка, СНТ «Монтажник», уч. 17, к.н. 61:26:0500101:283 (1 шт.)</t>
  </si>
  <si>
    <t>Установка системы учета для технологического присоединения энергопринимающих устройств Заявителя (ПАО МиМЭС «Ростелеком») по адресу: Ростовская область, Неклиновский район, х. Приют (ш. 47.40590998; д. 39.16811512) (1 шт.)</t>
  </si>
  <si>
    <t>Установка системы учета для технологического присоединения энергопринимающих устройств Заявителя (Грущенко Д.В.) по адресу: Ростовская область, г. Таганрог, ул. Варданяна, д. 47, к.н. 61:58:0006027:545 (1 шт.)</t>
  </si>
  <si>
    <t>Установка системы учета для технологического присоединения энергопринимающих устройств Заявителя (Дурмишян Р.И.) в городе Таганрог Ростовской области (1 шт.)</t>
  </si>
  <si>
    <t>Установка системы учета для технологического присоединения энергопринимающих устройств Заявителя (Ластовецкая Ю.Н.) по адресу: Ростовская область, Неклиновский район, с. Лакедемоновка, ул. Заречная, д. 18-А, к.н. 61:26:0160101:644 (1 шт.)</t>
  </si>
  <si>
    <t>Установка системы учета для технологического присоединения энергопринимающих устройств Заявителя (Журавлев О.Н.) по адресу: Ростовская область, Неклиновский район х. Новозолотовка, ул. Новостройки, д. 27 к.н. 61:26:0180501:1181 (1 шт.)</t>
  </si>
  <si>
    <t>Установка системы учета для технологического присоединения энергопринимающих устройств Заявителя (Кравченко А.В.) по адресу: Ростовская область, Неклиновский район с. Покровское, пер. Степной, д.63 к.н. 61:26:0050105:237 (1 шт.)</t>
  </si>
  <si>
    <t>Установка системы учета для технологического присоединения энергопринимающих устройств Заявителя (Васильева Т.В.) по адресу: Ростовская область, Неклиновский район с. Боцманово, ул. Шмидта, д. 13, к.н. 61:26:0070801:125 (1 шт.)</t>
  </si>
  <si>
    <t>Установка системы учета для технологического присоединения энергопринимающих устройств Заявителя (Администрация Неклиновского района Ростовской области) по адресу: Ростовская область, Неклиновский район, с. Самбек, ул. Спортивная, к.н. 61:26:0020101:5053 (1 шт.)</t>
  </si>
  <si>
    <t>Установка системы учета для технологического присоединения энергопринимающих устройств Заявителя (Уткин А.А.) по адресу: Ростовская область, Неклиновский район, с. Вареновка, ул. Октябрьская, д. 74-А, к.н. 61:26:0040101:5950 (1 шт.)</t>
  </si>
  <si>
    <t>Установка системы учета для технологического присоединения энергопринимающих устройств Заявителя (Ермаков К.Л.) по адресу: Ростовская область, Неклиновский район, с. Весело-Вознесенка, ул. Пограничная, д.40-А, к.н. 61:26:0100101:5085 (1 шт.)</t>
  </si>
  <si>
    <t>Установка системы учета для технологического присоединения энергопринимающих устройств Заявителя (Догадайло Р.С.) по адресу: Ростовская область, Неклиновский район с. Николаевка, ул. Лермонтова, д. 193, к.н. 61:26:0110101:1331 (1 шт.)</t>
  </si>
  <si>
    <t>Установка системы учета для технологического присоединения энергопринимающих устройств Заявителя (Перепелицына Л.В.) по адресу: Ростовская область, Неклиновский район, х. Сужено, пер. Животноводческий, д. 1, к.н. 61:26:0020201:34 (1 шт.)</t>
  </si>
  <si>
    <t>Установка системы учета для технологического присоединения энергопринимающих устройств Заявителя (Стрельникова М.Н.) по адресу: Ростовская область, Неклиновский район, с. Покровское, ул. Свердлова, д. 96-А, к.н. 61:26:0050104:642 (1 шт.)</t>
  </si>
  <si>
    <t>Установка системы учета для технологического присоединения энергопринимающих устройств Заявителя (Заикин Д.С.) по адресу: Ростовская область, Неклиновский район, с. Петрушино, пер. Садовый, д. 24, к.н. 61:26:0180201:3663 (1 шт.)</t>
  </si>
  <si>
    <t>Установка системы учета для технологического присоединения энергопринимающих устройств Заявителя (Любкина Е.А.) по адресу: Ростовская область, Неклиновский район, с. Гаевка, ул. Ленина, д. 80-Б, к.н. 61:26:0160301:2506 (1 шт.)</t>
  </si>
  <si>
    <t>Установка системы учета для технологического присоединения энергопринимающих устройств Заявителя (Татульян Е.А.) по адресу: Ростовская область, Неклиновский район, с. Новобессергеневка, ул. Транспортная, д. 37, к.н. 61:26:0180101:8003 (1 шт.)</t>
  </si>
  <si>
    <t>Установка системы учета для технологического присоединения энергопринимающих устройств Заявителя (Ростовцев А.И.) по адресу: Ростовская область, Неклиновский район, с. Бессергеневка, ул. Морская, д.2-А, к.н. 61:26:0040201:3779 (1 шт.)</t>
  </si>
  <si>
    <t>Установка системы учета для технологического присоединения энергопринимающих устройств Заявителя (Тодоров П.А.) по адресу: Ростовская область, Неклиновский район, с. Александрова Коса, ул. Набережная, д. 8, к.н. 61:26:0180601:2013 (1 шт.)</t>
  </si>
  <si>
    <t>Установка системы учета для технологического присоединения энергопринимающих устройств Заявителя (Веденская А.Ю.) по адресу: Ростовская область, Неклиновский район, с. Весело-Вознесенка, ул. Пограничная, д. 18-А, к.н. 61:26:0100101:5104 (1 шт.)</t>
  </si>
  <si>
    <t>Установка системы учета для технологического присоединения энергопринимающих устройств Заявителя (Тулумова Е.Н.) по адресу: Ростовская область, Неклиновский район, с. Весело-Вознесенка, ул. Пограничная, д.38-А, к.н. 61:26:0100101:5081 (1 шт.)</t>
  </si>
  <si>
    <t>Установка системы учета для технологического присоединения энергопринимающих устройств Заявителя (Феофанов А.Н.) по адресу: Ростовская область, Неклиновский район, п. Сухосарматка, ул. Лесная, д. 33-Б, к.н. 61:26:0600013:1558 (1 шт.)</t>
  </si>
  <si>
    <t>Установка системы учета для технологического присоединения энергопринимающих устройств Заявителя (Котик Л.В.) по адресу: Ростовская область, Неклиновский район, с. Бессергеновка, ул. Школьная, к.н. 61:26:0040201:4055 (1 шт.)</t>
  </si>
  <si>
    <t>Установка системы учета для технологического присоединения энергопринимающих устройств Заявителя (Апресян Г.Р.) по адресу: Ростовская область, Мясниковский район, с. Чалтырь, ул. Социалистическая, уч. 17/в, к.н. 61:25:0101324:203 (1 шт.)</t>
  </si>
  <si>
    <t>Установка системы учета для технологического присоединения энергопринимающих устройств Заявителя (Хаспекова Э.С.) по адресу: Ростовская область, Мясниковский район, х. Ленинаван, ул. Насосная, д. 1,  к.н. 61:25:0030202:3319 (1 шт.)</t>
  </si>
  <si>
    <t>Установка системы учета для технологического присоединения энергопринимающих устройств Заявителя: ИП Чернышов М.В. в х. Ленинаван ул. Мира, д. 1/1 Мясниковского района Ростовской области – 1 шт.</t>
  </si>
  <si>
    <t>Установка системы учета для технологического присоединения энергопринимающих устройств Заявителя (Яловицкий Н.М.) по адресу: Ростовская область, Мясниковский район, х. Баевка, ул. Мира, д. 10/а, к.н. 61:25:0080801:80 (1 шт.)</t>
  </si>
  <si>
    <t>Установка системы учета для технологического присоединения энергопринимающих устройств Заявителя (Пожидаев А.А.) по адресу: Ростовская область, Мясниковский район х. Недвиговка, ул. Молодежная, д. 32/г, к.н. 61:25:0070101:4395</t>
  </si>
  <si>
    <t>Установка системы учета для технологического присоединения энергопринимающих устройств Заявителя (Хачатурян Э.Г.) по адресу: Ростовская область, Мясниковский район, с. Большие Салы, ул. Советская, д. 15, к.н. 61:25:0040101:5449 (1 шт.)</t>
  </si>
  <si>
    <t>Установка системы учета для технологического присоединения энергопринимающих устройств Заявителя (Хатламаджиян В.А.) по адресу: Ростовская область, Мясниковский район, с. Чалтырь, ул. 3-я линия, д. 35, к.н. 61:25:0101101:27 (1 шт.)</t>
  </si>
  <si>
    <t>Установка системы учета для технологического присоединения энергопринимающих устройств Заявителя (Администрация Недвиговского сельского поселения) по адресу: Ростовская область, Мясниковский район, х. Недвиговка, ул. Ченцова, д. 12-а, к.н. 61:25:0070101:4696 (1 шт.)</t>
  </si>
  <si>
    <t>Установка системы учета для технологического присоединения энергопринимающих устройств Заявителя (Хейгетян В.С.) по адресу: Ростовская область, Мясниковский район, х. Ленинаван, ул. Ленина, д. 9-а, к.н. 61:25:0030202:4457 (1 шт.)</t>
  </si>
  <si>
    <t>Установка системы учета для технологического присоединения энергопринимающих устройств Заявителя (Хурдаев Ю.М.) по адресу: Ростовская область, Мясниковский район, с. Чалтырь, ул. Первоиюньская, д. 2, к.н. 61:25:0101307:59 (1 шт.)</t>
  </si>
  <si>
    <t>Установка системы учета для технологического присоединения энергопринимающих устройств Заявителя (ИП Симонян А.З.) по адресу: Ростовская область, Мясниковский район , 255 м влево автодороги Ростов-на-Дону – Новошахтинск, к.н. 61:25:0600401:9857 (1 шт.)</t>
  </si>
  <si>
    <t>Установка системы учета для технологического присоединения энергопринимающих устройств Заявителя (Ялтырева Н.А.) по адресу: Ростовская область, Мясниковский район, к.н. 61:25:0600401:14207 (1 шт.)</t>
  </si>
  <si>
    <t>Установка системы учета для технологического присоединения энергопринимающих устройств Заявителя (Ялтырева Н.А.) по адресу: Ростовская область, Мясниковский район, к.н. 61:25:0600401:14205 (1 шт.)</t>
  </si>
  <si>
    <t>Установка системы учета для технологического присоединения энергопринимающих устройств Заявителя (Федько Н.С.) по адресу: Ростовская область, Мясниковский район, х. Ленинакан, к.н. 61:25:0600401:15556 (1 шт.)</t>
  </si>
  <si>
    <t>Установка системы учета для технологического присоединения энергопринимающих устройств Заявителя (Шахбазян В.Г.) по адресу: Ростовская область, Мясниковский район, с. Большие Салы, ул. Семейная, д. 16, к.н. 61:25:0600501:1876 (1 шт.)</t>
  </si>
  <si>
    <t>Установка системы учета для технологического присоединения энергопринимающих устройств Заявителя (Акоджян М.Т.) по адресу: Ростовская область, Мясниковский район, х. Ленинакан, ул. Васильковая, д. 5, к.н. 61:25:0030301:360 (1 шт.)</t>
  </si>
  <si>
    <t>Установка системы учета для технологического присоединения энергопринимающих устройств Заявителя (Поповян Г.А.) по адресу: Ростовская область, Мясниковский район, с. Большие Салы, ул. Бакинская, д. 1, к.н. 61:25:0600501:2583 (1 шт.)</t>
  </si>
  <si>
    <t>Установка системы учета для технологического присоединения энергопринимающих устройств Заявителя (Марченко М.Н.) по адресу: Ростовская область, Мясниковский район, х. Ленинаван, ул. С. Хатламаджияна, д. 18, к.н. 61:25:0030202:856 (1 шт.)</t>
  </si>
  <si>
    <t>Установка системы учета для технологического присоединения энергопринимающих устройств Заявителя (Бегларян Н.В.) по адресу: Ростовская область, Мясниковский район, с. Чалтырь, ул. Экологическая, д. 21, к.н. 61:25:0600601:1337 (1 шт.)</t>
  </si>
  <si>
    <t>Установка системы учета для технологического присоединения энергопринимающих устройств Заявителя (ИП Кабицкий А.Л.)  по адресу: Ростовская область, г. Таганрог, ул. Петровская/пер. Итальянский, д.57/7, к.н.: 61:58:0001095:325 (1 шт.)</t>
  </si>
  <si>
    <t>Установка системы учета для технологического присоединения энергопринимающих устройств Заявителя (ООО «ТрансБалт») по адресу: Ростовская область, г. Таганрог, Николаевское шоссе, 11, к.н. 61:58:0006073:8 (1 шт.)</t>
  </si>
  <si>
    <t>Установка системы учета для технологического присоединения энергопринимающих устройств Заявителя (ИП Медков А.А.) по адресу: Ростовская область, г. Таганрог, Поляковское Шоссе, 19, к.н.: 61:58:0002500:1053 (1 шт.)</t>
  </si>
  <si>
    <t>Установка системы учета для технологического присоединения энергопринимающих устройств Заявителя (Зуева И.А.) по адресу: Ростовская область, г. Таганрог, ул. Девичья, д. 21, к.н.: 61:58:0003076:17 (1 шт.)</t>
  </si>
  <si>
    <t>Установка системы учета для технологического присоединения энергопринимающих устройств Заявителя (ИП Чаплыгина Т.В.) по адресу: Ростовская область, г. Таганрог, ул. Чехова, д. 269, к.н.: 61:58:0002285:301 (1 шт.)</t>
  </si>
  <si>
    <t>Установка системы учета для технологического присоединения энергопринимающих устройств Заявителя (ИП Думик Ю.А.) по адресу: Ростовская область, г. Таганрог, ул. Фрунзе, д.92, (1 шт.)</t>
  </si>
  <si>
    <t>Установка системы учета для технологического присоединения энергопринимающих устройств Заявителя (Кузьменко В.Н.) по адресу: Ростовская область, г. Таганрог, ул. Карла Либкнехта, к.н.: 61:58:0001121:325 (1 шт.)</t>
  </si>
  <si>
    <t>Установка системы учета для технологического присоединения энергопринимающих устройств Заявителя (Лыкова А.В.) по адресу: Ростовская область, г. Таганрог, ул. Восточная, д. 61, к.н.: 61:58:0002348:294 (1 шт.)</t>
  </si>
  <si>
    <t>Установка системы учета для технологического присоединения энергопринимающих устройств Заявителя (СНТ «Дачное-3») по адресу: Ростовская область, г. Таганрог, Северо-Западное Шоссе, 1в, СНТ «Дачное-3», аллея №5, участок №94 (1 шт.)</t>
  </si>
  <si>
    <t>Установка системы учета для технологического присоединения энергопринимающих устройств Заявителя (ИП Думик Ю.А.) по адресу: Ростовская область, г. Таганрог, пер. Гоголевский, д. 9 (1 шт.)</t>
  </si>
  <si>
    <t>Установка системы учета для технологического присоединения энергопринимающих устройств Заявителя (Шитов М.В.) по адресу: Ростовская область, г. Таганрог, пер. 13-й Мариупольский, д. 26, к.н.: 61:58:0005225:23, (1 шт.)</t>
  </si>
  <si>
    <t>Установка системы учета для технологического присоединения энергопринимающих устройств Заявителя (ИП Бутенко О. Н.) по адресу: Ростовская область, г. Таганрог, ул. Чехова, 157, к.н. 61:58:0002013:652 (1 шт.)</t>
  </si>
  <si>
    <t>«Установка системы учета для технологического присоединения энергопринимающих устройств Заявителя (ИП Пучка А.А.) по адресу: Ростовская область, М-Курганский район, п. Матвеев Курган, ул. Южная, д. 30, корп. А/1, к.н. 61:21:0010150:878 (1 шт.)»</t>
  </si>
  <si>
    <t>«Установка системы учета для технологического присоединения энергопринимающих устройств Заявителя (Общество с ограниченной ответственностью «Металлоконструкции и железобетонные изделия») по адресу: Ростовская область, М-Курганский район, п. Матвеев Курган, ул. Маркса, д.26, к.н. 61:21:0010166:1 (1 шт.)»</t>
  </si>
  <si>
    <t>«Установка системы учета для технологического присоединения энергопринимающих устройств Заявителя (Колесникова А.А.) по адресу: Ростовская область, М-Курганский район, с. Рясное, ул. Комбайностроителей, д. 42, кв. 3, к.н. 61:21:0020401:383 (1 шт.)»</t>
  </si>
  <si>
    <t>Установка системы учета для технологического присоединения энергопринимающих устройств Заявителя (Абраменко Е.С.) по адресу: Ростовская область, М-Курганский район, п. Матвеев Курган, ул. Восточная д. 31а, к.н. 61:21:0010140:973 (1шт).</t>
  </si>
  <si>
    <t>«Установка системы учета для технологического присоединения энергопринимающих устройств Заявителя (Администрация Матвеево-Курганского района) по адресу: Ростовская область, М-Курганский район, п. Матвеев Курган, ул. Комсомольская, от гражданского кладбища в юго-восточном направлении до примыкания к ул.Чехова, к.н. 61:21:0000000:3392 (1 шт.)»</t>
  </si>
  <si>
    <t>Строительство ВЛ 0,4 кВ от РУ 0,4 кВ ТП 10/0,4 кВ, строительство ТП 10/0,4 кВ, строительство ВЛ 10 кВ от опоры ВЛ 10 кВ № 29-42 ПС 110/10 кВ Р-29 для технологического присоединения Заявителя (ИП Афян С.В.) по адресу: Мясниковский район, х. Ленинаван, ул. Садовая, д 43. (ориентировочная протяженность ЛЭП 1,12 км; мощность силового трансформатора – 160 кВА)</t>
  </si>
  <si>
    <t>Строительство ВЛ 0,4 кВ от опоры по ВЛ 0,4 кВ №1 ТП 10/0,4 кВ №4-30 по ВЛ 10 кВ №4 ПС 110/35/10 кВ Чалтырь для технологического присоединения жилого дома Заявителя (Григорян К.С.) по адресу: Ростовская область, Мясниковский район, с. Крым, ул. 18-я линия, д. 7, к.н. №61:25:0201008:291 (ориентировочная протяженность ЛЭП 0,04 км)</t>
  </si>
  <si>
    <t>Строительство ВЛ 0,4 кВ от ВЛ 0,4 кВ (проектируемой по договору №61-1-20-00541353) от ТП 10/0,4 кВ №1-171 по ВЛ 10 кВ №1 ПС 110/35/10 кВ Чалтырь запитанной от ВЛ 10кВ №29-35 ПС 110/10кВ Р-29, для технологического присоединения жилого дома Заявителя: (Вдовин В.А.) по адресу: Ростовская обл. Мясниковский р-н, х. Ленинаван, ул. Кутузова, д 38 к.н. 61:25:0600401:7998 (ориентировочная протяженность ЛЭП -0,07 км)</t>
  </si>
  <si>
    <t>Строительство ВЛ 0,4 кВ от опоры по ВЛ 0,4 кВ №1 ТП 10/0,4 кВ №2-5 по ВЛ 10 кВ №2 ПС 110/35/10 кВ Чалтырь для технологического присоединения жилого дома Заявителя (Багирян А.А.) по адресу: Ростовская область, Мясниковский район, с. Султан Салы, ул. Налбандяна, д. 22, корп. А, к.н. №61:25:0030401:367, (ориентировочная протяженность ЛЭП 0,075 км)</t>
  </si>
  <si>
    <t>Строительство ВЛ 0,4 кВ от РУ 0,4 кВ ТП 10/0,4 кВ №1-213 по ВЛ 10 кВ №1 ПС 110/35/10 кВ Чалтырь для технологического присоединения нежилого помещения Заявителя (Шахсинов И.Ш.) по адресу: Ростовская область, Мясниковский район, х. Ленинакан, ул. Содружества, д. 9, к.н. №61:25:0600401:16162 (ориентировочная протяженность ЛЭП 0,08 км)</t>
  </si>
  <si>
    <t>«Строительство ВЛ 0,4 кВ от опоры проектируемой по договору 61-1-21-00586345 для технологического присоединения складского здания Заявителя (ИП Евглевский А.А.) по адресу: Ростовская область, Мясниковский район, х. Ленинакан, к.н. 61:25:0600401:15454 (ориентировочная протяженность ЛЭП 0,055 км)»</t>
  </si>
  <si>
    <t>«Строительство ВЛ 0,4 кВ от опоры №35/5 по ВЛ 0,4 кВ №1 ТП 10/0,4 кВ №1-102 по ВЛ 10 кВ №1 ПС 110/35/10 кВ Чалтырь для технологического присоединения жилого дома Заявителя (Шлихениюльер С.Н.) по адресу: Ростовская область, Мясниковский район, х. Ленинаван, ул. М. Сарьяна, д. 19/а, к.н. 61:25:0030202:3164 (ориентировочная протяженность ЛЭП 0,07 км)»</t>
  </si>
  <si>
    <t>Строительство ВЛ 0,4 кВ от ВЛ 0,4 кВ №2 ТП 10/0,4 кВ №7-11 по ВЛ 10 кВ №7 ПС 110/35/10 кВ Синявская для технологического присоединения Заявителя (ООО «Т2 Мобайл») по адресу: Ростовская область, Мясниковский район, х. Хапры, 5 м. по направлению на северо-восток от границы участка расположенного по адресу пер Сафьяновский д.8 (ориентировочная протяженность ЛЭП 0,05 км)</t>
  </si>
  <si>
    <t>«Строительство ВЛ 0,4 кВ от ВЛ 0,4 кВ №2 КТП 10/0,4 кВ №36 ВЛ 10 кВ №5 ПС 110/10 кВ «Самбек» для технологического присоединения жилого дома Заявителя (Тулубенский Д.В.) по адресу: Ростовская область, Неклиновский район, с. Вареновка, пер. Урожайный, д. 9-Б, к.н. 61:26:0040101:5700 (ориентировочная протяженность ЛЭП 0,030 км)»</t>
  </si>
  <si>
    <t>Строительство ВЛ 0,4 кВ от ВЛ 0,4 кВ №1 КТП 10/0,4 кВ №673 ВЛ 10 кВ №1/3 ПС 110/35/10 кВ «Троицкая-1» для технологического объекта торговли (ИП Швец И.В.) по адресу: Ростовская область, Неклиновский район, с. Николаевка, ул. Ленина, д. 317-Е, к.н. 61:26:0513601:413 (ориентировочная протяженность ЛЭП 0,070км).»</t>
  </si>
  <si>
    <t>Строительство ВЛ 0,4 кВ от ВЛ 0,4 кВ №3 КТП 10/0,4 кВ №304м ВЛ 10 кВ №3 ПС 35/10 кВ «ГСКБ» до границ земельного участка Заявителя (ИП Горбова Е.В.) по адресу: Ростовская область, Неклиновский район, п. Дмитриадовка, ул. Тельмана, д.28-А, к.н. 61:26:0180401:1869 (ориентировочная протяженность ЛЭП 0,355 км)</t>
  </si>
  <si>
    <t>Строительство ВЛ 0,4 кВ от ВЛ 0,4 кВ №1 КТП 10/0,4 кВ №571А ВЛ 10 кВ №1/3 ПС 110/35/10 кВ «Троицкая-1» для электроснабжения магазина заявителя (Шипика И.Н.) по адресу: Ростовская обл., Неклиновский район, с. Николаевка, СНТ «Альбатрос», уч.132 к.н. 61:260514201:410 (ориентировочная протяженность ЛЭП 0,07 км)</t>
  </si>
  <si>
    <t>Строительство ВЛ 0,4 кВ от опоры по ВЛ 0,4 кВ №1 ТП 10/0,4 кВ №1426 по ВЛ 10 кВ №20-07 ПС220/110/10 кВ Р-20, для технологического присоединения жилого дома Заявителя (Давтян  С.С.) по адресу: Ростовская область, Мясниковский район, х. Калинин, ул. Восточная -4а к.н. №61:25:0050101:7207, (ориентировочная протяженность ЛЭП 0,05 км)</t>
  </si>
  <si>
    <t>Строительство ВЛ 0,4 кВ от РУ 0,4 кВ ТП 10/0,4 кВ, строительство ТП 10/0,4 кВ, строительство ВЛ 10 кВ от ВЛ 10 кВ №1 ПС 110/35/10 кВ Чалтырь, отпайки на ТП 10/0,4 кВ №1-73А, запитанной от ВЛ 10 кВ №13 ПС 110/35/10 кВ Чалтырь для технологического присоединения производственно-складского помещения Заявителя: (Мнацаканян С.А.), по адресу: Мясниковский район, х. Ленинакан, ул. Южная, д. 1 (ориентировочная протяженность ЛЭП 0,03 км; мощность силового трансформатора – 160 кВА)</t>
  </si>
  <si>
    <t>Строительство ВЛ 0,4 кВ от ВЛ 0,4 кВ №3 КТП 10/0,4 кВ №215Ам ВЛ 10 кВ №2 ПС 110/35/10 кВ «Дарагановская» для технологического присоединения объекта жилого дома Заявителя (Данюшин М.В.) по адресу: Ростовская область, Неклиновский район, х. Дарагановка, ул. Прохладная, 4, к.н. 61:26:0180701:131 (ориентировочная протяженность ЛЭП 0,165 км)</t>
  </si>
  <si>
    <t>Строительство ВЛ 0,4 кВ от РУ 0,4 кВ ТП 10/0,4 кВ №1-205 по ВЛ 10 кВ №1 ПС 110/35/10 кВ Чалтырь для технологического присоединения нежилого помещения Заявителя (Есаян Э.Р.) по адресу: Ростовская область, Мясниковский район, х. Ленинаван, ул. Мира, д. 28, к.н. №61:25:0030202:796 (ориентировочная протяженность ЛЭП 0,13 км)</t>
  </si>
  <si>
    <t>Строительство ВЛ 0,4 кВ от опоры по ВЛ 0,4 кВ №1 ТП 10/0,4 кВ №6-19 по ВЛ 10 кВ №6 ПС 110/35/10 кВ Чалтырь для технологического присоединения жилого дома Заявителя (Батикян Д.Х.) по адресу: Ростовская область, Мясниковский район, с. Крым, ул. 3-я линия, д. 17, к.н. №61:25:0201016:123 (ориентировочная протяженность ЛЭП 0,12 км)</t>
  </si>
  <si>
    <t xml:space="preserve">Строительство ВЛ 0,4 кВ от ВЛ 0,4 кВ №1 КТП 10/0,4 кВ №728 ВЛ 10 кВ №3 ПС 35/10 кВ «ГСКБ» для технологического присоединения жилого дома Заявителя (Триф Ж.В.) по адресу: Ростовская область, Неклиновский район, с. Новобессергеневка, ул. Лескова, д. 21-В, к.н. 61:26:0600024:1431 (ориентировочная протяженность ЛЭП 0,150 км)
</t>
  </si>
  <si>
    <t>Строительство ВЛ 0,4 кВ от опоры по ВЛ 0,4 кВ №2 ТП 10/0,4 кВ №1-16 по ВЛ 10 кВ №1 ПС 110/35/10 кВ Чалтырь для технологического присоединения жилого дома Заявителя (Бабасинян Е.Х.) по адресу: Ростовская область, Мясниковский район, с. Крым, ул. Большесальская, д. 57, к.н. 61:25:0201023:12 (ориентировочная протяженность ЛЭП 0,06 км)</t>
  </si>
  <si>
    <t>Установка системы учета для технологического присоединения энергопринимающих устройств Заявителей: ООО «ПК Энерго» в г.Таганроге, Ростовской области (1 шт)</t>
  </si>
  <si>
    <t>Строительство ВЛ 0,4 кВ от ВЛ 0,4 кВ №2 КТП-10/0,4 кВ  №111 ВЛ 10 кВ №1/3 ПС 110/35/10 кВ «Троицкая-1» до границ земельного участка заявителя (Алтайская Т.И.) по адресу: Ростовская область, Неклиновский район, с. Николаевка, СНТ «Надежда», уч. 130, к.н. 61:26:0110101:10077 (ориентировочная протяженность ЛЭП 0,380 км)</t>
  </si>
  <si>
    <t>1.2. «Установка системы учета для технологического присоединения энергопринимающих устройств Заявителя (Маркова О.В.) по адресу: Ростовская область, г. Таганрог, ул. Адмирала Шестакова, д. 19/пер. 6-й Мариупольский, д. 2, к.н.: 61:58:0005218:336 (1 шт.)»</t>
  </si>
  <si>
    <t>«Установка системы учета для технологического присоединения энергопринимающих устройств Заявителя (Голюбин В.А.) по адресу: Ростовская область, г. Таганрог, ул. Портовая, д. 1а, к.н.: 61:58:0001154:294 (1 шт.)»</t>
  </si>
  <si>
    <t>«Установка системы учета для технологического присоединения энергопринимающих устройств Заявителя (АО «Первая Башенная Компания») по адресу: Ростовская область, г. Таганрог, вблизи ул. Дзержинского, д. 103 (1 шт.)»</t>
  </si>
  <si>
    <t>1.2. «Установка системы учета для технологического присоединения энергопринимающих устройств Заявителя (АО «Первая Башенная Компания») по адресу: Ростовская область, г. Таганрог, вблизи пер. Гоголевский, д. 14 (1 шт.)»</t>
  </si>
  <si>
    <t>«Установка системы учета для технологического присоединения энергопринимающих устройств Заявителя (Гребенников Е.В.) по адресу: Ростовская область, г. Таганрог, пер. 19-й Артиллерийский, д. 2-а, к.н.: 61:58:0003336:275 (1 шт.)»</t>
  </si>
  <si>
    <t>«Установка системы учета для технологического присоединения энергопринимающих устройств Заявителя (Трайжон Д.Г.) по адресу: Ростовская область, г. Таганрог, пер. 1-й Мариупольский, д. 14, к.н.: 61:58:0005212:21, (1 шт.)»</t>
  </si>
  <si>
    <t>1.2. «Установка системы учета для технологического присоединения энергопринимающих устройств Заявителя (Толстов В.Ю.) по адресу: Ростовская область, г. Таганрог, пер. 17-й Мариупольский, д. 54, к.н.: 61:58:0005202:49 (1 шт.)»</t>
  </si>
  <si>
    <t>1.1.  «Установка системы учета для технологического присоединения энергопринимающих устройств Заявителя (Гуляев А.В.) по адресу: Ростовская область, г. Таганрог, ул. Ждановская, д. 29 к.н.: 61:58:0005008:227 (1 шт.)»</t>
  </si>
  <si>
    <t>Установка системы учета для технологического присоединения энергопринимающих устройств Заявителя (ООО «Программные технологии») по адресу: Ростовская область, г. Таганрог, ул. Инструментальная, д. 29-2, к.н. 61:58:0002244:53 (1 шт.)</t>
  </si>
  <si>
    <t>Установка системы учета для технологического присоединения энергопринимающих устройств Заявителя (Тимошин Е.В.) по адресу: Ростовская область, Неклиновский район, с. Долоковка, ул. Октябрьская, д. 23-В, к.н. 61:26:0070401:15 (1 шт.)</t>
  </si>
  <si>
    <t>Установка системы учета для технологического присоединения энергопринимающих устройств Заявителя (Глаголев А.Н.) по адресу: Ростовская область, Неклиновский район, с. Щербаково, ул. Калинина, д. 22, к.н. 61:26:0080501:35 (1 шт.)</t>
  </si>
  <si>
    <t>Установка системы учета для технологического присоединения энергопринимающих устройств Заявителя (Джалаухян Е.И.) по адресу: Ростовская область, Мясниковский район, с. Крым, ул. Мадояна, д. 23, к.н. 61:25:0600201:645 (1 шт.)</t>
  </si>
  <si>
    <t>Установка системы учета для технологического присоединения энергопринимающих устройств Заявителя (Галоян Р.Т.) по адресу: Ростовская область, Мясниковский район, х. Ленинакан, к.н. 61:25:0600401:15453 (1 шт.)</t>
  </si>
  <si>
    <t>Установка системы учета для технологического присоединения энергопринимающих устройств Заявителя (ИП Казарян А.М.) по адресу: Ростовская область, Мясниковский район, х. Красный Крым, к.н. 61:25:0600401:9793 (1 шт.)</t>
  </si>
  <si>
    <t>Строительство ВЛ 0,4 кВ от опоры по ВЛ 0,4 кВ №1 ТП 10/0,4 кВ №20-20 по ВЛ 10 кВ №20-04 ПС 220/110/10 кВ Р-20, для технологического присоединения жилого дома Заявителя (Иванов С.П.) по адресу: Ростовская область, Мясниковский район, х. Калинин, ул. П.Д. Тер-Акоповой, д. 7/б, к.н. №61:25:0050101:7630 (ориентировочная протяженность ЛЭП 0,04 км)</t>
  </si>
  <si>
    <t>Строительство ВЛ 0,4 кВ от опоры по ВЛ 0,4 кВ проектируемой по договору №61-1-19-00493179 от проектируемой ТП 10/0,4 кВ по договору №61-1-19-00493179 по ВЛ 10 кВ №3 ПС 110/35/10 кВ Чалтырь, для технологического присоединения жилого дома Заявителя (Анишин А.И.) по адресу: Ростовская область, Мясниковский район, с. Чалтырь, ул. Сады, д. 12/а, к.н. №61:25:0101221:0001, (ориентировочная протяженность ЛЭП 0,08 км)</t>
  </si>
  <si>
    <t>Строительство ВЛ 0,4 кВ от РУ 0,4 кВ ТП 10/0,4 кВ, строительство ТП 10/0,4 кВ, строительство ВЛ 10 кВ от ВЛ 10 кВ №4 ПС 110/35/10 кВ Чалтырь, отпайки на ТП 10/0,4 кВ №4-20 для технологического присоединения общественного кладбища Заявитель: (Администрация Крымского сельского поселения) по адресу: Мясниковский район, с. Крым, земли колхоза имени Лукашина, к.н. 61:25:0000000:6140 (ориентировочная протяженность ЛЭП 0,02 км; мощность силового трансформатора – 25 кВА)</t>
  </si>
  <si>
    <t>Строительство ВЛ 0,4 кВ от опоры по ВЛ 0,4 кВ №1 ТП 10/0,4 кВ №4-9 по ВЛ 10 кВ №4 ПС 110/35/10 кВ Чалтырь, для технологического присоединения жилого дома Заявителя (Домбрян Г.И.) по адресу: Ростовская область, Мясниковский район, с. Крым, ул. 15-я линия, д. 14, к.н. №61:25:0201019:552 (ориентировочная протяженность ЛЭП 0,03 км)</t>
  </si>
  <si>
    <t>Строительство ВЛ 0,4 кВ от РУ 0,4 кВ ТП 10/0,4 кВ, строительство ТП 10/0,4 кВ, строительство ВЛ 10 кВ от ВЛ 10 кВ №13 ПС 110/35/10 кВ, отпайки на ТП 10/0,4 кВ №13-2А, для технологического присоединения склада Заявителя: (ИП Франчук А.А), по адресу: Мясниковский район, х. Ленинакан, ул. Южная, д. 6, к.н 61:25:0600401:1134 (ориентировочная протяженность ЛЭП 0,06 км; мощность силового трансформатора – 0,16 МВА)</t>
  </si>
  <si>
    <t>Строительство ВЛ 0,4 кВ от КТП 10/0,4 кВ, проектируемой по договору № 61-1-21-00563201 от 11.03.2021 г. для технологического присоединения жилых домов Заявителей (Котикова М.С., Безчасная Т.В.) по адресу: Ростовская область, Неклиновский район, с. Весело-Вознесенка, ул. Пограничная, 1, 1А, к.н. 61:26:0100101:5097, к.н. 61:26:0100101:5098 (ориентировочная протяженность ЛЭП 0,15 км)</t>
  </si>
  <si>
    <t>Строительство ВЛ 0,4 кВ от РУ 0,4 кВ проектируемого ТП 10/0,4 кВ, строительство ТП 10/0,4 кВ, строительство ВЛ 10 кВ от ВЛ 10 кВ №12 ПС 110/35/10 кВ Чалтырь, для технологического присоединения производственно-складского помещения Заявителя: (ИП Наноян А.М.) по адресу: Ростовская обл. Мясниковский р-н, с. Чалтырь, ул. Урожайная, д 81-б к.н. 61:25:0101332:3 (ориентировочная протяженность ЛЭП -0,025 км; мощность силового трансформатора – 0,16 МВА)</t>
  </si>
  <si>
    <t>Строительство ВЛ 0,4 кВ от РУ 0,4 кВ КТП №9 ВЛ 10 кВ №3 ПС 110/10 кВ «Некрасовская» для технологического присоединения жилого дома Заявителя (Яценко Е.Н.) по адресу: Ростовская область, Неклиновский район, с. Большая Неклиновка, пер. Солнечный, 9, к.н. 61:26:0130101:1766 (ориентировочная протяженность ЛЭП 0,15 км)</t>
  </si>
  <si>
    <t>Строительство ВЛ 0,4 кВ от ВЛИ 0,4 кВ №1 ТП 10/0,4 кВ №1-202 по ВЛ 10 кВ №1 ПС 110/35/10 кВ Чалтырь запитанной от ВЛ 10 кВ №13 ПС 110/35/10 кВ Чалтырь для технологического присоединения стоянки для автомобилей Заявителя (Балашов А.В.) по адресу: Мясниковский район, х. Красный Крым, Краснокрымское сельское поселение, 1-й км. автодороги Ростов – Новошахтинск, Промышленная зона, 1-й проезд, к.н. 61:25:0600401:10728 (ориентировочная протяженность ЛЭП 0,045 км)</t>
  </si>
  <si>
    <t>Строительство ВЛ 0,4 кВ от опоры по ВЛИ 0,4 кВ №2 ТП 10/0,4 кВ №1-6 по ВЛ 10 кВ №1 ПС 110/35/10 кВ Чалтырь для технологического присоединения нежилой застройки Заявителя (Соцков В.Г.) по адресу: Ростовская область, Мясниковский район, х. Ленинакан, ул. Дзержинского, д. 1/1, к.н. 61:25:0030301:1374 (ориентировочная протяженность ЛЭП 0,045 км)</t>
  </si>
  <si>
    <t>«Строительство ВЛ 0,4 кВ от ВЛИ 0,4 кВ №1 ТП 10/0,4 кВ №6-45 по ВЛ 10 кВ №6 ПС 110/35/10 кВ Чалтырь для технологического присоединения Заявителя (ИП Барашьян Ю.А.) по адресу: Мясниковский район, с. Чалтырь к.н. 61:25:0600101:145 (ориентировочная протяженность ЛЭП 0,040 км)»</t>
  </si>
  <si>
    <t>Строительство ВЛ 0,4 кВ от ВЛ 0,4 кВ №1 КТП 10/0,4 кВ №31А ВЛ 10 кВ №4 ПС 35/10 кВ «Покровская» до границ земельного участка Заявителя (Норейко А.С.) по адресу: Ростовская область, Неклиновский район, с. Покровское, пер. Мирный, д. 37, к.н. 61:26:0050133:225 (ориентировочная протяженность ЛЭП 0,270 км)</t>
  </si>
  <si>
    <t>Установка системы учета для технологического присоединения энергопринимающих устройств Заявителя (Пужалин Д.В.) по адресу: Ростовская область, г. Таганрог, ул. Транспортная, д. 75, к.н. 61:58:0005012:7 (1 шт.)</t>
  </si>
  <si>
    <t>Установка системы учета для технологического присоединения энергопринимающих устройств Заявителя (Кабицкая Т.В.) по адресу: Ростовская область, г. Таганрог, около пер. Николаевский, д. 5, уч. 1, к.н. 61:58:0006027:952 (1 шт.)</t>
  </si>
  <si>
    <t>Установка системы учета для технологического присоединения энергопринимающих устройств Заявителя (ГБУ РО «Городская больница №7) по адресу: Ростовская область, г. Таганрог, ул. Ленина, д. 216-а, к.н. 61:58:0003186:196 (1 шт.)</t>
  </si>
  <si>
    <t>Установка системы учета для технологического присоединения энергопринимающих устройств Заявителя (Ефимова Л.В.) по адресу: Ростовская область, г. Таганрог, ул. Мало-Свердлова/ 18-й Переулок, д. 29/ 22, к.н.: 61:58:0002190:5 (1 шт.)</t>
  </si>
  <si>
    <t>Установка системы учета для технологического присоединения энергопринимающих устройств Заявителя (ООО «Агрокомплекс Ростовский») по адресу: Ростовская область, М-Курганский район, с. Малокирсановка, в 3 км от ориентира по направлению на восток, к.н. 61:21:0600013:202 (1 шт.)</t>
  </si>
  <si>
    <t>Установка системы учета для технологического присоединения энергопринимающих устройств Заявителя (ООО "Агрокомплекс Ростовский") по адресу: Ростовская область, М-Курганский район, с. Малокирсановка, северо-восточная окраина, к.н. 61:21:0600013:1183 (1 шт)</t>
  </si>
  <si>
    <t>Установка системы учета для технологического присоединения энергопринимающих устройств Заявителя (Третьякова О.Н.) по адресу: Ростовская область, Неклиновский район, с. Самбек, ул. Колхозная, д. 2-В, к.н. 61:26:0000000:6177 (1 шт.)</t>
  </si>
  <si>
    <t>Установка системы учета для технологического присоединения энергопринимающих устройств Заявителя (ИП Барсегян М.А.) по адресу: Ростовская область, Неклиновский район, с. Николаевка, ул. Гоголя, д. 56-Г, к.н. 61:26:0600014:1969 (1 шт.)</t>
  </si>
  <si>
    <t>Установка системы учета для технологического присоединения энергопринимающих устройств Заявителя (Павёлкина Н.Н.) по адресу: Ростовская область, Неклиновский район, с. Синявское, ул. Крупской, д. 86-В, к.н. 61:26:0060101:2481 (1 шт.)</t>
  </si>
  <si>
    <t>Установка системы учета для технологического присоединения энергопринимающих устройств Заявителя (Давтян К.Б.) по адресу: Ростовская область, Неклиновский район, с. Троицкое ул. Ленина, д. 89, к.н. 61:26:0110101:6580 (1 шт.)</t>
  </si>
  <si>
    <t>Установка системы учета для технологического присоединения энергопринимающих устройств Заявителя (Фуфыгин В.П.) по адресу: Ростовская область, Неклиновский район, с. Николаевка, ул. Ленина, д. 327-Г, к.н. 61:26:0110101:10178 (1 шт.)</t>
  </si>
  <si>
    <t>Установка системы учета для технологического присоединения энергопринимающих устройств Заявителя (Щёлоков Э.М.) по адресу: Ростовская область, Неклиновский район, с. Синявское, ул. Халтурина, д. 78-Б, к.н. 61:26:0060101:5885 (1 шт.)</t>
  </si>
  <si>
    <t>Установка системы учета для технологического присоединения энергопринимающих устройств Заявителя (ИП Суренян Г.Н.) по адресу: Ростовская область, Мясниковский район, с. Крым, ул. 19-я линия, д. 32, к.н. 61:25:0201019:570 (1 шт.)</t>
  </si>
  <si>
    <t>Установка системы учета для технологического присоединения энергопринимающих устройств Заявителя (Лаухин А.А.) по адресу: Ростовская область, Мясниковский район, х. Ленинаван, ул. И. Айвазовского, д. 31/49-а, к.н. 61:25:0600401:5407 (1 шт.)</t>
  </si>
  <si>
    <t>Установка системы учета для технологического присоединения энергопринимающих устройств Заявителя (ИП Квитко А.В.) по адресу: Ростовская область, Мясниковский район, х. Ленинаван, ул. Ленина, д. 2/7, к.н. 61:25:0030202:5001 (1 шт.)</t>
  </si>
  <si>
    <t>Установка системы учета для технологического присоединения энергопринимающих устройств Заявителя (Наноян А.М.) по адресу: Ростовская область, Мясниковский район, с. Чалтырь, ул. Первомайская, д. 50-а, к.н. 61:25:0101317:24 (1 шт.)</t>
  </si>
  <si>
    <t>Установка системы учета для технологического присоединения энергопринимающих устройств Заявителя (ИП Капикян Э.Х.) по адресу: Ростовская область, Мясниковский район, с. Чалтырь, ул. Социалистическая, д. 25, корп. ц, к.н. 61:25:0101334:1279 (1 шт.)</t>
  </si>
  <si>
    <t>Строительство ВЛ 0,4 кВ от опоры ВЛ 0,4 кВ №1 ТП 10/0,4 кВ №1-133 по ВЛ 10 кВ №13 ПС 110/35/10 кВ Чалтырь, для технологического присоединения жилого дома Заявителя (Гайзель К.С.) по адресу: Мясниковский район, х. Ленинаван, ул. Мясникяна д. 84 (ориентировочная протяженность ЛЭП 0,19 км)</t>
  </si>
  <si>
    <t>Строительство ВЛ 0,4 кВ от ВЛИ 0,4 кВ №1 ТП 10/0,4 кВ №7-43 по ВЛ 10 кВ №7 ПС 110/35/10 кВ Синявская для технологического присоединения жилых домов Заявителей (Макаришина О.К., Короткий А.Ф.) по адресу: Мясниковский район, х. Недвиговка, ул. Молодежная, 3, к.н. 61:25:0070101:75, х. Недвиговка, ул. Молодежная, 5, к.н. 61:25:0070101:0064, (ориентировочная протяженность ЛЭП 0,055 км)</t>
  </si>
  <si>
    <t>Строительство ВЛ 0,4 кВ от КТП 10/0,4кВ №62 ВЛ 10 кВ №4 ПС Куйбышево-1, для технологического присоединения объекта Заявителя (Матлахов В.С.) по адресу: Ростовская область, Куйбышевский р-н, х. Новоивановский, 1300м на юг, к.н: 61:19:0600001:2215 (ориентировочная протяженность ЛЭП 0,12 км)</t>
  </si>
  <si>
    <t>Строительство ВЛ 0,4 кВ от проектируемой ВЛ 0,4 кВ по договору от 09.03.2022№61-1-22-00631287 от ВЛ 0,4 кВ №2 КТП 10/0,4 кВ №522 ВЛ 10 кВ №1/3 ПС 110/35/10 кВ «Троицкая-1» для технологического присоединения жилого дома Заявителя (Мельниченко Я.В.) по адресу: Ростовская область, Неклиновский район, с. Николаевка, ДНТ «Коммунальник», уч. 126, к.н. 61:26:0513701:193 (ориентировочная протяженность ЛЭП 0,020 км)</t>
  </si>
  <si>
    <t>Строительство ВЛ 0,4 кВ от опоры № 55 ВЛ 0,4кВ №7 ТП 6/0,4кВ №104 по КЛ 6кВ № 12 от РП 6 кВ № 9 по КЛ 6 кВ №38 ПС-110/6 кВ Т-24, для технологического присоединения жилого дома Заявителя Иванцова А.Г. по адресу: Ростовская область, г. Таганрог, ул. Цветная, д. 52, к.н. 61:58:0002272:23 (ориентировочная протяженность  ЛЭП 0,195 км)</t>
  </si>
  <si>
    <t>«Строительство ВЛ 0,4 кВ от ВЛ 0,4 кВ №7 ТП 6/0,4 кВ №296 по КВЛ 6 кВ №74 ПС-35/6 кВ Т-8 для технологического присоединения нежилого здания Заявителя (Зайцева Т.Е., Тимофеева Ю.Е., Манахов Д.Н., Ленева Ю.Г., Карпенко С.В.) по адресу: Ростовская область, г. Таганрог, 5-й Новый, д. 112 к.н. 61:58:0004522:498, 61:58:0004522:512, 61:58:0004522:503, 61:58:0004522:488, 61:58:0004522:516 (ориентировочная протяженность ЛЭП 0,460 км)</t>
  </si>
  <si>
    <t>Строительство ВЛ 0,4 кВ от опоры по ВЛИ 0,4 кВ №1 ТП 10/0,4 кВ №1-203 по ВЛ 10 кВ №1 ПС 110/35/10 кВ Чалтырь, для технологического присоединения базовой станции сотовой связи №70490 Заявителя (ПАО «ВымпелКом») по адресу: Ростовская область, Мясниковский район, х. Ленинакан, ул. Ростовская, д. 28/в, к.н. №61:25:0030301:193, (ориентировочная протяженность ЛЭП 0,15 км)</t>
  </si>
  <si>
    <t>Строительство ВЛ 0,4 кВ от ВЛ 0,4 кВ №1 ТП 10/0,4 кВ №3-6 по ВЛ 10 кВ №3 ПС 110/35/10 кВ Чалтырь, для технологического присоединения НТО Заявителя (ИП Аведов В.И.) по адресу: Ростовская область, Мясниковский район, с. Чалтырь, в 5-6 метрах с северо-восточной стороны от участка на ул. Социалистической, 46, корп. В, (ориентировочная протяженность ЛЭП 0,1 км)</t>
  </si>
  <si>
    <t>Строительство ВЛ 0,4 кВ от опоры по ВЛ 0,4 кВ №1 ТП 10/0,4 кВ №1-6 по ВЛ 10 кВ №1 ПС 110/35/10 кВ Чалтырь для технологического присоединения жилого дома Заявителя (Бушунц А.В.) по адресу: Ростовская область, Мясниковский район, х. Ленинакан, ул. Дачная, д. 5, к.н. №61:25:0030301:1476, (ориентировочная протяженность ЛЭП 0,1 км)</t>
  </si>
  <si>
    <t>Строительство ВЛ 0,4 кВ от РУ 0,4 кВ ТП 10/0,4 кВ, строительство ТП 10/0,4 кВ, строительство ВЛ 10 кВ от опоры отпайки на ТП 10/0,4 кВ №1-24 по ВЛ 10 кВ №1 ПС 110/35/10 кВ Чалтырь, для технологического присоединения складского здания Заявителя: (ИП Катарян Ф.С.), по адресу: Мясниковский район, х. Красный Крым, ул. Индустриальная, д. 16, к.н 61:25:0600401:7997. (ориентировочная протяженность ЛЭП 0,03 км; мощность силового трансформатора – 0,16 МВА)</t>
  </si>
  <si>
    <t>Строительство ВЛ 0,4 кВ от РУ 0,4 кВ проектируемого ТП 10/0,4 кВ, строительство ТП 10/0,4 кВ, строительство ВЛ 10 кВ от ВЛ 10 кВ №2 ПС 110/35/10 кВ Чалтырь, для технологического присоединения индивидуального жилого дома Заявителя: (Яворская А.И.) по адресу: Ростовская обл. Мясниковский р-н, с. Султан Салы, ул. Пролетарская, д. 26/а к.н. 61:25:0030401:485 (ориентировочная протяженность ЛЭП - 0,055 км; мощность силового трансформатора – 0,025 МВА)</t>
  </si>
  <si>
    <t>Строительство ВЛ 0,4кВ от ВЛ 0,4кВ №3 ТП 6/0,4кВ №15 для технологического присоединения жилого дома Заявителя (Ткачук Анна Валерьевна) по адресу: Ростовская обл., г. Таганрог, ул. Энгельса, д.66, к.н.:61:58:0001099:14 (ориентировочная протяженность ЛЭП 0,195 км)</t>
  </si>
  <si>
    <t>Строительство ВЛ 0,4 кВ от ВЛ 0,4 кВ №1 ТП 10/0,4кВ №656 для технологического присоединения жилого дома Заявителя (Бастриков В.В.) по адресу: Ростовская обл., г. Таганрог, ул. Победы, д.36, к.н.:61:58:0007023:142 (ориентировочная протяженность ЛЭП 0,065 км)</t>
  </si>
  <si>
    <t>Строительство ВЛИ 0,4 кВ от опоры до границ земельного участка заявителя по существующим опорам по ВЛ-0,4кВ №1 от КТП-10/0,4кВ №189 по ВЛ-10кВ №3 ПС 35/10 кВ Колесниковская, для технологического присоединения жилого дома Заявителя (Гугасари Р.А.) по адресу: Ростовская область, М-Курганский район, п. М-Курган, ул. Мира д. 33, к.н. 61:21:0010154:193 (ориентировочная протяженность ЛЭП 0,16 км)</t>
  </si>
  <si>
    <t>Строительство ВЛ 0,4 кВ от оп. №25 ВЛ 0,4 кВ №1 КТП 10/0,4 кВ №44м ВЛ 10 кВ №5 ПС 35/10 кВ «Русский Колодец» для технологического присоединения объекта медицинского учреждения Заявителя (МБУЗ «ЦРБ») по адресу: Ростовская область, Неклиновский район, с. Беглица, ул. Свободы, д. 2, к.н. 61:26:0160501:483 (ориентировочная протяженность ЛЭП 0,7 км)</t>
  </si>
  <si>
    <t>Строительство ВЛ 0,4 кВ от опоры по ВЛ 0,4 кВ №1 ТП 10/0,4 кВ №1-12 по ВЛ 10 кВ №1 ПС 110/35/10 кВ Чалтырь для технологического присоединения жилого дома Заявителя (Кривоносова Е.Н.) по адресу: Ростовская область, Мясниковский район, х. Ленинаван, ул. Шаумяна, д. 28/с, к.н. 61:25:0600401:4710 (ориентировочная протяженность ЛЭП 0,075 км)</t>
  </si>
  <si>
    <t>Строительство ВЛ 0,4 кВ от ВЛ 0,4 кВ №4 КТП 10/0,4 кВ №285 ВЛ 10 кВ №2 ПС 35/10 кВ «Троицкая» для технологического присоединения здания отделения почтовой связи Заявителя (АО «Почта России») по адресу: Ростовская область, Неклиновский район, с. Троицкое, ул. Ленина, д. 46, к.н. 61:26:0010101:4929 (ориентировочная протяженность ЛЭП 0,030 км)»</t>
  </si>
  <si>
    <t>Строительство ВЛ 0,4 кВ от ВЛ 0,4 кВ №1 КТП 10/0,4 кВ №162м ВЛ 10 кВ №3 ПС 110/10 кВ «Носовская» для технологического присоединения здания отделения почтовой связи Заявителя (АО «Почта России») по адресу: Ростовская область, Неклиновский район, с. Носово, ул. Мира, д. 31, к.н. 61:26:0150101:1385 (ориентировочная протяженность ЛЭП 0,040 км)»</t>
  </si>
  <si>
    <t>Строительство ВЛ 0,4 кВ от ВЛ 0,4 кВ №2 КТП 10/0,4 кВ №386м ВЛ 10 кВ №1 ПС 35/10 кВ «Щербаковская» для технологического присоединения нежилого помещения Заявителя (АО «Почта России») по адресу: Ростовская область, Неклиновский район, с. Васильево-Ханжоновка, пер. Галухина, д. 4, к.н. 61:26:0080101:735 (ориентировочная протяженность ЛЭП 0,080 км)»</t>
  </si>
  <si>
    <t>Строительство ВЛ 0,4 кВ от ВЛ 0,4 кВ №1 КТП 10/0,4 кВ №294 ВЛ 10 кВ №4 ПС 110/10 кВ «Лиманная» для технологического присоединения здания отделения почтовой связи Заявителя (АО «Почта России») по адресу: Ростовская область, Неклиновский район, с. Андреево-Мелентьево, ул. Победы, д. 1, к.н. 61:26:0090101:968 (ориентировочная протяженность ЛЭП 0,190 км)</t>
  </si>
  <si>
    <t>Строительство ВЛ 0,4 кВ от ВЛ 0,4 кВ №2 ТП 6/0,4 кВ №116 по КВЛ 6 кВ №80 ПС-35/6 кВ Т-8, для технологического присоединения Заявителя (Гуслиц В.В.) по адресу: Ростовская область, г. Таганрог, проезд 6-й Линейный, д. 90 к.н. 61:58:0004222:21 (ориентировочная протяженность ЛЭП 0,06 км)»</t>
  </si>
  <si>
    <t>Строительство ВЛ 0,4 кВ от ВЛ 0,4кВ № 1 ТП 6/0,4кВ №68 по КВЛ 6кВ № 724 ПС-110/6 кВ Т-23, для технологического присоединения нежилого здания Заявителя (Доронина Т.В.) по адресу: Ростовская область, г. Таганрог, ул. Рыболовецкий тупик, д. 10 (ориентировочная протяженность ЛЭП 0,15 км)</t>
  </si>
  <si>
    <t>Строительство ВЛ 0,4 кВ от ВЛ 0,4 кВ №1 КТП 10/0,4 кВ №846 ВЛ 10 кВ №1/3 ПС 110/35/10 кВ «Троицкая-1» для технологического присоединения производственного здания Заявителя (Малышев С.А.) по адресу: Ростовская область, Неклиновский район, к.н. 61:26:0600014:2035 (ориентировочная протяженность ЛЭП 0,03 км)</t>
  </si>
  <si>
    <t>Строительство ВЛ 0,4 кВ от ВЛ 0,4кВ №3  ТП 6/0,4кВ № «В» по КЛ 6кВ 117 ПС-110/35/6 кВ Т-11, для технологического присоединения нежилого здания Заявителя (Зеленская И.Я.) по адресу: Ростовская область, г. Таганрог, 10-й Переулок, д. 117-к, к.н. 61:58:0002436:44 (ориентировочная протяженность ЛЭП 0,05 км)</t>
  </si>
  <si>
    <t>Строительство ВЛ 0,4 кВ от ВЛ 0,4 кВ, проектируемой по договору ТП № 61-1-22-00633083 от 16.03.2022 г. для технологического присоединения нежилой застройки Заявителя (ИП Григорян А.Л.) по адресу: Ростовская область, Неклиновский район, с. Новобессергеневка, ул. Лескова, 17-Б, к.н. 61:26:0600024:5382 (ориентировочная протяженность ЛЭП 0,08 км)</t>
  </si>
  <si>
    <t>Строительство ВЛИ 0,4 кВ от ВЛ 0,4 кВ №2 № КТП 10/0,4 кВ №159 по ВЛ 10 кВ №2 ПС-110/35/10 кВ Латоновская до границ земельного участка Заявителя (ИП Шиленко Н.Д.) по адресу: Ростовская область, Матвеево-Курганский район, с. Латоново, установлено относительно ориентира, расположенного в границах участка на территории ТОО «Латоново», к.н. 61:21:0600016:1111 (ориентировочная протяженность ЛЭП 0,05км)</t>
  </si>
  <si>
    <t>Строительство ВЛ 0,4 кВ от ВЛ 0,4 кВ №3 КТП 10/0,4 кВ №104 ВЛ 10 кВ №3 ПС Куйбышево-1, для технологического присоединения объекта Заявителя (ООО «Т2 Мобайл») по адресу: Российская Федерация, Ростовская обл., р-н. Куйбышевский, с. Куйбышево, в границах кадастрового квартала находящихся в государственной неразграниченной собственности, к.н. 61:19:0010127 (ориентировочная протяженность ЛЭП 0,25 км)</t>
  </si>
  <si>
    <t>Строительство ВЛИ 0,4 кВ от опоры ВЛ-0,4кВ №1 от КТП-10/0,4кВ №111 по ВЛ-10кВ №7 ПС 35/10 кВ Анастасиевская, для технологического присоединения нежилой застройки Заявителя (Сериков П.И.) по адресу: Ростовская область, М-Курганский район, с. Новониколаевка, ул. 40 лет Победы, д. 35, к.н: 61:21:0000000:4290 (ориентировочная протяженность ЛЭП 0,150 км)</t>
  </si>
  <si>
    <t>Строительство ВЛ 0,4 кВ от ВЛ 0,4кВ № 11 ВЛ 0,4 кВ №1 КТП 10/0,4 кВ №58 ВЛ 10 кВ №1 ПС Донская для технологического присоединения земельного участка Заявителя (ИП Кущ В.В.) по адресу: Ростовская область, Куйбышевский район, 140м на восток, с. Миллерово, ул. Новая. д.1. к.н. 61:19:0600003:2301 (ориентировочная протяженность ЛЭП 0,255 км)</t>
  </si>
  <si>
    <t>Строительство ВЛ 0,4 кВ от опоры по ВЛ 0,4 кВ №2 ТП 10/0,4 кВ №1-10 по ВЛ 10 кВ №1 ПС 110/35/10 кВ Чалтырь для технологического присоединения жилого дома Заявителя (Акопян К.Н.) по адресу: Ростовская область, Мясниковский район, х. Ленинаван, ул. Абовяна, д. 34/а, к.н. 61:25:0030202:5031 (ориентировочная протяженность ЛЭП 0,08 км)»</t>
  </si>
  <si>
    <t>Строительство ВЛ 0,4 кВ от опоры по ВЛ 0,4 кВ №1 ТП 10/0,4 кВ №1-10 по ВЛ 10 кВ №1 ПС 110/35/10 кВ Чалтырь, запитанной от ВЛ 10 кВ №29-35 ПС 110/10 кВ Р-29 для технологического присоединения жилого дома Заявителя (Зопунян К.Ш.) по адресу: Ростовская область, Мясниковский район, х. Ленинаван, ул. Мясникяна, д. 9/6, к.н. 61:25:0030202:4983 (ориентировочная протяженность ЛЭП 0,08 км)»</t>
  </si>
  <si>
    <t xml:space="preserve">«Строительство ВЛ 0,4 кВ от новой ТП 10/0,4 кВ, строительство ТП 10/0,4 кВ, строительство ВЛ 10 кВ от опоры по ВЛ 10 кВ №1 ПС 110/35/10 кВ «Чалтырь», отпайки на ТП 10/0,4 кВ №1-41А, для технологического присоединения станции технического обслуживания Заявителя (ИП Кушнир А.А.) по адресу: Ростовская область, Мясниковский район, х. Ленинаван, ул. Озерная, д. 49/1 (ориентировочная протяженность ЛЭП 0,02 км; мощность силового трансформатора 0,1 МВА)» </t>
  </si>
  <si>
    <t>Строительство ВЛ 0,4 кВ от новой ТП 10/0,4 кВ, строительство ТП 10/0,4 кВ, строительство ВЛ 10 кВ от ВЛ 10 кВ №1 ПС 110/35/10 кВ «Чалтырь», отпайки на ТП 10/0,4 кВ №1-5А, для технологического присоединения производственное здание/помещение Заявителя (ИП Ахундов Р.А.) по адресу: Ростовская область, Мясниковский район, на землях колхоза «Дружба», к.н. 61:25:0600401:14567 (ориентировочная протяженность ЛЭП 0,02 км; мощность силового трансформатора 0,16 МВА)</t>
  </si>
  <si>
    <t>Строительство ВЛ 0,4 кВ от РУ 0,4 кВ КТП 10/0,4 кВ №812 ВЛ 10 кВ №3 ПС 110/10 кВ «Самбек» для технологического присоединения жилого дома Заявителя (Кочетков В.Г.) по адресу: Ростовская область, Неклиновский район, х. Сужено, ул. Береговая, д. 2, к.н. 61:26:0020201:2 (ориентировочная протяженность ЛЭП 0,015 км)</t>
  </si>
  <si>
    <t>Строительство ВЛ 0,4 кВ от ВЛ 0,4 кВ №1 ТП 10/0,4 кВ №219 ВЛ 10 кВ №8 ПС 35/10 кВ «Покровская» для технологического присоединения жилого дома Заявителя (Мирский Д.Р.) по адресу: Ростовская область, Неклиновский район, с. Покровское, ул. Березовая, д. 24, к.н. 61:26:0050114:753 (ориентировочная протяженность ЛЭП 0,040 км).</t>
  </si>
  <si>
    <t>Строительство ВЛ 0,4 кВ от ВЛ 0,4 кВ №1 КТП 10/0,4 кВ №428 ВЛ 10 кВ №3 ПС 110/10 кВ «Некрасовская» для технологического присоединения жилого дома Заявителя (Тагирова А.В.) по адресу: Ростовская область, Неклиновский район, с. Большая Неклиновка, пер. Горный, д. 47-А, к.н. 61:26:0600005:950 (ориентировочная протяженность ЛЭП 0,030 км)</t>
  </si>
  <si>
    <t>Строительство ВЛ 0,4 кВ от построенной ВЛ 0,4 кВ по договору ТП № 61-1-21-00578565 от 05.06.2021г. по ВЛ 0,4 кВ №2 КТП 10/0,4 кВ №266М ВЛ 10 кВ №2 ПС 110/35/10 кВ «Дарагановская» до границ земельного участка заявителя Заявителя (Раксин А.В.) по адресу: Ростовская область, Неклиновский район, х. Дарагановка, ул. Северная, д. 64, к.н. 61:26:0180701:569 (ориентировочная протяженность ЛЭП 0,090 км)</t>
  </si>
  <si>
    <t>Строительство ВЛ 0,4 кВ от опоры № 7 ВЛ 0,4кВ №8  КТП 6/0,4кВ №543 по КВЛ 6кВ № АБЗ ПС-110/35/6 кВ ТОС, для технологического присоединения жилого дома Заявителя (Печерин С.В.) по адресу: Ростовская область, г. Таганрог, пер. 21-й Мариупольский, д. 2 (76), к.н. 61:58:0005257:76 (ориентировочная протяженность ЛЭП 0,09 км</t>
  </si>
  <si>
    <t>Установка системы учета для технологического присоединения энергопринимающих устройств Заявителя (Дмитриев А.А.) по адресу: Ростовская область, М-Курганский район, п. Матвеев Курган, ул. Строительная, д. 23, к.н. 61:21:0010158:771 (1шт)</t>
  </si>
  <si>
    <t>Установка системы учета для технологического присоединения энергопринимающих устройств Заявителя (Решетов А.Г.) по адресу: Ростовская область, г. Таганрог, ул. 1-я Линия, земельный участок 101, к.н.: 61:58:0004026:282, (1 шт.)</t>
  </si>
  <si>
    <t>Установка системы учета для технологического присоединения энергопринимающих устройств Заявителя (Адров Д.А.) по адресу: Ростовская область, г. Таганрог, ул. Дачная, к.н.: 61:58:0004217:336 (1 шт.)</t>
  </si>
  <si>
    <t>Установка системы учета для технологического присоединения энергопринимающих устройств Заявителя (АО «Первая Башенная Компания») по адресу: Ростовская область, Неклиновский район, п. Приазовский, ул. Школьная, вблизи уч. 1-Б , к.н. 61:26:0100301 (1 шт.)</t>
  </si>
  <si>
    <t>Установка системы учета для технологического присоединения энергопринимающих устройств Заявителя (Симков В.Н.) по адресу: Ростовская область, Неклиновский район, х. Мержаново, пер. 6-й Комсомольский, д. 2, к.н. 61:26:0060301:47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</si>
  <si>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Неклиновский район, с. Покровское, пер. Парковый, д. 2, к.н. 61:26:0050101:2258 (1 шт.)</t>
  </si>
  <si>
    <t>Установка системы учета для технологического присоединения энергопринимающих устройств Заявителя (Салей Т.М.) по адресу: Ростовская область, с. Николаевка, ул. Парковая, д. 85, к.н. 61:26:0110101:354 (1 шт.)</t>
  </si>
  <si>
    <t>Установка системы учета для технологического присоединения энергопринимающих устройств Заявителя (Родыгин В.Г.) по адресу: Ростовская область, Неклиновский район, с. Русский Колодец, ул. Чехова, д. 22, к.н. 61:26:0070701:62 (1 шт.)</t>
  </si>
  <si>
    <t>Установка системы учета для технологического присоединения энергопринимающих устройств Заявителя (Серебренников М.А.) по адресу: Ростовская область, Неклиновский район, с. Вареновка, ул. Советская, д. 31-Б, к.н. 61:26:0040101:1476 (1 шт.)</t>
  </si>
  <si>
    <t>Установка системы учета для технологического присоединения энергопринимающих устройств Заявителя (Стадник Г.А.) по адресу: Ростовская область, с. Вареновка, ул. Садовая, д. 9, к.н. 61:26:0040101:599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</si>
  <si>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Неклиновский район, с. Отрадное, ул. Школьная, д. 30, к.н. 61:26:0190101:614 (1 шт.)</t>
  </si>
  <si>
    <t>Установка системы учета для технологического присоединения энергопринимающих устройств Заявителя (Кучеров А.А.) по адресу: Ростовская область, Неклиновский район, с. Троицкое, ул. Новая, д. 67, к.н. 61:26:0010101:1353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</si>
  <si>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с. Покровское, ул. Привокзальная, д. 44, к.н. 61:26:0050136:642 (1 шт.)</t>
  </si>
  <si>
    <t>Установка системы учета для технологического присоединения энергопринимающих устройств Заявителя (Макаров В.Ф.) по адресу: Ростовская область, Неклиновский район, с. Николаевка, ул. Лермонтова, д. 29-Б, к.н. 61:26:0110101:8558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</si>
  <si>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Неклиновский район, с. Новобессергеневка, ул. Коминтерна, д. 25-А, к.н. 61:26:0180101:141 (1 шт.)</t>
  </si>
  <si>
    <t>Установка системы учета для технологического присоединения энергопринимающих устройств Заявителя (Мушаров В.А.) по адресу: Ростовская область, Неклиновский район, х. Мержаново, СНТ «Металлург-6», уч. 1038, к.н. 61:26:0505901:568 (1 шт.)</t>
  </si>
  <si>
    <t>Установка системы учета для технологического присоединения энергопринимающих устройств Заявителя (АО «Первая Башенная Компания») по адресу: Ростовская область, Неклиновский район, с. Беглица, ул. Первомайская, уч. в 40 м от д. 1, к.н. 61:26:0070101 (1 шт.)</t>
  </si>
  <si>
    <t>Установка системы учета для технологического присоединения энергопринимающих устройств Заявителя (Родионова Е.С.) по адресу: Ростовская область, Неклиновский район, с. Николаевка, ул. Фрунзе, д. 5-Б, к.н. 61:26:0110101:9066 (1 шт.)</t>
  </si>
  <si>
    <t>Установка системы учета для технологического присоединения энергопринимающих устройств Заявителя (Корниенко Ю.М.) по адресу: Ростовская область, Неклиновский район, с. Самбек, СПК колхоз «Колос», поле №4, 9, 11, 17, западная часть поля №130, к.н. 61:26:0600015:4945 (1 шт.)</t>
  </si>
  <si>
    <t>Установка системы учета для технологического присоединения энергопринимающих устройств Заявителя (Ерофеева И.Е.) по адресу: Ростовская область, Неклиновский район, с. Николаевка, ул. Межевая, д. 64, к.н. 61:26:0110101:1186 (1 шт.)</t>
  </si>
  <si>
    <t>Установка системы учета для технологического присоединения энергопринимающих устройств Заявителя (Алексанян А.А.) по адресу: Ростовская область, Мясниковский район, с. Чалтырь, ул. 9-й тупик, д. 19, к.н. 61:25:0101333:14 (1 шт.)</t>
  </si>
  <si>
    <t>Установка системы учета для технологического присоединения энергопринимающих устройств Заявителя (ИП Егиазарян А.С.) по адресу: Ростовская область, Мясниковский район, с. Крым, ул. 19-я линия, д. 27-е, к.н. 61:25:0201019:1076 (1 шт.)</t>
  </si>
  <si>
    <t>Установка системы учета для технологического присоединения энергопринимающих устройств Заявителя (Баласанян М.А.) по адресу: Ростовская область, Мясниковский район, х. Ленинаван, ул. Ленина, д. 34/1, к.н. 61:25:0030202:5344 (1 шт.)</t>
  </si>
  <si>
    <t>Установка системы учета для технологического присоединения энергопринимающих устройств Заявителя (Нарижняя С.И.) по адресу: Ростовская область, Мясниковский район, с. Султан Салы, ул. Мясникяна, д. 4-а, к.н. 61:25:0030401:1857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</si>
  <si>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Мясниковский район, х. Веселый, ул. Красноармейская, д. 19, к.н. 61:25:0060101:2681 (1 шт.)</t>
  </si>
  <si>
    <t>Установка системы учета для технологического присоединения энергопринимающих устройств Заявителя (Шагинян Д.А.) по адресу: Ростовская область, Мясниковский район, с. Чалтырь, ул. Хлеборобная, к.н. 61:25:0101521:312 (1 шт.)</t>
  </si>
  <si>
    <t>Установка системы учета для технологического присоединения энергопринимающих устройств Заявителя (АО «Первая Башенная Компания») по адресу: Ростовская область, Мясниковский район, х. Калинин, ул. Школьная, вблизи д. 135Б (1 шт.)</t>
  </si>
  <si>
    <t>Установка системы учета для технологического присоединения энергопринимающих устройств Заявителя (АО «Первая Башенная Компания») по адресу: Ростовская область, Мясниковский район, х. Калинин, ул. Степная, вблизи д. 40, к.н. 61:25:0050101 (1 шт.)</t>
  </si>
  <si>
    <t>Установка системы учета для технологического присоединения энергопринимающих устройств Заявителя (Корманукян Ю.А.) по адресу: Ростовская область, Мясниковский район, с. Крым, ул. Крестьянская, д. 20, к.н. 61:25:0201003:69 (1 шт.)</t>
  </si>
  <si>
    <t>Установка системы учета для технологического присоединения энергопринимающих устройств Заявителя (Кучукян Н.К.) по адресу: Ростовская область, Мясниковский район, х. Ленинаван, ул. Мясникяна, д. 29-а, к.н. 61:25:0030202:1166 (1 шт.)</t>
  </si>
  <si>
    <t>Установка системы учета для технологического присоединения энергопринимающих устройств Заявителя (Бабиян А.С.) по адресу: Ростовская область, Мясниковский район, х. Красный Крым, ул. Новая, д. 6, к.н. 61:25:0600401:5110 (1 шт.)</t>
  </si>
  <si>
    <t>Установка системы учета для технологического присоединения энергопринимающих устройств Заявителя (Мелконян М.К.) по адресу: Ростовская область, Мясниковский район, х. Ленинакан, ул. Ростовская, д. 6-а, к.н. 61:25:0030301:1541 (1 шт.)</t>
  </si>
  <si>
    <t>Установка системы учета для технологического присоединения энергопринимающих устройств Заявителя (ООО «САН-АГРО») по адресу: Ростовская область, Мясниковский район, с. Крым, ул. Восточная, д. 5, к.н. 61:25:0201019:1042 (1 шт.)</t>
  </si>
  <si>
    <t>Установка системы учета для технологического присоединения энергопринимающих устройств Заявителя (Ширинян И.С.) по адресу: Ростовская область, Мясниковский район, с. Чалтырь, ул. Социалистическая, д. 23-у, к.н. 61:25:0101327:387 (1 шт.)</t>
  </si>
  <si>
    <t>Установка системы учета для технологического присоединения энергопринимающих устройств Заявителя (Шеремета Е.А.) по адресу: Ростовская область, М-Курганский район, х. Большая Кирсановка, ул. Хайло, д. 23, к.н. 61:21:0110101:530 (1 шт.)</t>
  </si>
  <si>
    <t>Установка системы учета для технологического присоединения энергопринимающих устройств Заявителя (АО «Почта России») по адресу: Ростовская область, М-Курганский район, с. Новоандриановка, ул. 50 лет Победы, д. 50, кв. 8,9,10,11, к.н. 61:21:0090401:1057 (1 шт.)</t>
  </si>
  <si>
    <t>Установка системы учета для технологического присоединения энергопринимающих устройств Заявителя (Жуков А.А.) по адресу: Ростовская область, М-Курганский район, п. Матвеев Курган, ул. Чапаева, д. 44, к.н. 61:21:0010166:33 (1шт)</t>
  </si>
  <si>
    <t>Установка системы учета для технологического присоединения энергопринимающих устройств Заявителя (Пискуненко А.А.) по адресу: Ростовская область, М-Курганский район, п. Матвеев Курган, ул. Маркса, д. 38 к.н. 61:21:0010168:66 (1шт)</t>
  </si>
  <si>
    <t>Установка системы учета для технологического присоединения энергопринимающих устройств Заявителя (Чуйков М.В.) по адресу: Ростовская область, М-Курганский район, примерно 427 м на юг от х. Терновый, ул. Дальняя, д. 10 к.н. 61:21:0600019:1524 (1 шт.)</t>
  </si>
  <si>
    <t>Установка системы учета для технологического присоединения энергопринимающих устройств Заявителя (АО «Первая Башенная Компания») по адресу: Ростовская область, г. Таганрог, ул. Менделеева, вблизи д. 12, в границах кадастрового квартала: 61:58:0005044 (1 шт.)</t>
  </si>
  <si>
    <t>Установка системы учета для технологического присоединения энергопринимающих устройств Заявителя (ООО «ДонСвязьКонструкция») по адресу: Ростовская область, г. Таганрог, Поляковское Шоссе (м-у ул. Спортивная и ул. Галицкого) (часть земельного участка с кадастровым номером: 61:58:0000000:39816 (1 шт.)</t>
  </si>
  <si>
    <t>«Установка системы учета для технологического присоединения энергопринимающих устройств Заявителя (АО «Первая Башенная Компания») по адресу: Ростовская область, г. Таганрог, Калужский проезд, вблизи д. 3-11, в границах кадастрового квартала: 61:58:0005274 (1 шт.)»</t>
  </si>
  <si>
    <t>Установка системы учета для технологического присоединения энергопринимающих устройств Заявителя (Бареян Г.Р.) по адресу: Ростовская область, г. Таганрог, ул. Розы Люксембург/пер. Цимлянский, д. 181/1а, к.н.: 61:58:0002045:23 (1 шт.)</t>
  </si>
  <si>
    <t>Установка системы учета для технологического присоединения энергопринимающих устройств Заявителя (ИП Надолинский П.В.) по адресу: Ростовская область, г. Таганрог, ул. Транспортная, 48-7, к.н.: 61:58:0002418:122 (1 шт.)</t>
  </si>
  <si>
    <t>Установка системы учета для технологического присоединения энергопринимающих устройств Заявителя (Акционерное общество «Первая башенная компания») по адресу: Ростовская область, г. Таганрог, пер. Смирновский (между тупиком и обрывом у моря), к.н.: 61:58:0000000:42355 (1 шт.)</t>
  </si>
  <si>
    <t>«Установка системы учета для технологического присоединения энергопринимающих устройств Заявителя (ИП Лоза Л.И.) по адресу: Ростовская область, г. Таганрог, около ул. Транспортная, д. 11, помещение №3, к.н.: 61:58:0002306:164 (1 шт.)»</t>
  </si>
  <si>
    <t>Установка системы учета для технологического присоединения энергопринимающих устройств Заявителя (ООО «Т2 Мобайл») по адресу: Ростовская область, Неклиновский район, х. Рожок, примерно 13м по направлению на запад от границ участка ул. Северная, д. 27 , к.к. 61:26:0100401 (1 шт.)</t>
  </si>
  <si>
    <t>Установка системы учета для технологического присоединения энергопринимающих устройств Заявителя (Митрофанов Г.Г.) по адресу: Ростовская область, Неклиновский район, с. Вареновка, ул. Садовая, д. 57, к.н. 61:26:0040101:6020 (1 шт.)</t>
  </si>
  <si>
    <t>Установка системы учета для технологического присоединения энергопринимающих устройств Заявителя (ИП Волков В.Г.) по адресу: Ростовская область, Неклиновский район, с. Покровское, ул. Привокзальная, д. 100-Д, к.н. 61:26:0050137:1556 (1 шт.)</t>
  </si>
  <si>
    <t>Установка системы учета для технологического присоединения энергопринимающих устройств Заявителя (Доброхотов В.С.) по адресу: Ростовская область, Неклиновский район, с. Гаевка, ул. Ленина, д. 185, к.н. 61:26:0160301:316 (1 шт.)</t>
  </si>
  <si>
    <t>Установка системы учета для технологического присоединения энергопринимающих устройств Заявителя (ООО «Эко Родина») по адресу: Ростовская область, Неклиновский район, с. Самбек, Производственная зона, уч. 8, к.н. 61:26:0600015:1088 (1 шт.)</t>
  </si>
  <si>
    <t>Установка системы учета для технологического присоединения энергопринимающих устройств Заявителя (Погорелова Н.С.) по адресу: Ростовская область, Мясниковский район, х. Ленинаван, ул. И. Айвазовского, д. 4, к.н. 61:25:0600401:5730 (1 шт.)</t>
  </si>
  <si>
    <t>Установка системы учета для технологического присоединения энергопринимающих устройств Заявителя (Хошафян Е.А.) по адресу: Ростовская область, Мясниковский район, с. Чалтырь, ул. Колхозная, д. 7-а, к.н. 61:25:0101417:16 (1 шт.)</t>
  </si>
  <si>
    <t>Установка системы учета для технологического присоединения энергопринимающих устройств Заявителя (Галушкин А.В.) по адресу: Ростовская область, Мясниковский район, х. Ленинаван, ул. Жукова, д. 58, к.н. 61:25:0600401:6840 (1 шт.)</t>
  </si>
  <si>
    <t>Установка системы учета для технологического присоединения энергопринимающих устройств Заявителя (Барышева С.В.) по адресу: Ростовская область, Мясниковский район, х. Недвиговка, ул. 1-я линия, д. 1, к.н. 61:25:0070101:4936 (1 шт.)</t>
  </si>
  <si>
    <t>Установка системы учета для технологического присоединения энергопринимающих устройств Заявителя (Останко Н.А.) по адресу: Ростовская область, Мясниковский район, х. Красный Крым, ул. Братьев Баян, д. 24-а, к.н. 61:25:0030101:2389 (1 шт.)</t>
  </si>
  <si>
    <t>Установка системы учета для технологического присоединения энергопринимающих устройств Заявителя (Сагателян Г.А.) по адресу: Ростовская область, Мясниковский район, х. Ленинаван, ул. Кольцевая, д. 43, к.н. 61:25:0600401:5486 (1 шт.)</t>
  </si>
  <si>
    <t>Установка системы учета для технологического присоединения энергопринимающих устройств Заявителя (ИП Старук М.Н.) по адресу: Ростовская область, Мясниковский район, х. Ленинакан, ул. Торговый проспект, к.н. 61:25:0600401:23098 (1 шт.)</t>
  </si>
  <si>
    <t>Установка системы учета для технологического присоединения энергопринимающих устройств Заявителя (Хвастунов В.Н.) по адресу: Ростовская область, Мясниковский район, х. Недвиговка, ул. Успенская, д. 7, к.н. 61:25:0070101:1286 (1 шт.)</t>
  </si>
  <si>
    <t>Строительство двух КВЛ 10 кВ от ПС 110/10 кВ Р-29 для технологического присоединения водоочистных сооружений Заявителя: (Администрация Мясниковского района), по адресу: Мясниковский район, юго-западная окраина х. Мокрый Чалтырь (ориентировочная протяженность ЛЭП 15,1 км)</t>
  </si>
  <si>
    <t>Строительство ВЛ 0,4 кВ от ВЛ 0,4 кВ №2 ТП 10/0,4 кВ №1-15 ПС 110/35/10 кВ Чалтырь для технологического присоединения нежилого здания Заявителя: (Варткинаян А.В.) по адресу: Ростовская обл. Мясниковский р-н, х. Ленинаван, ул. Ленина, д. 1-д, к.н. 61:25:0030202:3818 (ориентировочная протяженность ЛЭП -0,15 км)</t>
  </si>
  <si>
    <t>Строительство ВЛ 0,4 кВ от РУ 0,4 кВ ТП 10/0,4 кВ, строительство ТП 10/0,4 кВ, строительство ВЛ 10 кВ от ВЛ 10 кВ №4 ПС 110/35/10 кВ Чалтырь, отпайки на ТП 10/0,4 кВ №4-3, для технологического присоединения жилого дома Заявителя: (Киракосян Х.Т.), по адресу: Мясниковский район, с. Крым, ул. Крестьянская, д. 1, корп. Л, к.н. 61:25:0201029:19 (ориентировочная протяженность ЛЭП 0,02 км; мощность силового трансформатора – 25 кВА)</t>
  </si>
  <si>
    <t>Строительство ВЛ 0,4 кВ от опоры по ВЛ 0,4 кВ № 1 ТП 10/0,4 кВ №4-5 по ВЛ 10 кВ №4 ПС 35/10 кВ Б. Салы для технологического присоединения жилых домов Заявителей (Яровой И.В., Арутюнян А.М.) по адресу: Ростовская область, Мясниковский район, с. Большие Салы, ул. Чапчахова, д. 1/б, д. 1/в, к.н. №61:25:0040101:6109, к.н. №61:25:0040101:6110 (ориентировочная протяженность ЛЭП 0,05 км)</t>
  </si>
  <si>
    <t>Строительство ВЛ 0,4 кВ от новой ТП 10/0,4 кВ, строительство ТП 10/0,4 кВ, строительство ВЛ 10 кВ от ВЛ 10 кВ №1 ПС 110/35/10 кВ «Чалтырь» для технологического присоединения нежилого здания Заявителя (ИП Ачарян Л.С.) по адресу: Ростовская область, Мясниковский район, к.н. 61:25:0600401:13396. (ориентировочная протяженность ЛЭП 0,055 км; мощность силового трансформатора 0,16 МВА)</t>
  </si>
  <si>
    <t>Строительство ВЛ 0,4 кВ от опоры по ВЛ 0,4 кВ №1 ТП 10/0,4 кВ №6-2 по ВЛ 10 кВ №6 ПС 110/35/10 кВ Синявская для технологического присоединения жилого дома Заявителя (Некрасов С.Ю.) по адресу: Ростовская область, Мясниковский район, п. Щедрый, ул. Луговая, д. 36/а к.н. №61:25:0060201:548 (ориентировочная протяженность ЛЭП 0,16 км)</t>
  </si>
  <si>
    <t>Строительство ВЛ 0,4 кВ от новой ТП 10/0,4 кВ, строительство ТП 10/0,4 кВ, строительство ВЛ 10 кВ от ВЛ 10 кВ №5 ПС 35/10 кВ «Б.Салы», для технологического присоединения магазина Заявителя (ИП Арутюнян А.А.) по адресу: Ростовская область, Мясниковский район, 17 км автодороги Ростов-на-Дону - Новошахтинск, к.н. 61:25:0501301:2311 (ориентировочная протяженность ЛЭП 0,025 км; мощность силового трансформатора 0,025 МВА)</t>
  </si>
  <si>
    <t>Строительство ВЛ 0,4 кВ от ВЛ 0,4кВ № 6 ТП 6/0,4кВ №549 от ЦРП 6кВ по КЛ 6кВ № 904,906 ПС-110/6 кВ Т-9, для технологического присоединения нежилого здания Заявителя (ИП Жидиков И.В.) по адресу: Ростовская область, г. Таганрог, ул. Б. Бульварная, д. 13а, к.н. 61:58:0002515:186 (ориентировочная протяженность ЛЭП 0,250 км)</t>
  </si>
  <si>
    <t>Строительство ВЛ 0,4 кВ от  ВЛ 0,4кВ №1 КТП 10/0,4 кв №434 по ВЛ 10 кВ №4 ПС 110/35/10 кВ «Дарагановская» для технологического присоединения нежилого здания Заявителя (Полотебнов В.В.) по адресу: Ростовская область, г. Таганрог, Северо-Западное шоссе, д. 10 СНТ «Омега», уч. 348 к.н. 61:58:0006038: 464, Ростовская область, г. Таганрог, Северо-Западное шоссе, д. 10 СНТ «Омега», уч. 348-а к.н. 61:58:0006038: 463 (ориентировочная протяженность ЛЭП 0,13 км)</t>
  </si>
  <si>
    <t>Строительство ВЛ 0,4 кВ от  ВЛ 0,4кВ №11 ТП-124 по КВЛ 6 кВ №21 РП-1 по КЛ 6кВ №18/2  ПС 110/35/6 кВ Т-11 для технологического присоединения нежилого здания Заявителя (Бондаренко В.С.) по адресу: Ростовская область, г. Таганрог, ул. Панфилова д. 97, к.н.: 61:58:0005026:65 (ориентировочная протяженность ЛЭП 0,190 км)</t>
  </si>
  <si>
    <t>Строительство ВЛ 0,4 кВ от опоры проектируемой по договору №61-1-21-00599783 для технологического присоединения жилого дома Заявителя (Акоджян М.Т.) по адресу: Ростовская область, Мясниковский район, х. Красный Крым, пер. Автогаражный, д. 18/а, к.н. 61:25:0600401:14181 (ориентировочная протяженность ЛЭП 0,08 км)</t>
  </si>
  <si>
    <t>Строительство ВЛ 0,4 кВ от опоры, проектируемой по договору №61-1-21-00615073 для технологического присоединения жилого дома Заявителя (Аванесян С.К.) по адресу: Ростовская область, Мясниковский район, с. Крым, ул. Советская, д. 160/в, к.н. 61:25:0600201:1575 (ориентировочная протяженность ЛЭП 0,065 км)</t>
  </si>
  <si>
    <t>Строительство ВЛ 0,4 кВ от ВЛ 0,4 кВ №8 ТП 6/0,4кВ №7 по КВЛ 6 кВ №6 ПС-110/6 кВ Т-5, для технологического присоединения Заявителя (Симакова С.Н.) по адресу: Ростовская область, г. Таганрог, ул. Конторская, 23 (ориентировочная протяженность ЛЭП 0,08 км)</t>
  </si>
  <si>
    <t>Строительство ВЛ 0,4 кВ от новой ТП 10/0,4 кВ, строительство ТП 10/0,4 кВ, строительство ВЛ 10 кВ от ВЛ 10 кВ №1 ПС 110/35/10 кВ «Чалтырь», отпайки на ТП 10/0,4 кВ №1-195, для технологического присоединения складское здание/помещение Заявителя (ООО «ДАГ СТОУН») по адресу: Ростовская область, Мясниковский район, х. Ленинакан, пер. Содружества, д. 11, к.н. 61:25:0600401:16163 (ориентировочная протяженность ЛЭП 0,02 км; мощность силового трансформатора 0,16 МВА)</t>
  </si>
  <si>
    <t>«Строительство ВЛ 0,4 кВ от ВЛ 0,4 кВ, проектируемой по договору № 61-1-21-00584981 от 24.06.2021, для технологического присоединения производственного здания Заявителя (Демьяненко Ю.И.) по адресу: Ростовская область, Неклиновский район, с. Весело-Вознесенка, ул. Пограничная, д. 6, к.н. 61:26:0100101:1158 (ориентировочная протяженность ЛЭП 0,075 км)»</t>
  </si>
  <si>
    <t>Строительство ВЛ 0,4 кВ от опоры по ВЛИ 0,4 кВ №1 ТП 10/0,4 кВ №2-25 по ВЛ 10 кВ №2 ПС 110/35/10 кВ Чалтырь для технологического присоединения жилого дома Заявителя (Микаелян М.А.) по адресу: Ростовская область, Мясниковский район, с. Крым, ул. Секизяна, д. 25, к.н. 61:25:0201023:242 (ориентировочная протяженность ЛЭП 0,11 км)</t>
  </si>
  <si>
    <t>Строительство ВЛ 0,4 кВ от новой ТП 10/0,4 кВ, строительство ТП 10/0,4 кВ, строительство ВЛ 10 кВ от опоры по ВЛ 10 кВ №1 ПС 110/35/10 кВ «Чалтырь», запитанной от ВЛ 10 кВ №29-35 ПС 110/10 кВ Р-29, для технологического присоединения объекта Заявителя (ИП Гончаренко Д.В.) по адресу: Ростовская область, Мясниковский район, СНТ «Факел СКВО», уч. 639/7, к.н. 61:25:0501702:638 (ориентировочная протяженность ЛЭП 0,1 км; мощность силового трансформатора 0,025 МВА)</t>
  </si>
  <si>
    <t>Строительство ВЛИ 0,4 кВ от новой ТП 10/0,4 кВ, строительство ТП 10/0,4 кВ, строительство ВЛ 10 кВ от ВЛ 10 кВ №3 ПС 35/10 кВ Сухореченская, для технологического присоединения ВРУ-0,38кВ для питания домика рыбака Заявителя (ИП Вишняков С.В.) по адресу: Ростовская область, М-Курганский район, п. Матвеев Курган, на территории СПК «Сухореченский», р.уч.8,9,18, кадастровый номер земельного участка 61:21:0600001:3585 (ориентировочная протяженность ЛЭП 0,065км; мощность силового трансформатора 0,025 МВА)</t>
  </si>
  <si>
    <t>Строительство ВЛ 0,4 кВ от опоры по ВЛИ 0,4 кВ №1 ТП 10/0,4 кВ №13-18 по ВЛ 10 кВ №13 ПС 110/35/10 кВ Чалтырь для технологического присоединения жилого дома Заявителя (Асташова И.С.) по адресу: Ростовская область, Мясниковский район, х. Ленинакан, ул. Степная, д. 85-б (ориентировочная протяженность ЛЭП 0,06 км)</t>
  </si>
  <si>
    <t>Строительство ВЛ 0,4 кВ от РУ 0,4 кВ КТП 10/0,4 кВ №529 по ВЛ 10 кВ №4 ПС 35/10 ГСКБ до границ земельного участка Заявителя (ООО «Технологии света») по адресу: Ростовская область, г. Таганрог, Мариупольское шоссе, д. 71-г, к.н. 61:58:0005257:28 (ориентировочная протяженность ЛЭП 0,025 км)</t>
  </si>
  <si>
    <t>Строительство ВЛ 0,4 кВ от опоры, проектируемой по договору №61-1-22-00635917 от ВЛ 0,4 кВ №2 ТП 10/0,4 кВ №651 ВЛ 10 кВ №2 ПС 35/10 кВ «Покровская» до границ земельных участков Заявителей (Головченко Н.В., Головченко А.Н.) по адресу: Ростовская область, Неклиновский район, с. Покровское, ул. Н. Головченко, д. 17, к.н. 61:26:0050114:921, д. 19, к.н. 61:26:0050114:920 (ориентировочная протяженность ЛЭП 0,07 км)</t>
  </si>
  <si>
    <t>Строительство ВЛ 0,4 кВ от опоры по ВЛИ 0,4 кВ №1 ТП 10/0,4 кВ №1-257 по ВЛ 10 кВ №1 ПС 110/35/10 кВ Чалтырь, для технологического присоединения жилых домов Заявителей (Бадасян Э.А., Даллакян М.М., Горшков А.В., Дужан В.В.) по адресу: Ростовская область, Мясниковский район, х. Ленинаван, ул. Орджоникидзе (ориентировочная протяженность ЛЭП 0,205 км)</t>
  </si>
  <si>
    <t>Строительство ВЛ 0,4 кВ от опоры ВЛ 0,4 кВ №2 ТП 6/0,4 кВ №103 по КЛ 6 кВ №106 ПС 110/35/6 кВ Т-1, для технологического присоединения жилого дома Заявителя (Колганов В.В.) по адресу: Ростовская область, г. Таганрог, ул. Конторская, д. 76а, к.н. 61:58:0003229:9 (ориентировочная протяженность ЛЭП 0,15 км)</t>
  </si>
  <si>
    <t>Строительство ВЛИ 0,4 кВ по ВЛ-0,4 кВ №2 от КТП-10/0,4 кВ №333 по ВЛ-10 кВ №4 ПС 35/10 кВ Политотдельская по существующим опорам до границ земельного участка Заявителя (АО «Почта России») по адресу: Ростовская область, М-Курганский район, с. Политотдельское, ул. Гардемана, д. 37, к.н.: 61:21:0100101:1860 (ориентировочная протяженность ЛЭП 0,145 км)</t>
  </si>
  <si>
    <t>Строительство ВЛ 0,4 кВ от ВЛ 0,4 кВ №2 КТП 10/0,4 кВ №3/4 ВЛ 10 кВ №1 ПС 110/35/10 кВ «Синявская» до границ земельного участка Заявителя (ИП Евсеенко И.В.) по адресу: Ростовская область, Неклиновский район, х. Пятихатки, ул. Верхняя, д. 1-Б, к.н. 61:26:0060401:74 (ориентировочная протяженность ЛЭП 0,060 км)</t>
  </si>
  <si>
    <t>Строительство ВЛ 0,4 кВ от ВЛ 0,4 кВ №2 КТП 10/0,4 кВ №60 ВЛ 10 кВ №3 ПС Куйышево-1 до границ земельного участка заявителя Заявителя (Радченко К.С.) по адресу: Ростовская обл., Куйбышевский р-н, примерно 1052 м на северо-восток от с. Куйбышево, ул. Набережная, 10, к.н: 61:19:0600001:2641 (ориентировочная протяженность ЛЭП 0,2 км)</t>
  </si>
  <si>
    <t>«Установка системы учета для технологического присоединения энергопринимающих устройств Заявителя (ИП Шищенко А.Е.) по адресу: Ростовская область, Матвеево-Курганский р-н, п. Матвеев Курган, ул. Сосновая, д. 11, к.н.: 61:21:0010137:520 (1 шт.)»</t>
  </si>
  <si>
    <t>«Установка системы учета для технологического присоединения энергопринимающих устройств Заявителя (АО «Первая Башенная компания») по адресу: Ростовская область, М-Курганский район, с. Кульбаково, ул. Школьная, в 20 м от дома №31, к.к. 61:21:0110401 (1 шт.)»</t>
  </si>
  <si>
    <t>«Установка системы учета для технологического присоединения энергопринимающих устройств Заявителя (МБОУ Кульбаковская СОШ) по адресу: Ростовская область, М-Курганский район, с. Кульбаково, пер. Школьный, д. 18, к.н. 61:21:0110401:195 (1 шт.)»</t>
  </si>
  <si>
    <t>Установка системы учета для технологического присоединения энергопринимающих устройств Заявителя (Рубан Е.В.) по адресу: Ростовская область, Неклиновский район, х. Веселый, ул. Кирова, д. 33, к.н. 61:26:0070901:414 (1 шт.)</t>
  </si>
  <si>
    <t>Установка системы учета для технологического присоединения энергопринимающих устройств Заявителя (Калугин В.Н.) по адресу: Ростовская область, с. Вареновка, пер. Урожайный, д. 9-А, к.н. 61:26:0040101:5501 (1 шт.)</t>
  </si>
  <si>
    <t>Установка системы учета для технологического присоединения энергопринимающих устройств Заявителя (ИП Половой А.Ю.) по адресу: Ростовская область, Неклиновский район, с. Покровское, пер. Тургеневский, д. 25, корпус А, к.н. 61:26:0050127:51 (1 шт.)</t>
  </si>
  <si>
    <t>Установка системы учета для технологического присоединения энергопринимающих устройств Заявителя (Хвалебо А.В.) по адресу: Ростовская область, с. Новобессергеневка, ул. Инициативная, д. 36, к.н. 61:26:0600024:3241 (1 шт.)</t>
  </si>
  <si>
    <t>Установка системы учета для технологического присоединения энергопринимающих устройств Заявителя (Сеоев Н.А.) по адресу: Ростовская область, Неклиновский район, х. Рожок, пер. Западный, д. 28, к.н. 61:26:0100401:466 (1 шт.)</t>
  </si>
  <si>
    <t>Установка системы учета для технологического присоединения энергопринимающих устройств Заявителя (ИП Романенко Н.Д.) по адресу: Ростовская область, Неклиновский район, с. Отрадное, 300 м. северо-восточнее с. Отрадное, к.н. 61:26:0600004:244 (1 шт.)</t>
  </si>
  <si>
    <t>Установка системы учета для технологического присоединения энергопринимающих устройств Заявителя (Устинов С.А.) по адресу: Ростовская область, г. Таганрог, СНТ «Мирный», участок №86, к.н.: 61:58:0005188:86 (1 шт.)</t>
  </si>
  <si>
    <t>Установка системы учета для технологического присоединения энергопринимающих устройств Заявителя (Администрация Крымского сельского поселения) по адресу: Ростовская область, Мясниковский район, с. Крым, ул. им. Майи Пегливановой, д. 2, к.н. 61:25:0201019:706 (1 шт.)</t>
  </si>
  <si>
    <t>Установка системы учета для технологического присоединения энергопринимающих устройств Заявителя (ИП Мач Е.Е.) по адресу: Ростовская область, Мясниковский район, х. Ленинаван, ул. Озерная, уч. 35, к.н. 61:25:0600401:10787 (1 шт.)</t>
  </si>
  <si>
    <t>Установка системы учета для технологического присоединения энергопринимающих устройств Заявителя (Киракосян Х.А.) по адресу: Ростовская область, Мясниковский район, с. Чалтырь, ул. Шаумяна, д. 6-б, к.н. 61:25:0101403:92 (1 шт.)</t>
  </si>
  <si>
    <t>Установка системы учета для технологического присоединения энергопринимающих устройств Заявителя (Касьян В.А.) по адресу: Ростовская область, Мясниковский район, х. Красный Крым, ул. Еловая, д. 32, к.н. 61:25:0600401:19148 (1 шт.)</t>
  </si>
  <si>
    <t>Установка системы учета для технологического присоединения энергопринимающих устройств Заявителя (Хачкинаев А.Х.) по адресу: Ростовская область, Мясниковский район, х. Ленинаван, ул. Софийская, д. 16, к.н. 61:25:0600401:5542 (1 шт.)</t>
  </si>
  <si>
    <t>Установка системы учета для технологического присоединения энергопринимающих устройств Заявителя (Артунян А.А.) по адресу: Ростовская область, Мясниковский район, х. Ленинаван, ул. Кутузова, д. 41, к.н. 61:25:0600401:7121 (1 шт.)</t>
  </si>
  <si>
    <t>Установка системы учета для технологического присоединения энергопринимающих устройств Заявителя (Басов Н.А.) по адресу: Ростовская область, Мясниковский район, х. Мокрый Чалтырь, ул. Ленина, д. 25-а, к.н. 61:25:0010201:943 (1 шт.)</t>
  </si>
  <si>
    <t>Установка системы учета для технологического присоединения энергопринимающих устройств Заявителя (Багаджиян Р.А.) по адресу: Ростовская область, Мясниковский район, с. Чалтырь, ул. 1-я линия, д. 8-е, к.н. 61:25:0101404:237 (1 шт.)</t>
  </si>
  <si>
    <t>Установка системы учета для технологического присоединения энергопринимающих устройств Заявителя (Киселева О.Б.) по адресу: Ростовская область, Мясниковский район, с. Крым, ул. Маршала Жукова, д. 34, к.н. 61:25:0600201:526 (1 шт.)</t>
  </si>
  <si>
    <t>Установка системы учета для технологического присоединения энергопринимающих устройств Заявителя (Асланян Н.А.) по адресу: Ростовская область, Мясниковский район, с. Чалтырь, ул. Шаумяна, д. 95, к.н. 61:25:0101113:41 (1 шт.)</t>
  </si>
  <si>
    <t>Установка системы учета для технологического присоединения энергопринимающих устройств Заявителя (Бабиян М.К.) по адресу: Ростовская область, Мясниковский район, с. Крым, ул. Медиков, д. 23-а, к.н. 61:25:0201025:403 (1 шт.)</t>
  </si>
  <si>
    <t>Установка системы учета для технологического присоединения энергопринимающих устройств Заявителя (Министерство транспорта РО) по адресу: Ростовская область, Неклиновский район, автомобильная дорога «Восточный въезд в г.Таганрог» на участке км 1+730 (спортивный комплекс «Спартак Юниор»), к.н. 61:26:0600015:1876 (1 шт.)</t>
  </si>
  <si>
    <t>Установка системы учета для технологического присоединения энергопринимающих устройств Заявителя: Осадский Д.А. в г. Таганроге Ростовской области (1 шт.)</t>
  </si>
  <si>
    <t>«Установка системы учета для технологического присоединения энергопринимающих устройств Заявителя (ИП Тавадян А.А.) по адресу: Ростовская область, г. Таганрог, ул. Чехова, д. 320-в, к.н.: 61:58:0005210:1307 (1 шт.)»</t>
  </si>
  <si>
    <t>Установка системы учета для технологического присоединения энергопринимающих устройств Заявителя (ИП Комлацкая Т.Ю.) по адресу: Ростовская область, г. Таганрог, пер. Гоголевский, д. 13, корп. 1, к.н.: 61:58:0003001:85 (1 шт.)</t>
  </si>
  <si>
    <t>«Установка системы учета для технологического присоединения энергопринимающих устройств Заявителя (ИП Семенов В.В.) по адресу: Ростовская область, г. Таганрог, Мариупольское Шоссе/ ул. Ореховая, к.н.: 61:58:0005301:603 (1 шт.)»</t>
  </si>
  <si>
    <t>Установка системы учета для технологического присоединения энергопринимающих устройств Заявителя (Осипян В.С.) по адресу: Ростовская область, Мясниковский район, с. Большие Салы, ул. Вавилова, д. 7-а, к.н. 61:25:0040101:6181 (1 шт.)</t>
  </si>
  <si>
    <t>Установка системы учета для технологического присоединения энергопринимающих устройств Заявителя (ИП Элоян Л.С.) по адресу: Ростовская область, Мясниковский район, с. Чалтырь, ул. Красноармейская (напротив дома 63 «А», уч. 1) (1 шт.)</t>
  </si>
  <si>
    <t>Установка системы учета для технологического присоединения энергопринимающих устройств Заявителя (Бзезян Г.Т.) по адресу: Ростовская область, Мясниковский район, с. Чалтырь, ул. Пролетарская, д. 43, к.н. 61:25:0101318:60 (1 шт.)</t>
  </si>
  <si>
    <t>Установка системы учета для технологического присоединения энергопринимающих устройств Заявителя (Лукьянова Г.В.) по адресу: Ростовская область, Мясниковский район, с. Чалтырь, ул. Пролетарская, д. 78, к.н. 61:25:0101317:55 (1 шт.)</t>
  </si>
  <si>
    <t>Установка системы учета для технологического присоединения энергопринимающих устройств Заявителя (Алексеенко А.Е.) по адресу: Ростовская область, Мясниковский район, с. Султан Салы, ул. Налбандяна, д. 6-а, к.н. 61:25:0030401:1508 (1 шт.)</t>
  </si>
  <si>
    <t>Установка системы учета для технологического присоединения энергопринимающих устройств Заявителей: Колесник Л.А., Мальцев В.И., Саркисян М.О. в Мясниковском районе Ростовской области (3 шт.)</t>
  </si>
  <si>
    <t>Установка системы учета для технологического присоединения энергопринимающих устройств Заявителя (Министерство транспорта РФ) по адресу: Ростовская область, Мясниковский район, с. Крым, дорога общего пользования межмуниципального значения с. Чалтырь - с. Большие Салы на участке км 0+000 -км 8+800, к.н. 61:25:0000000:376 (1 шт.)</t>
  </si>
  <si>
    <t xml:space="preserve"> «Установка системы учета для технологического присоединения объекта «нежилая застройка», расположенного по адресу: 347611 Российская Федерация, Ростовская обл., р-н. Сальский, х. Маяк, ул. Красных Зорь, д. 11, кадастровый номер земельного участка: 61:34:0160101:204, заявитель Чигасова Н.В.» (1 шт.)</t>
  </si>
  <si>
    <t xml:space="preserve">  «Установка системы учета для технологического присоединения объекта «жилой дом», расположенного по адресу: 347609 Российская Федерация, Ростовская обл., р-н. Сальский, п. Белозерный, ул. Речная, д. 5, кв./оф. 1, кадастровый номер земельного участка: 61:34:010111:249:241, заявитель Савченко Е.М.» (1 шт.)</t>
  </si>
  <si>
    <t>«Установка системы учета для технологического присоединения объекта «квартира», расположенного по адресу: Ростовская область, Целинский район, с. Ольшанка, ул. Механизаторов, д. 1, кв. 2, к.н.з.у.:61:40:0060101:1963, заявитель Кунаков А.А.» (1 шт.)</t>
  </si>
  <si>
    <t xml:space="preserve">«Установка системы учета для технологического присоединения объекта «модульный дом культуры», расположенного по адресу: Ростовская область, Целинский район, х. Северный, ул. Мира, д. 177 в, к.н.з.у.: 61:40:0031101:768, заявитель Муниципальное бюджетное учреждение культуры Кировского сельского поселения Целинского района «Дом культуры» </t>
  </si>
  <si>
    <t>«Установка системы учета для технологического присоединения объекта «жилой дом», расположенного по адресу: Ростовская область, Целинский район, с. Лопанка, ул. Красная, д. 95, к.н.з.у.:61:40:0040101:1231, заявитель Шудрик И.Г.» (1 шт.)</t>
  </si>
  <si>
    <t>«Установка системы учета для технологического присоединения «жилого дома», расположенного по адресу: 347560, РФ, Ростовская область, Песчанокопский район, с. Развильное, ул. Ростовская, 38 к.н.з.у.: 61:30:0090101:1602, заявитель Жилин Д.М.» (1 шт.)»</t>
  </si>
  <si>
    <t xml:space="preserve"> «Установка системы учета для технологического присоединения объекта «Малоэтажная жилая застройка», расположенной по адресу: Российская Федерация, Ростовская обл., г. Сальск, СНТ "Локомативщик", ул. Виноградная, д.7, кадастровый номер земельного участка: 61:57:0010977:931, заявитель Ушакова О.Ф. (1 шт.)</t>
  </si>
  <si>
    <t>«Установка системы учета для технологического присоединения «здания отделения почтовой связи «Развильное», расположенного по адресу: 347560, РФ, Ростовская область, Песчанокопский район, с. Развильное, ул. Ленина, д. 3 к.н.з.у.:61:30:0090101:8961, заявитель АО «Почта России» (1 шт.)</t>
  </si>
  <si>
    <t>«Установка системы учета для технологического присоединения «нежилого помещения», расположенного по адресу: 347566, РФ, Ростовская область, Песчанокопский район, п. Дальнее Поле, ул. Школьная, д.3, кв. 1-1,  1-2,2 к.н.з.у.: 61:30:0040101:654, заявитель АО «Почта России» (1 шт.)</t>
  </si>
  <si>
    <t>«Установка системы учета для технологического присоединения строительной площадки «офис», расположенной по адресу: 347565, РФ, Ростовская область, Песчанокопский район, с. Красная Поляна, ул. Молодежная, б/н, к.н.з.у.:61:30:0050101:5041, заявитель Горохов В.Е.» (1 шт.)</t>
  </si>
  <si>
    <t>«Установка системы учета для технологического присоединения «жилого дома», расположенного по адресу: 347560, РФ, Ростовская область, Песчанокопский район, с. Развильное, ул. Колхозная, 23 к.н.з.у.:61:30:0090101:1693, заявитель Перекопская Л.В.» (1 шт.)</t>
  </si>
  <si>
    <t>«Установка системы учета для технологического присоединения объекта «жилой дом», расположенного по адресу: Российская Федерация, Ростовская обл., р-н. Пролетарский, х. Дальний, ул. Ленина, д. 23, к.н. 61:31:0030101:205, заявитель Каюмов В.В.»</t>
  </si>
  <si>
    <t>"Установка системы учета для технологического присоединения объекта «Нежилое помещение», расположенного по адресу: 347510, РФ, Ростовская область, Орловский район, п. Орловский, производственная точка Мурза, ст. 3, пом.1, кадастровый номер земельного участка: 61:29:0600007:1855, заявитель ИП Фирсов А.И. глава К(Ф)Х.  (1 шт.)"</t>
  </si>
  <si>
    <t>«Установка системы учета для технологического присоединения объекта «Гостиница», расположенного по адресу: Российская Федерация, Ростовская обл., р-н. Сальский, п. Манычстрой, ул. Магистральная, д. 10, кадастровый номер земельного участка: 61:34:0040301:1283, заявитель ИП Ерко П.П.» (1 шт.)</t>
  </si>
  <si>
    <t xml:space="preserve"> «Установка системы учета для технологического присоединения объекта «объект торговли», расположенного по адресу: Российская Федерация, Ростовская обл., р-н. Сальский, п. Манычстрой, ул. Нефтянников, д. 10, кадастровый номер земельного участка: 61:34:0040301:819, заявитель ИП Ерко П.П.» (1 шт.)</t>
  </si>
  <si>
    <t>«Установка системы учета для технологического присоединения «жилого дома», расположенного по адресу: 347565, РФ, Ростовская область, Песчанокопский район, с. Красная Поляна, ул. Садовая, 168 к.н.з.у.:61:30:0050101:731, заявитель Забелин В.В.»   (1 шт.)</t>
  </si>
  <si>
    <t xml:space="preserve">«Установка системы учета для технологического присоединения объекта «Жилой лом», расположенного по адресу: 347525, РФ, Ростовская область, Орловский район, х. Камышевка, ул. А.Муравина, д. 38, к.н.з.у.: 61:29:0050101:385, заявитель Нартаева А.Г.  (1 шт.)» </t>
  </si>
  <si>
    <t>«Установка системы учета для технологического присоединения объекта «склад», расположенного по адресу: Ростовская область, Целинский район, с. Средний Егорлык, ул. Краснопартизанская, д. 125 а, к.н.з.у.: 61:40:0080101:4981, заявитель ИП глава КФХ Коробкин В.Н.» (1 шт.)</t>
  </si>
  <si>
    <t xml:space="preserve">«Установка системы учета для технологического присоединения объекта «дачный дом», расположенного по адресу: Российская Федерация, Ростовская обл., р-н. Пролетарский, садоводческое товарищество «Заречное», ул. Северная, д. 711, к.н. 61:31:0500401:17, заявитель Вербицкая А.В.» </t>
  </si>
  <si>
    <t xml:space="preserve">«Установка системы учета для технологического присоединения объекта «жилой дом», расположенного по адресу: Местоположение установлено относительно ориентира, расположенного в границах участка. Почтовый адрес ориентира: Российская Федерация, Ростовская обл., р-н. Пролетарский, х. Уютный, ул. Первомайская, д. 4, к.н. 61:31:0100201:18, заявитель Бухтияров В.В.» </t>
  </si>
  <si>
    <t>«Установка системы учета для технологического присоединения «модульный дом культуры», расположенный по адресу: 347569, РФ, Ростовская область, Песчанокопский район, с. Рассыпное, 10 метров на восток от ул. Ленина, д. 1 к.н.з.у.:61:30:0100101:2319, заявитель Администрация Рассыпненского сельского поселения» (1 шт.)</t>
  </si>
  <si>
    <t>«Установка системы учета для технологического присоединения объекта «базовая станция сотовой связи (с. Хлеборобное)», расположенного по адресу: Ростовская область, Целинский район, с. Хлеборобное, ул. Центральная, заявитель ПАО «Ростелеком» (1 шт.)</t>
  </si>
  <si>
    <t>«Установка системы учета для технологического присоединения объекта «склад», расположенного по адресу: Ростовская область, Целинский район, Новоцелинское сельское поселение, к.н.з.у.: 61:40:0600011:3320, заявитель ИП глава КФХ Жулидов С.Ю.» (1 шт.)</t>
  </si>
  <si>
    <t>«Установка системы учета для технологического присоединения объекта «гараж», расположенного по адресу: РФ, Ростовская область, Целинский район, с. Средний Егорлык, ул. Почтовая, д. 10 Б, к.н.з.у.:61:40:0080101:5519, заявитель Гавриличева И.В.» (1 шт.)</t>
  </si>
  <si>
    <t>«Установка системы учета для технологического присоединения объекта «Жилой лом», расположенного по адресу: 347525, РФ, Ростовская область, Орловский район, х. Камышевка, ул. Мира, д. 71, к.н.з.у.: 61:29:0050101:64, заявитель Мачаликашвили Х.В. (1 шт.)»</t>
  </si>
  <si>
    <t>«Установка системы учета для технологического присоединения объекта «Жилой дом», расположенного по адресу: 347526, РФ, Ростовская область, Орловский район, х. Курганный, ул. Свободы, д. 1, к.н.з.у.: 61:29:0050301:1312, заявитель Асхабов С.А.  (1 шт.)»</t>
  </si>
  <si>
    <t>«Установка системы учета для технологического присоединения объекта «склад», расположенного по адресу: Ростовская область, Целинский район, п. Вороново, ул. 8-я линия, д. 11, к.н.з.у.: 61:40:0030101:3219, заявитель ИП глава КФХ Шибаев Г.В.» (1 шт.)</t>
  </si>
  <si>
    <t>«Установка системы учета для технологического присоединения объекта «навес, сарай, гараж», расположенного по адресу: Ростовская область, Целинский район, п. Юловский, ул. Транспортная, д. 11 а, к.н.з.у.: 61:40:0091001:38, заявитель ИП глава КФХ Чернявская Г.И.» (1 шт.)</t>
  </si>
  <si>
    <t>«Установка системы учета для технологического присоединения объекта «нежилое помещение», расположенного по адресу: Ростовская область, Целинский район, с. Средний Егорлык, ул. Школьная, д. 15, к.н.з.у.: 61:40:0080101:1864, заявитель АО «Почта России» (1 шт.)</t>
  </si>
  <si>
    <t>«Установка системы учета для технологического присоединения объекта «жилой дом», расположенного по адресу: Ростовская область, Целинский район, с. Ольшанка, пер. Больничный, д. 8, к.н.з.у.: 61:40:0060101:2194, заявитель Поляков А.Г.» (1 шт.)</t>
  </si>
  <si>
    <t>«Установка системы учета для технологического присоединения объекта «квартира», расположенного по адресу: Ростовская область, Целинский район, с. Средний Егорлык, пер. Аптечный, д.12, кв.2, к.н.з.у.: 61:40:0080101:1489, заявитель Зиборов Ю.В.» (1 шт.)</t>
  </si>
  <si>
    <t>«Установка системы учета для технологического присоединения объекта «жилой дом», расположенного по адресу: Ростовская область, Целинский район, п. Вороново, ул. Школьная, д. 55, к.н.з.у.: 61:40:0030101:894, заявитель Конькова Н.Г.» (1 шт.)</t>
  </si>
  <si>
    <t>"Установка системы учета для технологического присоединения объекта «жилой дом», расположенного по адресу: Российская Федерация, Ростовская обл., р-н. Пролетарский, п. Кирсалово, ул. Кирсаловская, д. 1, заявитель Бухтиярова М.В.»</t>
  </si>
  <si>
    <t>«Установка системы учета для технологического присоединения объекта «Храм», расположенного по адресу: Российская Федерация, Ростовская обл., р-н. Пролетарский, х. Коврино, ул. Комсомольская, д. 47б, к.н. 61:31:0040101:1356, заявитель Религиозная организация Местная религиозная организация православный Приход Храма Мучеников Флора и Лавра г. Пролетарска Ростовской области Религиозной организации «Волгодонская Епархия Русской Православной Церкви (Московский Патриархат)»</t>
  </si>
  <si>
    <t>«Установка системы учета для технологического присоединения объекта «жилой дом», расположенного по адресу: Российская Федерация, Ростовская обл., р-н. Пролетарский, г. Пролетарск, пер. Погорелова, д. 2, кв. 2, к.н. 61:31:0110423:7, заявитель Вариончик Ю.А.»</t>
  </si>
  <si>
    <t xml:space="preserve">«Установка системы учета для технологического присоединения объекта «квартира», расположенного по адресу: Российская Федерация, Ростовская обл., р-н. Пролетарский, х. Николаевский 2-й, ул. Комсомольская, д. 8, кв. 2, к.н. 61:31:0060101:182, заявитель Рубцов В.А.» </t>
  </si>
  <si>
    <t>«Установка системы учета для технологического присоединения объекта «дачный дом», расположенного по адресу: Российская Федерация, Ростовская обл., р-н. Пролетарский, садоводческое товарищество «Заречное», к.н. 61:31:0500401:81, заявитель Лихоманова И.С.</t>
  </si>
  <si>
    <t>«Установка системы учета для технологического присоединения объекта «Объект крестьянского (фермерского) хозяйства», расположенного по адресу: Российская Федерация, Ростовская обл., р-н. Сальский, в кадастровом квартале 61:34:0600003 с условным центром в п. Супрун, отд. № 2 поле 14 г, кадастровый номер земельного участка: 61:34:0600003:1147, заявитель ИП Засыпка А.П» (1 шт.)</t>
  </si>
  <si>
    <t>«Установка системы учета для технологического присоединения объекта «Малоэтажная жилая застройка», расположенного по адресу: 347602 Российская Федерация, Ростовская обл., р-н. Сальский, п. Степной Курган, ул. Дружбы, д. 7, кв./оф. 2, кадастровый номер земельного участка: 61:34:01000101:209, заявитель Белевцова Т. Г.» (1 шт.)</t>
  </si>
  <si>
    <t>«Установка системы учета для технологического присоединения объекта «нежилая застройка», расположенного по адресу: 347602 Российская Федерация, Ростовская обл., р-н. Сальский, п. Степной Курган, ул. Первомайская, д. 4-а, кадастровый номер земельного участка: 61:34:0100101:2678, заявитель Буйленко Ю.В.» (1 шт.)</t>
  </si>
  <si>
    <t>«Установка системы учета для технологического присоединения «магазин», расположенного по адресу: 347565, РФ, Ростовская область, Песчанокопский район, с. Красная Поляна, ул. Владимирова, д.23 к.н.з.у.:61:30:0050101:120, заявитель ИП глава КФХ Котляров С.Н.» (1 шт.)</t>
  </si>
  <si>
    <t>«Установка системы учета для технологического присоединения «производственной базы», расположенной по адресу: 347561, РФ, Ростовская область, Песчанокопский район, с. Развильное, пер. Советский, д.21, к.н.з.у.: 61:30:0090101:291, заявитель ИП Лупиев О.А." (1 шт.)</t>
  </si>
  <si>
    <t>«Установка системы учета для технологического присоединения объекта «Автомобильные мойки», расположенного по адресу: 347500, РФ, Ростовская область, Орловский район, примерно в 0,18 км на северо-запад от п. Красноармейский, кадастровый номер земельного участка: 61:29:0600002:1718, заявитель ИП Терегеря В.Ю. глава К(Ф)Х.  (1 шт.)»</t>
  </si>
  <si>
    <t>«Установка системы учета для технологического присоединения объекта «жилой дом», расположенного по адресу: Ростовская область, Целинский район, х. Васильевка, ул. Солнечная, д. 74, к.н.з.у.: 61:40:0100201:228, заявитель Зубков А.В.» (1 шт.)</t>
  </si>
  <si>
    <t>«Установка системы учета для технологического присоединения объекта «нежилое помещение», расположенного по адресу: Ростовская область, Целинский район, с. Хлеборобное, ул. Ленина, д. 55, к.н.з.у.: 61:40:0100101:2316, заявитель АО «Почта России» (1 шт.)</t>
  </si>
  <si>
    <t>«Установка системы учета для технологического присоединения «жилого дома», расположенного по адресу: 347566, РФ, Ростовская область, Песчанокопский район, п. Раздельный, ул. Цветная, 1 к.н.з.у.:61:30:040301:0007, заявитель Филимонов Ю.В.» (1 шт.)</t>
  </si>
  <si>
    <t>«Установка системы учета для технологического присоединения объекта «нежилое помещение», расположенного по адресу: Ростовская обл., р-н. Пролетарский, х. Мокрая Ельмута, ул. Городовикова, д. 10, кадастровый номер земельного участка: 61:31:0050101:736, заявитель АО «Почта России»</t>
  </si>
  <si>
    <t>«Установка системы учета для технологического присоединения объекта «Объект торговли», расположенной по адресу: Российская Федерация, Ростовская обл., р-н Сальский, п. Конезавод имени Буденного, с условным центром в кадастровом квартале 61:34:0040101, кадастровый номер земельного участка: 61:34:0040101:4554, заявитель Мурсалиев Э.Р.» (1 шт.)</t>
  </si>
  <si>
    <t>Установка системы учета для технологического присоединения «Антенно-мачтовое сооружение 61-14991», расположенного по адресу: Российская Федерация, Ростовская обл.,   р-н. Сальский, х. Бровки, ул. Дружбы, вблизи д. 22, кадастровый номер земельного участка: 61:34:0500801:851, заявитель АО «ПБК» (1 шт.)</t>
  </si>
  <si>
    <t>«Установка системы учета для технологического присоединения «сеть уличного освещения (с. Сысоево-Александровское, ул. Южная)», расположенного по адресу: 347619 Российская Федерация, Ростовская обл.,   р-н. Сальский, с. Сысоево-Александровское, ул. Южная, кадастровый номер земельного участка: 61:34:0090201:049, заявитель Администрация Кручено-Балковского сельского поселения» (1 шт.)</t>
  </si>
  <si>
    <t>«Установка системы учета для технологического присоединения объекта «гостевой дом», расположенного по адресу: Российская Федерация, Ростовская обл., р-н. Сальский, п. Конезавод имени Буденного, ул. Восточная, д. 12, корп. а, кадастровый номер земельного участка: 61:34:0040101:642, заявитель Мурсалиев А.К.» (1 шт.)</t>
  </si>
  <si>
    <t>Установка системы учета для технологического присоединения объекта «нежилая застройка», расположенного по адресу: Российская Федерация, Ростовская обл., р-н. Сальский район, кадастровый квартал 61:34:600001, с центром в п. Степной Курган, отделение № 3, поле-11о, заявитель Говорун А.В.» (1 шт.)</t>
  </si>
  <si>
    <t>«Установка системы учета для технологического присоединения объекта «квартира», расположенного по адресу: Российская Федерация, Ростовская обл., р-н. Пролетарский, х. Николаевский 2-й, ул. Восточная, д. 18, кв.2, кадастровый номер земельного участка: 61:31:0060101:108, заявитель Доля А.В.»</t>
  </si>
  <si>
    <t>«Установка системы учета для технологического присоединения объекта «нежилое здание», расположенного по адресу: Российская Федерация, Ростовская обл., р-н. Пролетарский, 5,4 км. южнее п.п. 1270 (Ошибочная), кадастровый номер: 61:31:0600007:543, заявитель Могильный Н.Н.»</t>
  </si>
  <si>
    <t xml:space="preserve">"Установка системы учета для технологического присоединения "жилого дома", расположенного по адресу: 347568. Российская Федерация, Ростовская обл., р-н. Песчанокопский, с. Летник, ул. Мичурина, д. 55, к.н.з.у.: 61:30:0060101:881, заявитель Семёнова А.С." (1шт.)  </t>
  </si>
  <si>
    <t>«Установка системы учета для технологического присоединения объекта «жилой дом», расположенного по адресу: Ростовская область, Целинский район, с. Михайловка, ул. Степная, д. 9, к.н.з.у.: 61:40:0050101:876, заявитель Удальцов В.А.» (1 шт.)</t>
  </si>
  <si>
    <t>«Установка системы учета для технологического присоединения объекта «Антенно-мачтовое сооружение связи 61-1061», расположенного по адресу: 347505, РФ, Ростовская область, Орловский район, х. Каменная Балка, ул. Школьная, вблизи д. 80, к.н.з.у.: 61:29:0040101, заявитель АО «Первая Башенная Компания» (1 шт.)</t>
  </si>
  <si>
    <t>«Установка системы учета для технологического присоединения объекта «кошара», расположенного по адресу: Российская Федерация, Ростовская обл., р-н. Пролетарский, п. Протоки, ул. Транспортная, 32, заявитель Ковалева Е.В.»</t>
  </si>
  <si>
    <t>«Установка системы учета на проектируемой опоре ЛЭП 0,4 кВ, строящейся по договору № 61-1-22-00680765 от 15.12.2022, от техперевооружаемой по договору № 61-1-22-00680765 от 15.12.2022, ТП 10/0,4 кВ № 48 по ВЛ 10 кВ Л-2 РП 21 С, для технологического присоединения объекта «магазин», расположенной по адресу: Российская Федерация, Ростовская обл., р-н Сальский, п. Конезавод имени Буденного, ул. Чумакова, д. 1В, кадастровый номер земельного участка: 61:34:0040101:4556, заявитель ИП Кулинич В.Ю.» (1 шт.)</t>
  </si>
  <si>
    <t>«Установка системы учета для технологического присоединения объекта «Базовая станция/ оборудование сотовой связи», расположенной по адресу: Российская Федерация, Ростовская обл., р-н. Сальский, п. Сальский Беслан, земельный участок в кадастровом квартале 61:34:0040501, кадастровый номер земельного участка:, заявитель ПАО «Ростелеком» (1 шт.)</t>
  </si>
  <si>
    <t>«Установка системы учета для технологического присоединения объекта «Малоэтажная жилая застройка», расположенного по адресу: Российская Федерация, Ростовская обл., р-н. Сальский, п. Степной Курган, ул. Пролетарская, д. 53, кадастровый номер земельного участка: 61:34:0100101:167, заявитель Бурханов Б.Е.» (1 шт.)</t>
  </si>
  <si>
    <t>«Установка системы учета для технологического присоединения «жилой дом», расположенного по адресу: 347608 Российская Федерация, Ростовская обл.,   р-н. Сальский, с. Бараники, ул. Садовая, д. 53, кадастровый номер земельного участка: 61:34:0020101:409, заявитель Рыжков И.С.» (1 шт.)</t>
  </si>
  <si>
    <t>«Установка системы учета для технологического присоединения «Малоэтажная жилая застройка», расположенного по адресу: 347606 Российская Федерация, Ростовская обл.,   р-н. Сальский, с. Екатериновка, ул. Красноармейская, д. 12, кадастровый номер земельного участка: 61:34:0050101:867, заявитель Андросов А.А.» (1 шт.)</t>
  </si>
  <si>
    <t>«Установка системы учета для технологического присоединения объекта «телятник», расположенного по адресу: Российская Федерация, Ростовская обл., р-н. Сальский, с. Новый Маныч 400 м в юго-восточном направлении, кадастровый номер земельного участка: 61:34:0050101:3609, заявитель Жукова М.В.» (1 шт.)</t>
  </si>
  <si>
    <t>«Установка системы учета для технологического присоединения объекта «Магазин», расположенного по адресу: 347500, РФ, Ростовская область, Орловский район, п. Красноармейский, пер. Красноармейский, д. 13б, к.н.з.у.: 61:29:0060125:411, заявитель ИП Пустоварова А.В.» (1 шт.)</t>
  </si>
  <si>
    <t>«Установка системы учета для технологического присоединения объекта «Жилой дом», расположенного по адресу: 347500, РФ, Ростовская область, Орловский район, п. Красноармейский, ул. Школьная, д. 2л, к.н.з.у.: 61:29:0060117:625, заявитель Михайлов Н.А.»</t>
  </si>
  <si>
    <t xml:space="preserve">«Установка системы учета для технологического присоединения «жилого дома», расположенного по адресу: 347565, РФ, Ростовская область, Песчанокопский район, с. Красная Поляна, ул. Владимирова, 1, к.н.з.у.:61:30:0050101:977, заявитель Павлов А.А.» (1 шт.) </t>
  </si>
  <si>
    <t>«Установка системы учета для технологического присоединения объекта «фонтан», расположенного по адресу: Ростовская область, Целинский район, п. Вороново, ул. С.М. Кирова, д. 28, к.н.з.у.: 61:40:0030101:3508, заявитель Администрация Кировского сельского поселения» (1 шт.)</t>
  </si>
  <si>
    <t>«Установка системы учета для технологического присоединения объекта «магазин», расположенного по адресу: Ростовская область, Целинский район, ст. Сладкая Балка, ул. Центральная, д. 58, к.н.з.у.: 61:40:0040501:11, заявитель ООО «Гармония» (1 шт.)</t>
  </si>
  <si>
    <t>«Установка системы учета для технологического присоединения «жилого дома», расположенного по адресу: 347609 Российская Федерация, Ростовская обл.,   р-н. Сальский, п. Белозерный, ул. Юбилейная, д. 15, кадастровый номер земельного участка: 61:34:0080101:497, заявитель Пузина О.А.» (1 шт.)</t>
  </si>
  <si>
    <t>«Установка системы учета для технологического присоединения объекта «квартира», расположенного по адресу: 347524, РФ, Ростовская область, Орловский район, х. Пролетарский, ул. Школьная, д. 24. кв.2, к.н.з.у.: 61:29:0080101:208, заявитель Игнатенко Е.А.»</t>
  </si>
  <si>
    <t>«Установка системы учета для технологического присоединения объекта «Антенно-мачтовое сооружение 52228-11-61-0-1», расположенного по адресу: 347501, РФ, Ростовская область, Орловский район, х. Майорский, ул. Магистральная, участок в 50 м от дома № 24, к.н.з.у.: 61:29:0040901, заявитель АО «Первая Башенная Компания»</t>
  </si>
  <si>
    <t>«Установка системы учета для технологического присоединения «жилого дома», расположенного по адресу: 347560, РФ, Ростовская область, Песчанокопский район, с. Развильное, ул. Ростовская, д. 34, к.н.з.у.:61:30:0090101:10228, заявитель Суслова М.А.» (1 шт.)</t>
  </si>
  <si>
    <t xml:space="preserve">«Установка системы учета для технологического присоединения объекта «Малоэтажная жилая застройка (Индивидуальный жилой дом/Садовый/Дачный дом)», расположенного по адресу: РФ, Ростовская область, Пролетарский район, садовое товарищество «Заречное», кадастровый номер земельного участка: 61:31:0500401:36, заявитель Григоров А.С.» </t>
  </si>
  <si>
    <t>«Установка системы учета для технологического присоединения объекта «водозаборный колодец №1», расположенного по адресу: Российская Федерация, Ростовская обл., р-н. Пролетарский, 4,1 км. юго-западнее п.п.1048 (Лиман Чепрак), к.н. 61:34:0000000:7316, заявитель Кукота Ю.Н.»</t>
  </si>
  <si>
    <t xml:space="preserve">«Установка системы учета для технологического присоединения объекта «жилой дом», расположенного по адресу: 347609 Российская Федерация, Ростовская обл., р-н. Сальский, п. Белозерный, ул. Юбилейная, д. 17, кадастровый номер земельного участка: 61:34:0080101:1711, заявитель Тиссен В.Я.» (1 шт.) </t>
  </si>
  <si>
    <t>«Установка системы учета для технологического присоединения объекта «квартира», расположенного по адресу: Ростовская область, Целинский район, п. Лиманный, ул. Урожайная, д. 15, кв. 1, к.н.з.у.: 61:40:0010801:532, заявитель Борисюк С.А.» (1 шт.)</t>
  </si>
  <si>
    <t>«Установка системы учета для технологического присоединения объекта «квартира», расположенного по адресу: Ростовская область, Целинский район, п. Малая Роща, ул. Лазурная, д. 30, кв. 1, к.н.з.у.: 61:40:0010401:41, заявитель Семененко И.А.» (1 шт.)</t>
  </si>
  <si>
    <t>«Установка системы учета для технологического присоединения объекта «жилой дом», расположенного по адресу: Ростовская область, Целинский район, п. Лиманный, ул. Сиреневая, д. 53, к.н.з.у.: 61:40:0010801:90, заявитель Карташова Н.А.» (1 шт.)</t>
  </si>
  <si>
    <t>«Установка системы учета для технологического присоединения «жилого дома», расположенного по адресу: 347563, РФ, Ростовская область, Песчанокопский район, с. Поливянка, ул. Ленина, д. 43-а к.н.з.у.:61:30:0080101:123, заявитель Путилина М.В.» (1 шт.)</t>
  </si>
  <si>
    <t>«Установка системы учета для технологического присоединения «Малоэтажная жилая застройка», расположенного по адресу: 347609 Российская Федерация, Ростовская обл.,   р-н. Сальский, п. Белозерный, ул. Юбилейная, д. 25, кадастровый номер земельного участка: 61:34:0080101:1639, заявитель Аркатов В.И.» (1 шт.)</t>
  </si>
  <si>
    <t>«Установка системы учета для технологического присоединения объекта «жилой дом», расположенного по адресу: 347609 Российская Федерация, Ростовская обл., р-н. Сальский, п. Белозерный, ул. Пионерская, д. 13, кадастровый номер земельного участка: 61:34:0080101:90, заявитель Вовчук Е.О.» (1 шт.)</t>
  </si>
  <si>
    <t>«Установка системы учета для технологического присоединения объекта «квартира», расположенного по адресу: 347565, РФ, Ростовская область, Песчанокопский район, с. Красная Поляна, ул. Советская, д. 66 кв. 1, к.н.з.у.:61:30:0050101:272, заявитель Лукьянченко А.А.» (1 шт.)</t>
  </si>
  <si>
    <t xml:space="preserve">«Установка системы учета для технологического присоединения объекта «Жилой дом», расположенного по адресу: 347523, РФ, Ростовская область, Орловский район, х. Весёлый, пер. Восточный, д. 10, к.н.з.у.: 61:29:0070401:128, заявитель Мищенко Д.Н.» (1 шт.) </t>
  </si>
  <si>
    <t>«Установка системы учета для технологического присоединения объекта «здание столовой», расположенной по адресу: Российская Федерация, Ростовская обл., г. Сальск, Новоегорлыкское шоссе 0+900 м, кадастровый номер земельного участка: 61:57:0010906:55, заявитель ИП Григоренко С.И.» (1 шт.)</t>
  </si>
  <si>
    <t>«Установка системы учета для технологического присоединения объекта «жилой дом», расположенного по адресу: 347609 Российская Федерация, Ростовская обл., р-н. Сальский, п. Белозерный, ул. Победы, д. 2, кадастровый номер земельного участка: 61:34:0080101:523, заявитель Пузин С.П.» (1 шт.)</t>
  </si>
  <si>
    <t>«Установка системы учета для технологического присоединения объекта «жилой дом», расположенного по адресу: 347602 Российская Федерация, Ростовская обл., р-н. Сальский, п. Степной Курган, ул. Пролетарская, д. 13, кв./оф. 2, кадастровый номер земельного участка: 61:34:0100101:43, заявитель Тарасюк Т.П.» (1 шт.)</t>
  </si>
  <si>
    <t>«Установка системы учета для технологического присоединения объекта «Малоэтажная жилая застройка», расположенного по адресу: Российская Федерация, Ростовская обл., р-н. Сальский, с. Екатериновка, ул. 40 лет Победы, д. 16, кв.2, кадастровый номер земельного участка: 61:34:0050101:4067, заявитель Горенко А.Н.» (1 шт.)</t>
  </si>
  <si>
    <t>«Установка системы учета для технологического присоединения объекта «Мобильная контейнерная АЗС», расположенного по адресу: 347628 Российская Федерация, Ростовская обл., р-н. Сальский, п. Гигант, ул. Шолохова, кадастровый номер земельного участка: 61:34:0010001:294, заявитель ИП Продоненко А.Н.» (1 шт.)</t>
  </si>
  <si>
    <t>«Установка системы учета для технологического присоединения объекта «Малоэтажная жилая застройка», расположенного по адресу: Российская Федерация, Ростовская обл., г. Сальск, СНТ "Железнодорожник", бригада 5 земельный участок 1А, кадастровый номер земельного участка: 61:57:0010977:1720, заявитель Светличный А.В.» (1 шт.)</t>
  </si>
  <si>
    <t>«Установка системы учета для технологического присоединения объекта «магазин для продажи товаров повседневного спроса», расположенного по адресу: Российская Федерация, Ростовская обл., р-н. Пролетарский, п. Опенки, ул. Тополей, д. 7-а, к.н. 61:31:080101:0134, заявитель Леонтьев В.Ю.»</t>
  </si>
  <si>
    <t>«Установка системы учета для технологического присоединения объекта «квартира», расположенного по адресу: РФ, Ростовская обл., р-н. Пролетарский, х. Степной, ул. Первомайская, д. 20, кв.2, кадастровый номер земельного участка: 61:31:0060401:25, заявитель Никитин А.А.» (1 шт.)</t>
  </si>
  <si>
    <t>«Установка системы учета для технологического присоединения объекта «жилой дом», расположенного по адресу: РФ, Ростовская обл., р-н. Пролетарский, х. Николаевский 2-й, ул. Комсомольская, д. 19, заявитель Галицин А.А.» (1 шт.)</t>
  </si>
  <si>
    <t>«Установка системы учета для технологического присоединения объекта «Объект торговли (магазин, торговый центр, прочее)», расположенного по адресу: РФ, Ростовская обл., р-н. Пролетарский, х. Сухой, ул. Мира, д. 20, кв. 2, кадастровый номер земельного участка: 61:31:0090101:3014, заявитель ИП Аббасова Г.А.» (1 шт.)</t>
  </si>
  <si>
    <t>«Установка системы учета для технологического присоединения объекта «сети уличного освещения», расположенного по адресу: 347559 Российская Федерация, Ростовская обл., р-н. Пролетарский, х. Новомоисеевский, заявитель Администрация Дальненского сельского поселения» (1 шт.)</t>
  </si>
  <si>
    <t>«Установка системы учета для технологического присоединения «жилого дома», расположенного по адресу: 347567, РФ, Ростовская область, Песчанокопский район, с. Жуковское, ул. 8 Марта, д. 16-а к.н.з.у.:61:30:0030101:4359, заявитель Кузь Р.С.» (1 шт.)</t>
  </si>
  <si>
    <t>«Установка системы учета для технологического присоединения объекта «Жилой дом», расположенного по адресу: 347500, РФ, Ростовская область, Орловский район, п. Красноармейский, ул. Школьная, д. 2м, к.н.з.у.: 61:29:0060117:626, заявитель Бондаренко В.А.» (1 шт.)</t>
  </si>
  <si>
    <t>«Строительство ВЛИ 0,4 кВ от существующей опоры 1-00/10 ВЛ 0,4 кВ Л-1 КТП 10/0,4 кВ №297 ВЛ 10 кВ Л-2 Ново-Донская и установка системы учета электрической энергии (мощности) на границе земельного участка для технологического присоединения «мойка, цех регинерации масла», расположенного по адресу: РФ, Ростовская область, Целинский район, с. Средний Егорлык, лирер А, Восточный район, к.н.з.у.:61:40:0080101, заявитель ИП глава КФХ Рыжкин Н.П.» (Ориентировочная протяженность ЛЭП - 0,08 км)</t>
  </si>
  <si>
    <t>«Строительство ВЛ 0,4 кВ от опоры №2-00/20 ВЛ 0,4 кВ Л-2 КТП 10/0,4 кВ    № 280 по ВЛ 10 кВ Л-7 Кундрюченская, и установка системы учета электрической энергии (мощности) на границе земельного участка для электроснабжения объекта – «Жилой дом», расположенного по адресу: РФ, Ростовская область, Орловский район, х. Луганский, ул. Зелёная, д. 11а, к.н.з.у.: 61:29:0010501:2271, заявитель Бирюков А.С.»</t>
  </si>
  <si>
    <t>«Строительство ВЛИ 0,4 кВ от существующей опоры № 1­00/13 ВЛ 0,4 кВ №1 КТП № 301 по ВЛ 10 кВ Л­1 Степная для электроснабжения объекта – «Сарай», расположенного по адресу: РФ, Ростовская обл., р-н. Пролетарский, 500 м к северу от х. Николаевский 2­й, кадастровый номер земельного участка: 61:31:0600013:358, заявитель Матвиенко В.И.»</t>
  </si>
  <si>
    <t>«Строительство ВЛ 0,4 кВ от опоры №3-00/10 ВЛ 0,4 кВ Л-3 КТП 10/0,4 кВ № 500 по ВЛ 10 кВ Л­1 Фрунзе 1 и установка системы учета электрической энергии (мощности) на границе земельного участка для электроснабжения объекта – «Административное здание», расположенного по адресу: Российская Федерация, Ростовская обл., Сальский район, кадастровый номер земельного участка: 61:34:0600001:2666, заявитель СПК «Рыбак»</t>
  </si>
  <si>
    <t>«Строительство ВЛИ 0,4 кВ от существующей опоры 1-02/4 ВЛ 0,4 кВ Л-1 КТП 10/0,4 кВ №85 по ВЛ 10 кВ Л-2 Целинский ССК и установка системы учета электрической энергии (мощности) на границе земельного участка для технологического присоединения «объект медицинского учреждения», расположенного по адресу: РФ, Ростовская область, Целинский район, х. Северный, ул. Молодежная, д. 2б, к.н.з.у.: 61:40:0031101:2706, заявитель МУНИЦИПАЛЬНОЕ БЮДЖЕТНОЕ УЧРЕЖДЕНИЕ ЗДРАВООХРАНЕНИЯ «ЦЕНТРАЛЬНАЯ РАЙОННАЯ БОЛЬНИЦА ЦЕЛИНСКОГО РАЙОНА РОСТОВСКОЙ ОБЛАСТИ» (Ориентировочная протяженность ЛЭП - 0,025 км)</t>
  </si>
  <si>
    <t>«Строительство ВЛИ 0,4 кВ от существующей опоры 3-00/3-2 ВЛ 0,4 кВ Л-3 КТП 10/0,4 кВ №213 по ВЛ 10 кВ Л-2 Ново-Донская и установка системы учета электрической энергии (мощности) на границе земельного участка для технологического присоединения «модульный дом культуры», расположенного по адресу: Ростовская область, Целинский район, с. Средний Егорлык, ул. Школьная, д. 17а, к.н.з.у.: 61:40:0080101:5994, заявитель Администрация Среднеегорлыкского сельского поселения»</t>
  </si>
  <si>
    <t>«Строительство ВЛИ 0,4 кВ от существующей опоры 2-01/2 ВЛ 0,4 кВ Л-2 КТП 10/0,4 кВ №229 по ВЛ 10 кВ Л-3 Лопанская и установка системы учета электрической энергии (мощности) на границе земельного участка для технологического присоединения «объекты наружного освещения», расположенного по адресу: РФ, Ростовская область, Целинский район, с. Лопанка, ул. Молодежная, д. 2д, к.н.з.у.: 61:40:0040101:4854, заявитель Администрация Лопанского сельского поселения»</t>
  </si>
  <si>
    <t>«Строительство ВЛИ 0,4 кВ от существующей опоры 1-00/16-4 ВЛ 0,4 кВ Л-1 КТП 10/0,4 кВ №287 ВЛ 10 кВ Л-1 Целинская для технологического присоединения «теплицы», расположенного по адресу: РФ, Ростовская область, Целинский район, п. Новая Целина, Новоцелинское с/п, в границах СПК «Целинский», к.н.з.у.:61:40:00600011:1785, заявитель Лохматов С.В.» (Ориентировочная протяженность ЛЭП - 0,09 км)</t>
  </si>
  <si>
    <t>Строительство ТП 10/0,4 и ВЛ 0,4 кВ от опоры №3-00/46 ВЛ 10 кВ Л-3 Водозабор для электроснабжения объекта – «производственное здание», расположенного по адресу: Российская Федерация, Ростовская обл., р-н. Сальский, с. Крученая Балка, в 5 км западнее от ул. Шоссейная г. Сальска, кадастровый номер земельного участка 61:34:0000000:7543, заявитель Королевский В.В.» (Ориентировочная протяженность ЛЭП – 0,01 км, ориентировочная мощность ТП – 0,025 МВА)</t>
  </si>
  <si>
    <t>«Строительство ВЛ 0,4 кВ от РУ 0,4 кВ КТП 10/0,4 кВ № 136 по ВЛ 10 кВ Л­4 Березовская и установка системы учета электрической энергии (мощности) на границе земельного участка для электроснабжения объекта – «Антенно-мачтовое сооружение 61-14995», расположенного по адресу: 347614 Российская Федерация, Ростовская обл., р-н. Сальский, с. Березовка, ул. Молодежная, вблизи д.2, рядом с земельным участком с кадастровым номером 61:34:0030101:329, заявитель АО «ПБК»</t>
  </si>
  <si>
    <t>«Строительство ВЛ 0,4 кВ от опоры №1-00/10 ВЛ 0,4 кВ Л-1 КТП 10/0,4 кВ № 285 по ВЛ 10 кВ Л-9 Куберле-2 и установка системы учета электрической энергии (мощности) на границе земельного участка для электроснабжения объекта – «Базовая станция/ оборудование сотовой связи», расположенного по адресу: РФ, Ростовская область, Орловский район, х. Широкий, в зоне СХУ/11/04, заявитель ПАО «Ростелеком»</t>
  </si>
  <si>
    <t>«Строительство ВЛ 0,4 кВ от опоры №1-00/10 ВЛ 0,4 кВ Л-1 КТП 10/0,4 кВ    № 43 по ВЛ 10 кВ Л-8 Журавлевская и установка системы учета электрической энергии (мощности) на границе земельного участка для электроснабжения объекта – «Склад», расположенного по адресу: РФ, Ростовская область, Орловский район, х. Журавлев, ул. Транспортная 2а, кадастровый номер земельного участка: 61:29:0040401:474, заявитель ИП Илюшин В.В. глава К(Ф)Х» (Ориентировочная протяженность ЛЭП – 0,05 км)</t>
  </si>
  <si>
    <t>«Строительство ВЛ 0,4 кВ от РУ 0,4 кВ КТП 10/0,4 кВ №271 по ВЛ 10 кВ Л-2 РП 21 С и установка системы учета электрической энергии (мощности) на границе земельного участка, для электроснабжения объекта – «гостиница», расположенного по адресу: 347603 Российская Федерация, Ростовская обл., р-н. Сальский, п. Конезавод имени Буденного, ул. Буденного, д. 2-г, кадастровый номер земельного участка 61:34:0040101:4547, заявитель Гимбатов Г.А.»</t>
  </si>
  <si>
    <t>Строительство ВЛ 0,4 кВ от проектируемой ВЛ 0,4 кВ КТП-10/0,4 кВ № 39 (по договору № 61-1-20-00496531 от 17.02.2020г.) от ВЛ 10 кВ № 1203 ПС 110/10 кВ АС-12 для электроснабжения ВРУ 0,4 кВ жилого дома Лысенко Д.С. в границах плана х. Каменный Брод, уч. 339, Родионово-Несветайский район, Ростовской области</t>
  </si>
  <si>
    <t xml:space="preserve">Строительство ВЛ 0,4 кВ от проектируемой ВЛ 0,4 кВ (по договору №61-1-20-00521871 от 03.08.2020 г.) проектируемой КТПН 10/0,4 кВ ВЛ 10 кВ №1203 ПС 110 кВ АС12 для электроснабжения ВРУ 0,4 кВ жилого дома Шафранович М. В. на участке с КН 61:33:0600015:970 в Родионово-Несветайском районе Ростовской области </t>
  </si>
  <si>
    <t xml:space="preserve">Строительство ТП 10/0,4 кВ, ВЛ 0,4 кВ, ВЛ 10 кВ от ВЛ 10 кВ №101 ПС 110 кВ АС1 для электроснабжения ВРУ 0,4 кВ жилого дома Яхненко Н. В. на участке с КН 61:02:0600015:8147 в ст-це Ольгинская Аксайского района Ростовской области </t>
  </si>
  <si>
    <t xml:space="preserve">Строительство ВЛ 0,4 кВ от проектируемой ВЛ 0,4 кВ (по договору №61-1-20-00511571 от 05.06.2020 г.) проектируемой КТПН 10/0,4 кВ ВЛ 10 кВ №101 ПС 110 кВ АС1 для электроснабжения ВРУ 0,4 кВ жилого дома Шевцовой А. Н. в ст-це Ольгинская Аксайского района Ростовской области </t>
  </si>
  <si>
    <t>Строительство ВЛ 0,4 кВ от ВЛ 0,4 кВ №1 ТП 10 кВ №454 ВЛ 10 кВ №1004 ПС 110 кВ АС10 для электроснабжения ВРУ 0,4 кВ жилого дома Удовиченко И. Е. на участке с КН 61:02:0030109:159 в ст-це Грушевская Аксайского района Ростовской области</t>
  </si>
  <si>
    <t>Строительство ВЛ 0,4 кВ, от проектируемой ВЛ 0,4 кВ (по договору № 61-1-22-00626367 от 31.01.2022) от КТП 10/0,4 кВ №928 ВЛ 10 кВ №101 ПС 110/35/10 кВ АС1 для электроснабжения ВРУ-0,4 кВ жилого дома Савиновой В.В. на участке с КН 61:02:0600015:7094 в ст-це Ольгинская Аксайского района Ростовской области</t>
  </si>
  <si>
    <t xml:space="preserve">Строительство ВЛ 0,4 кВ, от проектируемой ВЛ 0,4 кВ (по договору № 61-1-22-00626367 от 31.01.2022) от КТП 10/0,4 кВ №928 ВЛ 10 кВ №101 ПС 110/35/10 кВ АС1 для электроснабжения ВРУ-0,4 кВ жилого дома Савинова И.В. на участке с КН 61:02:0600015:7093 в ст-це Ольгинская Аксайского района Ростовской области </t>
  </si>
  <si>
    <t xml:space="preserve">Строительство ВЛ 0,4 кВ от РУ 0,4 кВ проектируемого КТП 10/0,4 кВ ВЛ 10 кВ №653 ПС 110/10/6 кВ АС6 для электроснабжения ВРУ 0,4 кВ жилого дома Ткаченко А.М. на участке с КН 61:02:0110201:511, в х. Краснодворск, ул. Лебединая, д.9, Аксайского района Ростовской области </t>
  </si>
  <si>
    <t xml:space="preserve">Строительство ВЛ 0,4 кВ от ВЛ 0,4 кВ №1 КТП-10/0,4 кВ №30 ВЛ 10 кВ №655 ПС 110/10 кВ АС-6 для электроснабжения ВРУ-0,4 кВ жилого дома Федорова А. В. на участке с КН 61:02:0110102:3786 в ст-це Старочеркасская Аксайского района Ростовской области </t>
  </si>
  <si>
    <t xml:space="preserve">Строительство ВЛ 0,4 кВ от ВЛ 0,4 кВ №1 КТП-10/0,4 кВ №19 ВЛ 10 кВ №655 ПС 110/10 кВ АС-6 для электроснабжения ВРУ-0.4 кВ жилого дома Цыбиной Л. Г. по адресу: РО., Аксайский р-н, ст-ца Старочеркасская, ул. Лесная, 15А, кадастровый номер земельного участка: 61:02:0110102:2858 </t>
  </si>
  <si>
    <t>Строительство ВЛ 0,4 кВ от РУ 0,4 кВ ТП 10/0,4 кВ №117 ВЛ 10 кВ №434 ПС 220 кВ Р4 для электроснабжения ВРУ- 0,4 кВ офисного здания Бархоянц А.А. на участке с КН 61:02:0600010:7059 Аксайского района, Р.О.</t>
  </si>
  <si>
    <t xml:space="preserve">Строительство ВЛ 0,4 кВ от проектируемой ВЛ 0,4 кВ проектируемой КТПН 10/0,4 кВ (по договору №61-1-20-00507591 от 16.04.2020 г.) ВЛ 10 кВ №403 ПС 110 кВ АС4 для электроснабжения ВРУ 0,4 кВ жилых домов Ершовой Н. Г., Ершова С. В. по ул. Крымская в х. Ленина Аксайского района Ростовской области </t>
  </si>
  <si>
    <t xml:space="preserve">Строительство ВЛ 0,4 кВ от проектируемой ВЛ 0,4 кВ (по договору №61-1-20-00544009 от 10.11.2020 г.) проектируемой ТП 10/0,4 кВ ВЛ 10 кВ №1208 ПС 110 кВ АС12 для электроснабжения жилого дома Поляничкина А. В. на участке с КН 61:02:0600006:6729 в Аксайском районе Ростовской области </t>
  </si>
  <si>
    <t xml:space="preserve">Строительство ВЛ 0,4 кВ по ВЛ 0,4 кВ №3 КТП-6/0,4 кВ №72 ВЛ 6 кВ №804 ПС 35/6 кВ АС8 для электроснабжения ВРУ 0,4 кВ жилого дома Гарагуля Д.И. в п. Российский, пер. Солнечный, д.9,   на участке с КН 61:02:0600010:3493 в Аксайском р-не </t>
  </si>
  <si>
    <t xml:space="preserve">Строительство ВЛ 0,4 кВ от РУ ТП 10/0,4 кВ №1849 (на балансе СНТ «Диана») ВЛ 10 кВ №1204 ПС 110/10 кВ АС12 для электроснабжения ВРУ-0,4 кВ жилого дома Нугумановой Х.Я. на участке №27 с КН 61:02:0501701:27 в СНТ «Диана» п. Щепкин Аксайского района Ростовской области 
</t>
  </si>
  <si>
    <t>Строительство ВЛ 0,4 кВ от ВЛ 0,4 кВ №1 ТП 10 кВ №642 ВЛ 10 кВ №107 ПС 110 кВ АС1 для электроснабжения ВРУ 0,4 кВ жилого дома Петоян Л. М. на участке с КН 61:02:0600015:5081 в ст-це Ольгинская Ростовской области</t>
  </si>
  <si>
    <t xml:space="preserve">Строительство ВЛ 0,4 кВ от ВЛ 0,4 кВ №1 ТП 10 кВ №927 ВЛ 10 кВ №1207 ПС 110 кВ АС12 для электроснабжения ВРУ 0,4 кВ жилого дома Агарковой Т. А. на участке с КН 61:02:0600006:4677 в п. Щепкин Аксайского района, РО </t>
  </si>
  <si>
    <t xml:space="preserve">Строительство ВЛ 0,4 кВ по ВЛ 0,4 кВ №1 ТП-10/0,4 кВ №70А ВЛ 10 кВ №3 ПС 35/10 кВ Б. Салы для электроснабжения ВРУ-0,4 кВ жилого дома Мель В.Е. в п. Темерницкий, на участке с КН 61:02:0600005:10493 в Аксайском районе </t>
  </si>
  <si>
    <t xml:space="preserve">Строительство ВЛ 0,4 кВ от ВЛ 0,4 кВ №2 КТП-10/0,4 кВ №39 ВЛ 10 кВ №1203 ПС 110/10 кВ АС-12 для электроснабжения ВРУ-0,4 кВ жилого дома Лекаркина Н. А. на участке с КН 61:33:0600015:964 в совх. Каменобродский Родионово-Несветайского района Ростовской области </t>
  </si>
  <si>
    <t xml:space="preserve">Строительство ВЛ 0,4 кВ по ВЛ 0,4 кВ №3 ТП-10/0,4 кВ №496 ВЛ 10 кВ №1101 ПС 110/35/10 кВ АС-11 для электроснабжения ВРУ-0,4 кВ жилого дома Крамарева Е. А. на участке с КН 61:02:0600009:2588 в ст-це Мишкинская Аксайского района Ростовской области </t>
  </si>
  <si>
    <t>Строительство ВЛ 0,4 кВ от концевой опоры, проектируемой ВЛ 0,4 кВ от КТП-10/0,4 кВ №78 ВЛ 10 кВ №3 ПС 35/10 кВ Б. Салы (по договору №61-1-21-00579291 от 31.05.2021 г.) для электроснабжения ВРУ-0,4 кВ жилого дома Завгороднего И.И. на участке с КН 61:02:0600006:6847 в Аксайском районе, п. Щепкин</t>
  </si>
  <si>
    <t xml:space="preserve">Строительство ВЛ 0,4 кВ от РУ 0,4 кВ ТП 10 кВ №217 ВЛ 10 кВ №1204 ПС 110 кВ АС12 для электроснабжения ВРУ 0,4 кВ жилого дома Жуменовой Л. А. на участке с КН 61:02:0501601:509 в п. Щепкин Аксайского района Ростовской области </t>
  </si>
  <si>
    <t xml:space="preserve">Строительство ВЛ 0,4 кВ от проектируемой ВЛ 0,4 кВ (по договору №61-1-20-00511571 от 05.06.2020 г.) проектируемой КТПН 10/0,4 кВ ВЛ 10 кВ №101 ПС 110 кВ АС1 для электроснабжения ВРУ 0,4 кВ жилого дома Рубасовой О. Н. на участке с КН 61:02:0600015:7083 в ст-це Ольгинская Аксайского района Ростовской области </t>
  </si>
  <si>
    <t>Строительство ВЛ 0,4 кВ от ВЛ 0,4 кВ №1 КТП 10/0,4 кВ №118 ВЛ 10 кВ №307 ПС 35 кВ БГ3 для электроснабжения жилого дома Сокуренко П.Н. по адресу РО, Багаевский район, х. Верхнеянченков, ул. Степная, д. 8а, к.н. 61:03:0030301:164</t>
  </si>
  <si>
    <t xml:space="preserve">Строительство ТП 10/0,4 кВ, ВЛ 0,4 кВ, ВЛ 10 кВ по ВЛ 10 кВ №305 ПС 35 кВ БГ3 для электроснабжения нежилого здания ООО «Автодор» по адресу: Ростовская обл., р-н. Багаевский, ст. Багаевская, трасса Ростов-Семикаракорск-Волгодонск 50 км, к.н. 61:03:0000000:2899. </t>
  </si>
  <si>
    <t xml:space="preserve">Строительство ТП 10/0,4 кВ, ВЛ 0,4 кВ, ВЛ 10 кВ по ВЛ 10 кВ №307 ПС 35 кВ БГ3 для электроснабжения жилых домов Шакировой Ш.Н.  и Махмудова Д.С. по адресу: Ростовская обл., р-н. Багаевский, х. Елкин, пер. Степной, 12 участок 4, к.н. 61:03:0030122:29, пер. Степной, 12 участок 5, к.н. 61:03:0030122:30. </t>
  </si>
  <si>
    <t>Строительство ВЛ 0,4 кВ от РУ 0,4 кВ ТП №92, ВЛ 10 кВ №157 ПС 110 кВ В1 для электроснабжения жилых домов Амирханян Ш. В., Амирханян Г. Б., Амирханяна В. Ш. в Веселовском районе, РО, п. Веселый, ул. Первомайская, 199, 201 участки с к. н. 61:06:0600012:1684, 61:06:0600012:980, 61:06:0600012:981</t>
  </si>
  <si>
    <t>Строительство ВЛ 0,4 кВ от КТП 10/0,4 кВ №644 ВЛ10 кВ № 608 ПС СМ6 для электроснабжения нежилого здания заявителя ИП Шуплецова Ф.В., по адресу: РО, Семикаракорский р-н, к.н.: 61:35:0600005:1020</t>
  </si>
  <si>
    <t>Строительство ТП 10/0,4 кВ, ВЛ 0,4 кВ, ВЛ 10 кВ от ВЛ 10 кВ №3 ПС 35 кВ Б. Салы для электроснабжения объекта торговли Евсюковой В. В. АО «Темерницкое» Аксайского района Ростовской области</t>
  </si>
  <si>
    <t>Строительство ВЛ 0,4 кВ от ВЛ 0,4 кВ №1 ТП 10 кВ №642 ВЛ 10 кВ №107 ПС 110 кВ АС1 для электроснабжения ВРУ 0,4 кВ жилого дома Великоцкого Д. В. на участке с КН 61:02:0600015:5190 в ст-це Ольгинская Аксайского района Ростовской области</t>
  </si>
  <si>
    <t xml:space="preserve">Строительство ВЛ 0,4 кВ от ВЛ 0,4 кВ №2 КТП №614 ВЛ 10 кВ №105 ПС 110 кВ АС1 для электроснабжения ВРУ 0,4 кВ жилого дома Кобзева Э. Н. на участке с КН 61:02:0090102:2073 в ст-це Ольгинская Аксайского района Ростовской области </t>
  </si>
  <si>
    <t>Строительство ВЛ 0,4 кВ от ВЛ 0,4 кВ №1 ТП 10 кВ №629 ВЛ 10 кВ №501 ПС 35 кВ АС5 для электроснабжения ВРУ 0,4 кВ жилого дома Безземельной Т. И. на участке в х. Алитуб Аксайского района Р.О</t>
  </si>
  <si>
    <t xml:space="preserve">Строительство ВЛ 0,4 кВ от проектируемой ВЛ 0,4 кВ  (по договору №61-1-21-00586139) ТП 10 кВ №476 ВЛ 10 кВ №1103 ПС 110 кВ АС11 для электроснабжения ВРУ-0,22 кВ жилого дома Семеруниной К.Р. на участке с КН 61:02:0600009:2386 и ВРУ 0,4 жилого дома Лысенко М.А. на участке с КН 61:02:0600009:2389 в ст. Мишкинская, Аксайского района, Р.О. </t>
  </si>
  <si>
    <t xml:space="preserve">Строительство ВЛ 0,4 кВ по ВЛ 0,4 кВ КТП-10/0,4 кВ №496 ВЛ 10 кВ №1101 ПС 110/35/10 кВ АС-11 для электроснабжения ВРУ-0,4 кВ жилого дома Заводчикова А.Г. на участке с КН 61:02:007202:2309 в ст-ца Мишкинская, Аксайского района, Ростовской области </t>
  </si>
  <si>
    <t xml:space="preserve">Строительство ВЛ 0,4 кВ от опоры №5 ВЛ 0,4 кВ КТП-10/0,4 кВ №931 ВЛ 10 кВ №1103 ПС 110/35/10 кВ АС-11 для электроснабжения ВРУ-0,4 кВ жилого дома Агакишиева Тельман Вагиф оглы на участке с КН 61:02:0600009:1604 в ст-ца Мишкинская, Аксайского района, Ростовской области </t>
  </si>
  <si>
    <t xml:space="preserve">Строительство ВЛ 0,4 кВ от ВЛ 0,4 кВ №1 ТП-10/0,4 кВ №928 ВЛ 10 кВ №101 ПС 110 кВ АС-1 для электроснабжения ВРУ-0,4 кВ жилого дома Личковаха С.Г. на участке с КН 61:02:0600015:7060 в ст-ца Ольгинская, Аксайского района, Ростовской области </t>
  </si>
  <si>
    <t xml:space="preserve">Строительство ВЛ 0,4 кВ от ВЛ 0,4 кВ №1 КТП 10/0,4 кВ №105 ВЛ 10 кВ №305 ПС 35 кВ БГ3 для электроснабжения склада (зернохранилище) ИП Аллахвердиева С.А. по адресу РО, Багаевский район, Багаевское сельское поселение, х. Краснодонский, ул. Октябрьская, 2а, к.н. 61:03:0600004:4661. </t>
  </si>
  <si>
    <t xml:space="preserve">Строительство ВЛ 0,4 кВ, КТП 10/0,4 кВ ВЛ 10 кВ № 1105 ПС СМ11 для электроснабжения жилого дома заявителя Байракдарова М.И., по адресу: РО, Семикаракорский р-н, к.н.: 61:35:0600013:371 </t>
  </si>
  <si>
    <t>Строительство ВЛ 0,4 кВ от проектируемого ТП 10/0,4 кВ по договорам (№61-1-21-00562865, №61-1-21-00562839) ВЛ 10 кВ №402 ПС 110 кВ СМ4 для электроснабжения жилых домов по адресу: РО, Семикаракорский р-н, х. Сусат, КН 61:35:0090101:438; 61:35:0090101:291; 61:35:0090101:3222; 61:35:0090101:3220; 61:35:0090101:293</t>
  </si>
  <si>
    <t xml:space="preserve">Строительство ТП 10/0,4 кВ, ВЛ 0,4 кВ, ВЛ 10 кВ от ВЛ 10 кВ №1003 ПС 110 кВ АС10 для электроснабжения ВРУ 0,4 кВ нежилой застройки ООО «Данилов Александр Дмитриевич» на участке с КН 61:02:600002:226, РО, колхоз КСП им. Ленина Аксайский район </t>
  </si>
  <si>
    <t xml:space="preserve">Строительство ВЛ 0,4 кВ от ВЛ 0,4 кВ №3 КТП 10/0,4 кВ №25 ВЛ 10 кВ №259 ПС 110 кВ БГ2 для электроснабжения жилого дома Швед М.П. по адресу РО, Багаевский район, ст. Манычская, ул. Кирова, д. 53, к.н. 61:03:0040129:45. </t>
  </si>
  <si>
    <t xml:space="preserve">Строительство ВЛ 0,4 кВ от РУ 0,4 кВ ТП 10 кВ №737 ВЛ 10 кВ №105 ПС 110 кВ АС1 для электроснабжения ВРУ 0,4 кВ складского здания Экперова Д. Э. на участке с КН 61:02:0600015:8076 в ст-це Ольгинская Аксайского района Ростовской области </t>
  </si>
  <si>
    <t xml:space="preserve">Строительство ВЛ 0,4 кВ от ВЛ 0,4 кВ №1 ТП 10 кВ №453 ВЛ 10 кВ №1109 ПС 110 кВ АС11 для электроснабжения ВРУ 0,4 кВ жилого дома Синько А. В. на участке с КН 61:02:0600002:1041 в ст-це Грушевская Аксайского района Ростовской области </t>
  </si>
  <si>
    <t xml:space="preserve">Строительство ВЛ 0,4 кВ по ВЛ 0,4 кВ №2 КТП-10/0,4 кВ №448 ВЛ 10 кВ №1106 ПС 110/35/10 кВ АС-11 для электроснабжения ВРУ-0.4 кВ жилого дома Вострова Н.В. по адресу: РО г. Новочеркасск, пер. Жасминовый, д.3, К.Н.: 61:55:011022:0274. </t>
  </si>
  <si>
    <t xml:space="preserve">Строительство ТП 10/0,4 кВ, ВЛ 0,4 кВ, ВЛ 10 кВ от ВЛ 10 кВ №102 ПС 110 кВ АС1 для электроснабжения объектов наружного освещения Жировой Г. Н. на участках с КН 61:02:0600014:1902, 61:02:0600014:1905 в ст-це Ольгинской Аксайского района Ростовской области </t>
  </si>
  <si>
    <t xml:space="preserve">Строительство ВЛ 0,4 кВ от проектируемой ВЛ 0,4 кВ (по договору №61-1-22-00636701 от 25.03.2022 г.) ТП-10/0,4 кВ №928 ВЛ 10 кВ №101 ПС 110 кВ АС-1 для электроснабжения ВРУ-0.4 кВ жилого дома Чикиной М.А. по адресу: РО., р-н. Аксайский, ст-ца. Ольгинская, ул. 75 лет Победы, д. 3, КН: 61:02:0600015:7102 </t>
  </si>
  <si>
    <t xml:space="preserve">Строительство ВЛ 0,4 кВ от ВЛ 0,4 кВ №1 КТП-10/0,4 кВ №70А ВЛ 10 кВ №3 ПС 35/10 кВ Б. Салы для электроснабжения ВРУ-0.4 кВ жилого дома Ижендеева И.В. по адресу: Р.О., Аксайский р-н, п. Темерницкий, К.Н.: 61:02:0600005:10492 </t>
  </si>
  <si>
    <t xml:space="preserve">Строительство ВЛ 0,4 кВ от ВЛ 0,4 кВ №1 КТП-10/0,4 кВ №34 ВЛ 10 кВ №657 ПС 110 кВ АС-6 для электроснабжения ВРУ-0.22 кВ жилого дома Довгополого А.Д  по адресу: РО, Аксайский р-н, ст-ца. Старочеркасская, пер. Партизанский, д. 17, КН: 61:02:0110102:3312 </t>
  </si>
  <si>
    <t xml:space="preserve">Строительство ВЛ 0,4 кВ от опоры №19 ВЛ 0,4 кВ №5 КТП-10/0,4 кВ №601 ВЛ 10 кВ №101 ПС 110/35/10 кВ АС-1 для электроснабжения малоэтажной жилой застройки Вербицкой Татьяны Григорьевны по адресу: Ростовская обл., р-н. Аксайский, ст-ца. Ольгинская, ул. Красноармейская, д. 159, кадастровый номер земельного участка: 61:02:0090103:3482. </t>
  </si>
  <si>
    <t xml:space="preserve">Строительство ВЛ 0,4 кВ от ВЛ 0,4 кВ №2 ТП-10/0,4 кВ №757 ВЛ 10 кВ №101 ПС 110 кВ АС-1 для электроснабжения ВРУ-0,4 кВ жилого дома Кучерявого С.Н. на участке с КН 61:02:0600015:5389 в хуторе Махин, Аксайского района, Ростовской области </t>
  </si>
  <si>
    <t>Строительство ВЛ 0,4 кВ от опоры №12 ВЛ-0,4 кВ № 2 КТП 10/0,4 кВ №429 ВЛ-10 кВ № 402 ПС СМ-4 для электроснабжения жилых домов заявитей Ковалева Н.С., Рыжих А.В, по адресу: РО, Семикаракорский р-н, х. Сусат, ул. Речная, д.2 к.н.: 61:35:0090101:573, ул. Речная, д.6 к.н.: 61:35:0090101:64</t>
  </si>
  <si>
    <t xml:space="preserve">Строительство ВЛ 0,4 кВ от ВЛ 0,4 кВ №2 ТП 6 кВ №177 ВЛ 6 кВ №807 ПС 35 кВ АС8 для электроснабжения жилого дома Миронова Д. О. на участке с КН 61:02:0010201:6898 в х. Большой Лог Аксайского района Ростовской области </t>
  </si>
  <si>
    <t xml:space="preserve">Строительство ВЛ 0,4 кВ от проектируемой ВЛ 0,4 кВ (по договору №61-1-21-00576307 от 19.05.2021 г.) техперевооружаемой ТП 10 кВ №447 ВЛ 10 кВ №1103 ПС 110 кВ АС11 для электроснабжения ВРУ 0,4 кВ жилого дома Норенко Е. В. в ст-це Мишкинская Аксайского района Ростовской области </t>
  </si>
  <si>
    <t xml:space="preserve">Строительство ВЛ 0,4 кВ от ВЛ 0,4 кВ №2 ТП 10 кВ №419 ВЛ 10 кВ №1005 ПС 110 кВ АС10 для электроснабжения ВРУ 0,4 кВ жилого дома Пятницыной В. А. на участке с КН 61:02:0000000:7253 в ст-це Грушевская Аксайского района Ростовской области </t>
  </si>
  <si>
    <t xml:space="preserve">Строительство ВЛ 0,4 кВ от проектируемой ВЛ 0,4 кВ (по договору №61-1-20-00517373 от 30.07.2020 г.) техперевооружаемой ТП 10 кВ №78 ВЛ 10 кВ №3 ПС 35 кВ Б. Салы для электроснабжения ВРУ 0,4 кВ жилого дома Лукьянчиковой А. С. в п. Щепкин Аксайского района Ростовской области </t>
  </si>
  <si>
    <t xml:space="preserve">Строительство ВЛ 0,4 кВ по ВЛ 0,4 кВ №1 ТП 10/0,4 кВ №740 ВЛ 10 кВ №101 ПС 110 кВ АС-1 для электроснабжения жилого дома Григорян В.С на участке с КН 61:02:0600015:5709 в х. Махин Аксайского района Ростовской области </t>
  </si>
  <si>
    <t xml:space="preserve">Строительство ВЛ 0,4 кВ от ВЛ 0,4 кВ №2 КТП №419 ВЛ 10 кВ №1005 ПС 110 кВ АС10 для электроснабжения ВРУ 0,4 кВ жилого дома Чернова А. С. на участке с КН 61:02:0030107:651 в ст-це Грушевская Аксайского района Ростовской области </t>
  </si>
  <si>
    <t xml:space="preserve">Строительство ВЛ 0,4 кВ от опоры №5 ВЛ0,4 кВ №1 КТП 10/0,4 кВ №433 ВЛ10 кВ №402 ПС СМ4 для электроснабжения жилых домов заявитей Сало Н.М., Пазушкин М.Н., Ковалева Л.А., Манаев Г.В., Губина Н.М.  по адресу: РО, Семикаракорский р-н, х. Сусат, ул. Речная к.н.: 61:35:0090101:607; к.н.: 61:35:0090101:610; к.н.: 61:35:0090101:611; к.н.: 61:35:0090101:613; к.н.: 61:35:0090101:616; </t>
  </si>
  <si>
    <t xml:space="preserve">Строительство ТП 10/0,4 кВ, ВЛ 0,4 кВ, ВЛ 10 кВ от опоры № 14 ВЛ 10 кВ №125 ПС 110 кВ СМ1 для электроснабжения ВРУ-0,4 кВ жилых домов заявителей Жуковой С.В. по адресу г. Семикаракорск, ул. Серегина, 131, Волкова Р.И. по адресу г. Семикаракорск, ул. Серегина, 143, Орловой Н.В. по адресу г. Семикаракорск, ул. Заводская, 44, Листопадова Д.Ю. по адресу г. Семикаракорск, ул. Солнечная, 49, Дергачевой И.П. по адресу г. Семикаракорск, пр. в 94 м на восток от ул. Заводская, 44., Быстрова Е.В по адресу г. Семикаракорск, ул. Олега Кошевого, 46 к.н, Бекетова А Г. по адресу г. Семикаракорск, ул. Солнечная, 34/1., Ефименко И.В. по адресу г. Семикаракорск, ул. Серегина, 145, Любимов К.А. по адресу г. Семикаракорск, ул. Олега Кошевого, 28 </t>
  </si>
  <si>
    <t xml:space="preserve">Строительство ВЛ 0,4 кВ по ВЛ 0,4 кВ №1 КТП 10/0,4 кВ №632 ВЛ 10 кВ №608 ПС 35 кВ СМ 6 для электроснабжения жилых домов заявитей Бойко Г.М, Зибаровой О.В., Равдугиной А.Н., Смычковой Т.П., Мансуровой С.И. по адресу: РО, Семикаракорский р-н, х. Маломечетный, ул. Школьная к.н.: 61:35:0020401:183; к.н.: 61:35:0020401:181; к.н.: 61:35:0020401:35; к.н.: 61:35:0020401:180; к.н.: 61:35:0020401:1 </t>
  </si>
  <si>
    <t>Строительство ВЛ 0,4 кВ от ВЛ 0,4 кВ №1 КТП-10/0,4 кВ №434 ВЛ 10 кВ №1103 ПС 110/35/10 кВ АС-11 для электроснабжения ВРУ-0,4 кВ жилого дома Прокудиной Н. Д. на участке с КН 61:02:0600009:1028 в ст-це Мишкинской Аксайского района Ростовской области</t>
  </si>
  <si>
    <t>Строительство ВЛ 0,4 кВ по ВЛ 0,4 кВ №1 ТП 10/0,4 кВ №448 ВЛ 10 кВ №1106 ПС 110/35/10 кВ АС11 для электроснабжения ВРУ 0,4 кВ жилого дома Сова В.М. на участке с КН 61:55:0011023:76 по ул. Войсковая, д. 46 в г. Новочеркасске Ростовской области</t>
  </si>
  <si>
    <t xml:space="preserve">Строительство ВЛ 0,4 кВ от ВЛ 0,4 кВ №1 КТП-10/0,4 кВ №757 ВЛ 10 кВ №101 ПС 110/35/10 кВ АС-1 для электроснабжения ВРУ-0.4 кВ жилых домов по адресу: Ростовская обл., р-н. Аксайский, х. Махин, ул. Восточная, 18, 20 участки с КН 61:02:0600015:5463, 61:02:0600015:5466 </t>
  </si>
  <si>
    <t xml:space="preserve">Строительство ВЛ 0,4 кВ от ВЛ 0,4 кВ №2 КТП 10/0,4 кВ №146 ВЛ 10 кВ №307 ПС 35 кВ БГ3 для электроснабжения жилого дома Лютфиева М.М. по адресу РО, Багаевский район, х. Елкин, ул. Стадионная 2, участок 6, к.н. 61:03:0030154:5. </t>
  </si>
  <si>
    <t xml:space="preserve">Строительство ВЛ 0,4 кВ от ВЛ 0,4 кВ №1 КТП 10/0,4 кВ №11 ВЛ 10 кВ №259 ПС 110 кВ БГ2 для электроснабжения малоэтажной жилой застройки (индивидуальный жилой дом/ садовый/дачный дом) Рахмановой Е.В. по адресу РО, Багаевский район, ст. Манычская, пер. Пограничный, д. 1-А, к.н. 61:03:0040136:5. </t>
  </si>
  <si>
    <t xml:space="preserve">Строительство ВЛ 0,4 кВ от ВЛ 0,4 кВ №2 КТП 10/0,4 кВ №47 ВЛ 10 кВ №257 ПС 110 кВ БГ2 для электроснабжения жилого дома Нам М.Е. по адресу РО, Багаевский район, х. Усьман, ул. Братская, д. 58 Б, к.н. 61:03:0060407:441. </t>
  </si>
  <si>
    <t>Строительство ВЛ 0,4 кВ от ВЛ 0,4 кВ №1 КТП 10/0,4 кВ №170 ВЛ 10 кВ №307 ПС 35 кВ БГ3 для электроснабжения дачного дома Ни А.В. по адресу РО, Багаевский район, Елкинское сельское поселение, К.Н. 61:03:0600002:958.</t>
  </si>
  <si>
    <t xml:space="preserve">Строительство ВЛ 0,4 кВ от РУ 0,4 кВ КТП 10 кВ №40, ВЛ 10 кВ №158 ПС 110 кВ В1 для электроснабжения кафе «Аленушка» Сысоевой С. С. на участке с КН 61:06:0010125:84 в Веселовском районе, РО, п. Веселый, пер. Комсомольский, 53-б </t>
  </si>
  <si>
    <t xml:space="preserve">Строительство ВЛ 0,4 кВ по ВЛ 0,4 кВ №1, ТП №54, ВЛ 10 кВ №309 ПС 35 кВ В3 для электроснабжения гаража Кравченко Э. А. в Веселовском районе, РО, п. Веселый, ул. Октябрьская, 207-б </t>
  </si>
  <si>
    <t xml:space="preserve">Строительство ТП 10/0,4 кВ, ВЛ 0,4 кВ, ВЛ 10 кВ от ВЛ 10 кВ №657 ПС 110 кВ АС6 для электроснабжения нежилой застройки РО «Донской Старочеркасский Ефремовский мужской монастырь» по адресу: РО, р-н Аксайский, ст-ца Старочеркасская, ул. Почтовая, 1/1, участок с КН 61:02:0110102:2993 </t>
  </si>
  <si>
    <t xml:space="preserve">Строительство ВЛ 0,4 кВ от ВЛ 0,4 кВ №4 КТП-10/0,4 кВ №275 ВЛ 10 кВ №3 ПС 35/10 кВ Б. Салы для электроснабжения ВРУ-0,4 малоэтажной жилой застройки Черкасова Сергея Валентиновича по адресу: Ростовская обл., р-н. Аксайский, п. Темерницкий, ул. Дружбы, д. 1, кадастровый номер земельного участка: 61:02:0600005:13355 </t>
  </si>
  <si>
    <t xml:space="preserve">Строительство ВЛ 0,4 кВ от РУ 0,4 кВ КТП №329, ВЛ 10 кВ №904 ПС 35 кВ В9 для электроснабжения объекта животноводства Филатова И. А. в Веселовском районе, РО, х. Красный Октябрь, территория ЗАО «Красный Октябрь» КН 61:06:0600013:860, </t>
  </si>
  <si>
    <t xml:space="preserve">Строительство ВЛ 0,4 кВ по ВЛ 0,4 кВ №2, КТП №2, ВЛ 10 кВ №151 ПС 110 кВ В1 для электроснабжения жилого дома Бардика А. В. в Веселовском районе, РО, х. Каракашев, ул. Старая, 54-в участок с кадастровым номером 61:06:0010307:58 </t>
  </si>
  <si>
    <t xml:space="preserve">Строительство ТП 10/0,4 кВ, ВЛ 0,4 кВ, ВЛ 10 кВ по ВЛ 10 кВ №806 ПС 35 кВ СМ8 для электроснабжения объекта КФХ заявителя ИП Глава КФХ Ключенко С.В., по адресу: РО, Семикаракорский р-н, контуры полей №1,13,42,17,22,12 массива земель, реорганизованного с/п АОЗТ «Страховское» к.н.: 61:39:0600017:51 </t>
  </si>
  <si>
    <t xml:space="preserve">Строительство ВЛ 0,4 по ВЛ 0,4 кВ №1 КТП 10/0,4 кВ №175 ВЛ 10 кВ №125 ПС СМ1 для электроснабжения жилого дома заявителя Тютюнникова С.А., по адресу: РО, г. Семикаракорск, ул. Солнечная, 8/9 К.Н. 61:35:0110205:164 </t>
  </si>
  <si>
    <t xml:space="preserve">Строительство ТП 10/0,4 кВ, ВЛ 0,4 кВ, ВЛ 10 кВ по ВЛ 10 кВ №407 ПС 110 кВ СМ4 для электроснабжения нежилого здания Денисовой О.Ф., по адресу: РО, Усть-Донецкий р-н, примерно 1,1 км на восток от ст. Мелиховская к.н.: 61:39:0600016:1508 </t>
  </si>
  <si>
    <t xml:space="preserve">Строительство ВЛ 0,4 кВ от РУ-0,4 кВ КТП-10/0,4 кВ №748 ВЛ 10 кВ №111 ПС 110/35/10 кВ АС-1 для электроснабжения нежилой застройки ИП Сайдукаева Л.М. по адресу: РО., р-н. Аксайский, х. Маяковского, ул. Заводская, д. 28-а, КН: 61:02:0600016:2988 </t>
  </si>
  <si>
    <t xml:space="preserve">Строительство ВЛ 0,4 кВ от ВЛ 0,4 кВ №1 КТП-10/0,4 кВ №689 ВЛ 10 кВ №103 ПС 110/35/10 кВ АС-1 с заменой трансформатора в ТП №689 для электроснабжения ВРУ 0,4 кВ жилого дома Степановой В. Г. по адресу: Ростовская обл., р-н Аксайский, х. Островского, ул. Ноябрьская, д. 1-А, кадастровый номер земельного участка: 61:02:0050201:942 </t>
  </si>
  <si>
    <t>Строительство ВЛ 0,4 кВ от проектируемой ВЛ 0,4 кВ (по договору №61-1-22-00641893 от 27.04.2022 г.) проектируемого ТП 10/0,4 кВ ВЛ 10 кВ №1208 ПС 110 кВ АС-12 для электроснабжения ВРУ-0.4 кВ жилого дома Юпашевской Н.О. по адресу: РО., р-н. Аксайский, п. Щепкин, ул. Юрия Гагарина, д. 19, КН: 61:02:0600006:2023</t>
  </si>
  <si>
    <t xml:space="preserve">Строительство ВЛ 0,4 кВ по ВЛ 0,4 кВ №1 КТП-10/0,4 кВ №226 ВЛ 10 кВ №3 ПС 35/10 кВ Б. Салы для электроснабжения ВРУ-0,4 кВ объекта сельхозпроизводства Кондрахина Д. В. по адресу: РО., р-н. Аксайский, х. Нижнетемерницкий, КН: 61:02:0600006:7094 </t>
  </si>
  <si>
    <t xml:space="preserve">Строительство ВЛ 0,4 кВ от РУ 0,4 кВ КТП-10/0,4 кВ №75 ВЛ 10 кВ №1407 ПС 35/10 кВ АС-14 для электроснабжения строительной площадки ООО "ДОРТЕХСТРОЙ" по адресу: РО., р-н. Аксайский, п. Рассвет, КН:61:02:0600008:2139 </t>
  </si>
  <si>
    <t>Строительство ВЛ 0,4 кВ от ВЛ 0,4 кВ №2 КТП-10/0,4 кВ №207 ВЛ 10 кВ №3 ПС 35/10 кВ Б. Салы для электроснабжения ВРУ-0,4 кВ малоэтажной жилой застройки Уханова И.О. по адресу: РО., р-н. Аксайский, п. Возрожденный, ул. Майская, д. 6, КН: 61:02:0080202:72</t>
  </si>
  <si>
    <t xml:space="preserve">Строительство ВЛ 0,4 кВ по ВЛ 0,4 кВ №1 КТП-10/0,4 кВ №626 ВЛ 10 кВ №111 ПС 110/35/10 кВ АС-1 для электроснабжения ВРУ-0,4 кВ производственного здания Гунько Н.Г по адресу: РО, р-н. Аксайский, п. Дорожный, К.Н: 61:02:0050101:2728 </t>
  </si>
  <si>
    <t xml:space="preserve">Строительство ВЛ 0,4 кВ по ВЛ 0,4 кВ №1, ТП №120, ВЛ 10 кВ №405 ПС 35 кВ В4 для электроснабжения склада Гаспарян С. Г. в Веселовском районе, РО, п. Веселый, ул. Октябрьская, 216-в участок с кадастровым номером 61:06:0600012:1726 </t>
  </si>
  <si>
    <t xml:space="preserve">Строительство ВЛ 0,4 кВ от КТП 10/0,4 кВ №178 ВЛ 10 кВ № 125 ПС СМ1 для электроснабжения антенно-мачтового сооружения 61-15006 заявителя АО «Первая Башенная Компания», по адресу: г. Семикаракорск, ул. Серегина, вблизи д. 11 к.н.: 61:35:110208 </t>
  </si>
  <si>
    <t xml:space="preserve">Строительство ТП 10/0,4 кВ, ВЛ 0,4 кВ, ВЛ 10 кВ по ВЛ 10 кВ №105 ПС 110 кВ АС1 для электроснабжения объектов электросетевого хозяйства Казарян А. О. на участке с КН 61:02:0600015:8293 в х. Нижнеподпольный Аксайского района Ростовской области </t>
  </si>
  <si>
    <t xml:space="preserve">Строительство ВЛ 0,4 кВ от РУ 0,4 кВ проектируемой ТП 10/0,4 кВ (по договору №61-1-20-00506489 от 27.05.2020 г.) ВЛ 10 кВ №401 ПС 110 кВ АС4 для электроснабжения складского здания/помещения ООО «Сервисный Центр «Регион 61»» на участке с КН 61:02:0600016:4604 в х. Маяковского Аксайского района Ростовской области </t>
  </si>
  <si>
    <t xml:space="preserve">Строительство ВЛ 0,4 кВ по ВЛ 0,4 кВ №1 КТП-10/0,4 кВ №636 ВЛ 10 кВ №101 ПС 110 кВ АС-1 для электроснабжения ВРУ 0,4 кВ нежилого дома Москачева А.И.  по адресу: РО р-н Аксайский, ст-ца. Ольгинская, пер. 8-й, д. 6, К.Н.: 61:02:0090103:3168 </t>
  </si>
  <si>
    <t xml:space="preserve">Строительство ТП 10/0,4 кВ, ВЛ 0,4 кВ, ВЛ 10 кВ от ВЛ 10 кВ №1547 ПС 110/10 кВ АС-15 для электроснабжения ВРУ-0,4 кВ жилого дома Потян С.Э. на участке с КН 61:02:0600010:9060 в г. Аксае Аксайского района РО </t>
  </si>
  <si>
    <t xml:space="preserve">Строительство ВЛ 0,4 кВ по ВЛ 0,4 кВ №2 КТП-10/0,4 кВ №618 ВЛ 10 кВ №111 ПС 110 кВ АС-1 для электроснабжения заявителя Молчанова Н.П. по адресу: Ростовская обл., р-н. Аксайский, п. Дорожный, ул. Асфальтная, д. 1, корп. Б, К.Н.: 61:02:0050101:718 </t>
  </si>
  <si>
    <t xml:space="preserve">Строительство ВЛ 0,4 кВ по ВЛ 0,4 кВ №1 ТП 10/0,4 кВ №944 ВЛ 10 кВ №3 ПС 35кВ Б. Салы для электроснабжения ВРУ-0,4 кВ нежилой застройки Сухина Д.П. по адресу: РО, р-н. Аксайский, п. Темерницкий, КН: 61:02:0600005:9584 </t>
  </si>
  <si>
    <t xml:space="preserve">Строительство ВЛ 0,4 кВ от проектируемой ВЛ 0,4 кВ (по договору №61-1-21-00593787 от 06.08.2021 г.) проектируемой КТПН 10/0,4 кВ ВЛ 10 кВ №403 ПС 110 кВ АС4 для электроснабжения индивидуального жилого дома Брыль В. А. в КСП им. Ленина Аксайского района Ростовской области </t>
  </si>
  <si>
    <t xml:space="preserve">Строительство ВЛ 0,4 кВ по ВЛ 0,4 кВ №3 КТП 10/0,4 кВ №156 ВЛ 10 кВ № 125 ПС СМ1 для электроснабжения жилого дома заявителя Мацюк А.В., по адресу: РО, Семикаракорский р-н, ст-ца Новозолотовская, ул. Молодежная, д.18 КН 61:35:0060101:21 </t>
  </si>
  <si>
    <t>Строительство ВЛ 0,4 кВ от ВЛ 0,4 кВ №1 ТП 10/0,4 кВ №62 ВЛ 6 кВ №804 ПС 35 кВ АС8 для электроснабжения жилого дома Цивцивадзе М. Т. на участке с КН 61:02:0600010:19382 в РО, п. Российский Аксайского района</t>
  </si>
  <si>
    <t xml:space="preserve">Строительство ВЛ 0,4 кВ от ВЛ 0,4 кВ №1 ТП 6 кВ №62 ВЛ 6 кВ №804 ПС 35 кВ АС8 для электроснабжения ВРУ 0,4 кВ жилого дома Брижан В. С. на участке с КН 61:02:0600010:19376 в п. Российский Аксайского района Ростовской области </t>
  </si>
  <si>
    <t xml:space="preserve">Строительство ВЛ 0,4 кВ по ВЛ 0,4 кВ №1 КТП 6/0,4 кВ №523 РП 6 кВ КЛ 6 кВ №340 ПС 110/6 кВ БТ-3 для электроснабжения строительной площадки Носачева А. В. на участке с КН 61:01:0130201:4720 в п. Красный Сад Азовского района Ростовской области </t>
  </si>
  <si>
    <t xml:space="preserve">Строительство ТП 10/0,4 кВ, ВЛ 0,4 кВ, ВЛ 10 кВ от ВЛ 10 кВ №406 ПС 110 кВ АС4 для электроснабжения объекта крестьянского (фермерского) хозяйства ИП Скрынникова Д. Ф. на участке с КН 61:02:0600016:3518 в х. Ленина Аксайского района Ростовской области </t>
  </si>
  <si>
    <t xml:space="preserve">Строительство ВЛ 0,4 кВ по ВЛ 0,4 кВ №1 от КТП 10/0,4 кВ №260 ВЛ 10 кВ №3 ПС 35/10 кВ Б. Салы для электроснабжения ВРУ-0,4 кВ жилого дома Балтабаева Н.М. на участке с КН 61:02:0600005:12060  в х. Нижнетемерницкий Аксайского района Ростовской области  
</t>
  </si>
  <si>
    <t xml:space="preserve">Строительство ВЛ 0,4 кВ от ВЛ 0,4 кВ №3 КТП-10/0,4 кВ №448 ВЛ 10 кВ №1109 ПС 110/10 кВ АС-11 для электроснабжения ВРУ-0.4 кВ малоэтажной жилой застройки Лоик О.А. по адресу: Ростовская обл., г. Новочеркасск, СНТ 7, ул. Десятая, д. 84 КН: 61:55:0011022:260 </t>
  </si>
  <si>
    <t xml:space="preserve">Строительство ВЛ 0,4 кВ по ВЛ 0,4 кВ №2 КТП-6/0,4 кВ №73 ВЛ 6 кВ №305 ПС 35/6 кВ АС-3 для электроснабжения ВРУ-0,4 кВ жилого дома Перкова А. А. по адресу: г. Аксай, ул. Ефремова, д. 1, КН 61:02:0600010:14276 </t>
  </si>
  <si>
    <t xml:space="preserve">Строительство ВЛ 0,4 кВ по ВЛ 0,4 кВ №4 ТП-10/0,4 кВ №275 ВЛ 10 кВ №3 ПС 35/10 кВ Б. Салы для электроснабжения ВРУ-0,23 кВ малоэтажной жилой застройки Никулиной А.Ю. по адресу: РО, р-н. Аксайский, п. Темерницкий, ул. Дружбы, 17, КН: 61:02:0600005:10073 </t>
  </si>
  <si>
    <t xml:space="preserve">Строительство ВЛ 0,4 кВ, ТП 10/0,4 кВ, ВЛ 10 кВ по ВЛ 10 кВ №2 ПС 35/10 кВ Б. Салы для электроснабжения ВРУ-0,4 кВ малоэтажной жилой застройки Воробьевой В.А., расположенной по адресу: РО, Аксайский р-н, п. Темерницкий, Рижский проезд, 7, КН земельного участка: 61:02:0600005:9734 </t>
  </si>
  <si>
    <t>Строительство ТП 10/0,4 кВ, ВЛ 0,4 кВ, ВЛ 10 кВ от ВЛ 10 кВ №102 ПС 110 кВ АС1 для электроснабжения ВРУ 0,4 кВ нежилой застройки Жировой Г. Н. на участке с КН 61:02:0600014:1893 в ст-це Ольгинской Аксайского района Ростовской области</t>
  </si>
  <si>
    <t>Строительство ВЛ 0,4кВ от РУ 0,4кВ техперевооружаемого ТП №456 (по договору «№ 61-1-23-00692853 от 31.03.2023») по ВЛ 10кВ 1109 ПС 110кВ АС11, для электроснабжения ВРУ 0,4кВ малоэтажной застройки Текутова Е.Г. по адресу: РО, р-н Аксайский, ст-ца Грушевская, ул. Вивальди, д.2, КН: 61:02:0600002:1115</t>
  </si>
  <si>
    <t xml:space="preserve">Строительство ВЛ 0,4 кВ от ВЛ 0,4 кВ №1 КТП 10/0,4 кВ №41 ВЛ 10 кВ №263 ПС 110 кВ БГ2 для электроснабжения малоэтажной жилой застройки (индивидуального жилого дома/садового/дачного дома) Хайбулаева Ш.А. по адресу РО, Багаевский район, х. Арпачин, ул. Донская, д. 33-н, к.н. 61:03:0040215:110. </t>
  </si>
  <si>
    <t xml:space="preserve">Строительство ВЛ 0,4 кВ от ВЛ 0,4 кВ №1 КТП 10/0,4 кВ №113 ВЛ 10 кВ №106 ПС 110 кВ БГ1 для электроснабжения дачного дома Бородина Д.Д. по адресу РО, Багаевский район, участок находится примерно в 900 метрах от ст. Багаевская, к.н. 61:03:0600004:2379. </t>
  </si>
  <si>
    <t xml:space="preserve">Строительство ВЛ 0,4 кВ от ВЛ 0,4 кВ №3 КТП 10/0,4 кВ №103 ВЛ 10 кВ №115 ПС 110 кВ СМ1 для электроснабжения производственного здания/помещения, заявителя ООО «БеларусЮгСервис» по адресу: Ростовская обл., р-н. Семикаракорский, г. Семикаракорск, ул. Авилова, д. 2-а, КН.: 61:35:0110175:18. </t>
  </si>
  <si>
    <t xml:space="preserve">Строительство ВЛ 0,4 кВ, ТП 10/0,4 кВ от опоры № 9/17 ВЛ 10 кВ №125 ПС СМ1 для электроснабжения жилого дома заявителя Борзенковой Е.В., по адресу: РО, Семикаракорский р-н, ст-ца Новозолотовская, ул. Дачная, д.20 к.н.: 61:35:0060101:3496 </t>
  </si>
  <si>
    <t>Строительство ВЛ 0,4 кВ по ВЛ 0,4 кВ №2 ТП №953 ВЛ 10 кВ № 903 ПС СМ9 для электроснабжения объекта религии заявителя Местная религиозная организация православный Приход Храма Благоверного Князя Александра Невского х. Слободской Семикаракорского р-на РО Религиозной организации "Волгодонская Епархия Русской Православной церкви (Московский Патриархат)",, по адресу: РО, р-н. Семикаракорский, х. Слободской, ул. Дзержинского, д. 17-а, к.н.: 61:35:0090401:2051</t>
  </si>
  <si>
    <t xml:space="preserve">Строительство ВЛ 0,4 кВ по ВЛ 0,4 кВ №2 КТП 10/0,4 кВ №172 ВЛ10 кВ № 125 ПС СМ1 для электроснабжения жилого дома заявителя Антипова Юрия Олеговича, по адресу: РО, Семикаракорский р-н, х. Чебачий, ул. Горького, д.17 к.н.: 61:35:0060201:426 </t>
  </si>
  <si>
    <t xml:space="preserve">Строительство ВЛ 0,4 кВ от ВЛ 0,4 кВ №2 КТП-10/0,4 кВ №89 ВЛ 10 кВ №706 ПС 35/10 кВ АС-7 для электроснабжения ВРУ-0.4 кВ жилого дома Дубикова Е.В. по адресу: Р.О., р-н. Аксайский, п. Красный Колос, ул. Тихая, д. 2, К.Н: 61:02:0600007:11 </t>
  </si>
  <si>
    <t xml:space="preserve">Строительство ВЛ 0,4 кВ по ВЛ 0,4 кВ №2 КТП-10/0,4 кВ №923 ВЛ 10 кВ №3 ПС 35/10 кВ Б. Салы для энергоснабжения заявителя Павлик В.В. по адресу: РО., р-н. Аксайский, п. Щепкин, КН: 61:02:0600006:7065 </t>
  </si>
  <si>
    <t xml:space="preserve">Строительство ВЛ 0,4 кВ от проектируемой ВЛ 0,4 кВ №2 ТП №940 ВЛ 10 кВ №403 ПС 110 кВ АС-4 (по договору №61-1-22-00657903 от 07.07.2022 г), для электроснабжения ВРУ-0,4 кВ жилого дома Брижахина С.М. по адресу: РО., р-н. Аксайский, х. Ленина, ул. Севастопольская 45, КН: 61:02:0600016:4462. </t>
  </si>
  <si>
    <t xml:space="preserve">Строительство ВЛ 0,4 кВ по ВЛ 0,4 кВ №2 ТП №923 ВЛ 10 кВ №3 ПС 35 кВ Б. Салы для электроснабжения ВРУ-0,4 кВ жилого дома Муминова М.С. по адресу: РО, р-н. Аксайский, п. Щепкин, КН: 61:02:0600006:7055. </t>
  </si>
  <si>
    <t xml:space="preserve">Строительство ВЛ 0,4 кВ по ВЛ 0,4 кВ №1 КТП-10/0,4 кВ №256 ВЛ 10 кВ от №3 ПС 35/10 кВ Б. Салы для электроснабжения ВРУ-0,4 кВ малоэтажных жилых застроек Головинова А.А и Ревенока В.А. по адресу: РО., р-н. Аксайский, п. Темерницкий, ул. Изумрудная, КН: 61:02:0600005:11321, 61:02:0600005:11320 </t>
  </si>
  <si>
    <t xml:space="preserve">Строительство ВЛ 0,4 кВ от проектируемой ВЛ 0,4 кВ (по договору №61-1-22-00671505 от 12.10.2022 года) КТП-10/0,4 кВ №923 ВЛ 10 кВ №3 ПС 35/10 кВ Б. Салы, для электроснабжения ВРУ-0,4 кВ земельного участка, жилого дома Горбань Ю.В. по адресу: РО, р-н. Аксайский, п. Щепкин, КН: 61:02:0600006:6955 </t>
  </si>
  <si>
    <t>Строительство ВЛ 0,4 кВ по ВЛ 0,4 кВ №2 КТП-10/0,4 кВ №497 ВЛ 10 кВ №1101 ПС 110 кВ АС-11, для электроснабжения ВРУ-0,4 кВ жилого дома Сербиной Г.И. по адресу: РО, р-н. Аксайский, ст-ца. Мишкинская, ул. Дружбы, д. 35, КН: 61:02:0070201:</t>
  </si>
  <si>
    <t xml:space="preserve">Строительство ВЛ 0,4 кВ по ВЛ 0,4 кВ №2 КТП-10/0,4 кВ №434 ВЛ 10 кВ №1103 ПС 110/35/10 кВ АС-11 для электроснабжения ВРУ-0,4 кВ малоэтажной жилой застройки Мельникова В.В. по адресу: РО, р-н. Аксайский, станица Мишкинская, КН земельного участка: 61:02:0600009:1342. </t>
  </si>
  <si>
    <t xml:space="preserve">Строительство ВЛ 0,4 кВ по ВЛ 0,4 кВ №1 ТП №160 ВЛ 10 кВ №441 ПС 220 кВ Р-4 для электроснабжения ВРУ-0,4 кВ малоэтажной жилой застройки Харченко А.И. по адресу: РО, р-н. Аксайский, х. Камышеваха, ул. Озерная, д. 4а, КН: 61:02:0010418:124 </t>
  </si>
  <si>
    <t>Строительство ВЛ 0,4 кВ по ВЛ 0,4 кВ №1 КТП №444 ВЛ 10 кВ №1101 ПС 110 кВ АС11 для электроснабжения ВРУ-0,4 кВ малоэтажной жилой застройки Безменовой О.В. по адресу: РО, р-н. Аксайский, ст-ца. Мишкинская, ул. Рабочая, д. 35, КН: 61:02:0070204:549</t>
  </si>
  <si>
    <t xml:space="preserve">Строительство ВЛ 0,4 кВ по ВЛ 0,4 кВ №4 ТП-10/0,4 кВ №275 ВЛ 10 кВ №3 ПС 35 кВ Б. Салы для электроснабжения ВРУ-0,4 кВ малоэтажной жилой застройки Ворожцова С.В. по адресу: РО, р-н. Аксайский, п. Темерницкий, ул. Дружбы, д. 5, КН: 61:02:0600005:10086 </t>
  </si>
  <si>
    <t>Строительство ВЛ 0,4 кВ по ВЛ 0,4 кВ №1 КТП №638 ВЛ 10 кВ №107 ПС 110 кВ АС1 для электроснабжения ВРУ-0,22 кВ жилого дома Машкиной А.А. по адресу: РО, р-н. Аксайский, ст-ца. Ольгинская, КН: 61:02:0090103:3531</t>
  </si>
  <si>
    <t>Строительство ВЛ 0,4 кВ по ВЛ 0,4 кВ №4 КТП №275 ВЛ 10 кВ №3 ПС 35/10 кВ Б. Салы для электроснабжения ВРУ-0,23 кВ жилого дома Лисовенко А.В. по адресу: РО, р-н. Аксайский, п. Темерницкий, КН: 61:02:0600005:12775</t>
  </si>
  <si>
    <t xml:space="preserve">Строительство ВЛ 0,4 кВ от проектируемой ВЛ 0,4 кВ (по договору №61-1-23-00702157 от 01.06.2023 г) по ВЛ 0,4 кВ №4 КТП-10/0,4 кВ №275 ВЛ 10 кВ №3 ПС 35 кВ Б. Салы для электроснабжения ВРУ-0,23 кВ малоэтажной жилой застройки Ковшун А.А. по адресу: РО, р-н. Аксайский, п. Темерницкий, ул. Дружбы, д.12, КН: 61:02:0600005:12776 </t>
  </si>
  <si>
    <t xml:space="preserve">Строительство ВЛ 0,4 кВ по ВЛ 0,4 кВ №1 КТП 10/0,4 кВ №106 ВЛ 10 кВ № 115 ПС СМ1 для электроснабжения объекта КФХ заявителя Кузьмина В.А., по адресу: РО, г. Семикаракорск, массив земель реорганизованного с/х предприятия АО "Донское", к.н.: 61:35:0600012:747 </t>
  </si>
  <si>
    <t xml:space="preserve">Строительство ВЛ 0,4 кВ от проектируемой ВЛ 0,4 кВ (по договору №61-1-22-00626367 от 31.01.2022 г.) ТП №928 ВЛ 10 кВ №101 ПС 110 кВ АС-1  для электроснабжения ВРУ-0.4 кВ жилого дома Григорьян Л.С. по адресу: РО., р-н. Аксайский, ст-ца. Ольгинская, ул. 75 лет Победы, д. 17, КН: 61:02:0600015:7088. </t>
  </si>
  <si>
    <t xml:space="preserve">Строительство ВЛ 0,4 кВ от проектируемой ВЛ 0,4 кВ (по договору №61-1-21-00598287 от 06.09.2021 г.) ТП-10/0,4 кВ №78 ВЛ 10 кВ №3 ПС 35 кВ Б. Салы для электроснабжения ВРУ-0.4 кВ жилого дома Волкова А. В. на участке с КН 61:02:0600006:6838 в п. Щепкин Аксайского района Ростовской области </t>
  </si>
  <si>
    <t xml:space="preserve">Строительство ВЛ 0,4 кВ по ВЛ 0,4 кВ №2 ТП №923 ВЛ 10 кВ №3 ПС 35 кВ Б. Салы (договор № 61-1-22-00661877 от 01.08.2022 г.), для электроснабжения ВРУ-0,4 кВ жилого дома Суменковой Т.Г. по адресу: РО, р-н. Аксайский, п. Щепкин, КН: 61:02:0600006:6992 </t>
  </si>
  <si>
    <t>Строительство ВЛИ 0,4 кВ по ВЛ 0,4 кВ №1 ТП-10/0,4 кВ №70А ВЛ 10 кВ №3 ПС 35 кВ Б. Салы, для электроснабжения ВРУ-0,4 кВ малоэтажной жилой застройки Солодниковой И.П. по адресу: РО, р-н. Аксайский, п. Темерницкий, КН: 61:02:0600005:10489</t>
  </si>
  <si>
    <t xml:space="preserve">Строительство ВЛ 0,4 кВ по ВЛ 0,4 кВ №2 КТП-10/0,4 кВ №923 ВЛ 10 кВ №3 ПС 35/10 кВ Б. Салы для электроснабжения ВРУ-0,4 кВ земельного участка, жилого дома Плюшкина А.В. по адресу: РО, р-н. Аксайский, п. Щепкин, КН: 61:02:0600006:7005 </t>
  </si>
  <si>
    <t xml:space="preserve">Строительство ВЛ 0,4 кВ от концевой проектируемой ВЛ 0,4 кВ (по договору № 61-1-22-00661877 от 01.08.2022 года) по ВЛ 0,4кВ №2 КТП-10/0,4 кВ №923 ВЛ 10 кВ №3 ПС 35/10 кВ Б. Салы, для электроснабжения ВРУ-0,4 кВ земельного участка, жилого дома Блащук О.В. по адресу: Ростовская обл., р-н. Аксайский, п. Щепкин, КН: 61:02:0600006:8491 </t>
  </si>
  <si>
    <t xml:space="preserve">Строительство ВЛ 0,4 кВ от проектируемой ВЛ 0,4 кВ (по договору № 61-1-22-00661877 от 01.08.2022 года) по ВЛ 0,4 кВ №2 ТП  №923 ВЛ 10 кВ №3 ПС 35 кВ Б. Салы, для электроснабжения ВРУ-0,4 кВ земельного участка, жилого дома Кравцова С.М. по адресу: Ростовская обл., р-н. Аксайский, п. Щепкин, КН: 61:02:0600006:6990 </t>
  </si>
  <si>
    <t>Строительство ВЛ 0,4 кВ от проектируемой (по договору № 61-1-22-00661877 от 01.08.2022 года) ВЛ кВ 0,4 №2 КТП-10/0,4 кВ №923 ВЛ 10 кВ №3 ПС 35 кВ Б. Салы, для электроснабжения ВРУ-0,4 кВ жилого дома Дудина Г.В. по адресу: РО, р-н. Аксайский, п. Аглос, КН: 61:02:0600006:7048</t>
  </si>
  <si>
    <t xml:space="preserve">Строительство ВЛ 0,4 кВ по ВЛ 0,4 кВ №2 ТП №923 ВЛ 10 кВ №3 ПС 35 кВ Б. Салы для электроснабжения ВРУ-0,4 кВ жилого дома Аленевской Е.М. по адресу: РО, р-н. Аксайский, п. Щепкин, КН: 61:02:0600006:7068 </t>
  </si>
  <si>
    <t xml:space="preserve">Строительство ВЛ 0,4 кВ, ТП 6/0,4 кВ, ВЛ 6 кВ по ВЛ 6 кВ №804 ПС 35 кВ АС8 для электроснабжения ВРУ-0,4 кВ малоэтажной жилой застройки Черничкина С.Г. расположенной по адресу: РО, Аксайский р-н, п. Российский, ул. Заповедная, 25б, КН: 61:02:0600010:19722 </t>
  </si>
  <si>
    <t xml:space="preserve">Строительство ВЛ 0,4 кВ по ВЛ 0,4 кВ №3 КТП-6/0,4 кВ №138 ВЛ 6 кВ №807 ПС 35 кВ АС8 для электроснабжения ВРУ-0,4 кВ малоэтажной жилой застройки Ряснянской Н.В. по адресу: РО, р-н. Аксайский, х. Большой Лог, ул. Фадеева, д. 173а, КН: 61:02:0010201:6180 </t>
  </si>
  <si>
    <t xml:space="preserve">Строительство ВЛ 0,4 кВ, ТП 10/0,4 кВ, ВЛ 10 кВ по ВЛ 10 кВ №102 ПС 110 кВ АС1 для электроснабжения ВРУ-0,4 кВ нежилой застройки Коровайко А.Б. расположенной по адресу: РО, Аксайский р-н, г. Аксай, ул. Заречная, д. 9-А, КН: 61:02:0120205:78 </t>
  </si>
  <si>
    <t>Строительство ВЛ 0,4 кВ от РУ-0,4 кВ КТП-10/0,4 кВ №926 ВЛ 10 кВ №1213 ПС 110 кВ АС12, для электроснабжения ВРУ-0,4 кВ складского здания/помещения ООО "ПромЭнергоСтрой" по адресу: РО, р-н. Аксайский, п. АО «Октябрьское», КН: 61:02:0600004:2506</t>
  </si>
  <si>
    <t xml:space="preserve">Строительство ВЛ 0,4 кВ по ВЛ 0,4 кВ №1 КТП-10/0,4 кВ №1 ВЛ 10 кВ №657 ПС 110/10/6 кВ АС-6 для электроснабжения ВРУ-0,4 кВ малоэтажной жилой застройки Дыморецкого С.И. расположенной по адресу: РО, Аксайский р-н, ст-ца Старочеркасская, ул. Ильинская, д.35, КН61:02:0600013:1924 </t>
  </si>
  <si>
    <t xml:space="preserve">Строительство ВЛ 0,4 кВ по ВЛ 0,4 кВ КТП-10/0,4 кВ №449 ВЛ 10 кВ №1103 ПС 110 кВ АС-11 для электроснабжения ВРУ-0,4 кВ нежилой застройки ИП Алексаньян Т.В. по адресу: РО, р-н. Аксайский, ст-ца. Мишкинская, ул. Платова, д. 66, КН: 61:02:0070201:1467 </t>
  </si>
  <si>
    <t xml:space="preserve">Строительство ВЛ 0,4 кВ от РУ 0,4 кВ техперевооружаемого ТП №456 (по договору №61-1-22-00669427 от 27.09.2022 года) ВЛ 10 кВ №11-09 ПС 110 кВ АС11 для электроснабжения ВРУ жилых застроек Масалова В.В. и Кравчук В.А. по адресу: Ростовская обл., р-н. Аксайский, ст-ца. Грушевская, К.Н: 61:02:0600002:1126, 61:02:0600002:1161, </t>
  </si>
  <si>
    <t>Строительство ВЛ 0,4 кВ от РУ-0,4 кВ ТП-6/0,4 кВ №508 ВЛ 6 кВ №1 РП-6 КЛ 6 кВ №340 ПС 110/6 кВ БТ-3 для электроснабжения ЛЭП-0,4 кВ нежилой застройки Киреева О.Р. на участке с КН 61:01:0130201:1563 в п. Красный Сад, ул. Вишневая, д. 3, Азовского района, Ростовской области</t>
  </si>
  <si>
    <t xml:space="preserve">Строительство ВЛ 0,4 кВ от ВЛ 0,4 кВ №2 КТП 10/0,4 кВ №79 ВЛ 10 кВ №263 ПС 110 кВ БГ2 для электроснабжения объекта туристической отрасли (гостиница, база отдыха, гостевой дом, прочее) ИП Хотнянского С.С. по адресу РО, Багаевский район, х. Арпачин, ул. Береговая, д. 36А, к.н. 61:03:0600007:1581. </t>
  </si>
  <si>
    <t xml:space="preserve">Строительство ВЛ 0,4 кВ от ВЛ 0,4 кВ №3 КТП 10/0,4 кВ №126 ВЛ 10 кВ №307 ПС 35 кВ БГ3 для электроснабжения нежилого помещения АО «Почта России» по адресу РО, Багаевский район, х. Кудинов, ул. Новая, д. 30, кв. 1,2,3, к.н. 61:03:0030201:668. </t>
  </si>
  <si>
    <t xml:space="preserve">Строительство ВЛ 0,4 кВ от ВЛ 0,4 кВ №1 КТП 10/0,4 кВ №155 ВЛ 10 кВ № 125 ПС СМ1 для электроснабжения жилого дома заявителя Рожновой И.Р., по адресу: РО, Семикаракорский р-н, ст-ца Новозолотовская, пер. Братский, д.2 КН: 61:35:0060101:244 </t>
  </si>
  <si>
    <t xml:space="preserve">Строительство ВЛ 0,4 кВ от ВЛ 0,4 кВ №1 ТП 10 кВ №448 ВЛ 10 кВ №1106 ПС 110 кВ АС11 для электроснабжения ВРУ 0,4 кВ жилого дома Строилова В. М. на участке с КН 61:55:0011016:85 в г. Новочеркасске Ростовской области </t>
  </si>
  <si>
    <t xml:space="preserve">Строительство ВЛ 0,4 кВ от проектируемой ВЛ 0,4 кВ (по договору №61-1-19-00436769 от 11.04.2019 г.) проектируемой КТПН 6/0,4 кВ ВЛ 6 кВ №305 ПС 35 кВ АС3 для электроснабжения ВРУ 0,4 кВ жилых домов по ул. Атаманская, 9, 21/14 в г. Аксае Аксайского района Ростовской области </t>
  </si>
  <si>
    <t>Строительство ВЛ 0,4 кВ от проектируемой ВЛ 0,4 кВ (по договору №61-1-21-00608555 от 22.10.2021 г.) ТП 6/0,4 кВ ВЛ 6 кВ №804 ПС 35 кВ АС8 для электроснабжения ВРУ 0,4 кВ жилого дома Воскобойниковой М. Г. на участке с КН 61:02:0600010:20776 в п. Российский Аксайского района Ростовской области</t>
  </si>
  <si>
    <t xml:space="preserve">Строительство ВЛ 0,4 кВ от ВЛ 0,4 кВ №1 ТП 6 кВ №101 ВЛ 6 кВ №805 ПС 35 кВ АС8 для электроснабжения ВРУ 0,4 кВ жилого дома Кожевниковой Н. В. на участке с КН 61:02:0010201:6518 в х. Большой Лог Аксайского района Ростовской области </t>
  </si>
  <si>
    <t xml:space="preserve">Строительство ВЛ 0,4 кВ от ВЛ 0,4 кВ №1 ТП 6 кВ №177 ВЛ 6 кВ №807 ПС 35 кВ АС8 для электроснабжения ВРУ 0,4 кВ жилого дома Кулешовой А. С. на участке с КН 61:02:0600010:6391 в х. Большой Лог Аксайского района Ростовской области </t>
  </si>
  <si>
    <t xml:space="preserve">Строительство ВЛ 0,4 кВ от ВЛ 0,4 кВ №2 КТП №757 ВЛ 10 кВ №101 ПС 110 кВ АС1 для электроснабжения ВРУ 0,4 кВ жилого дома Атрощенкова В. Т. на участке с КН 61:02:0600015:5415 в х. Махин Аксайского района Ростовской области </t>
  </si>
  <si>
    <t xml:space="preserve">Строительство ВЛ 0,4 кВ от ВЛ 0,4 кВ №3 ТП 10 кВ №114 ВЛ 10 кВ №701 ПС 35 кВ АС7 для электроснабжения ВРУ 0,4 кВ жилого дома Скачко Н. В. на участке с КН 61:02:0080601:309 в п. Красный Аксайского района Ростовской области </t>
  </si>
  <si>
    <t>Строительство ВЛ 0,4 кВ по ВЛ 0,4 кВ №4 КТП №275 ВЛ 10 кВ №3 ПС 35/10 кВ Б. Салы для электроснабжения ВРУ-0,4 кВ жилой застройки Дворянинова Т.В. по адресу: РО, р-н. Аксайский, п. Темерницкий, ул. Дружбы д.3 КН: 61:02:0600005:10085 (ориентировочная протяжённость ЛЭП 0,04км)</t>
  </si>
  <si>
    <t>Строительство ВЛ 0,4 кВ по ВЛ 0,4 кВ №4 КТП №275 ВЛ 10 кВ №3 ПС 35/10 кВ Б. Салы для электроснабжения ВРУ-0,4 кВ жилой застройки Быковского А.И. по адресу: РО, р-н. Аксайский, п. Темерницкий, ул. Дружбы. д. 6, КН: 61:02:0600005:13384 (ориентировочная протяжённость ЛЭП 0,07км)</t>
  </si>
  <si>
    <t>Строительство ВЛ 0,4 кВ по ВЛ 0,4 кВ №2 ТП №928 ВЛ 10 кВ №101 ПС 110 кВ АС1 для электроснабжения ВРУ-0,4 кВ малоэтажной жилой застройки Щербакова В.А. по адресу: РО, р-н. Аксайский, ст-ца. Ольгинская, ул. Раздольная 13, КН: 61:02:0600015:7853 (ориентировочная протяжённость ЛЭП 0,095 км)</t>
  </si>
  <si>
    <t>Строительс+B118:W121тво ВЛ 0,4 кВ по ВЛ 0,4 кВ №1 КТП-10/0,4 кВ №740 ВЛ 10 кВ №101 ПС 110/35/10 кВ АС1 для электроснабжения ВРУ-0,4 кВ жилого дома Щербакова М.А. по адресу: РО, р-н. Аксайский, х. Махин, ул. Мира, д. 6, К.Н: 61:02:0600015:3802 (ориентировочная протяжённость ЛЭП 0,110 км)</t>
  </si>
  <si>
    <t>Строительство ВЛ 0,4 кВ по ВЛ 0,4 кВ №1 КТП-10/0,4 кВ №8 ВЛ 10 кВ №657 ПС 110/10 кВ АС-6 для электроснабжения ВРУ-0,4 кВ жилого дома Дудник Л.А. по адресу: РО, р-н. Аксайский, ст-ца. Старочеркасская, ул. Минаева, д. 12а, КН земельного участка: 61:02:0110102:4218 (ориентировочная протяжённость ЛЭП 0,065 км)</t>
  </si>
  <si>
    <t>Строительство ВЛ 0,4 кВ от проектируемой ВЛ 0,4 кВ (по договору №61-1-22-00652323 от 08.06.2022 года) от РУ-0,4 кВ ТП №119 ВЛ 10 кВ №1212 ПС 110кВ АС-12, для электроснабжения ВРУ-0,4 кВ малоэтажной жилой застройки Архипова А.А. по адресу: РО, р-н. Аксайский, п. Октябрьский, ул. Степная, д. 33, КН: 61:02:0080101:20 (ориентировочная протяженность ЛЭП 0,100 км)</t>
  </si>
  <si>
    <t>Строительство ВЛИ 0,4 кВ от техперевооружаемого ТП №456 (по договору №61-1-23-00687843 от 17.02.2023 года) ВЛ 10 кВ №1109 ПС 110 кВ АС-11 для электроснабжения ВРУ-0,4 кВ малоэтажной жилой застройки Кузнецовой Т.И. по адресу: РО., р-н. Аксайский, ст-ца. Грушевская, ул. Вивальди 10, КН земельного участка: 61:02:0600002:1119, (ориентировочная протяжённость ЛЭП 0,05 км)</t>
  </si>
  <si>
    <t>Строительство ВЛ 0,4 кВ от РУ-0,4 кВ ТП №928 ВЛ 10 кВ №101 ПС 110 кВ АС-1для электроснабжения ВРУ-0,4 кВ жилого дома Черникова Д.А. по адресу: РО, р-н. Аксайский, ст-ца. Ольгинская, КН: 61:02:0600015:7914 (ориентировочная протяжённость ЛЭП 0,040 км)</t>
  </si>
  <si>
    <t>Строительство ВЛ 0,4 кВ по ВЛ 0,4 кВ №3 КТП-10/0,4 кВ №944 ВЛ 10 кВ №3 ПС 35/10 кВ Б. Салы для электроснабжения ВРУ-0,4 кВ малоэтажной жилой застройки Евсюковой О.И. по адресу: РО, р-н. Аксайский, п. Темерницкий, КН: 61:02:0600005:10455 (ориентировочная протяжённость ЛЭП 0,130 км)</t>
  </si>
  <si>
    <t>Строительство ВЛ 0,4 кВ по ВЛ 0,4 кВ №2 КТП-10/0,4 кВ №757 ВЛ 10 кВ №101 ПС 110/35/10 кВ АС-1 для электроснабжения ВРУ-0,4 кВ малоэтажной жилой застройки Подгорного С.В. по адресу: РО, р-н. Аксайский, х. Махин, ул. Народная 11/пер. Радужный 42, КН: 61:02:0600015:5435 (ориентировочная протяжённость ЛЭП 0,040 км)</t>
  </si>
  <si>
    <t>Строительство ВЛ 0,4 кВ по ВЛ 0,4 кВ №1 КТП-10/0,4 кВ №434 ВЛ 10 кВ №11-03 ПС 110 кВ АС11 для электроснабжения ВРУ-0,4 кВ малоэтажной жилой застройки Неудахиной Т.Я. по адресу: РО, р-н. Аксайский, ст-ца. Мишкинская, ул. Рождественская, К.Н: 61:02:0600009:2846 (ориентировочная протяжённость ЛЭП 0,040 км)</t>
  </si>
  <si>
    <t>Строительство ВЛ 0,4 кВ от проектируемой ВЛ 0,4 кВ (по договору №61-1-23-00687165 от 16.02.2023) ТП №940 ВЛ 10 кВ №403 ПС 110/10 кВ АС-4 для электроснабжения ВРУ-0,4 кВ жилого дома Каракай Д.А. по адресу: РО, р-н. Аксайский, х. Ленина, ул. Севастопольская, д. 42, КН: 61:02:0600016:4470 (ориентировочная протяжённость ЛЭП 0,025 км)</t>
  </si>
  <si>
    <t>Строительство ВЛ 0,4 кВ по ВЛ 0,4 кВ №1 КТП-10/0,4 кВ №170 ВЛ 10 кВ №15-13 ПС 110/10 кВ АС-15 для электроснабжения ВРУ-0,4 кВ нежилой застройки Арутюняна Г.В. по адресу: РО, р-н. Аксайский, АОЗТ «Янтарное», КН: 61:02:0600010:24753 (ориентировочная протяжённость ЛЭП 0,08 км)</t>
  </si>
  <si>
    <t>Строительство участка ВЛ 0,4 кВ от опоры №6 по ВЛ 0,4 кВ №2, КТП 10 кВ №433 по ВЛ 10 кВ №608 ПС 35 кВ В6 для электроснабжения магазина ИП Топилиной А. Н., расположенного по адресу: РО, Веселовский район, п. Чаканиха, пер. Школьный, КН 61:06:0020804:302 (ориентировочная протяжённость ЛЭП 0,035 км)</t>
  </si>
  <si>
    <t>Строительство ВЛ 0,4 кВ по ВЛ 0,4 кВ №2 КТП 10/0,4 кВ №682 ВЛ 10 кВ №255 ПС 110 кВ БГ2 для электроснабжения малоэтажной жилой застройки (индивидуальный жилой дом/садовый/дачный дом) Ли Л.Э. по адресу РО, Аксайский район, х. Слава Труда, ул. Степная, д. 5, к.н. 61:02:0020301:58. (</t>
  </si>
  <si>
    <t>Строительство ВЛ 0,4 кВ от РУ 0,4 кВ КТП №14, ВЛ 10 кВ №307 ПС 35 кВ В3 для электроснабжения базы отдыха Бережного В. В. в Веселовском районе, РО, в северно-западной зоне п. Веселый (причал) участок с кадастровым номером 61:06:0600012:1318</t>
  </si>
  <si>
    <t>Строительство ВЛ 0,4 кВ от проектируемых ВЛ 0,4 кВ, ТП 10/0,4 кВ, ВЛ 10 кВ (по договору №61-1-22-00660561 от 20.07.2022 года) по ВЛ 10 кВ №102 ПС 110 кВ АС1 для электроснабжения ВРУ-0,4 кВ малоэтажной жилой застройки Луговик С.В. по адресу: РО, р-н. Аксайский, ст-ца. Ольгинская, ул. Левобережная, д. 4, с/т Донское 15 линия участок 337, КН: 61:02:0504301:46 (ориентировочная протяжённость ЛЭП 0,220 км)</t>
  </si>
  <si>
    <t>Строительство ВЛ 0,4 кВ от проектируемой ВЛ 0,4 кВ проектируемой КТПН 10/0,4 кВ (по договору №61-1-20-00519605 от 23.07.2020 г.) ВЛ 10 кВ №1109 ПС 110 кВ АС11 для электроснабжения ВРУ 0,4 кВ жилого дома Тынянко А. В. в ст-це Грушевская Аксайского района Ростовской области (ориентировочная протяжённость ЛЭП 0,02 км)</t>
  </si>
  <si>
    <t>Строительство ТП 10/0,4 кВ, ВЛ 0,4 кВ, ВЛ 10 кВ от ВЛ 10 кВ №1111 ПС 110 кВ АС11 для электроснабжения ВРУ 0,4 кВ вышки сотовой связи Шульгиной З. В. на участке в ст-це Грушевская Аксайского района Ростовской области (ориентировочная мощность трансформатора 0,025 МВА, ориентировочная протяженность ЛЭП 0,25 км)</t>
  </si>
  <si>
    <t>Строительство ВЛ 0,4 кВ от ВЛ 0,4 кВ №1 КТП-10/0,4 кВ №734 ВЛ 10 кВ №103 ПС 110/35/10 кВ АС-1 для электроснабжения ВРУ-0,4 кВ жилого дома Бахарева П. А. на участке с КН 61:02:0050201:2132 в х. Островского Аксайского района Ростовской области (ориентировочная протяжённость ЛЭП 0,22 км)</t>
  </si>
  <si>
    <t xml:space="preserve">Строительство ВЛ 0,4 кВ от РУ 0,4 кВ ТП 10/0,4 кВ №119 ВЛ 10 кВ №1212 ПС 110/10 кВ АС12 для электроснабжения ВРУ-0,4 кВ жилого дома Коломиец С.А. на участке с КН 61:02:0080107:505 в п. Октябрьский, ул. Новоселов, №25, Аксайского района Ростовской области 
(ориентировочная протяжённость ЛЭП 0,28 км)
</t>
  </si>
  <si>
    <t>Строительство ВЛ 0,4 кВ от ВЛ 0,4 кВ №2 КТП №142 ВЛ 6 кВ №303 ПС 35 кВ АС3 для электроснабжения ВРУ 0,4 кВ жилого дома Фоменко Е. Н. на участке с КН 61:02:0120178:66 в г. Аксае Аксайского района Ростовской области (ориентировочная протяжённость ЛЭП 0,276 км)</t>
  </si>
  <si>
    <t>Строительство ВЛ 0,4 кВ от РУ 0,4 кВ ТП 10 кВ №665 ВЛ 10 кВ №403 ПС 110 кВ АС4 для электроснабжения складского здания/помещения ООО «Научно-производственное объединение «СУР» на участке с КН 61:02:0600016:3549 в пос. АО «Родина» Аксайского района Ростовской области (ориентировочная протяжённость ЛЭП 0,25 км)</t>
  </si>
  <si>
    <t>Строительство ВЛ 0,4 кВ, замена трансформатора на ТП 6/0,4 кВ №125, ВЛ 6 кВ №806 ПС 35/6 кВ АС8 для электроснабжения ВРУ 0,4 кВ жилых домов в п. Опытный Аксайского района Ростовской области (ориентировочная мощность трансформатора 0,250 МВА, ориентировочная протяженность ЛЭП 0,63 км)</t>
  </si>
  <si>
    <t>Установка приборов учета для присоединения ВРУ 0,4 кВ жилых домов расположенных по адресу: Ростовская обл., п. Российский, п. Янтарный, п. Водопадный, п. Нижнетемерницкий, х. Большой Лог, п. Красный Сад, п. Щепкин, п. Темерницкий, ст-ца Ольгинская, ст-ца Грушевская, х. Махин, х. Краснодворск, х. Каменный Брод, ст-ца Старочеркасская (42 шт.)</t>
  </si>
  <si>
    <t>Установка приборов учета для присоединения ВРУ 0,4 кВ малоэтажных жилых застроек и здания храма, расположенных по адресу: РО, ст-ца Старочеркасская, х. Камышеваха, х. Большой Лог, п. Российский, п. Янтарный, п. Щепкин, (27 шт.)</t>
  </si>
  <si>
    <t>Установка прибора учета для присоединения жилого дома Кан Н.В. расположенного по адресу: Ростовская обл., р-н Багаевский, х. Верхнеянченков, пер. Лесной, д. 5, к.н. 61:03:0030301:121 (1шт.)</t>
  </si>
  <si>
    <t>Установка прибора учета для присоединения жилого дома Кошмановой Н.В. расположенного по адресу: Ростовская обл., р-н Багаевский, х. Арпачин, ул. Советская, д. 19 Е, к.н. 61:03:0040211:1 (1шт.)</t>
  </si>
  <si>
    <t>Установка прибора учета для присоединения жилого дома заявителя Кравчука Эдуарда Алексеевича., расположенного по адресу: Ростовская обл., Веселовский р-н, х. Новоселовка, ул. Коллективная, д. 18, к.н. 61:06:0040301:6</t>
  </si>
  <si>
    <t>Установка прибора учета для присоединения ВРУ 0,4 кВ жилого дома заявителя Казанцевой Т.П. по адресу: Семикаракорский р-н, х. Новоромановский, ул. Калинина, д.19 к.н.:61:35:0090301:15</t>
  </si>
  <si>
    <t>Установка прибора учета для присоединения ВРУ 0,4 кВ жилого дома заявителя Самусь В.Ю. по адресу: Семикаракорский р-н, х. Чебачий, ул. Горького, д.90 к.н.:61:35:0060201:110</t>
  </si>
  <si>
    <t>Установка прибора учета для присоединения ВРУ 0,4 кВ жилого дома заявителя Мрыхиной Л.В. по адресу: Семикаракорский р-н, ст-ца Новозолотовская, ул. Речная, д.156 к.н.:61:35:0060101:4276</t>
  </si>
  <si>
    <t>Установка прибора учета для присоединения жилых домов заявителя Арутюновой В.К., по адресу: г. Семикаракорск, ул. Солнечная, д.25, к.н.: 61:35:0110205:872.; г. Семикаракорск, ул. Солнечная, д.25 Б, к.н.: 61:35:0110205:874.; г. Семикаракорск, ул. Солнечная, д.25 В, к.н.: 61:35:0110205:878.; (3шт)</t>
  </si>
  <si>
    <t>Установка приборов учета для присоединения ВРУ 0,4 кВ малоэтажной жилой застройки и жилого дома расположенных по адресу: РО, п. Янтарный, х. Нижнетемерницкий, (2шт.)</t>
  </si>
  <si>
    <t>Установка приборов учета для присоединения ВРУ 0,22 кВ жилых домов, расположенных по адресу: Ростовская обл., п. Октябрьский, х. Краснодворск, ст-ца Ольгинская, п. Щепкин, х. Большой Лог, п. Российский, п. Темерницкий, п. Нижнеподпольный,  г. Новечеркасск, (14 шт.)</t>
  </si>
  <si>
    <t>«Установка приборов учета для присоединения ВРУ 0,4 кВ жилых застроек и объектов торговли (магазин, торговыйцентр, прочее) расположенных по адресу: РО., ст-ца Старочеркасская, п.Янтарный, п. КрасныйСад, КН 61:02:0100101:1133... (17 шт.)»,</t>
  </si>
  <si>
    <t>Установка приборов учета для присоединения ВРУ 0,4 кВ образовательной организации (учреждения) и малоэтажных жилых застроек, расположенных по адресу: РО., п. Темерницкий, п. Красный, х. Ленина, (4шт.)</t>
  </si>
  <si>
    <t>Установка приборов учета для присоединения ВРУ 0,4 кВ малоэтажных жилых застроек и ЭПУ земельных участков для индивидуального жилищного строительства расположенных по адресу: РО., п. Красный Сад, х. Александровка, х. Камышеваха, п. Щепкин, (5шт.)</t>
  </si>
  <si>
    <t>Установка приборов учета для присоединения ВРУ 0,4 кВ малоэтажных жилых застроек, расположенных по адресу: РО., х. Большой Лог, (2шт.)</t>
  </si>
  <si>
    <t>Установка приборов учета для присоединения ВРУ 0,4 кВ малоэтажных жилых застроек, расположенных по адресу: РО., п. Темерницкий, п. Красный Колос, п. Щепкин, КН:61:02:0081101:3493, 61:02:0600005:11192, 61:02:0600007:2696, 61:02:0080501:15, (4шт.)</t>
  </si>
  <si>
    <t>Установка приборов учета для присоединения ВРУ 0,4 кВ малоэтажных жилых застроек, расположенных по адресу: РО., ст-ца Старочеркасская, ул. Всевеликого Войска Донского, д. 34/4А, ул. Иловайская, д.4, КН:61:02:0110102:3749, 61:02:0110102:33135, (2шт.)</t>
  </si>
  <si>
    <t>Установка прибора учета для присоединения малоэтажной жилой застройки (Индивидуальный жилой дом/ Садовый/Дачный дом) заявителя Ратушного И. А., расположенной по адресу: Ростовская обл., Веселовский р-н, п. Веселый, пер. Волго-Донской, д. 64-г к.н 61:06:0010101:461</t>
  </si>
  <si>
    <t>Установка прибора учета для присоединения жилого дома заявителя Лопачук А.А., по адресу: РО, Семикаракорский р-н, ст-ца Новозолотовская ул. Буденного, д.25/1, к.н.: 61:35:00060101:946 (1шт)</t>
  </si>
  <si>
    <t>Установка прибора учета для присоединения антенно-мачтового сооружения 61-15006 заявителя АО «Первая Башенная Компания»., по адресу: РО, г. Семикаракорск, ул. Серегина, вблизи д.11, к.н.: 61:35:0110208 (1шт)</t>
  </si>
  <si>
    <t>Установка прибора учета для присоединения жилого дома заявителя Оптовец А.В., по адресу: РО, г. Семикаракорск, ул. Мира д.1 Б, к.н.: 61:35:0110207:369 (1шт)</t>
  </si>
  <si>
    <t xml:space="preserve">Установка прибора учета в ТП 10/0,4кВ по ВЛ10кВ 414 ПС220кВ Р-4 присоед.производ.здан. Меликян А.С. х.Камышеваха, ул.Модульная КН 61:02:0600010:21547
</t>
  </si>
  <si>
    <t>Установка прибора учета в РУ 0,4кВ КТП-10/0,4кВ ВЛ10кВ №1109 ПС 110/35/10кВ АС-11 Ольховой Т.А., р-н Аксайский, ст.Грушевская, КН 61:02:0505001:1946</t>
  </si>
  <si>
    <t>Установка прибора учета для присоединения ВРУ 0,4 кВ малоэтажной жилой застройки, расположенного по адресу: РО., п. Щепкин, ул. Проезд Серебряный, д. 3, КН:61:02:0600006:6115, (1шт.)</t>
  </si>
  <si>
    <t>Установка прибора учета в РУ 0,4кВ ТП10/0,4кВ ВЛ10кВ №414 ПС220кВ Р4 ИП Федоровой А. В. х.Камышеваха, ул.Модульная, КН: 61:02:0600010:21551 (1 шт.)</t>
  </si>
  <si>
    <t>Установка прибора учета для присоединения ВРУ 0,22 кВ строительной площадки расположенной по адресу: РО., х. Нижнетемерницкий, ул. Шолохова, д. 42, КН: 61:02:0600006:4237, (1шт.)</t>
  </si>
  <si>
    <t>Установка приборов учета для присоединения жилых домов Хотнянского С.С. расположенных по адресу: Ростовская обл., р-н Багаевский, х. Арпачин, ул. Донская, д. 33-к, к.н. 61:03:0040215:107, д. 33-л, к.н. 61:03:0040215:108 (2шт.)</t>
  </si>
  <si>
    <t>Установка приборов учета для присоединения малоэтажных жилых застроек (индивидуальных жилых домов/садовых/дачных домов) Шмыгина А.В. расположенных по адресу: Ростовская обл., р-н Багаевский, х. Арпачин, ул. Донская, д. 7, к.н. 61:03:0040204:920, д. 7а, к.н. 61:03:0040204:919 (2шт.)</t>
  </si>
  <si>
    <t>Установка прибора учета для присоединения малоэтажной жилой застройки (Индивидуальный жилой дом/ Садовый/Дачный дом) заявителя Убийко А. А., расположенной по адресу: Ростовская обл., Веселовский р-н, х. Свобода, ул. Трудовая, д. 13</t>
  </si>
  <si>
    <t>Установка прибора учета для присоединения жилого дома заявителя Говорова А. И., расположенного по адресу: Ростовская обл., Веселовский р-н, п. Веселый, пер. Кленовый, 20 (к.н. 61:06:0600012:927)</t>
  </si>
  <si>
    <t>Установка приборов учета для присоединения ВРУ 0,4 кВ земельных участков, жилых домов и малоэтажной жилой застройки, расположенных по адресу: РО., х. Каменный Брод, п. Щепкин, п. Темерницкий, х. Нижнетемерницкий, КН:61:33:0600015:1022, 61:02:0600006:6726, 61:02:0600006:6727, 61:02:0600006:6728, 61:02:0600006:6731, 61:02:0600006:6732, 61:02:0081101:2695, 61:02:0600005:11355, (8шт.)</t>
  </si>
  <si>
    <t>Установка приборов учета для присоединения ВРУ 0,4 кВ малоэтажных жилых застроек, земельного участка, жилого дома расположенных по адресу: РО., г. Аксай, х. Большой Лог, п. Темерницкий, п. Щепкин, КН:61:02:0600010:13042, 61:02:0600009:2610, 61:02:0600011:1671, 61:02:0600005:13516, 61:02:0600006:6047, (5шт.)</t>
  </si>
  <si>
    <t>Установка приборов учета для присоединения ВРУ 0,4 кВ малоэтажных жилых застроек, земельного участка и жилого дома, расположенных по адресу: РО., ст-ца Старочеркасская, х. Истомино, х. Каменный Брод, КН:61:02:0110102:3060, 61:02:0050301:937, 61:33:0600015:1070, (3шт.)</t>
  </si>
  <si>
    <t xml:space="preserve">Установка приборов учета для присоединения ВРУ 0,4 кВ жилого дома и малоэтажных жилых застроек, расположенных по адресу: РО, г. Аксай, ст-ца Ольгинская, п. Водопадный, п. Красный Колос, п. Темерницкий, п. Щепкин, КН:61:02:0600010:14411, 61:02:0600010:14400, 61:02:0600015:7932, 61:02:0010802:102, 61:02:0100101:1615, 61:02:0600005:7222, 61:02:0600005:7223, 61:02:0600006:4627, (8шт.) </t>
  </si>
  <si>
    <t>Установка приборов учета для присоединения ВРУ 0,4 кВ малоэтажных жилых застроек РО., р-н Аксайский, х. Нижнеподпольный, х. Нижнетемерницкий. п Рассвет КН 61:02:0100205:676 (18 шт)</t>
  </si>
  <si>
    <t>Установка прибора учета для присоединения ВРУ 0,4 кВ гаража, расположенного по адресу: РО., п. Ковалевка, КН: 61:02:0100501:903, (1шт.)</t>
  </si>
  <si>
    <t>Установка прибора учета для присоединения ЛЭП-0,4 кВ нежилого помещения, расположенного по адресу: РО., х. Камышеваха, КН: 61:02:0600010:10299, (1шт.)</t>
  </si>
  <si>
    <t>Установка приборов учета для присоединения ВРУ 0,4 кВ малоэтажных жилых застроек, расположенных по адресу: РО., х. Нижнетемерницкий, КН:61:02:0600006:3533, 61:02:0600006:4052, 61:02:0600006:4068, 61:02:0600006:3374, (4шт.)</t>
  </si>
  <si>
    <t>Установка приборов учета для присоединения ВРУ 0,4 кВ малоэтажных жилых застроек, расположенных по адресу: РО., х. Нижнетемерницкий, ул. Бирюзовая, д. 74, ул. Жуковского, д. 19, КН:61:02:0600006:3534, 61:02:0600006:3864, (2шт.)</t>
  </si>
  <si>
    <t>Установка прибора учета для присоединения объекта торговли (магазин, торговый центр, прочее), РО, г. Батайск, ул. Ясеневая, д. 13Б, КН: 61:46:0012401:910 (1шт)</t>
  </si>
  <si>
    <t>Установка приборов учета для присоединения ВРУ 0,4 кВ малоэтажных жилых застроек, земельного участка, жилого дома расположенных по адресу: РО., п. Красный Сад, п. Щепкин, х. Александровка, х. Ленина, п. Российский, п. Янтарный, х. Нижнетемерницкий, КН:61:01:0130201:4578, 61:02:0600006:6044, 61:02:0080503:1540, 61:02:0070503:781, 61:02:0600016:4448, 61:02:0600016:4449, 61:02:0600010:14384, 61:02:0010136:16, 61:02:0080401:5, (9шт.)</t>
  </si>
  <si>
    <t>Установка приборов учета для присоединения ВРУ 0,4 кВ малоэтажных жилых застроек, земельного участка, жилого дома, расположенных по адресу: РО., п. Красный Сад, ст-ца Мишкинская, п. Щепкин, КН:61:01:0130201:5544, 61:02:0507901:97, 61:02:0600006:6037, (3шт.)</t>
  </si>
  <si>
    <t>Установка приборов учета для присоединения ВРУ 0,4 кВ малоэтажных жилых застроек, расположенных по адресу: РО, п. Темерницкий, х. Махин, х. Большой Лог, п. Щепкин, ст-ца Ольгинская, п. Красный Сад, п. Российский, ст-ца Старочеркасская, п. Янтарный, ст-ца Грушевская, (16шт.)</t>
  </si>
  <si>
    <t>Установка приборов учета для присоединения ВРУ 0,4 кВ малоэтажных жилых застроек, участка без постройки, земельного участка и жилого дома, расположенных по адресу: РО, п. Темерницкий, ст-ца Мишкинская, х. Нижнетемерницкий, х. Большой Лог, п. Дорожный, совх. Каменобродский, х. Каменный Брод, п. Октябрьский, п. Щепкин, п. Янтарный, х. Островского, ст-ца Ольгинская, ст-ца Старочеркасская, (19шт.)</t>
  </si>
  <si>
    <t>Установка прибора учета для присоединения жилого дома Шиповской А.И. расположенного по адресу: Ростовская обл., р-н Багаевский, х. Красный, ул. 2-я Кужниковская, д. 11, к.н. 61:03:0060109:27 (1 шт.)</t>
  </si>
  <si>
    <t>Установка прибора учета для присоединения объекта торговли (магазин, торговый центр, прочее) заявителя ИП Трутневой Е. А., расположенного по адресу: Ростовская обл., Веселовский р-н, п. Веселый, пер. Комсомольский, д. 50/1</t>
  </si>
  <si>
    <t>Установка прибора учета для присоединения жилого дома заявителя Кузнецова С. А., расположенного по адресу: Ростовская обл., Веселовский р-н, х. Позднеевка, ул. Мира, д. 42 к. н. 61:06:0060104:11</t>
  </si>
  <si>
    <t>Установка прибора учета для присоединения жилого дома заявителя Кузнецова С. А., расположенного по адресу: Ростовская обл., Веселовский р-н, х. Позднеевка, ул. Мира, д. 40 к. н. 61:06:0060104:10</t>
  </si>
  <si>
    <t>Установка прибора учета для присоединения магазина заявителя ИП Мардаровского А. Н., расположенного по адресу: Ростовская обл., Веселовский р-н, п. Веселый, пер. Базарный, д. 6, к.н. 61:06:0010126:655</t>
  </si>
  <si>
    <t>Установка прибора учета для присоединения квартиры заявителя Нозадзе Н. А., расположенной по адресу: Ростовская обл., Веселовский р-н, п. Веселый ул. Насосная Станция 42 д. 11 кв.1 к. н. 61:06:0010142:115</t>
  </si>
  <si>
    <t>Установка прибора учета для присоединения объекта жилого дома) заявителя Догадина Виктора Дмитриевича, по адресу: РО, Семикаракорский р-н, х. Золотаревка, ул. Р.Ф. Горожаевой, д.2 кв.2 к.н.: 61:35:0050101:539 (1шт.)</t>
  </si>
  <si>
    <t>Установка прибора учета для присоединения объекта торговли(магазин) заявителя ООО «ТЕМП», по адресу: РО, Семикаракорский р-н, ст-ца Новозолотовская ул. Октябрьская, д.50 А, к.н.: 61:35:00060101:151 (1шт.)</t>
  </si>
  <si>
    <t>Установка приборов учета для присоединения ВРУ 0,4 кВ жилых домов, нежилого помещения, земельного участка, расположенных по адресу: Ростовская обл., х. Каменный Брод, х. Камышеваха, п. Опытный С/Т «Энергетик», ст-ца Мишкинская, (8 шт.)</t>
  </si>
  <si>
    <t>Установка прибора учета для присоединения ВРУ 0,4 кВ малоэтажной жилой застройки, расположенной по адресу: РО., п. Щепкин, КН:61:02:0600006:2080, (1шт.)</t>
  </si>
  <si>
    <t>Установка приборов учета для присоединения ВРУ 0,4 кВ малоэтажных жилых застроек, земельного участка, расположенных по адресу: РО., ст-ца Старочеркасская, п. Октябрьский, п. Водопадный, х. Большой Лог, п. Темерницкий, г. Аксай, КН:61:02:0110102:3156, 61:02:0110101:1860, 61:02:0080103:825, 61:02:0010802:96, 61:02:0600011:1734, 61:02:0600011:1766, 61:02:0600005:13704, 61:02:0081101:463:41, 61:02:0505001:497, (9шт.)»</t>
  </si>
  <si>
    <t>Установка приборов учета для присоединения ВРУ 0,4 кВ малоэтажных жилых застроек, нежилых застроек, расположенных по адресу: РО., х. Большой Лог, ст-ца Ольгинская, п. Щепкин, х. Маяковского, ст-ца Грушевская, п. Дорожный, КН:61:02:0010201:6304, 61:02:0090103:3514, 61:02:0504301:710,61:02:0090103:3478,61:02:0080502:775,61:02:0600016:4726, 61:02:0505001:2014, 61:02:0050101:3080, (8шт.)</t>
  </si>
  <si>
    <t>Установка приборов учета для присоединения ВРУ 0,4 кВ малоэтажных жилых застроек, расположенных по адресу: РО., ст-ца Грушевская, ст-ца Ольгинская, х. Махин, КН:61:02:0600002:1076, 61:02:0090101:4263, 61:02:0090301:122, (3шт.)</t>
  </si>
  <si>
    <t>Установка приборов учета для присоединения ВРУ 0,4 кВ малоэтажных жилых застроек и жилых домов, земельных участков, расположенных по адресу: РО., ст-ца Старочеркасская, х. Каменный Брод, п. Щепкин, п. Реконструктор, п. Темерницкий, п. Янтарный, ст-ца Ольгинская, ст-ца Мишкинская, п. Красный Сад, п. Российский, г. Аксай сдт. Монитор, (20шт.)</t>
  </si>
  <si>
    <t>Установка прибора учета для присоединения ВРУ 0,4 кВ малоэтажной жилой застройки, расположенной по адресу: РО., х. Нижнетемерницкий, ул. Тургенева, 6, КН:61:02:0600006:4036, (1шт.)</t>
  </si>
  <si>
    <t>Установка приборов учета для присоединения ВРУ 0,4 кВ земельного участка, жилого дома, малоэтажных жилых застроек, расположенных по адресу: РО., х. Каменный Брод, п. Щепкин, ст-ца Старочеркасская, п. Темерницкий, КН:61:33:0600015:1484, 61:02:0080501:124, 61:02:0110102:4385, 61:02:0600005:3955, (4шт.)</t>
  </si>
  <si>
    <t>Установка приборов учета для присоединения ВРУ 0,4 кВ малоэтажных жилых застроек и жилого дома, расположенных по адресу: РО., х. Махин, г. Аксай, ст-ца Старочеркасская, п. Янтарный, ст-ца Мишкинская, п. Щепкин, х. Большой Лог, п. Рассвет, КН:61:02:0090301:60, 61:02:0600010:15016, 61:02:0600013:2443, 61:02:0010153:28, 61:02:0600009:1311,  61:02:0600006:5539,  61:02:0600011:2704,  61:02:0100201:844,  (8шт.)</t>
  </si>
  <si>
    <t>Установка прибора учета для присоединения квартиры заявителя Ковшиковой Л. А., расположенной по адресу: Ростовская обл., Веселовский р-н, х. Красный Октябрь, ул. Нижняя, д.36 кв.2 к. н. 61:06:0030108:119</t>
  </si>
  <si>
    <t>Установка прибора учета для присоединения малоэтажной   жилой  застройки  (Индивидуальный  жилой  дом/Садовый/Дачный дом) заявителя ФроловаГ.В., расположенной по адресу :Ростовская обл., Веселовский р-н, п. Веселый, ул. Братская, д.34-а к. н.61:06:0010141:91</t>
  </si>
  <si>
    <t>Установка прибора учета для присоединения малоэтажной жилой застройки (Индивидуальный жилой дом/ Садовый/Дачный дом) заявителя Ахметова Р. У., расположенной по адресу: Ростовская обл., Веселовский р-н, п. Веселый, ул. Октябрьская, д.205-ж к. н. 61:06:0010114:881</t>
  </si>
  <si>
    <t>Установка прибора учета для присоединения малоэтажной жилой застройки (Индивидуальный жилой дом/ Садовый/Дачный дом) заявителя Ахметова Р. У., расположенной по адресу: Ростовская обл., Веселовский р-н, п. Веселый, ул. Береговая, д.15-ж к. н. 61:06:0010141:567</t>
  </si>
  <si>
    <t>Установка прибора учета для присоединения малоэтажной жилой застройки (Индивидуальный жилой дом/ Садовый/Дачный дом) заявителя Ахметова Р. У., расположенной по адресу: Ростовская обл., Веселовский р-н, п. Веселый, ул. Береговая, д.40-а к. н. 61:06:0010141:566</t>
  </si>
  <si>
    <t>Установка прибора учета для присоединения нежилого помещения заявителя АО «Почта России», расположенного по адресу: Ростовская обл., Веселовский р-н, х. Красный Маныч, ул. Центральная, д.98 к. н. 61:06:0030306:190</t>
  </si>
  <si>
    <t>Установка прибора учета для присоединения жилого дома заявителя Тихоновой Т. Н., расположенного по адресу: Ростовская обл., Веселовский р-н, х. Верхнесоленый, ул. Батюшинская, д. 22 к. н. 61:06:0020103:516</t>
  </si>
  <si>
    <t>Установка прибора учета для присоединения жилого дома заявителя Курбанова Р. К., расположенного по адресу: Ростовская обл., Веселовский р-н, п. Веселый, ул. Октябрьская, д. 204-в к. н. 61:06:0010114:850</t>
  </si>
  <si>
    <t>Установка прибора учета для присоединения нежилого помещения заявителя АО «Почта России», расположенного по адресу: Ростовская обл., Веселовский р-н, п. Веселый, ул. Ленинская, д.81 к. н. 61:06:0010125:335</t>
  </si>
  <si>
    <t>Установка прибора учета для присоединения магазина заявителя ИП Мартыненко А. Н., расположенного по адресу: Ростовская обл., Веселовский р-н, п. Веселый, ул. Октябрьская, д.1-з к. н. 61:06:0010133:411</t>
  </si>
  <si>
    <t>Установка прибора учета для присоединения малоэтажной жилой застройки (Индивидуальный жилой дом/ Садовый/Дачный дом) заявителя Нуйковой Е. А., расположенной по адресу: Ростовская обл., Веселовский р-н, п. Веселый, ул. Береговая, д. 2-и к. н. 61:06:0600012:865</t>
  </si>
  <si>
    <t>Установка прибора учета для присоединения малоэтажной жилой застройки (Индивидуальный жилой дом/ Садовый/Дачный дом) заявителя Акопян Р. Г., расположенной по адресу: Ростовская обл., Веселовский р-н, п. Веселый, пер. Пушкинский, д. 27 к. н. 61:06:0010111:40</t>
  </si>
  <si>
    <t>Установка узла учета для присоединения РУ 0,4 кВ ТП 10/0,4 кВ ВЛ 10 кВ №3 ПС 35/10 кВ Б. Салы складского здания/помещения заявителя ИП Данилевский М. В., расположенного по адресу: РО., р-н. Аксайский, п. Щепкин, пер. Производственный, з/у 4, КН:61:02:0600006:6352 (1шт.)</t>
  </si>
  <si>
    <t>Установка приборов учета для присоединения ВРУ 0,4 кВ малоэтажных жилых застроек, земельных участков, жилого дома, здания, торгового нестационарного объекта и объекта сельскохозяйственного производства расположенных по адресу: РО., г. Аксай, п. Щепкин, п. Темерницкий, п. Янтарный, ст-ца Старочеркасская, ст-ца Грушевская, х. Каменный Брод, п. Аглос, х. Маяковского, (15шт.)</t>
  </si>
  <si>
    <t>Установка приборов учета для присоединения ВРУ 0,4 кВ жилых домов расположенных по адресу: Ростовская обл. Аксайский ра-н, х. Махин КН: 61:02:0600015:8160 (3 шт.)</t>
  </si>
  <si>
    <t>Установка прибора учёта на опоре (номер опоры определить при проектировании) ТП-10/0,4 кВ №129А по ВЛ 10 кВ М 414 от ПС 220/110/10 кВ Р-4 для присоединения объекта торговли заявителя ИП Сафронова В. А., расположенной по адресу: Ростовская обл., р-н. Аксайский, х. Камышеваха, кадастровый номер земельного участка: 61:02:0600010:8408. (1 шт.)</t>
  </si>
  <si>
    <t>Установка прибора учета для присоединения ВРУ 0,4 кВ малоэтажной жилой застройки, расположенной по адресу: РО., х. Нижнетемерницкий, ул. Толстого, 89, КН:61:02:0600006:4324, (1шт.)</t>
  </si>
  <si>
    <t>Установка прибора учета для присоединения ВРУ 0,4 кВ малоэтажной жилой застройки, расположенной по адресу: РО., х. Нижнетемерницкий, ул. Можжевеловая, 51, КН:61:02:0600006:3363, (1шт.)</t>
  </si>
  <si>
    <t>Установка приборов учета для присоединения ВРУ 0,4 кВ малоэтажных жилых застроек и нежилой застройки, расположенных по адресу: РО, п. Щепкин, х. Большой Лог, п. Янтарный, г. Аксай, п. Водопадный, ст-ца Старочеркасская, КН:61:02:0600006:8416, 61:02:0600006:8417, 61:02:0010201:6272, 61:02:0010201:7497, 61:02:0010130:11, 61:02:0600010:24715, 61:02:0010802:801, 61:02:0600013:2059, 61:02:0600013:4098, (9шт.)</t>
  </si>
  <si>
    <t>Установка приборов учета для присоединения ВРУ 0,4 кВ малоэтажных жилых застроек и нежилой застройки, расположенных по адресу: РО, г. Аксай, х Большой Лог, п. Янтарный, п. Темерницкий, п. Красный Сад, п. Рассвет, п. Октябрьский. КН: 61:02:0600010:4592, 61:02:0600011:801, 61:02:0600010:1129, 61:02:0081101:3466 61:01:0130201:5676, 61:02:0100207:1157, 61:02:0060101:4133 (7шт.)</t>
  </si>
  <si>
    <t>Установка приборов учета для присоединения ВРУ 0,4 кВ малоэтажных жилых застроек, расположенных по адресу: РО, г. Аксай, п. Октябрьский, ст.Старочеркасская, п. Дорожный, п. Щепкин, п. Рассвет, х. Нижнетемерницкий, ст. Ольгинская. 
КН: 61:02:0600010:24725, КН: 61:02:0080102:440, КН: 61:02:0600006:6103, КН: 61:02:0600013:2446, КН: 61:02:00501101:2556, КН: 61:02:0080501:125, КН: 61:02:0100207:712, КН: 61:02:0600005:13932, КН: 61:02:0600006:5509, КН: 61:02:0090103:2408, (10шт.)</t>
  </si>
  <si>
    <t xml:space="preserve">Установка приборов учета для присоединения ВРУ 0,4 кВ малоэтажных жилых застроек, расположенных по адресу: РО, п. Темерницкий, Родионово-Несветайский район (КН: 61:02:0600005:13708, КН: 61:02:0600005:13709 , КН: 61:33:0600015:628 (3шт.) </t>
  </si>
  <si>
    <t>Установка приборов учета для присоединения ВРУ 0,4 кВ малоэтажных жилых застроек, расположенных по адресу: РО., г. Аксай, х. Большой Лог, п. Янтарный, п. Российский, п. Щепкин, п. Красный Сад,х.Камышеваха,КН:61:02:0600010:21794,61:02:0600011:2777,61:02:0600011:2776,61:02:0010135:7,61:02:0600010:3508,61:02:0600010:10717,61:02:0080502:1423,61:02:0080502:1422,61:02:0600006:6877,61:02:0600006:7019,61:02:0600006:5818,61:02:0600006:7018,61:01:0130201:3765,61:01:0130201:5643,61:02:0010427:689,(16шт.)</t>
  </si>
  <si>
    <t>Установка прибора учета для присоединения нежилого помещения АО «Почта России» расположенного по адресу: Ростовская обл., р-н Багаевский, п. Привольный, ул. Центральная, д. 6, к.н. 61:03:0020310:27 (1 шт.)</t>
  </si>
  <si>
    <t>Установка прибора учета для присоединения базовой станции/оборудования сотовой связи ПАО «Ростелеком» расположенного по адресу: Ростовская обл., р-н Багаевский, х. Тузлуков, примерно 19 м по направлению на восток от границ участка по адресу: ул. Центральная, д. 5/1, к.н. 61:03:0050201:138 (1 шт.)</t>
  </si>
  <si>
    <t>Установка прибора учета для присоединения магазина заявителя ИП Авагян А. Ш., расположенного по адресу: Ростовская обл., Веселовский р-н, п. Веселый, ул. Октябрьская, 131 (к.н. 61:06:0010124:4)</t>
  </si>
  <si>
    <t>Установка прибора учета для присоединения жилого дома Мартиросян А.А. расположенного по адресу: Ростовская обл., р-н Семикаракорский, х.Чебачий,ул.Малькова,д. 60, к.н. 61:35:0060201:541</t>
  </si>
  <si>
    <t>Установка прибора учета для присоединения ВРУ 0,4 кВ жилого дома, расположенного по адресу: РО., г. Новочеркасск, С/Т №3 «Мелиоратор», (1шт.)</t>
  </si>
  <si>
    <t>Установка прибора учета для присоединения ВРУ 0,4 кВ жилого дома, расположенного по адресу: РО., х. Нижнетемерницкий, ул. Яблоневая, д. 32/28, КН:61:02:0600006:3007, (1шт.)</t>
  </si>
  <si>
    <t>Установка приборов учета для присоединения ВРУ 0,4 кВ малоэтажных жилых застроек, расположенных по адресу: РО., п. Щепкин, х. Камышеваха, п. Темерницкий, КН:61:02:0600006:4649, 61:33:0600015:607, 61:02:0010401:771, 61:02:0081101:3430, 61:02:0081101:3429, 61:02:0600005:10075, (6шт.)</t>
  </si>
  <si>
    <t>Установка приборов учета для присоединения ВРУ 0,4 кВ жилых домов, малоэтажной жилой застройки и земельного участка, расположенных по адресу: РО., ст-ца Мишкинская, п. Темерницкий, п. Дорожный, х. Каменный Брод, КН:61:02:070201:0568, 61:02:0600005:10220, 61:02:0050101:3016, 61:33:0600015:1042, (4шт.)</t>
  </si>
  <si>
    <t>Установка прибора учета для присоединения ВРУ 0,4 кВ земельного участка, расположенного по адресу: РО., п. Темерницкий, КН:61:02:0600005:12048, (1шт.)</t>
  </si>
  <si>
    <t>Установка прибора учета для присоединения ВРУ 0,4 кВ нежилой жилой застройки, расположенной по адресу: РО., п. Щепкин, ул. Южная, КН:61:02:0600006:8532, (1шт.)</t>
  </si>
  <si>
    <t>Установка приборов учета для присоединения ВРУ 0,4 кВ малоэтажных жилых застроек, жилых домов и земельного участка, расположенных по адресу: РО, ст-ца Мишкинская, п. Российский, п. Темерницкий, п. Щепкин, х. Большой Лог, ст-ца Старочеркасская, х. Каменный Брод, п. Октябрьский, п. Янтарный, п. Красный Сад, п. Рассвет, (14шт.)</t>
  </si>
  <si>
    <t>Установка приборов учета для присоединения ВРУ 0,4 кВ малоэтажных жилых застроек, объектов электросетевого хозяйства, участка без постройки, земельного участка и жилого дома, расположенных по адресу: РО, ст-ца Старочеркасская, х. Камышеваха, п. Щепкин, х. Александровка, п. Темерницкий, х. Большой Лог, х. Каменный Брод, п. Дорожный, ст-ца Ольгинская, г. Новочеркасск, п. Аглос, п. АО «Октябрьское», г. Аксай, (21шт.)</t>
  </si>
  <si>
    <t>Установка прибора учета для присоединения жилого дома Елшина В.А. расположенного по адресу: Ростовская обл., р-н Аксайский, х. Слава Труда, ул. Славянская, д. 27, к.н. 61:02:020301:0103 (1 шт.)</t>
  </si>
  <si>
    <t>Установка прибора учета для присоединения жилого дома Гречко Е.В. расположенного по адресу: Ростовская обл., р-н Багаевский, х. Усьман, ул. Братская, д. 92-б, к.н. 61:03:060407:0064 (1 шт.)</t>
  </si>
  <si>
    <t>Установка прибора учета для присоединения нежилого помещения АО «Почта России» расположенного по адресу: Ростовская обл., р-н Багаевский, х. Федулов, ул. Ленина, д. 20А, к.н. 61:03:0010205:65 (1 шт.)</t>
  </si>
  <si>
    <t>Установка прибора учета для присоединения малоэтажной жилой застройки (Индивидуальный жилой дом/ Садовый/Дачный дом) заявителя Хибухиной О. Е., расположенной по адресу: Ростовская обл., Веселовский р-н, п. Веселый, ул. Мира, д. 1-а, к.н. 61:06:0010138:201</t>
  </si>
  <si>
    <t>Установка прибора учета для присоединения жилого дома заявителя Кривобоковой Е. В., расположенного по адресу: Ростовская обл., Веселовский район, п. Садковский, ул. Механическая, д. 29, к.н. 61:06:0020504:470</t>
  </si>
  <si>
    <t>Установка прибора учета для присоединения жилого дома заявителя Затула К. А., расположенного по адресу: Ростовская обл., Веселовский р-н, х. Красный Маныч, ул. Центральная, д. 44, к.н. 61:06:0030304:8</t>
  </si>
  <si>
    <t>Установка прибора учета для присоединения объекта торговли (магазин, торговый центр, прочее) заявителя Аширали Е. А., расположенного по адресу: Ростовская обл., Веселовский р-н, п. Веселый, ул. Ленинская, д. 73-а, к.н. 61:06:0010125:704</t>
  </si>
  <si>
    <t>Установка прибора учета для присоединения индивидуального жилого дома с магазином заявителя Мардаровского А. Н., расположенного по адресу: Ростовская обл., Веселовский р-н, п. Веселый, пер. Базарный, д.4 к. н. 61:06:0010126:274</t>
  </si>
  <si>
    <t>Установка прибора учета для присоединения нежилого помещения Рыльщиков С.Н. расположенного по адресу: Ростовская обл., Семикаракорский район, ориентир контур поля №7 массива земель реорганизованного сельскохозяйственного предприятия АО «Донское», к.н. 61:35:0600012:979 (1 шт.)</t>
  </si>
  <si>
    <t>Установка прибора учета для присоединения малоэтажной жилой застройки Ковалева Р.А. расположенной по адресу: 346630, Российская Федерация, Ростовская обл., р-н Семикаракорский, г. Семикаракорск, ул. Заводская, д. 30, к.н. 61:35:0110202:362 (1 шт.)</t>
  </si>
  <si>
    <t>Установка прибора учета для присоединения малоэтажной жилой застройки Ковалева Р.А. расположенной по адресу: 346630, Российская Федерация, Ростовская обл., р-н Семикаракорский, г. Семикаракорск, ул. Заводская, д. 30а, к.н. 61:35:0110202:361 (1 шт.)</t>
  </si>
  <si>
    <t>Установка прибора учета для присоединения ВРУ 0,4 кВ земельного участка, жилого дома, расположенных по адресу: РО., п. Щепкин, КН:61:02:0600006:7032, (1шт.)</t>
  </si>
  <si>
    <t>Установка прибора учета для присоединения ВРУ 0,4 кВ земельного участка, жилого дома, расположенных по адресу: РО., п. Щепкин, КН:61:02:0600006:7037, (1шт.)</t>
  </si>
  <si>
    <t>Установка прибора учета для присоединения ВРУ 0,4 кВ земельного участка, жилого дома, расположенных по адресу: РО., п. Щепкин, КН:61:02:0600006:8113, (1шт.)</t>
  </si>
  <si>
    <t>Установка узла учета для присоединения в РУ 0,4 кВ ТП-10/0,4 кВ Заявителя от опоры №26 КВЛ 10 кВ №1547 ПС 110/10-10 кВ АС-15 заявителя ИП Беспалов Е.В., расположенной по адресу: Ростовская обл., р-н Аксайский, п. Янтарный, кадастровый номер земельного участка:61:02:0010115:5 (1 шт.)</t>
  </si>
  <si>
    <t>Установка прибора учета для присоединения ВРУ 0,4 кВ земельного участка индивидуального жилого дома, малоэтажной жилой застройки, расположенных по адресу: РО., Аксайский р-н, п. Щепкин, КН:61:02:0600006:7049, 61:02:0600006:8492, (2шт.)</t>
  </si>
  <si>
    <t>Установка прибора учета для присоединения ВРУ 0,4 кВ малоэтажной жилой застройки, расположенной по адресу: РО., п. Щепкин, КН:61:02:0600006:7044, (1шт.)</t>
  </si>
  <si>
    <t>Установка прибора учета для присоединения ВРУ 0,4 кВ земельного участка и жилого дома, расположенных по адресу: РО., п. Щепкин, КН:61:02:0600006:7083, (1шт.)</t>
  </si>
  <si>
    <t>Установка прибора учета для присоединения ВРУ 0,4 кВ земельного участка и индивидуального жилого дома, расположенных по адресу: РО., п. Щепкин, КН:61:02:0600006:7067, (1шт.)</t>
  </si>
  <si>
    <t>Установка прибора учета для присоединения ВРУ 0,4 кВ малоэтажной жилой застройки, расположенной по адресу: РО., п. Щепкин, КН:61:02:0600006:707, (1шт.)</t>
  </si>
  <si>
    <t>Установка прибора учета для присоединения ВРУ 0,4 кВ малоэтажной жилой застройки, РО р-н. Аксайский, х. Нижнетемерницкий, ул. Виноградная, д. 45, КН: 61:02:0600006:7866 (1шт)</t>
  </si>
  <si>
    <t>Установка приборов учета для присоединения ВРУ 0,4 кВ малоэтажных жилых застроек, расположенных по адресу: РО, п. Темерницкий, ст-ца Старочеркасская, х. Большой Лог, г. Аксай, х. Истомино, п. Щепкин, п. Рассвет, ст-ца Грушевская, (11шт.)</t>
  </si>
  <si>
    <t>Установка приборов учета для присоединения ВРУ 0,4 кВ земельных участков, малоэтажных жилых застроек, расположенных по адресу: РО., п. Щепкин, п. Водопадный, ст-ца Ольгинская, х. Большой Лог, КН:61:02:0600006:6743, 61:02:0600006:6748, 61:02:0600006:6757, 61:02:0010802:12, 61:02:0090102:4349, 61:02:0600011:2865, (6шт.)</t>
  </si>
  <si>
    <t>Установка приборов учета для присоединения ВРУ 0,4 кВ малоэтажных жилых застроек, земельных участков и индивидуального жилого дома, расположенных по адресу: РО., ст-ца Мишкинская, п. Октябрьский, п. Щепкин, п. Темерницкий, х. Каменный Брод, ст-ца Старочеркасская, КН:61:02:0600009:1298, 61:02:0600004:2138, 61:02:0600006:7078, 61:02:0600005:13249, 61:33:0600015:1290, 61:02:0600013:2451, 61:02:0600013:2449, (7шт.)</t>
  </si>
  <si>
    <t>Установка приборов учета для присоединения ВРУ 0,4 кВ малоэтажных жилых застроек, нежилых застроек, земельных участков и нежилого помещения, расположенных по адресу: РО, х. Большой Лог, п. Янтарный, п. Дорожный, ст-ца Грушевская, ст-ца Ольгинская, п. Красный Сад, ст-ца Старочеркасская, п. Октябрьский, ст-ца Мишкинская, х. Островского, п. Щепкин, АО «Щепкинское», (18шт.)</t>
  </si>
  <si>
    <t>Установка приборов учета для присоединения ВРУ 0,4 кВ малоэтажных жилых застроек, земельных участков, жилых домов, гаража и нежилой застройки, расположенных по адресу: РО, г. Аксай, п. АО «Октябрьское», п. Щепкин, совх. Каменобродский, х. Большой Лог, ст-ца Ольгинская, х. Александровка, п. Янтарный, ст-ца Старочеркасская, тер. АО «Щепкинское», (26шт.)</t>
  </si>
  <si>
    <t>Установка прибора учета для присоединения нежилого помещения АО «Почта России» расположенного по адресу: Ростовская обл., р-н Багаевский, х. Карповка, ул. Зеленая, д. 13, кв. 1,2, к.н. 61:03:0020203:92 (1 шт.)</t>
  </si>
  <si>
    <t>Установка прибора учета для присоединения малоэтажной жилой застройки (индивидуальный жилой дом/садовый/дачный дом) Момотова В.А. расположенного по адресу: Ростовская обл., р-н Багаевский, ст. Манычская, ул. Магаданская, д. 5Б, к.н. 61:03:0040131:2 (1 шт.)</t>
  </si>
  <si>
    <t>Установка прибора учета для присоединения нежилого помещения Зориной Ю.А. расположенного по адресу: Ростовская обл., р-н Багаевский, х. Красный, ул. Центральная, д. 10/2, пом. 2, к.н. 61:03:0060101:457 (1 шт.)</t>
  </si>
  <si>
    <t>Установка прибора учета для присоединения жилого дома заявителя Кирпичева Г.Б., расположенного по адресу: Ростовская обл., Веселовский р-н, п. Веселый, ул,Ленинская, д.150 (к.н. 61:06:0010105:44)</t>
  </si>
  <si>
    <t>Установка прибора учета для присоединения малоэтажной жилой застройки (Индивидуальный жилой дом/ Садовый/Дачный дом), заявителя Шлапунова М. А., расположенной по адресу: Ростовская обл., Веселовский р-н, п. Веселый, ул. Степная, д. 2, к.н. 61:06:0010138:1097</t>
  </si>
  <si>
    <t>Установка прибора учета для присоединения вагончика, заявителя ИП Главы КФХ Убийко А. А., расположенного по адресу: Ростовская обл., Веселовский р-н, х. Свобода, участок находится примерно в 1,5 км от ориентира по направлению на север (к.н. 61:06:0600007:51)</t>
  </si>
  <si>
    <t>Установка прибора учета для присоединения малоэтажной жилой застройки Овсянниковой В.В. расположенной по адресу: 346651, Российская Федерация, Ростовская обл., р-н Семикаракорский, х. Сусат, д. 72, кадастровый номер земельного участка: 61:35:0090101:615 (1 шт.)</t>
  </si>
  <si>
    <t>Установка приборов учета для присоединения ВРУ 0,4 кВ малоэтажных жилых застроек, расположенных по адресу: РО., п. Октябрьский, ст-ца Ольгинская, КН:61:02:0600004:2234, 61:02:0090102:4258, (2шт.)</t>
  </si>
  <si>
    <t>Установка приборов учета для присоединения ВРУ 0,4 кВ индивидуального жилого дома, малоэтажных жилых застроек, нежилой застройки и базовой станции, расположенных по адресу: РО., х. Нижнетемерницкий, п. Темерницкий, п. АО «Октябрьское», п. Янтарный, КН:61:02:0600005:13930, 61:02:0600005:14284, 61:02:0600005:13710, 61:02:0600005:13519, 61:02:0600004:3351, 61:02:0010152:1, (6шт.)</t>
  </si>
  <si>
    <t>Установка прибора учета для присоединения ВРУ 0,4 кВ малоэтажной жилой застройки, расположенной по адресу: РО., ст-ца Мишкинская, ул. Платова, д. 64, КН:61:02:0070201:21, (1шт.)</t>
  </si>
  <si>
    <t>Установка прибора учета для присоединения ВРУ 0,4 кВ нежилой застройки, расположенной по адресу: РО., ст-ца Ольгинская, ул. Ленина, д.152-Д, КН:61:02:0090102:4294, (1шт.)</t>
  </si>
  <si>
    <t>Установка прибора учета для присоединения ВРУ 0,4 кВ малоэтажной жилой застройки, расположенной по адресу: РО., г. Аксай, проезд Воронцова, д.40, КН:61:02:0600010:5562, (1шт.)</t>
  </si>
  <si>
    <t>Установка прибора учета для присоединения ВРУ 0,4 кВ малоэтажной жилой застройки, расположенной по адресу: РО., п. Аглос, поле рядом с котеджным поселком Ясная поляна, КН:61:02:0600005:11388, (1шт.)</t>
  </si>
  <si>
    <t>Установка приборов учета для присоединения ВРУ 0,4 кВ малоэтажной жилой застройки и земельного участка индивидуального жилого дома, расположенных по адресу: РО., х. Нижнетемерницкий, х. Каменный Брод, КН:61:02:0080401:38, 61:33:0600015:1472, (2шт.)</t>
  </si>
  <si>
    <t>Установка приборов учета для присоединения ВРУ 0,4 кВ малоэтажных жилых застроек, нежилой застройки, земельного участка индивидуального жилого дома, расположенных по адресу: РО., г. Аксай, п. Красный Сад, п. Янтарный, п. Водопадный, КСП им. М. Горького, п. Темерницкий, х. Большой Лог, ст-ца Ольгинская, ст-ца Старочеркасская, п. Щепкин, п. Октябрьский, п. Красный, (19шт.)</t>
  </si>
  <si>
    <t>Установка приборов учета для присоединения ВРУ 0,4 кВ малоэтажных жилых застроек, земельных участков, жилого дома, нежилой застройки, расположенных по адресу: РО., ст-ца Мишкинская, п. Янтарный, п. Щепкин, п. Темерницкий, КН:61:02:0070203:72, 61:02:0011001:18, 61:02:0600006:6136, 61:02:0080501:547, 61:02:0600006:8498, 61:02:0081101:3583, 61:02:0600005:9985, (7шт.)</t>
  </si>
  <si>
    <t>Установка прибора учета для присоединения жилого дома Миронова А.А. расположенного по адресу: Ростовская обл., р-н Аксайский, х. Слава Труда, ул. Славянская, д. 7, к.н. 61:02:0020301:79 (1 шт.)</t>
  </si>
  <si>
    <t>Установка прибора учета для присоединения жилого дома Карибян А.О. расположенного по адресу: Ростовская обл., р-н Багаевский, х. Ажинов, ул. Школьная, д. 20, к.н. 61:03:0020103:10 (1 шт.)</t>
  </si>
  <si>
    <t>Установка прибора учета для присоединения малоэтажной жилой застройки (Индивидуальный жилой дом/ Садовый/Дачный дом), заявителя Елисеевой А. С., расположенной по адресу: Ростовская обл., Веселовский р-н, Веселовское сельское поселение, к.н. 61:06:0600012:1135</t>
  </si>
  <si>
    <t>Установка прибора учета для присоединения магазина ИП Поликарповой А. М., расположенного по адресу: Ростовская обл., Веселовский район, п. Садковский, ул. Центральная, д. 16-б, к.н. 61:06:0020504:49</t>
  </si>
  <si>
    <t>Установка прибора учета для присоединения жилого дома, заявителя Кравчука С. Н., расположенного по адресу: Ростовская обл., Веселовский р-н, п. Веселый, пер. Западный, 7, к.н. 61:06:0010116:202</t>
  </si>
  <si>
    <t>Установка прибора учета для присоединения нежилого помещения АО «Почта России» расположенного по адресу: 346647, Ростовская область, р-н Семикаракорский, п. Зеленая Горка, ул. А.С. Пушкина, д. 11, кадастровый номер земельного участка: 61:35:0040101:1068 (1 шт.)</t>
  </si>
  <si>
    <t>Установка прибора учета для присоединения нежилого помещения АО «Почта России» расположенного по адресу: 346642, Ростовская область, р-н Семикаракорский, х. Страхов, пер. Почтовый, д. 17, кв. 1,2,3,4,5 кадастровый номер земельного участка: 61:35:0100201:1040 (1 шт.)</t>
  </si>
  <si>
    <t>Установка прибора учета для присоединения ВРУ 0,4 кВ малоэтажной жилой застройки, расположенной по адресу: РО., ст-ца Грушевская, ул. Шостаковича, КН:61:02:0600002:3302, (1шт.)</t>
  </si>
  <si>
    <t>Установка приборов учета для присоединения ВРУ 0,4 кВ земельных участков индивидуальных жилых домов, малоэтажных жилых застроек, объектов наружного освещения, расположенных по адресу: РО., п. Щепкин, КСП им. Горького, х. Большой Лог, п. Российский, х. Камышеваха, х. Каменный Брод, п. Темерницкий, х. Ленина, г. Аксай, ст-ца Ольгинская, КН:61:33:0600015:1483, 61:02:0600006:6935, 61:02:0600009:1285, 61:02:0600010:2858, 61:02:0600010:2863, 61:02:0600011:2852, 61:02:0010301:1332, 61:02:0000000:493, 61:33:0600015:1102,  61:02:0600005:10491, 61:02:0080502:1435, 61:02:0060101:4223, 61:02:00600010:14254, 61:02:0090102:4399, (14шт.)</t>
  </si>
  <si>
    <t>Установка прибора учета для присоединения ВРУ 0,4 кВ жилого дома, солнечной электростанции, расположенных по адресу: РО., п. Щепкин, ул. Молодежная, д.5, КН:61:02:0080501:47, (1шт.)</t>
  </si>
  <si>
    <t>Установка приборов учета для присоединения ВРУ 0,4 кВ малоэтажных жилых застроек, жилого дома, земельного участка, расположенных по адресу: РО., х. Большой Лог, ст-ца Ольгинская, г. Аксай, ст-ца Мишкинская, п. Дорожный, п. Красный Сад, х. Нижнеподпольный, п. Щепкин, п. Октябрьский, х. Островского, КН: 61:02:0600011:743, 61:02:0010201:6159, 61:02:0090102:3575, 61:02:0070202:2368, 61:02:0600010:5570,  61:02:00600009:3710, 61:02:0050101:2650, 61:01:0130201:4574, 61:01:0090201:1070, 61:02:0080502:1419, 61:02:00600004:3448, 61:02:0050201:494, (12шт.)</t>
  </si>
  <si>
    <t>Установка прибора учета для присоединения ВРУ 0,4 кВ малоэтажной жилой застройки, расположенной по адресу: РО., ст-ца Старочеркасская, ул. Ильинская, д. 38, КН:61:02:0600013:1943, (1шт.)</t>
  </si>
  <si>
    <t>Установка прибора учета для присоединения ВРУ 0,4 кВ малоэтажной жилой застройки, расположенных по адресу: РО., х. Островского, ул. Кирова, д.5а, КН:61:02:0050201:958, (1шт.)</t>
  </si>
  <si>
    <t>Установка прибора учета для присоединения ВРУ 0,4 кВ малоэтажной жилой застройки, расположенных по адресу: РО., п. Красный Сад, ул. Некрасова, д.4, КН:61:01:0130201:5709, (1шт.)</t>
  </si>
  <si>
    <t>Установка приборов учета для присоединения ВРУ 0,22 кВ малоэтажных жилых застроек, расположенных по адресу: РО., п. Российский, ст-ца Ольгинская, п. Щепкин, г. Аксай, п. Красный Сад, х. Ленина, (17шт.)</t>
  </si>
  <si>
    <t>Установка приборов учета для присоединения ВРУ 0,4 кВ земельных участков и индивидуальных жилых домов, малоэтажных жилых застроек, нежилой застройки, солнечной электростанции, расположенных по адресу: РО., п. Щепкин, г. Аксай, ст-ца Ольгинская, п. Российский, ст-ца Старочеркасская, х. Большой Лог, п. Темерницкий, п. Красный Сад, х. Каменный Брод, п. Водопадный, х. Камышеваха, п. Янтарный, п. Красный, (23шт.)</t>
  </si>
  <si>
    <t>Установка приборов учета для присоединения ВРУ 0,4 кВ земельных участков и индивидуального жилого дома, расположенных по адресу: РО., х. Каменный Брод, уч. 60, п. Щепкин, проезд Золотой 17, КН:61:33:0600015:1079, 61:02:0600006:6094, (2шт.)</t>
  </si>
  <si>
    <t>Установка приборов учета для присоединения ВРУ 0,4 кВ малоэтажных жилых застроек и объекта животноводства, расположенных по адресу: РО., п. Красный Сад, п. Темерницкий, п. Октябрьский, г. Аксай, ст-ца Ольгинская, ст-ца Старочеркасская, п. Янтарный, (10шт.)</t>
  </si>
  <si>
    <t>Установка приборов учета для присоединения ВРУ 0,4 кВ малоэтажных жилых застроек, земельных участков индивидуальных жилых домов, расположенных по адресу: РО., х. Большой Лог, п. Аглос, п. Красный Сад, с/х КСП им. М.Горького, п. Щепкин, х. Камышеваха, КН:61:02:0600011:2857,61:02:0600011:2861,61:02:0600006:7080, 61:01:0130201:5162, 61:01:0600007:2225, 61:02:0600009:1575, 61:02:0600006:8516, 61:02:0010401:783, (8шт.)</t>
  </si>
  <si>
    <t>Установка прибора учета для присоединения малоэтажной жилой застройки (Индивидуальный жилой дом/ Садовый/Дачный дом), заявителя Колесниковой Е. П., расположенной по адресу: Ростовская обл., Веселовский р-н, п. Веселый, пер. Кленовый, к.н. 61:06:0600012:1782</t>
  </si>
  <si>
    <t>Установка прибора учета для присоединения жилого дома, заявителя Павлюковой А. В., расположенного по адресу: Ростовская обл., Веселовский р-н, п. Веселый, ул. Ленинская, 109, к.н. 61:06:0010125:28</t>
  </si>
  <si>
    <t>Установка приборов учета для присоединения ВРУ 0,4 кВ малоэтажных жилых застроек, земельного участка, жилых домов и вышка связи, расположенных по адресу: РО., п. Темерницкий, х. Большой Лог, ст-ца Грушевская, п. Янтарный, п. Щепкин, п. Красный Сад, х. Ленина, ст-ца Старочеркасская, (19шт.)</t>
  </si>
  <si>
    <t>Установка приборов учета для присоединения ВРУ 0,4 кВ малоэтажных жилых застроек, расположенных по адресу: РО., х. Каменный Брод, п. Темерницкий, КН: 61:33:0600015:1308, 61:02:0600005:5363, (2шт.)</t>
  </si>
  <si>
    <t>Установка приборов учета для присоединения ВРУ 0,4 кВ малоэтажных жилых застроек, земельных участков, индивидуальных жилых домов, расположенных по адресу: РО., х. Махин, ст-ца Ольгинская, ст-ца Грушевская, ст-ца Старочеркасская, п. Российский, х. Каменный Брод, п. Щепкин, КН: 61:02:0600015:5706, 61:02:0600015:7851, 61:02:0600002:1134, 61:02:0600013:1936, 61:02:0010301:1763, 61:33:0600015:1495, 61:02:0600006:6864, 61:02:0600006:8513, (8шт.)</t>
  </si>
  <si>
    <t>Установка прибора учета для присоединения ВРУ 0,4 кВ СТО, расположенного по адресу: РО., ст-ца Грушевская, Новочеркасское шоссе, КН: 61:02:0600002:3157, (1шт.)</t>
  </si>
  <si>
    <t>Установка приборов учета для присоединения ВРУ 0,4 кВ малоэтажных жилых застроек, склада металлических изделий, расположенных по адресу: РО., ст-ца Ольгинская, п. АО «Октябрьское», п. Темерницкий, х. Большой Лог, п. Щепкин, АО "Темерницкое", КН: 61:02:0600015:7852, 61:02:0090103:3543, 61:02:0600004:2498, 61:02:0600005:7354, 61:02:0081101:2769, 61:02:0600011:2856, 61:02:0600011:2884, 61:02:0600011:2941, 61:02:0081101:54 (9шт.)</t>
  </si>
  <si>
    <t>Установка прибора учета для присоединения ВРУ 0,4 кВ индивидуального жилого дома, расположенного по адресу: РО., п. Октябрьский, ул. Степная, д. 19, корп. А, КН: 61:02:0500004:2025, (1шт.)</t>
  </si>
  <si>
    <t>Установка приборов учета для присоединения ВРУ 0,4 кВ малоэтажных жилых застроек и дачного участка Якидовича В.М., Кривенко Н. А., Логвинов Ю.Е., расположенных по адресу: РО., п. Российский, ст-ца Старочеркасская, Кутейниковское сельское поселение "Царицино", КН: 61:02:0600010:18638, 61:02:0110102:4357, 61:33:0600015:1498 (3шт.)</t>
  </si>
  <si>
    <t>Установка приборов учета для присоединения ВРУ 0,4 кВ малоэтажных жилых застроек, гаража, нежилой
застройки, расположенных по адресу: РО., п. Водопадный, х. Камышеваха, п. Красный Сад, х. Большой Лог, п. Российский, п. Щепкин, ст-ца Старочеркасская, ст-ца Ольгинская, х. Ленина, п. Янтарный, ст-ца. Мишкинская, г. Аксай, г. Батайск, (31шт.)</t>
  </si>
  <si>
    <t>Установка прибора учета для присоединения магазина ИП Ахмедовой Э.Т. расположенного по адресу: Ростовская обл., р-н Багаевский, х. Усьман, пер. Солнечный, д. 1/1, к.н. 61:03:0060407:444 (1 шт.)</t>
  </si>
  <si>
    <t>Установка прибора учета для присоединения малоэтажной жилой застройки (Индивидуальный жилой дом/ Садовый/Дачный дом), заявителя Чукавиной Е. В., расположенной по адресу: Ростовская обл., Веселовский р-н, п. Новоселовка, ул. Коллективная, 22, к.н. 61:06:0040301:54</t>
  </si>
  <si>
    <t>Установка прибора учета для присоединения малоэтажной жилой застройки Абдурахмановой А.И. расположенной по адресу: Ростовская обл., р-н. Семикаракорский, ст-ца. Новозолотовская, ул. Первомайская, д. 16, к. н.: 61:35:0060101:804 (1 шт.)</t>
  </si>
  <si>
    <t>Установка прибора учета для присоединения объекта торговли Казанцевой Г.В. расположенного по адресу: Ростовская обл., р-н. Семикаракорский, ст-ца. Задоно-Кагальницкая, пер. Советский, д. 1, к. н.: 61:35:0030101:3796 (1 шт.)</t>
  </si>
  <si>
    <t>Установка прибора учета для присоединения малоэтажной жилой застройки Ковалева Р.А. расположенной по адресу: Ростовская обл., р-н. Семикаракорский, г. Семикаракорск, ул. Заводская, д. 32а, к.н. 61:35:0110202:371 (1 шт.)</t>
  </si>
  <si>
    <t>Установка прибора учета для присоединения земельного участка Шаюсупова Я.А. расположенного по адресу: Ростовская обл., р-н Семикаракорский, г. Семикаракорск, контур поля № 13 массива земель реорганизованного сельскохозяйственного предприятия АО "Донское", к.н. 61:35:0600012:1070 (1 шт.)</t>
  </si>
  <si>
    <t>Установка прибора учета для присоединения малоэтажной жилой застройки Ковалева Р.А. расположенной по адресу: Ростовская обл., р-н. Семикаракорский, г. Семикаракорск, ул. Заводская, д. 32, к.н. 61:35:0110202:372 (1 шт.)</t>
  </si>
  <si>
    <t>Установка прибора учета для присоединения малоэтажной жилой застройки Гаушева А.В. расположенной по адресу: Ростовская обл., р-н. Семикаракорский, г. Семикаракорск, ул. Солнечная, д. 1/5, к.н. 61:35:0110208:139 (1 шт.)</t>
  </si>
  <si>
    <t>Установка пункта секционирования на ВЛ 10 кВ №101 ПС 110 кВ АС1, с заменой трансформатора в  ТП 10 кВ №928 ВЛ 10 кВ №101 ПС 110 кВ АС1 и установка прибора учета для электроснабжения ВРУ 0,4 кВ жилого дома Сергеева П. М. по адресу: РО, р-н Аксайский, х. Махин, ул. Черкасская, д. 4, К.Н.: 61:02:0090301:61 (ориентировочная мощность трансформатора 0,1 МВА)</t>
  </si>
  <si>
    <t>Обеспечение коммерческим учетом электрической энергии (мощности) в точке поставки и установка шкафа 0,4 кВ по присоединению жилого дома Вострецовой В.В., расположенного по адресу: Ростовская область, Волгодонской район, станица Романовская, ул. Язева, д.40,  к.н. 61:08:0600601:4531</t>
  </si>
  <si>
    <t>Обеспечение коммерческим учетом электрической энергии (мощности) в точке поставки и установка шкафа 0,4 кВ по присоединению жилого дома Лысенко С.В., расположенного по адресу: Ростовская область, Волгодонской район, станица Романовская, пер. Октябрьский, д.56, к.н. 61:08:0070118:127</t>
  </si>
  <si>
    <t>Обеспечение коммерческим учетом электрической энергии (мощности) в точке поставки и установка шкафа 0,4 кВ по присоединению жилого дома Шевченко О.Ю., расположенного по адресу: Ростовская область, Волгодонской район, станица Романовская, ул. Базарная, д.34А, к.н. 61:08:0070125:382</t>
  </si>
  <si>
    <t>Обеспечение коммерческим учетом электрической энергии (мощности) в точке поставки и установка шкафа 0,4 кВ по присоединению жилого дома Урмаева А.П., расположенного по адресу: Ростовская область, Цимлянский район, п. Саркел, пер. Боевой Славы, д.5, к.н. 61:41:0011104:462</t>
  </si>
  <si>
    <t>Обеспечение коммерческим учетом электрической энергии (мощности) в точке поставки и установка шкафа 0,4 кВ по присоединению жилого дома Кружилиной М.А., расположенного по адресу: Ростовская область, Цимлянский район, п. Дубравный, ул. Красноярская, д.16,  к.н. 61:41:0030401:217</t>
  </si>
  <si>
    <t>Строительство участка ВЛИ-0,4 кВ от опоры №8 ВЛ-0,4 кВ №4 КТП-1621/160 кВА ВЛ-10 кВ №5 ПС 110/10 кВ Искра, с установкой шкафа 0,4 кВ, и  обеспечение коммерческим учетом электрической энергии (мощности) в точке поставки по присоединению жилого дома Бутова А.И., расположенного по адресу: Ростовская область, Цимлянский район, х. Паршиков, ул. Молодежная, д. 15, кадастровый номер земельного участка. 61:41:0050405:307 (ориентировочная протяженность ЛЭП 0,18 км)</t>
  </si>
  <si>
    <t>Обеспечение коммерческим учетом электрической энергии (мощности) в точке поставки по присоединению жилого дома Рыбалкина А.А., расположенного по адресу: Ростовская область, Цимлянский район, станица Красноярская, пер. Береговой, д. 20, к.н. 61:41:0020127:899</t>
  </si>
  <si>
    <t>Обеспечение коммерческим учетом электрической энергии (мощности) в точке поставки и установка шкафа 0,4 кВ по присоединению жилого дома Копейкина С.В., расположенного по адресу: Ростовская область, Цимлянский район, станица Камышевская, ул. Бакреневская, д.17а, к.н. 61:41:0040109:16</t>
  </si>
  <si>
    <t>Обеспечение коммерческим учетом электрической энергии (мощности) в точке поставки и установка шкафа 0,4 кВ по присоединению жилого дома Киселевой Д.Б., расположенного по адресу: Ростовская область, Цимлянский район, п. Дубравный, ул. Красноярская,  д. 6, кв./оф. 2, к.н. 61:41:0030401:129</t>
  </si>
  <si>
    <t>Обеспечение коммерческим учетом электрической энергии (мощности) в точке поставки и установка шкафа 0,4 кВ по присоединению базовой станции сотовой связи БС61-02761 ПАО "МТС", расположенной по адресу: Ростовская область, Цимлянский район, х. Крутой, ул. Советская, д.2, к.н. 61:41:0020310:26</t>
  </si>
  <si>
    <t>Обеспечение коммерческим учетом электрической энергии (мощности) в точке поставки и установка шкафа 0,22 кВ по присоединению жилого дома Шульдика Д.А., расположенного по адресу: Ростовская область, Цимлянский район, станица Лозновская, ул. Лесная, д.7, к.н. 61:41:0040205:11</t>
  </si>
  <si>
    <t xml:space="preserve">Обеспечение коммерческим учетом электрической энергии (мощности) в точке поставки и установка шкафа 0,4 кВ по присоединению склада ИП главы К(Ф)Х Магомедова М.А., расположенного по адресу: Ростовская область, Цимлянскимй район, х. Ремизов,  400 м восточнее х.Ремизов к.н. 61:41:0000000:19112
</t>
  </si>
  <si>
    <t>Строительство участка ВЛИ-0,4 кВ от опоры №8 ВЛ-0,4 кВ №1 КТП-1464/100 кВА ВЛ-10 кВ №11 ПС 35/10 кВ Камышевская, с установкой шкафа 0,4 кВ, и обеспечение коммерческим учетом электрической энергии (мощности) в точке поставки по присоединению жилого дома Дулимова С.Г., расположенного по адресу: Ростовская область, Цимлянский район, станица Лозновская, ул. Центральная, д.63, кадастровый номер земельного участка 61:41:040201:0004 (ориентировочная протяжённость ЛЭП 0,23 км)</t>
  </si>
  <si>
    <t>Обеспечение коммерческим учетом электрической энергии (мощности) в точке поставки по присоединению нежилого помещения Главы КФХ Мажиева Х.М., расположенного по адресу: Ростовская область, Дубовский район, х. Мирный, ул. Магистральная, д. 31, к.н. 61:09:0100101:633</t>
  </si>
  <si>
    <t>Обеспечение коммерческим учетом электрической энергии (мощности) в точке поставки и установка шкафа 0,4 кВ по присоединению жилого дома Бацараева Х.Х., расположенного по адресу: Ростовская область, Дубовский район,  станица Подгоренская, ул. Школьная,  д. 8, к.н. 61:09:030301:0000:0885</t>
  </si>
  <si>
    <t>Строительство участка ВЛИ-0,4 кВ от опоры №9 ВЛ-0,4 кВ №1 КТП-3507/60 кВА ВЛ-10 кВ №22 ПС 110/10 кВ Жуковская, с установкой шкафа 0,4 кВ, и обеспечение коммерческим учетом электрической энергии (мощности) в точке поставки по присоединению нежилого помещения КФХ Муртазалиева М-Р.Б., расположенного по адресу: Ростовская область, Дубовский район, станица Жуковская, 1 км на юго-запад от станицы Жуковская, кадастровый номер земельного участка 61:09:0600002:1652 (ориентировочная протяженность ЛЭП - 0,31 км)</t>
  </si>
  <si>
    <t xml:space="preserve">Обеспечение коммерческим учетом электрической энергии (мощности) в точке поставки и установка шкафа 0,4 кВ по присоединению квартиры Савченко И.С., расположенной по адресу: Ростовская область, Ремонтненский район, с. Кормовое, ул. Красная, кв./оф. 2,к.н. 61:32:0060101:237
</t>
  </si>
  <si>
    <t>Обеспечение коммерческим учетом электрической энергии (мощности) в точке поставки по присоединению жилого дома Сатуева М.Х., расположенного по адресу: Ростовская область, Ремонтненский район, п. Привольный, ул. Прудовая, д. 29, к.н. 61:32:0100101:15 (прибор учета коммерческой электрической энергии-1шт)</t>
  </si>
  <si>
    <t xml:space="preserve">Обеспечение коммерческим учетом электрической энергии (мощности)в точке поставки по присоединению полевого стана Главы К(Ф)Х Полоусова С.В., расположенного по адресу: Ростовская область, Ремонтненский район, с. Богородское, с/п Калининское, северо-восточнее с. Богородское, к.н. 61:32:0600009:4705
</t>
  </si>
  <si>
    <t xml:space="preserve">Обеспечение коммерческим учетом электрической энергии (мощности) в точке поставки по присоединению парка Администрации Приволенского сельского поселения Ремонтненского района Ростовской области, расположенного по адресу: Ростовская область, Ремонтненский район, п. Привольный, на расстоянии 70 м на запад от здания Администрации Приволенского сельского поселения, к.н. 61:32:0100101:1835 </t>
  </si>
  <si>
    <t>Обеспечение коммерческим учетом электрической энергии (мощности) в точке поставки и установка шкафа 0,4 кВ по присоединению жилого дома Богданова Ф.В., расположенного по адресу: Ростовская область, Ремонтненский район, с. Первомайское, ул. Богданова, д.151, к.н. 61:32:0080102:1953</t>
  </si>
  <si>
    <t>Обеспечение коммерческим учетом электрической энергии (мощности) в точке поставки и установка шкафа 0,4 кВ по присоединению жилого дома Наконечной О.В., расположенного по адресу: Ростовская область, Мартыновский район, х. Кривой Лиман, ул. Набережная, д.8, к.н. 61:20:0080401:2128</t>
  </si>
  <si>
    <t>Обеспечение коммерческим учетом электрической энергии (мощности) в точке поставки и установка шкафа 0,4 кВ по присоединению жилого дома Стецко Е.В., расположенного по адресу: Ростовская область, Константиновский район, станица Николаевская, ул. Ермакова, д. 83, кадастровый номер земельного участка: 61:17:0050101:1631</t>
  </si>
  <si>
    <t>Обеспечение коммерческим учетом электрической энергии (мощности) в точке поставки и установка шкафа 0,4 кВ по присоединению жилого дома Грудцина Д.В., расположенного по адресу: Ростовская область, Константиновский район, х. Старозолотовский, ул. Донских казаков, д. 16-г, кадастровый номер земельного участка: 61:17:0000000:7576</t>
  </si>
  <si>
    <t>Строительство участка ВЛИ-0,4 кВ от опоры №11 ВЛ-0,4 кВ №2 КТП-7402/160 кВА ВЛ-10 кВ №11 ПС 35/10 кВ Николаевская, с установкой шкафа 0,4 кВ, и обеспечение коммерческим учетом электрической энергии (мощности) в точке поставки по присоединению нежилого здания-магазина ИП Меджидова Р.З., расположенного по адресу: Ростовская область, Константиновский район, станица Николаевская, ул. Центральная, кадастровый номер земельного участка: 61:17:0050101:6582 (ориентировочная протяженность ЛЭП 0,15 км)</t>
  </si>
  <si>
    <t>Строительство участка ВЛИ-0,4 кВ от опоры №18 ВЛИ-0,4 кВ №1 КТП-7398/250 кВА ВЛ-10 кВ №11 ПС 35/10 кВ Николаевская, с установкой шкафа 0,4 кВ, и  обеспечение коммерческим учетом электрической энергии (мощности) в точке поставки по присоединению жилого дома  АО «Николаевское хлебоприемное», расположенного по адресу: Ростовская область, Константиновский район, х. Старая Станица, ул. Западная, д. 2, кадастровый номер земельного участка. 61:17:0050501:505 (ориентировочная протяженность ЛЭП 0,05 км)»</t>
  </si>
  <si>
    <t>Строительство участка ВЛИ-0,4кВ от опоры №2 ВЛ-0,4кВ №2 КТП-7165/250кВА ВЛ-10кВ №5 ПС 35/10кВ Савельевская, с установкой шкафа 0,4 кВ, и обеспечение коммерческим учетом электрической энергии (мощности) в точке поставки по присоединению нежилого помещения ИП главы К(Ф)Х Гаврилова Ю.А., расположенного по адресу: Ростовская область, Константиновский район, примерно в 200 м от х. Гапкин по направлению на запад, кадастровый номер земельного участка: 61:17:0600008:1913 (ориентировочная протяженность ЛЭП 0,125км)</t>
  </si>
  <si>
    <t>Обеспечение коммерческим учетом электрической энергии (мощности) в точке поставки и установка шкафа 0,4 кВ по присоединению квартиры Пасько П.Г., расположенной по адресу: Ростовская область, Заветинский район, х. Савдя, ул. Школьная, д.4, кв.2, к.н. 61:11:0060101:1495</t>
  </si>
  <si>
    <t>Обеспечение коммерческим учетом электрической энергии (мощности) в точке поставки и установка шкафа 0,4 кВ по присоединению квартиры Ульяновой Т.В., расположенной по адресу: Ростовская область, Заветинский район, с. Тюльпаны, пер. Центральный, д. 3, кв. 2, кадастровый номер земельного участка: 61:11:040101:961</t>
  </si>
  <si>
    <t>Обеспечение коммерческим учетом электрической энергии (мощности) в точке поставки и установки шкафа 0,4 кВ по присоединению подсобного помещения для ведения личного подсобного хозяйства Горбачева Н.И., расположенного по адресу: Ростовская область, Заветинский район, х. Золотое Руно, ул. Заречная, д.5, к.н. 61:11:0040301:60</t>
  </si>
  <si>
    <t xml:space="preserve">Обеспечение коммерческим учетом электрической энергии (мощности) в точке поставки по присоединению жилого дома Аникеенко Н.Н., расположенного по адресу: Ростовская область, Волгодонской район, х. Холодный, ул. Набережная, д.29,  к.н. 61:08:0030303:58
</t>
  </si>
  <si>
    <t>Обеспечение коммерческим учетом электрической энергии (мощности) в точке поставки и установка шкафа 0,4 кВ по присоединению квартиры Попова В.С., расположенной по адресу: Ростовская область, Волгодонской район, х. Семенкин, ул. Школьная, д.8, кв./оф. 2, к.н. 61:08:0070503:73</t>
  </si>
  <si>
    <t>Обеспечение коммерческим учетом электрической энергии (мощности) в точке поставки и установка шкафа 0,4 кВ по присоединению жилого дома Шигалева А.В., расположенного по адресу: Ростовская область, Дубовский район, станица Подгоренская,пер. Солнечный, д. 20, кадастровый номер земельного участка: 61:09:0301:0049:332 (прибор учета коммерческой электрической энергии-1шт)</t>
  </si>
  <si>
    <t>Строительство ВЛИ-0,4 кВ от РУ-0,4 кВ КТП-4320/100 кВА ВЛ-10 кВ №4 ПС 110/10 кВ Денисовская и  установка прибора коммерческого учета электрической энергии (мощности) в точке поставки  для присоединения нежилого помещения ИП главы К(Ф)Х Хамутаева М.Х., расположенного по адресу: Ростовская область, Ремонтненский район, п. Денисовский, ул. Садовая,  д. 15б, кадастровый номер объекта 61:32:0030101:1663 (ориентировочная протяженность ЛЭП 0,217 км)</t>
  </si>
  <si>
    <t>Установка коммерческого учета электрической энергии (мощности) в точке поставки и установка шкафа 0,4 кВ по присоединению магазина №67 ИП Рудяшко В.А., расположенного по адресу: Ростовская область, Константиновский район, х. Гапкин, ул. Центральная, д.55, кадастровый номер земельного участка 61:17:0040101:444</t>
  </si>
  <si>
    <t>Строительство ВЛИ-0,4 кВ от  РУ-0,4 кВ вновь установленной ТП-6/0,4 кВ по ВЛ-6 кВ №1 ПС 35/6 кВ Романовская (по договорам ТП №61-20-00512427 от 27.05.2020г, №61-20-00514229 от 03.07.2020г, №61-20-00514117 от 03.07.2020г, №61-20-00514159 от 03.07.2020г, №61-20-00514143 от 03.07.2020г, №61-20-00514141 от 03.07.2020г, №61-20-00514453 от 03.07.2020г, №61-20-00514205 от 03.07.2020г, №61-20-00514341 от 03.07.2020г, №61-20-00514339 от 03.07.2020г, №61-20-00514145 от 03.07.2020г, №61-20-00514425 от 03.07.2020г) с установкой шкафа 0,4 кВ, и обеспечение коммерческим учетом электрической энергии (мощности) в точках поставки по присоединению летнего домика ООО "Тема", расположенного по адресу: Ростовская обл., г. Волгодонск, ул. Отдыха, д.39а, кадастровый номер земельного участка 61:48:0020101:60 (ориентировочная протяженность ЛЭП 0,35 км)</t>
  </si>
  <si>
    <t>Обеспечение коммерческим учетом электрической энергии (мощности) в точке поставки и установка шкафа 0,4 кВ по присоединению БССС №78024 ПАО «Вымпел-Коммуникации», расположенной по адресу: Ростовская область, г. Волгодонск, ул. Лодочная, д.25, к.н. 61:48:0010401:13</t>
  </si>
  <si>
    <t>Обеспечение коммерческим учетом электрической энергии (мощности) в точке поставки и установка шкафа 0,4 кВ по присоединению жилого дома Топорова Е.В., расположенного по адресу: Ростовская область, Дубовский район, станица Подгоренская, ул. Школьная, д. 14, кадастровый номер земельного участка: 61:09:0030301:519</t>
  </si>
  <si>
    <t>Строительство участка ВЛИ-0,4 кВ от опоры № 6 ВЛ-0,4 кВ №1 КТП-7401/250 кВА ВЛ-10 кВ №11 ПС 35/10 кВ Николаевская, с установкой шкафа 0,4 кВ, и обеспечение коммерческим учетом электрической энергии (мощности) в точке поставки по присоединению жилого дома Старицкой Ю.С., расположенного по адресу: Ростовская область, Константиновский район, станица Николаевская, ул. 8 Марта, д. 9, кадастровый номер земельного участка: 61:17:0050101:1293 (ориентировочная протяженность ЛЭП 0,03 км)</t>
  </si>
  <si>
    <t>Строительство участка ВЛИ-0,4 кВ от опоры №1/3 ВЛ-0,4 кВ №1 КТП-7390/250 кВА ВЛ-10 кВ №4 ПС 35/10 кВ Николаевская, с установкой шкафа 0,4 кВ, и  обеспечение коммерческим учетом электрической энергии (мощности) в точке поставки по присоединению жилого дома Яркиной А.В., расположенного по адресу: Ростовская область, Константиновский район, станица Николаевская, ул. Максима Горького, д. 21, кадастровый номер земельного участка 61:17:0050101:53 (ориентировочная протяженность ЛЭП 0,04 км)</t>
  </si>
  <si>
    <t>Установка коммерческого учета электрической энергии (мощности) в точке поставки и установка шкафа 0,4 кВ по присоединению здания магазина ИП Василевич Е.В., расположенного по адресу: Ростовская область, Константиновский район, х. Ведерников, ул. Южная, д. 5, кадастровый номер земельного участка 61:17:0010501:232</t>
  </si>
  <si>
    <t>Установка коммерческого учета электрической энергии (мощности) в точке поставки и установка шкафа 0,4 кВ по присоединению гаража ООО «Стычное», расположенного по адресу: Ростовская область, Константиновский район, п. Стычновский, ул. Центральная, д. 2а, кадастровый номер земельного участка 61:17:0070101:434</t>
  </si>
  <si>
    <t>Обеспечение коммерческим учетом электрической энергии (мощности) в точке поставки и установка шкафа 0,4 кВ по присоединению жилого дома Царукян А.В., расположенного по адресу: Ростовская область, г. Волгодонск, ул. Отдыха, д.39в46, к.н. 61:48:0020101:1520</t>
  </si>
  <si>
    <t>Обеспечение коммерческим учетом электрической энергии (мощности) в точке поставки и установка шкафа 0,4 кВ по присоединению жилого дома Переверзевой Н.Ф., расположенного по адресу: Ростовская область, Цимлянский район, х. Лозной, ул. Советская, д. 54, кадастровый номер земельного участка: 61:41:0030109:196</t>
  </si>
  <si>
    <t>Установка прибора коммерческого учета электрической энергии (мощности) в точке поставки для присоединения части здания (магазин) ИП Опариной Н.В., расположенной по адресу: Ростовская область, Цимлянский район, станица Красноярская, ул. Победы, д.112б, кадастровый номер земельного участка: 61:41:0020108:50</t>
  </si>
  <si>
    <t>Установка коммерческого учета электрической энергии (мощности) в точке поставки и установка шкафа 0,4 кВ по присоединению жилого дома Ковтун А.С., расположенного по адресу: Ростовская область, Цимлянский район, станица Красноярская, ул. Набережная, д. 137в, кадастровый номер земельного участка 61:41:0020114:126</t>
  </si>
  <si>
    <t>Установка прибора коммерческого учета электрической энергии (мощности) в точке поставки для присоединения жилого дома Изаренковой М.И., расположенного по адресу: Ростовская область, Константиновский район, х. Ведерников, ул. Донская, д.21, кадастровый номер земельного участка: 61:17:0010502:27</t>
  </si>
  <si>
    <t>Установка коммерческого учета электрической энергии (мощности) в точке поставки и установка шкафа 0,4 кВ по присоединению жилого дома Арутюновой В.К., расположенного по адресу: Ростовская область, Волгодонской район, х. Погожев, ул. Гладкова, д. 22, кадастровый номер земельного участка 61:08:0600601:4708</t>
  </si>
  <si>
    <t>Установка коммерческого учета электрической энергии (мощности) в точке поставки и установка шкафа 0,4 кВ по присоединению жилого дома блокированной застройки Тамилиной Л.А., расположенного по адресу: Ростовская область, Волгодонской район, х. Погожев, ул. Гладкова, д. 24, кадастровый номер земельного участка 61:08:0600601:4709 (1 шт)</t>
  </si>
  <si>
    <t>Обеспечение коммерческим учетом электрической энергии (мощности) в точке поставки и установка шкафа 0,4 кВ по присоединению спального домика Поздняковой В.И., расположенного по адресу: Ростовская область, г. Волгодонск, ул. Отдыха, д.67, к.н. 61:48:0020101:1236</t>
  </si>
  <si>
    <t>Обеспечение коммерческим учетом электрической энергии (мощности) в точке поставки и установка шкафа 0,4 кВ по присоединению жилого дома  Кравец Н.Л., расположенного по адресу: Ростовская область, Волгодонской район, х. Лагутники, ул. Степная, 49, кадастровый номер земельного участка: 61:08:0070209:87</t>
  </si>
  <si>
    <t>Установка коммерческого учета электрической энергии (мощности) в точке поставки и установка шкафа 0,4 кВ по присоединению жилого дома Абдулвахабова У., расположенного по адресу: Ростовская область, Дубовский район, х. Ивановка, ул. Дорожная, д. 1, кадастровый номер земельного участка 61:09:0080201:41</t>
  </si>
  <si>
    <t>Установка прибора коммерческого учета электрической энергии (мощности) в точке поставки для присоединения склада №1 ИП главы К(Ф)Х Недорубова А.А., расположенного по адресу: Ростовская область, Константиновский район, 0,2 км севернее станицы Мариинская, к.н.з.у.: 61:17:0600016:2266</t>
  </si>
  <si>
    <t>Строительство участка ВЛИ-0,4 кВ от вновь установленной опоры в пролете опор №№5-6 ВЛ-0,4 кВ №2 КТП-7375/250 кВА ВЛ-10 кВ №11 ПС 35/10 кВ Мариинская, с установкой шкафа 0,4 кВ, и  обеспечение коммерческим учетом электрической энергии (мощности) в точке поставки по присоединению автогаража с пристройкой ИП главы К(Ф)Х Мищенко В.В., расположенного по адресу: Ростовская область, Константиновский район, севернее станицы Мариинская, кадастровый номер земельного участка 61:17:0600016:2248 (ориентировочная протяженность ЛЭП 0,03 км)</t>
  </si>
  <si>
    <t>Строительство участка ВЛИ-0,4 кВ от опоры №17 ВЛ-0,4 кВ №1 ЗТП-7390/250 кВА ВЛ-10 кВ №4 ПС 35/10 кВ Николаевская, с установкой шкафов 0,4 кВ, и обеспечение коммерческим учетом электрической энергии (мощности) в точках поставки по присоединению жилых домов Костоглод С.С. и Абраменко И.Н, расположенных по адресам: Ростовская область, Константиновский район, станица Николаевская, ул. Центральная, д. 54, кв. 3, кадастровый номер земельного участка 61:17:0050101:6392 и  д. 54-а, кадастровый номер земельного участка 61:17:0050101:6393  (ориентировочная протяженность ЛЭП 0,045 км)</t>
  </si>
  <si>
    <t>Строительство участка ВЛИ-0,4 кВ от опоры №24 ВЛ-0,4 кВ №1 КТП-7135/63 кВА по ВЛ-10 кВ №1 ПС 35/10 кВ Богоявленская, с установкой шкафа 0,4 кВ, и  обеспечение коммерческим учетом электрической энергии (мощности) в точке поставки по присоединению жилого дома Терентьева Ю.И., расположенного по адресу: Ростовская область, Константиновский район, х. Кастырский, ул. Дальняя, д. 34, кадастровый номер земельного участка 61:17:0030301:288 (ориентировочная протяженность ЛЭП 0,08 км)</t>
  </si>
  <si>
    <t>Строительство участка ВЛИ-0,4 кВ от опоры №7 ВЛ-0,4 кВ №1 КТП-7139 ВЛ-10 кВ №3 ПС 35 кВ Богоявленская и установка приборов коммерческого учета электрической энергии (мощности) в точках поставки для присоединения жилых домов Костромина Е.И. и Топилина А.С., расположенных по адресам: Ростовская область, Константиновский район, станица Богоявленская, ул. Парковая,  д. 37 и д. 41, кадастровые номера земельных участков 61:17:0030101:17 и 61:17:0030101:933 (ориентировочная протяженность ЛЭП 0,245 км)</t>
  </si>
  <si>
    <t>Строительство участка ВЛИ-0,4 кВ от опоры №1/4 ВЛ-0,4 кВ №2 КТП-7165 ВЛ-10 кВ №5 ПС 35 кВ Савельевская и установка прибора коммерческого учета электрической энергии (мощности) в точке поставки для присоединения нежилого помещения ИП Главы К(Ф)Х Макарова В.В., расположенного по адресу: Ростовская область, Константиновский район, примерно в 200 м от х. Гапкин по направлению на запад, кадастровый номер земельного участка 61:17:0600008:1911 (ориентировочная протяженность ЛЭП 0,03 км)</t>
  </si>
  <si>
    <t>Строительство участка ВЛИ-0,4 кВ от опоры №19 ВЛ-0,4 кВ №3 КТП 7166 ВЛ-10 кВ №5 ПС 35 кВ Савельевская и установка прибора коммерческого учета электрической энергии (мощности) в точке поставки для присоединения хозяйственной постройки Гамаюновой В.В., расположенной по адресу: Ростовская область, Константиновский район, х. Гапкин, ул. Зеленая, д.36, к.н.з.у. 61:17:0040101:738 ( (количество приборов учета-1шт,ориентировочная протяженность ЛЭП 0,03 км)</t>
  </si>
  <si>
    <t>Установка прибора коммерческого учета электрической энергии (мощности) в точке поставки для присоединения сооружения связи ООО «ДонСвязьКонструкция», расположенного по адресу: Ростовская область, Волгодонской район, станица Романовская, ул. Жемчужная, на пересечении ул. Жемчужной и пер. Союзного, вблизи жилого дома с к.н. 61:08:0070114:629, с кадастровым кварталом 61:08:0600601, к.н.з.у. 61:08:0070114:629</t>
  </si>
  <si>
    <t>Установка прибора коммерческого учета электрической энергии (мощности) в точке поставки для присоединения жилого дома Жукова В.И., расположенного по адресу: Ростовская область, Волгодонской район, станица Романовская, ул. 75 лет Победы, д. 39, к.н.з.у.: 61:08:0600601:4596</t>
  </si>
  <si>
    <t>Установка прибора коммерческого учета электрической энергии (мощности) в точке поставки для присоединения нежилого здания ИП Убейкина Д.Г., расположенного по адресу: Ростовская область, г. Волгодонск, ул. Отдыха, д.47, кадастровый номер земельного участка: 61:48:0020101:327</t>
  </si>
  <si>
    <t>Установка коммерческого учета электрической энергии (мощности) в точке поставки и установка шкафа 0,4 кВ по присоединению жилого дома Мельника В.С., расположенного по адресу: Ростовская область, Мартыновский район, х. Московский, ул. Московская, д. 11, кадастровый номер земельного участка 61:20:0070601:431</t>
  </si>
  <si>
    <t>Установка коммерческого учета электрической энергии (мощности)  в точке поставки и установка шкафа 0,4 кВ по присоединению нежилого здания Ложниченко В.С., расположенного по адресу: Ростовская область, Ремонтненский район, п. Денисовский, жт. Денисова, д. 11, строение 2, кадастровый номер земельного участка 61:32:0600008:9246</t>
  </si>
  <si>
    <t>Установка прибора коммерческого учета электрической энергии (мощности) в точке поставки для присоединения квартиры Юхно Н.Г., расположенной по адресу: Ростовская область, Ремонтненский район, п. Денисовский, ул. 40 лет Победы, д. 3, кв. 2, к.н.з.у.: 61:32:0030101:1593</t>
  </si>
  <si>
    <t>Строительство участка ВЛЗ-6 кВ от опоры №133 ВЛ-6 кВ №1 ПС 35/6 кВ Романовская, с установкой ТП-6/0,4 кВ, строительство ВЛИ-0,4 кВ от РУ-0,4 кВ вновь установленной ТП-6/0,4 кВ и обеспечение коммерческим учетом электрической энергии (мощности) в точке поставки по присоединению спального домика Фирсенкова С.И., расположенного по адресу: Ростовская область, Волгодонской район, г. Волгодонск, ул. Отдыха, д. 67, к.н. 61:48:0020101:1445 (ориентировочная протяженность ЛЭП 0,14 км, ориентировочная мощность трансформатора 25 кВА)</t>
  </si>
  <si>
    <t>Обеспечение коммерческим учетом электрической энергии (мощности) в точке поставки и установка шкафа 0,4 кВ, с заменой ТП-6/0,4 кВ по ВЛ-6 кВ №1 ПС 35/6 кВ Романовская (по договорам ТП № 61-1-19-00441801 от 13.05.2019г, № 61-1-19-00437609 от 15.05.2019 г), по присоединению спального домика Погосяна А.Н., расположенного по адресу: Ростовская область, г. Волгодонск, ул. Отдыха, к.н. 61:48:0020101:1586 (ориентировочная мощность трансформатора 250 кВА)</t>
  </si>
  <si>
    <t>Установка прибора коммерческого учета электрической энергии (мощности) в точке поставки для присоединения индивидуального жилого дома Фисенко В.Д., расположенного по адресу: Ростовская область, Волгодонской район, станица Романовская, ул. 75 лет Победы, д. 45, к.н.з.у.: 61:08:0600601:4602</t>
  </si>
  <si>
    <t>Установка прибора коммерческого учета электрической энергии (мощности) в точке поставки для присоединения малоэтажной жилой застройки Ким М.А., расположенной по адресу: Ростовская область, Волгодонской район, станица Романовская, ул. 75 лет Победы, д.59, кадастровый номер земельного участка: 61:08:0600601:4616</t>
  </si>
  <si>
    <t>Установка прибора коммерческого учета электрической энергии (мощности) в точке поставки для присоединения жилого дома Каймачникова Д.Г., расположенного по адресу: Ростовская область, Волгодонской район, станица Романовская, ул. 75 лет Победы, д. 65, к.н.з.у.: 61:08:0600601:4621</t>
  </si>
  <si>
    <t>Установка прибора коммерческого учета электрической энергии (мощности) в точке поставки для присоединения здания администрации ИП Коваленко О.С., расположенного по адресу: Ростовская область, Волгодонской район, примерно в 1,5 км на северо-восток от станицы Романовская, к.н.з.у: 61:08:0070104:281</t>
  </si>
  <si>
    <t>Установка коммерческого учета электрической энергии (мощности) в точке поставки и установка шкафа 0,4 кВ по присоединению жилого дома Косаревой Н.С., расположенного по адресу: Ростовская область, Волгодонской район, станица Романовская, ул. Язева, д. 25, кадастровый номер земельного участка 61:08:0600601:3833 (1шт)</t>
  </si>
  <si>
    <t xml:space="preserve">Установка приборов коммерческого учета электрической энергии (мощности) в точке поставки для присоединения жилого дома Усенко М.В. и индивидуального жилого дома Шейкиной Л.П., расположенных по адресу: Ростовская область, Волгодонской район, станица Романовская, ул. 75 лет Победы, д.57, к.н.з.у.: 61:08:0600601:5144 и д.61, к.н.з.у.: 61:08:0600601:4618 </t>
  </si>
  <si>
    <t>Установка прибора коммерческого учета электрической энергии (мощности) в точке поставки для присоединения индивидуального жилого дома Удодовой Г.С., расположенного по адресу: Ростовская область, Волгодонской район, станица Романовская, ул. 75 лет Победы, д. 71, к.н.з.у.: 61:08:0600601:4627</t>
  </si>
  <si>
    <t>Установка прибора коммерческого учета электрической энергии (мощности) в точке поставки для присоединения магазина ИП Акмалиева А.Е., расположенного по адресу: Ростовская область, Волгодонской район, станица Романовская, ул. Тюхова, д. 80б, к.н.з.у.: 61:08:0000000:3578</t>
  </si>
  <si>
    <t>Установка коммерческого учета электрической энергии (мощности) в точке поставки и установка шкафа 0,4 кВ по присоединению жилого дома Шейкина С.В., расположенного по адресу: Ростовская область, Волгодонской район, станица Романовская, ул. Соловьевых, д. 75а, кадастровый номер земельного участка 61:08:0070121:292</t>
  </si>
  <si>
    <t>Установка прибора коммерческого учета электрической энергии (мощности) в точке поставки для присоединения индивидуального жилого дома Кучиной М.А., расположенного по адресу: местоположение установлено относительно ориентира, расположенного в границах участка. Почтовый адрес ориентира: Ростовская область, Волгодонской район, станица Романовская, пер. Союзный. 2, кадастровый номер земельного участка: 61:08:0070120:688</t>
  </si>
  <si>
    <t>Установка прибора коммерческого учета электрической энергии (мощности) в точке поставки для присоединения жилого дома Прокопенко И.А., расположенного по адресу: Ростовская область, Волгодонской район, х. Потапов, ул. Комсомольская, д.62,  к.н.з.у: 61:08:0040104:74</t>
  </si>
  <si>
    <t>Установка прибора коммерческого учета электрической энергии (мощности) в точке поставки для присоединения складского здания ИП Московой И.С., расположенного по адресу: Ростовская область, Волгодонской район, х. Потапов, ул. Комсомольская, д. 63Г, к.н.з.у.: 61:08:0040103:93</t>
  </si>
  <si>
    <t>Строительство участка ВЛИ-0,4 кВ от опоры №13  ВЛ-0,4 кВ №2 КТП-3181/63 кВА ВЛ-10 кВ №3 ПС 35/10 кВ Эркетиновская, с установкой шкафа 0,4 кВ, и  обеспечение коммерческим учетом электрической энергии (мощности) в точке поставки по присоединению жилого дома Алиева Р.А., расположенного по адресу: Ростовская область, Дубовский район, станица Эркетиновская, ул. Молодежная, д. 12, кадастровый номер земельного участка. 61:09:0080601:407 (ориентировочная протяженность ЛЭП 0,041 км)</t>
  </si>
  <si>
    <t>Строительство ВЛИ-0,4 кВ от РУ-0,4 кВ КТП-3498/40 кВА ВЛ-10 кВ №5 ПС 110/10 кВ Вербовая, с установкой шкафа 0,4 кВ, и обеспечение коммерческим учетом электрической энергии (мощности) в точке поставки по присоединению БССС №69043 "РсО Вербовый Лог" ПАО "Вымпел-Коммуникации", расположенной по адресу: Ростовская область, Дубовский район, х. Вербовый Лог, ул. Телевизионная, д.1, кадастровый номер земельного участка 61:09:0130101:1501 (ориентировочная протяженность ЛЭП 0,015 км)</t>
  </si>
  <si>
    <t>Строительство участка ВЛИ-0,4 кВ от опоры №1 ВЛ-0,4 кВ №1 КТП-3535 ВЛ-10 кВ №3 ПС 35 кВ Эркетиновская и установка прибора коммерческого учета электрической энергии (мощности) в точке поставки для присоединения нежилого помещения ИП главы К(Ф)Х Мордовцева Н.А., расположенного по адресу: РО, Дубовский район, Андреевское сельское поселение, к.н.з.у. 61:09:0600010:393 (ориентировочная протяженность  ЛЭП 0,05 км, количество приборов учета  - 1 шт.)</t>
  </si>
  <si>
    <t>Установка прибора коммерческого учета электрической энергии (мощности) в точке поставки для присоединения жилого дома Рябышева П.А., расположенного по адресу: Ростовская область, Дубовский район, х. Овчинников, ул. Весенняя, д. 21, к.н.з.у.: 61:09:0030201:62:21</t>
  </si>
  <si>
    <t>Установка прибора коммерческого учета электрической энергии (мощности) в точке поставки для присоединения жилого дома Крюковой В.Н., расположенного по адресу: Ростовская область, Дубовский район, х. Овчинников, ул. Центральная, д. 5, к.н.з.у.: 61:09:0030201:635</t>
  </si>
  <si>
    <t>Установка прибора коммерческого учета электрической энергии (мощности) в точке поставки для присоединения малоэтажной жилой застройки (Индивидуальный жилой дом/Садовый/Дачный дом) Стеценко С.В., расположенной по адресу: Ростовская область, Дубовский район, х. Овчинников, ул. Береговая, д.22, кадастровый номер земельного участка: 61:09:0030201:35</t>
  </si>
  <si>
    <t>Обеспечение коммерческим учетом электрической энергии (мощности) в точке поставки и установка шкафа 0,4 кВ по присоединению магазина Сардалиева Э.Н., расположенного по адресу: Ростовская область, Мартыновский район, слобода Большая Орловка, ул. Революционная, д.65-а, к.н. 61:20:0020101:13067</t>
  </si>
  <si>
    <t>Установка прибора коммерческого учета электрической энергии (мощности) в точке поставки для присоединения квартиры Крюкова С.А., расположенной по адресу: Ростовская область, Константиновский район, х. Нижнекалинов, ул. Степная, д.6, кв.2, к.н.з.у: 61:17:0060801:314</t>
  </si>
  <si>
    <t>Установка коммерческого учета электрической энергии (мощности) в точке поставки и установка шкафа 0,4 кВ по присоединению жилого дома Абраменко Г.А., расположенного по адресу: Ростовская область, Константиновский район, станица Николаевская, ул. Коммунистическая, д. 8, кадастровый номер земельного участка 61:17:0050101:6434</t>
  </si>
  <si>
    <t>Установка прибора коммерческого учета электрической энергии (мощности) в точке поставки для присоединения жилого дома Болдырева Д.П., расположенного по адресу: Ростовская область, Константиновский район, х. Суворов, ул. Центральная, д. 36, к.н.з.у.: 61:17:0040601:444</t>
  </si>
  <si>
    <t>Установка коммерческого учета электрической энергии (мощности) в точке поставки и установка шкафа 0,4 кВ по присоединению жилого дома Поповой Г.И., расположенного по адресу: Ростовская область, Ремонтненский район, с. Кормовое, ул. Мира, д. 38, кадастровый номер земельного участка 61:32:0060101:267 (1 шт)</t>
  </si>
  <si>
    <t>Установка прибора коммерческого учета электрической энергии (мощности) в точке поставки для присоединения жилого дома Титова П.А., расположенного по адресу: Ростовская область, Цимлянский район, станица Камышевская, ул. Большая Садовая, д. 59, к.н.з.у.: 61:41:0040110:32</t>
  </si>
  <si>
    <t>Установка прибора коммерческого учета электрической энергии (мощности) в точке поставки для присоединения модульного отделения почтовой связи АО «Почта России», расположенного по адресу: Ростовская область, Заветинский район, х. Шебалин, ул. Гагарина, д. 20а, к.н.з.у.: 61:11:0090101:1423</t>
  </si>
  <si>
    <t>Установка прибора коммерческого учета электрической энергии (мощности) в точке поставки для присоединения жилого дома Тарасенко Л.В., расположенного по адресу: Ростовская область, Заветинский район, с. Кичкино, ул. Октябрьская, д. 43, к.н.з.у.: 61:11:0030101:7</t>
  </si>
  <si>
    <t>Обеспечение коммерческим учетом электрической энергии (мощности) в точке поставки и установка шкафа 0,4 кВ по присоединению квартиры Мироненко Е.А., расположенной по адресу: Ростовская область, Заветинский район, с. Кичкино, ул. Школьная, д. 6, кв.2, кадастровый номер земельного участка 61:11:0030101:584</t>
  </si>
  <si>
    <t>Обеспечение коммерческим учетом электрической энергии (мощности) в точке поставки и установка шкафа 0,4 кВ по присоединению жилого дома Поддубной С.В., расположенного по адресу: Ростовская область, Заветинский район, с. Кичкино, ул. Солнечная, д. 10, кадастровый номер земельного участка 61:11:0030101:519</t>
  </si>
  <si>
    <t>Установка прибора коммерческого учета электрической энергии (мощности) в точке поставки для присоединения жилого дома Салеевой Л.М., расположенного по адресу: Ростовская область, Заветинский район, х. Шебалин, ул. Набережная, д.13, кадастровый номер объекта: 61:11:090101:0498:2300/А:0/7320</t>
  </si>
  <si>
    <t>Строительство ВЛИ-0,4 кВ от РУ-0,4 кВ КТП-8533/400 кВА ВЛ-6 кВ №5 ПС 35/6 кВ НС-13, с установкой шкафа 0,4 кВ, и  обеспечение коммерческим учетом электрической энергии (мощности) в точке поставки по присоединению складского помещения главы КФХ Крючко М.С., расположенного по адресу: Ростовская область, Волгодонской район, 140 м западнее дома №15 ул. Новоселов, х. Сухая Балка, кадастровый номер земельного участка: 61:08:0600801:887 (ориентировочная протяженность ЛЭП 0,09 км)</t>
  </si>
  <si>
    <t>Строительство участка ВЛИ-0,4 кВ от опоры №17 ВЛ-0,4 кВ №3 КТП-8345/160 кВА ВЛ-6 кВ №6 ПС 35/6 кВ Потаповская, с установкой шкафа 0,4 кВ, и  обеспечение коммерческим учетом электрической энергии (мощности) в точке поставки по присоединению жилого дома Саенко О.В., расположенного по адресу: Ростовская область, Волгодонской район, х. Степной, ул. Набережная, д. 7, кадастровый номер земельного участка. 61:08:0040701:8 (ориентировочная протяженность ЛЭП 0,1 км)</t>
  </si>
  <si>
    <t>Строительство участка ВЛИ-0,4 кВ от опоры №20 ВЛ-0,4 кВ №2 КТП-1388 ВЛ-10 кВ №3 ПС 35 кВ Лозновская и установка прибора коммерческого учета электрической энергии (мощности) в точке поставки для присоединения жилого дома Федосеева О.И., расположенного по адресу: Ростовская область, Цимлянский район, х. Лозной, ул. Мира,  д. 45, кадастровый номер земельного участка 61:41:0030109:21 (ориентировочная протяженность ЛЭП 0,075 км)</t>
  </si>
  <si>
    <t xml:space="preserve">Строительство участка ВЛЗ-10 кВ от опоры №1/25 ВЛ-10 кВ №5 ПС 35/10 кВ Лозновская, с установкой ТП-10/0,4 кВ и строительство ВЛИ-0,4 кВ от РУ-0,4 кВ вновь установленной ТП-10/0,4 кВ  для присоединения жилого дома Путанашенко А.А., расположенного по адресу: Ростовская область, Цимлянский район, п. Сосенки, ул. Степная, д. 3,к.н. 61:41:0030302:65 (ориентировочная протяженность ЛЭП 0,41 км, ориентировочная мощность трансформатора 160 кВА)
</t>
  </si>
  <si>
    <t>Строительство участка ВЛИ-0,4 кВ от опоры №1/5 ВЛ-0,4 кВ №1 КТП-7156 ВЛ-10 кВ №7 ПС 35 кВ Богоявленская и установка прибора коммерческого учета электрической энергии (мощности) в точке поставки для присоединения жилого дома Нехаенко Т.С., расположенного по адресу: Ростовская область, Константиновский район, станица Богоявленская, ул. Кленовая,  д. 63, кадастровый номер земельного участка 61:17:0030101:21 (ориентировочная протяженность ЛЭП 0,04 км)</t>
  </si>
  <si>
    <t>Строительство участка ВЛ-10 кВ от опоры №16/53 ВЛ-10 кВ №6 ПС 110 кВ Ремонтненская, с установкой ТП-10/0,4 кВ, строительство ВЛИ-0,4 кВ от РУ-0,4 кВ вновь установленной ТП-10/0,4 кВ и установка прибора коммерческого учета электрической энергии (мощности) в точке поставки для присоединения объектов дорожного хозяйства (светофорные объекты, объекты видеофиксации) Министерства транспорта Ростовской области, расположенных по адресу: Ростовская область, Ремонтненский район, дор. г. Элиста – с. Ремонтное – п. Зимовники,  к.н.з.у. 61:32:0000000:124 (ориентировочная протяженность ЛЭП 0,121 км, ориентировочная мощность трансформатора 25 кВА)</t>
  </si>
  <si>
    <t>Строительство ВЛИ-0,4 кВ от РУ-0,4 кВ КТП 4111 ВЛ-10 кВ №5 ПС 110 кВ Б. Ремонтное и установка прибора коммерческого учета электрической энергии (мощности) в точке поставки для присоединения базовой станции/оборудования сотовой связи АО «Первая Башенная Компания», расположенной по адресу: Ростовская область, Ремонтненский район, с. Большое Ремонтное, ул. Ленина, д. 42, участок в 55м от дома №42, к.н.з.у.;  61:32:0040101 (ориентировочная протяженность ЛЭП 0,03 км)</t>
  </si>
  <si>
    <t xml:space="preserve"> Обеспечение коммерческим учетом электрической энергии (мощности) в точке поставки по присоединению объектов заявителей. Ростовская область, Красносулинский район, х. Большая Федоровка, въезд в х. Большая Федоровка, х. Большая Федоровка, ул. Заречная (Администрация Владимирского сельского поселения). (2шт)</t>
  </si>
  <si>
    <t>Обеспечение коммерческим учетом электрической энергии (мощности) в точке поставки по присоединению объектов заявителей. Ростовская область, Красносулинский район, х. Петровский, ул. Центральная, д.33, Козменко В.И. (1шт)</t>
  </si>
  <si>
    <t>Обеспечение коммерческим учетом электрической энергии (мощности) в точке поставки по присоединению объектов заявителей. Ростовская область, Красносулинский район, х. Садки, пер. Крутой, д.5, Галатова В.П. (1шт)</t>
  </si>
  <si>
    <t xml:space="preserve"> Обеспечение коммерческим учетом электрической энергии (мощности) в точке поставки по присоединению объекта заявителя. Российская Федерация, Ростовская обл., р-н Усть-Донецкий, р.п. Усть-Донецкий, ул. Дачная, д. 53 (Димитренков О.М.) (1 шт.)</t>
  </si>
  <si>
    <t>Строительство ВЛИ-0,4 кВ от вновь сооружаемой ТП 10/0,4кВ по договору ТП № 61-1-20-00502493 от 19.03.2020г. по ВЛ-10В «Жилмасив» ПС Ш-34 с коммерческим учетом электрической энергии (мощности) в точке поставки для электроснабжения рыбной фермы ИП Ажогин А.А., в ст. Мелиховская, Усть-Донецкого р-на, (ориентировочная протяженность ЛЭП 0,07 км)</t>
  </si>
  <si>
    <t>Обеспечение коммерческим учетом электрической энергии (мощности) в точке поставки по присоединению объекта заявителя. Российская Федерация, Ростовская обл., р-н Усть-Донецкий, х. Чумаковский, ул. Колхозная, д. 7 (Токарев Н.И.) (1 шт.)</t>
  </si>
  <si>
    <t>Обеспечение коммерческим учетом электрической энергии (мощности) в точке поставки по присоединению объекта заявителя. Российская Федерация, Ростовская обл., р-н Усть-Донецкий, х. Бронницкий, ул. Советская, д. 36 (Счанян О.Л.) (1 шт.)</t>
  </si>
  <si>
    <t xml:space="preserve"> Обеспечение коммерческим учетом электрической энергии (мощности) в точке поставки по присоединению объекта заявителя. Ростовская область р-н. Аксайский, х. Горизонт (Каверин Д.Л.) (1 шт.)</t>
  </si>
  <si>
    <t>Обеспечение коммерческим учетом электрической энергии (мощности) в точке поставки по присоединению объектов заявителей. Ростовская область, Октябрьский район, п. Красногорняцкий, ул. Михайличенко д.15, ул. Петренко д 17 (Кузнецова О.А., Андриянцев Р.В.) (2 шт.)</t>
  </si>
  <si>
    <t>Обеспечение коммерческим учетом электрической энергии (мощности) в точке поставки по присоединению объектов заявителей. Ростовская область, Октябрьский район, х. Марьевка, ул. Вишневая, д. 20 (Матвиенко Т.В.) (1 шт.)</t>
  </si>
  <si>
    <t>Обеспечение коммерческим учетом электрической энергии (мощности) в точке поставки по присоединению объектов заявителей. Ростовская область, Октябрьский район, х. Шевченко, ул. Подгорная, д. 22 (Шерешев И.В.) (1 шт.)</t>
  </si>
  <si>
    <t>Обеспечение коммерческим учетом электрической энергии (мощности) в точке поставки по присоединению объекта заявителя. Ростовская область, Родионово-Несветайский район, х. Болдыревка, ул. Дубовая, д. 11 (Дроменко И.П.) (1 шт.)</t>
  </si>
  <si>
    <t>Обеспечение коммерческим   учетом электрической энергии (мощности) в точке поставки и установка шкафа 0,4 кВ для электроснабжения «ВРУ-0,4 кВ для наружного освещения автомобильной дороги», от опоры №19 ВЛ 0,4кВ № 1 от КТП 303 ВЛ 10кВ "Мир" ПС Н-9, расположенной по адресу Родионово-Несветайский район, х. Новотроицкий, ул. Центральная  Ростовской области</t>
  </si>
  <si>
    <t>Обеспечение коммерческим   учетом электрической энергии (мощности) в точке поставки и установка шкафа 0,4 кВ для электроснабжения «ВРУ-0,4 кВ для наружного освещения автомобильной дороги», от опоры №1 ВЛ 0,4кВ № 1 от КТП 10/0,4 № 34 ВЛ 10кВ "Мир" ПС Н-9, расположенной по адресу Родионово-Несветайский район, х. Новотроицкий, ул. Центральная  Ростовской области</t>
  </si>
  <si>
    <t>Обеспечение коммерческим учетом электрической энергии (мощности) в точке поставки по присоединению объекта заявителя. Ростовская область, Родионово-Несветайский район, сл. Родионово-Несветайская, ул. Сосновая,5, (ИП Комендатова Н.С.)</t>
  </si>
  <si>
    <t>Обеспечение коммерческим учетом электрической энергии (мощности) в точке поставки по присоединению объектов заявителей. Ростовская область, Октябрьский район, ст-ца. Кривянская, ул. Чехова д. 59А, ул. Большая д. 154а, кадастровый номер земельного участка: 61:28:0040105:85, ул. Сухаревка д. 72 (Автандилян С.С., Страданченкова И.Н., Администрация Кривянского сельского поселения, Волков А.Б.) (4 шт.)</t>
  </si>
  <si>
    <t>Обеспечение коммерческим учетом электрической энергии (мощности) в точке поставки по присоединению объектов заявителей. Ростовская область, Октябрьский район, х. Калинин, пер. Первый д.12, ул. Донская, с/т "Дон" уч. №39 (Урюпина В.И., Сергеев М.К., Клименко И.А.) (3 шт.)</t>
  </si>
  <si>
    <t>Обеспечение коммерческим учетом электрической энергии (мощности) в точке поставки по присоединению объектов заявителей. Ростовская область, Родионово-Несветайский район, сл. Родионово-Несветайская, ул. Ленина, ул. Садовая д.80, ул. 30 лет Победы д.11, ул. Бабичева д.1Б (Адм. Родионово-Несветайского района, Антонян Р.Н., Голубева Р.А., Лихобабина Д.А., Лозовой М.Н.) (5 шт.)</t>
  </si>
  <si>
    <t>Обеспечение коммерческим учетом электрической энергии (мощности) в точке поставки и установка шкафа 0,23 (0,4) кВ по присоединению жилых домов  расположенных  по адресам: Ростовская область, Октябрьский р-н, п. Красногорняцкий, ул. Михайличенко, д. 17 Гудков Е.Е.; и Октябрьский р-н, п. Новокадамово, ул. Новая, д.27, кв. 2  Косов А.А; и Октябрьский р-н, сл. Красюковская, ул. Красюкова, д. 8а  Белоусов А.А.; и Октябрьский р-н, п. Красногорняцкий, ул. Петренко, д. 16 Скакунова Г.И.; и Октябрьский р-н, х. Калинин, пер. Тупиковый, д. 8а Нефедов В.Е.; и Октябрьский р-н, х. Красный Кут, ул. Социалистическая, д.40 (Реброва М.Ю.) (6 шт)</t>
  </si>
  <si>
    <t>Обеспечение коммерческим учетом электрической энергии (мощности) в точке поставки по присоединению объектов заявителей. Ростовская область, Октябрьский район, х. Керчик-Савров, ул. Алейникова д. 9, ул. Советская д. 27 (Индивидуальный Предприниматель Глава крестьянского фермерского хозяйства Анешкин Р.В., Ажогин С.В.) (2 шт.)</t>
  </si>
  <si>
    <t xml:space="preserve">Обеспечение коммерческим учетом электрической энергии (мощности) в точке поставки по присоединению объектов заявителей. Ростовская область, Красносулинский район, х.Божковка, ул. Московская, д.13, х. Божковка, Божковское сельское поселение, ул. Социалистическая, д. 22, ул. Советская, д.15(Шестакова Н.Л., ООО Корунд., Морозова Н.И., ООО Водолей.) (4 шт)»
</t>
  </si>
  <si>
    <t>Обеспечение коммерческим учетом электрической энергии (мощности) в точке поставки по присоединению объектов заявителей. Российская Федерация, Ростовская обл., р-н Усть-Донецкий, ст. Раздорская, ул. Донская, д. 96А, ул. Красноармейская, д. 25-а, ул. Донская, д. 74 (Логвинова Е.А., Упорников Р.В., Чешко Т.Д.) (3 шт.)</t>
  </si>
  <si>
    <t>Обеспечение коммерческим учетом электрической энергии (мощности) в точке поставки по присоединению объектов заявителей. Ростовская обл., р-н Усть-Донецкий, х. Апаринский, ул. Космодемьянская, д. 1, ул. Вишневая, д. 9 (Егорова И.А., Шерстнев А.А.) (2 шт.)</t>
  </si>
  <si>
    <t>Обеспечение коммерческим учетом электрической энергии (мощности) в точке поставки по присоединению объектов заявителей. Ростовская обл., р-н Усть-Донецкий,х. Мостовой, ул. Степная,  д. 2, ул. Горького,  д. 4 (Мурзин М.М., Ситникова И.А.) (2 шт.)</t>
  </si>
  <si>
    <t>Обеспечение коммерческим учетом электрической энергии (мощности) в точке поставки по присоединению объектов заявителей. Ростовская область, Октябрьский район, ст. Кривянская, ул. Орджоникидзе д.20 (Лиманцева С.И) (1 шт.)</t>
  </si>
  <si>
    <t>Установка прибора учета для присоединения базовой станции сотовой связи АО «ПБК», расположенной по адресу: Ростовская область Родионово-Несветайский район, х. Каменный Брод, ул. Первомайская,  участок в 60 м от дома № 4, в пределах кадастрового квартала 61:33:0030501, расположенный в территориальной зоне Р1 (1шт.)</t>
  </si>
  <si>
    <t>Установка прибора учета для присоединения ЛЭП 0,4 кВ жилого дома Бакушкиной Л.Г., расположенного по адресу: Ростовская область,  Родионово-Несветайский район,  х. Волошино, ул. Заречная,  д. 20, КН ЗУ: 61:33:0070101:1437 (1шт.)</t>
  </si>
  <si>
    <t>Установка прибора учета для присоединения жилого дома Бабушкина И.А., расположенного по адресу: Ростовская область, Родионово-Несветайский район,  х. Каменный Брод, ул. Смирнова,  д. 8б, КН ЗУ: 61:33:0030501:156 (1шт.)</t>
  </si>
  <si>
    <t>Установка прибора учета для присоединения объекта Малоэтажная жилая застройка (Индивидуальный жилой дом/Садовый/Дачный дом) Бунь А.П., расположенного по адресу: Ростовская область, Родионово-Несветайский район,  х. Октябрьский, СНТ "Электромонтажник", участок № 214А, КН ЗУ: 61:33:0500201:288 (1шт.)</t>
  </si>
  <si>
    <t>Установка прибора учета для присоединения Малоэтажной жилой застройки (Индивидуальный жилой дом/Садовый/Дачный дом) Данько М.В., расположенной по адресу: Ростовская область, Родионово-Несветайский район, с. Генеральское, ул. Советская,  д. 28, КН ЗУ: 61:33:0070601:36 (1шт.)</t>
  </si>
  <si>
    <t>Установка прибора учета для присоединения жилого дома Шумейко С.Н., расположенного по адресу: Ростовская область, Родионово-Несветайский район, х. Греково-Балка, ул. Центральная,  д. 24, КН ЗУ: 61:33:0021001:47 (1шт.)</t>
  </si>
  <si>
    <t>Установка прибора учета для присоединения Малоэтажной жилой застройки (Индивидуальный жилой дом/Садовый/Дачный дом) Петровой В.П., расположенной по адресу: Ростовская область, Родионово-Несветайский район, сл. Барило-Крепинская, ул. Гончарова,  д. 7, КН ЗУ: 61:33:0050101:270 (1шт.)</t>
  </si>
  <si>
    <t>Установка прибора учета для присоединения СТОА ИП Понимаш В.Н., расположенной по адресу: Ростовская область, Родионово-Несветайский район, сл. Родионово-Несветайская, ул. Гвардейцев-Танкистов,  д. 2М, КН ЗУ: 61:33:0040133:99 (1шт.)</t>
  </si>
  <si>
    <t>Установка прибора учета для присоединения жилого дома Долженко С.В., расположенного по адресу: Ростовская область, Родионово-Несветайский район, сл. Родионово-Несветайская, ул. 30 лет Победы,  д. 15, КН ЗУ: 61:33:0040123:79 (1шт.)</t>
  </si>
  <si>
    <t>Установка прибора учета для присоединения «Малоэтажной жилой застройки (Индивидуальный жилой дом/Садовый/Дачный дом)» Петровой И.В., расположенной по адресу: Ростовская область, Родионово-Несветайский район, х. Каменный Брод, ул. Каменка,  д. 43, КН ЗУ: 61:33:0030501:632 (1шт.)</t>
  </si>
  <si>
    <t>Установка прибора учета для присоединения ВРУ-0,4кВ  здания администрации Садковского сельского поселения, расположенного по адресу: Ростовская область, Красносулинский район, х.Садки, ул. Советская, д.17, к.н.з.у.: 61:18:0090104:295 (1шт.)</t>
  </si>
  <si>
    <t>Обеспечение коммерческим учетом электрической энергии (мощности) в точке поставки по присоединению объектов заявителей. Ростовская область, Красносулинский район, х. Большое Зверево, ул. Колхозная, д.15,Баранова А.С. (1шт)</t>
  </si>
  <si>
    <t>Обеспечение коммерческим учетом электрической энергии (мощности) в точке поставки по присоединению объектов заявителей. Ростовская область, Красносулинский район, п. Черевково, ул. Октябрьская д.26, кв./оф.1 (Стогнеев Г.А.) (1шт.)</t>
  </si>
  <si>
    <t>Установка прибора учета для присоединения зернохранилища ИП Поливанова В.П., расположенного по адресу: Ростовская область, Красносулинский район, с.Ребриковка, ул. Веселая, д. 5, КН ЗУ: 61:18:0050701:112» (1шт.)</t>
  </si>
  <si>
    <t>Установка прибора учета для присоединения базовой станции/ оборудование сотовой связи Красносулинского района ООО «Герц», расположенной по адресу: Ростовская область, Красносулинский район, п. Пригородный, ул. Ленина (1шт.)</t>
  </si>
  <si>
    <t>Установка прибора  учета  для  присоединения Базовой станции/ оборудование сотовой связи ООО «Герц», расположенной по адресу: Ростовская область,  Красносулинский район, х. Пушкин, Пролетарское сельское поселение, 7,5 км на юго-запад от ул. Центральная (1шт.)</t>
  </si>
  <si>
    <t>Строительство ВЛИ-0,4 кВ от КТП №239 ВЛ-6 кВ Орошение от ПС 110/35/6 кВ Н-8 для электроснабжения нежилого здания ИП Петросян Н.Э. Красносулинский район, г. Красный Сулин, ул. Прибрежная, д.52. (ориентировочная протяженность ЛЭП – 0,34 км)</t>
  </si>
  <si>
    <t>Установка прибора учета для присоединения «Малоэтажная жилая застройка (Индивидуальный жилой дом/Садовый/Дачный дом)» Кравченко А.Н. расположенной по адресу: р-н. Родионово-Несветайский с. Генеральское, ул. Ленина,  д. 28а, к.н.з.у. 61:33:0070601:1750</t>
  </si>
  <si>
    <t>Установка прибора учета для присоединения жилого дома Миронова И.В., расположенного по адресу: Ростовская область, Родионово-Несветайский район, сл. Родионово-Несветайская, ул. Панфиловцев,  д. 39,  д. 1, КН ЗУ: 61:33:0040137:5 (1шт.)</t>
  </si>
  <si>
    <t>Установка прибора учета для присоединения «Малоэтажная жилая застройка (Индивидуальный жилой дом/Садовый/Дачный дом)» Михно Г.В.. расположенной по адресу: р-н. Родионово-Несветайский, сл. Большекрепинская, ул. Заречная, д. 42а, к.н.з.у. 61:33:0060101:3032</t>
  </si>
  <si>
    <t>Установка прибора учета для присоединения жилого дома Шакарян А.В., расположенного по адресу: Ростовская область, Родионово-Несветайский район,  сл. Родионово-Несветайская, ул. Айвовая,  д. 17, КН ЗУ: 61:33:0040123:251 (1шт.)</t>
  </si>
  <si>
    <t>Строительство ВЛИ-0,4 кВ от РУ 0,4кВ КТП 10/0,4кВ № 501 по ВЛ-10кВ «Ростовский» ПС Н-9, для электроснабжения жилого дома Шульги Е.Ю. Родионово-Несветайский р-н х. Веселый, ул. Новая, д. 26 (ориентировочная протяженность ЛЭП – 0,08 км)</t>
  </si>
  <si>
    <t>Строительство ВЛИ-0,4 кВ от оп.32 по 64 по ВЛ 0,4кВ № 2 от ТП № 48 ВЛ-10 кВ Новоегорьевка ПС Н-9, для электроснабжения земельного участка ИП Лигус В.Н. по адресу: Родионово-Несветайский район, х. Греково-Балка, к.н.з.у. 61:33:0600006:146, (ориентировочная протяженность ЛЭП – 0,290 км)</t>
  </si>
  <si>
    <t>Строительство ВЛИ-0,4 кВ от МТП № 361 ВЛ-10В «Жилмасив» ПС Ш-34 с коммерческим учетом электрической энергии (мощности) в точке поставки для электроснабжения нежилых зданий ИП Кононов В.В., ИП Мащенко И.Ю., в ст. Мелиховская, Усть-Донецкого р-на, (ориентировочная протяженность ЛЭП 0,22 км)</t>
  </si>
  <si>
    <t>Строительство ВЛИ-0,4 кВ от оп. №9 ВЛИ-0,4 кВ №1 МТП №802 ВЛ-10 кВ Красюковка ПС Ш-39 для электроснабжения жилого дома Вербицкой Е.Н. (ориентировочная протяженность ЛЭП – 0,06 км)</t>
  </si>
  <si>
    <t xml:space="preserve">Обеспечение коммерческим учетом электрической энергии (мощности) в точке поставки и установка шкафа с коммутационным аппаратом для электроснабжения ВРУ-0,4 кВ ремонтного цеха ИП Ванян С.А., Ростовская область, Красносулинский район, на землях ПСХ «Аютинское», к.н.з.у.: 61:18:0600022:158 </t>
  </si>
  <si>
    <t>Обеспечение коммерческим учетом электрической энергии (мощности) в точке поставки по присоединению объектов заявителей. Ростовская область, Красносулинский район, с. Прохоровка, ул. Центральная, д.94 (Конкин Артур Петрович) (1шт.)</t>
  </si>
  <si>
    <t>Установка  прибора  учета  для  присоединения детского сада на 60 мест Муниципального казенного учреждения Красносулинского района «Отдел капитального строительства», расположенного по адресу: Ростовская область, Красносулинский район, ст. Владимировская, ул. Школьная, б/н, КН ЗУ: 61:18:0020103:171 (1шт.)</t>
  </si>
  <si>
    <t>Строительство ВЛИ-0,4 кВ от оп. №28 ВЛ-0,4 кВ №2 КТП №135 ВЛ-10 кВ Летний Гурт-Горняк ПС Ш-48 для электроснабжения жилого дома Васильева Б.Ю. Ростовская обл., Октябрьский р-н, х. Ягодинка, ул. Степная, д.34 (ориентировочная протяженность ЛЭП – 0,05 км)</t>
  </si>
  <si>
    <t>Строительство ВЛИ-0,4 кВ от оп. №22 ВЛИ-0,4 кВ №3 КТП №5 ВЛ-10 кВ Комсомолец ПС Ш-35 для электроснабжения жилого дома Калинина Р.Г., Ростовская обл., Октябрьский р-н, п. Новозарянский, ул. Крупской, д.2-а. (ориентировочная протяженность ЛЭП – 0,05 км)</t>
  </si>
  <si>
    <t>Обеспечение коммерческим учетом электрической энергии (мощности) в точке поставки по присоединению объектов заявителей. Российская Федерация, Ростовская обл., р-н Усть-Донецкий, ст. Мелиховская, ул. Коммунистическая, д. 26; ул. Интернациональная, д. 64; примерно в 44м по направлению на запад от ЗУ №39 по ул. Мерзлякова (Болгова Н.Б., Элиозашвили З.М., ИП Гукасян Д.В.)</t>
  </si>
  <si>
    <t>Обеспечение коммерческим учетом электрической энергии (мощности) в точке поставки по присоединению объекта Заявителя ВРУ-0,4 кВ для электроснабжения хозяйственной постройки Ващенко Е.В., расположенного по адресу: Ростовская область, Семикаракорский район, ст. Кочетовская, ул. Набережная,  д. 51, к.н.з.у.: 61:35:0080101:4074 (1шт)</t>
  </si>
  <si>
    <t>Обеспечение коммерческим учетом электрической энергии (мощности) в точке поставки по присоединению объекта заявителя. Ростовская обл., р-н Усть-Донецкий, х. Пухляковский, ул. Западная, д. 13-В (Малейко Г.В.)</t>
  </si>
  <si>
    <t>Установка прибора учета для присоединения жилого дома Бойко С.В., расположенного по адресу: Ростовская область, Усть-Донецкий район, х. Пухляковский, ул. Садовая,  д. 5, КН ЗУ: 61:39:0090101:368» (1шт.)</t>
  </si>
  <si>
    <t>Установка прибора учета для присоединения жилого дома Коробова С.Е., расположенного по адресу: Ростовская область, Усть-Донецкий район, ст. Нижнекундрюченская, ул. Нечаевская,  д. 2, КН ЗУ: 61:39:0060101:117 (1шт.)</t>
  </si>
  <si>
    <t>Обеспечение коммерческим учетом электрической энергии (мощности) в точке поставки по присоединению объекта заявителя. Российская Федерация, Ростовская обл., р-н. Усть-Донецкий, ст. Нижнекундрюченская, ул. Пролетарская, д.25 (ИП Автонов П.В.)</t>
  </si>
  <si>
    <t>Строительство ВЛИ-0,4 кВ от ВЛ-0,4кВ №2 КТП № 323 ВЛ-10кВ «КРС» ПС Ш-34 для электроснабжения жилого дома Косаревой Н.В.: ул. Октябрьская, д. 75, ст. Раздорская, Усть-Донецкого р-на, (ориентировочная протяженность ЛЭП 0,05 км)</t>
  </si>
  <si>
    <t>Установка прибора учета для присоединения жилого дома  Шабановой Е.А., расположенного по адресу: Ростовская область, Усть-Донецкий район, х. Апаринский, ул. Университетская,  д. 8, кадастровый номер земельного участка: 61:39:0050102:48 (1шт.)</t>
  </si>
  <si>
    <t>Установка прибора учета для присоединения объекта ВРУ-0.4кВ жилого дома Попова М.В., расположенного по адресу: Ростовская область, Усть-Донецкий район, х. Апаринский, ул. Первомайская, д. 18, кадастровый номер земельного участка: 61:39:050102:0022 (1 шт)</t>
  </si>
  <si>
    <t>Установка прибора учета для присоединения  жилого дома  Залепиловой О.М., расположенного по адресу: Ростовская область, Усть-Донецкий район, р.п. Усть-Донецкий, ул. Шолохова,  д. 52, КН ЗУ: 61:39:0010104:44 (1шт.)</t>
  </si>
  <si>
    <t>Установка прибора учета для присоединения жилого дома  Токаревой С.М., расположенного по адресу: Ростовская область, Усть-Донецкий район, р.п. Усть-Донецкий, ул. Виноградная,  д. 39, кадастровый номер земельного участка: 61:39:0010104:219 (1шт.)</t>
  </si>
  <si>
    <t>Установка прибора учета для присоединения жилого дома  Бузулуцкой Л.И., расположенного по адресу: Ростовская область, Октябрьский район, п. Равнинный, ул. Майская,  д. 23, кадастровый номер земельного участка: 61:28:0020601:87 (1шт.)</t>
  </si>
  <si>
    <t xml:space="preserve">Установка приборов учета для присоединения жилого дома Мокроусова В.Н., дачного дома Скопинцева С.Н., расположенных по адресу: Ростовская область, Усть-Донецкий район, ст. Раздорская, ул. Донская (2 шт.)
</t>
  </si>
  <si>
    <t>Установка прибора учета для присоединения объекта ВРУ-0.4кВ жилого дома Каменева М.В., расположенного по адресу: Ростовская область, Усть-Донецкий район, ст. Нижнекундрюченская, ул. Почтовая,  д. 41, кадастровый номер земельного участка: 61:39:0060102:143 (1 шт)</t>
  </si>
  <si>
    <t>Обеспечение коммерческим учетом электрической энергии (мощности) в точке поставки для электроснабжения ВРУ-0.4кВ объекта благоустройства прибрежной зоны вдоль реки Северский Донец Администрации Апаринского с/п, расположенного по адресу: Ростовская область, Усть-Донецкий район, х. Апаринский, примерно в 150 м по направлению на юго-восток от земельного участка № 58 по ул. Донецкая, кадастровый номер земельного участка 61:39:0600009:348</t>
  </si>
  <si>
    <t>Установка прибора учета для присоединения дошкольной образовательной организации (учреждения) МКУ «Служба заказчика» Усть-Донецкого района, расположенного по адресу: Ростовская область, Усть-Донецкий район, х. Апаринский, ул. Виноградная,  д. 22, КН ЗУ 61:39:0050101:1461 (1шт.)</t>
  </si>
  <si>
    <t>Строительство ВЛИ-0,4 кВ от оп.3 ВЛ 0,4 кВ № 1 от МТП 10/0,4кВ № М-2 по ВЛ-10кВ «Маяки» ПС Н-15, для электроснабжения жилого дома Семенова А.А.по адресу: р-н. Родионово-Несветайский, х. Атамано-Власовка, ул. Чапаева, д. 3, (ориентировочная протяженность ЛЭП – 0,040 км)</t>
  </si>
  <si>
    <t>Обеспечение коммерческим учетом электрической энергии (мощности) в точке поставки по присоединению объекта заявителя. Ростовская область, Родионово-Несветайский район, сл. Родионово-Несветайская, ул. Айвовая, д. 32  (Сухин Ю.С.)</t>
  </si>
  <si>
    <t>Обеспечение коммерческим учетом электрической энергии (мощности) в точке поставки по присоединению объекта заявителя. Ростовская область р-н. Родионово-Несветайский, х. Новотроицкий, ул. Степная, д. 6 (Лимарев А.А.)</t>
  </si>
  <si>
    <t>Строительство ТП-10/0,4, ВЛ-10 кВ от существующей оп. №92 ВЛ 10 кВ «Россия» ПС Н-17, и ВЛИ-0,4 кВ от вновь установленной ТП-10/0,4 кВ для присоединения жилого дома Кан В.А. сл. Большекрепинская, ул. Рассвет, д.1 (ориентировочная протяженность ЛЭП 0,09 км, ориентировочная мощность трансформатора 25 кВА)</t>
  </si>
  <si>
    <t>Строительство ВЛ 0,4 кВ от существующей оп. №10 ВЛ 0,4 кВ №1 от КТП №228 по ВЛ 6- кВ Платово от ПС Г-2 для присоединения жилого дома. Ростовская область, Красносулинский район, х. Верхняя Ковалевка, ул. Садовая, д. 71 (Александрова И.П) (ориентировочная протяженность ЛЭП-0,115 км)</t>
  </si>
  <si>
    <t>Установка прибора учета  для присоединения базовой станции/оборудования сотовой связи ПАО междугородной и международной электрической связи «Ростелеком», расположенной по адресу: Ростовская область, Красносулинский район, с. Павловка (1шт.)</t>
  </si>
  <si>
    <t>Установка прибора учета для присоединения базовой станции/оборудования сотовой связи ПАО междугородной и международной электрической связи «Ростелеком», расположенной по адресу: Ростовская область, Красносулинский район, х. Васецкий (1шт.)</t>
  </si>
  <si>
    <t>Установка прибора учета для присоединения склада ИП Данилова Н.В., расположенного по адресу: Ростовская область, Красносулинский район, с. Киселево, ул. Лермонтова, д. 6, КН ЗУ: 61:18:0050104:105 (1шт.)</t>
  </si>
  <si>
    <t>Строительство ВЛ 0,4 кВ от существующей оп. №5 ВЛ 0,4 кВ №1 от КТП №436 по ВЛ 6- кВ Ударник от ПС Г-7 для присоединения РЩ-0,4 кВ Ростовская область, Красносулинский район, Киселевское сельское поселение, х. Бобров, в 64,5 м. на запад от дома № 45 по улице Бургустинская (Государственное казенное учреждение субъектов Росийской Федерации Федеральное государственное казенное учреждение «Пограничное управление федеральной службы безопасности Российской Федерации по Ростовской области») (ориентировочная протяженность ЛЭП-0,13 км)</t>
  </si>
  <si>
    <t>Установка прибора учета для присоединения жилого дома Абанина Д.Н, расположенного по адресу: Ростовская область, Красносулинский район, п. Пригородный, ул. 47-й Гвардейской Стрелковой Дивизии, д. 66, КН ЗУ: 61:18:0110104:26 (1шт.)</t>
  </si>
  <si>
    <t>Установка прибора учета для присоединения жилого дома Димитрова Н.И., расположенного по адресу: Ростовская область, Красносулинский район, х. Молаканский, пер. Школьный, д. 3 (1шт.)</t>
  </si>
  <si>
    <t>Обеспечение коммерческим учетом электрической энергии (мощности) в точке поставки по присоединению объектов заявителей. Ростовская область, Октябрьский район, х. Яново-Грушевский СТ «Электровозостроитель» уч.№123; уч. №133 (Кучер Т.В.; Нарожная Г.И.)</t>
  </si>
  <si>
    <t>«Строительство участка ВЛ-0,4 кВ от опоры № 13, ВЛ-0,4 кВ № 3, КТП № 457, ВЛ- 6 кВ Михайловка-1, ПС 110/35/6 кВ «Б-8», для подключения строящегося коровника ИП Зайцевой Т.А., расположенного по адресу: Ростовская область, Тацинский район, х. Михайлов, из земель СПК Русь пастбище по балке Малокановская, к.н. 61:38:0600006:1424 (ориентировочная протяженность ЛЭП – 0,43 км, прибор учёта электроэнергии - 1шт)»</t>
  </si>
  <si>
    <t>20</t>
  </si>
  <si>
    <t>Обеспечение коммерческим учетом электрической энергии«Обеспечение коммерческим учетом электрической энергии  в точке поставки, по присоединению жилого дома Кривовой А.Н., расположенного по адресу: Ростовская область, Белокалитвинский район,  х. Гусынка, ул. Хуторская, д. № 8, к.н. (1шт)</t>
  </si>
  <si>
    <t>15</t>
  </si>
  <si>
    <t>Обеспечение коммерческим учетом электрической энергии в точке поставки, по присоединению телятника № 2 индивидуального предпринимателя Вдовенко Л.Н., расположенного по адресу: Ростовская область, Белокалитвинский район, х. Ильинка, 200 метров восточнее х. Ильинка, к.н. 61:04:0600002:393(1шт)</t>
  </si>
  <si>
    <t>Обеспечение коммерческим учетом электрической энергии в точке поставки, по присоединению жилого дома Бобик Р.В., расположенного по адресу: Ростовская область, Милютинский район, ст.Селивановская, ул.Череватенко, д.6, к.н. 61:23:080101:148 (прибор учёта электроэнергии - 1шт)</t>
  </si>
  <si>
    <t>Обеспечение коммерческим учетом электрической энергии  в точке поставки, по присоединению жилого дома Романова В.Г., расположенного по адресу: Ростовская область, Милютинский район, х. Сулинский, пер. Тенистый, д.5, к.н. 61:23:010101:12 (прибор учёта электроэнергии - 1шт)</t>
  </si>
  <si>
    <t>Обеспечение коммерческим учетом электрической энергии  в точке поставки, по присоединению жилого дома Кузнецова Сергея Генадьевича расположенного по адресу: Ростовская область, Обливский район, хутор Кзыл-Аул, улица Муссы Джалиля, дом 3, к.н. 61:27:0071201:98 (прибор учёта электроэнергии - 1шт).</t>
  </si>
  <si>
    <t>Обеспечение коммерческим учетом электрической энергии в точке поставки, по присоединению жилого дома Пивневой О.И., расположенного по адресу: Ростовская область, Обливский район, х. Караичев, ул. Новая, д. 11, к.н. 61:27:0040104:66(прибор учета электроэнергии – 1шт).</t>
  </si>
  <si>
    <t>Строительство участка ВЛ-10 кВ от опоры № 44, ВЛ-10 кВ № 3, ПС 35/10 кВ «Митякинская», ТП 10/0,4 кВ и участка ВЛ-0,4 кВ от РУ-0,4 кВ новой ТП 10/0,4 кВ, для электроснабжения строящегося склада, кашара Киреева А.В., расположенного по адресу: Ростовская обл., Тарасовский р-н, х. Каюковка, участок находится примерно в 0,8 км по направлению на северо-запад от ориентира, х. Каюковка, к.н.з.у. 61:37:600012:931 (ориентировочная протяженность ЛЭП – 3,200 км, ориентировочная мощность ТП – 0, 025» МВА)</t>
  </si>
  <si>
    <t>Обеспечение коммерческим учетом электрической энергии в точке поставки, по присоединению жилого дома Давыдова А.А., расположенного по адресу: Ростовская область, Белокалитвинский район, п. Сосны, ул. Севастопольская д, 8 кв.2, к.н. 61:04:0150405:221(1шт)</t>
  </si>
  <si>
    <t>Обеспечение коммерческим учетом электрической энергии в точке поставки, по присоединению жилого дома ООО «АСБ-Калитва»., расположенного по адресу: Ростовская область, Белокалитвинский район, х. Ильинка, ул. Первомайская, д. 9, к.н. 61:04:0140103:47 (прибор учёта электроэнергии - 1шт)</t>
  </si>
  <si>
    <t>Установка прибора коммерческого учёта электрической энергии для присоединения жилого дома Мушаковой М.В., расположенного по адресу: Ростовская область, Белокалитвинский район, х. Ильинка, ул. Советская, д. № 12, к.н. 61:04:0140107:95 (прибор учета электроэнергии – 1шт)</t>
  </si>
  <si>
    <t>Установка прибора коммерческого учёта электрической энергии для присоединения строящегося жилого дома Морозова Д.Д., расположенного по адресу: Ростовская область, Белокалитвинский район, п. Сосны, ул. Энергетиков, д. № 15 а, к.н. 61:04:0150407:277(прибор учета электроэнергии – 1шт).</t>
  </si>
  <si>
    <t>Установка прибора коммерческого учёта электрической энергии для присоединения строящегося жилого дома Петросяна А.Р., расположенного по адресу: Ростовская область, Белокалитвинский район, х. Апанасовка, ул. Луговая д, 2 к.н. 61:04:0130103:130(прибор учета электроэнергии – 1шт).</t>
  </si>
  <si>
    <t>Установка прибора коммерческого учёта электрической энергии,  для присоединения Фельдшерского-акушерского пункта «Центральная Районная больница»., расположенного по адресу: Ростовская область, Белокалитвинский район, х. Насонтов, ул. Центральная, д. № 64, к.н. з.у. 61:04:070301:0040 (прибор учета электроэнергии – 1шт)</t>
  </si>
  <si>
    <t>Обеспечение коммерческим учетом электрической энергии  в точке поставки, по присоединению жилого дома Панкратова Михаила Валерьевича, расположенного по адресу: Ростовская область, Обливский район,  хутор Солонецкий,  улица Подгорная, дом 4, к.н. 61:27:0060101:177 (прибор учёта электроэнергии - 1шт).</t>
  </si>
  <si>
    <t>Обеспечение коммерческим учетом электрической энергии в точке поставки, по присоединению «здание пожарного депо» Администрации муниципального образования «Обливское сельское поселение» Обливского района Ростовской области, расположенного по адресу: Ростовская область, Обливский район, хутор Ковыленский,    улица Центральная, дом 16а, к.н. 61:27:0071101:224» (прибор учёта электроэнергии - 1шт).</t>
  </si>
  <si>
    <t>Установка прибора коммерческого учёта электрической энергии для присоединения административного здания, Администрации муниципального образования «Калач –Куртлакского сельского поселения», расположенного по адресу: Ростовская область, Советский район, сл. Калач-Куртлак, ул. Молодежная, д.9, к.н. 61:36:0040101:346 (прибор учета электроэнергии – 1шт).</t>
  </si>
  <si>
    <t>Обеспечение коммерческим учетом электрической энергии в точке поставки, по присоединению жилого дома Степикина А.П., расположенного по адресу: Ростовская область, Тацинский район, х. Верхнеобливский, ул. Советская, 13 (1 шт)</t>
  </si>
  <si>
    <t>'Установка прибора коммерческого учёта электрической энергии для присоединения жилого дома Зинаковой С.О., расположенного по адресу: Ростовская область, Белокалитвинский район, х. Поцелуев, ул. Газодобытчиков д,4 к.н. 61:04:0050104:36 (прибор учёта электроэнергии - 1шт).</t>
  </si>
  <si>
    <t>30</t>
  </si>
  <si>
    <t>Установка прибора коммерческого учёта электрической энергии, для присоединения зернохранилища № 2 ИП Главы КФХ Курилина В.Н., расположенного по адресу: Ростовская область, Милютинский район, х. Николаевка, ул. Северная д. 11, к.н.з.у. 61:23:0600011:692 (прибор учёта электроэнергии      30 кВт - 1шт.)</t>
  </si>
  <si>
    <t>Установка прибора коммерческого учёта электрической энергии для присоединения жилого дома Желещиковой М.И., расположенного по адресу: Ростовская область, Морозовский район, х. Вознесенский, ул. Заречная, д.21, к.н. 61:24:0030504:17 (прибор учёта электроэнергии - 1шт.)</t>
  </si>
  <si>
    <t>Установка прибора коммерческого учёта электрической энергии для присоединения жилого дома Кулюк В.В., расположенного по адресу: Ростовская область, Морозовский район, х. Золотой, ул. Золотая, д. 10, к.н. 61:24:0080201:30 (прибор учёта электроэнергии - 1шт.)</t>
  </si>
  <si>
    <t>Строительство участка ВЛ-0,22 кВ от опоры № 41/22, ВЛ-0,4 кВ № 1, КТП № 118, ВЛ-10 кВ № 6, ПС 110/10 кВ «Волченская ПТФ» для подключения распределительного щита Федерального государственного казенного учреждения «Пограничное управление Федеральной службы безопасности РФ по Ростовской области», расположенного по адресу: Ростовская обл., Каменский р-н, х. Плешаков, примерно 200 м от ориентира по направлению на запад (ориентировочная протяженность ЛЭП – 1,300 км)</t>
  </si>
  <si>
    <t>Строительство участка ВЛ-10 кВ от опоры № 82 ВЛ 10 кВ № 7  ПС 110/35/10 кВ «Милютинская», новой ТП 10/0,4 кВ и участка ВЛ-0,4 кВ от РУ-0,4 кВ новой ТП 10/0,4 кВ для подключения жилых домов  Харитонова И.И. и Калиматова А.Р., расположенных по адресу: Ростовская обл., Милютинский р-н, х. Юдин, ул. Прорва, д.4, 4А, к.н.з.у: 61:23:0030101:157, 61:23:030101:520 (ориентировочная протяжённость ЛЭП- 0,690 км, ориентировочная мощность ТП-0,04 МВА)</t>
  </si>
  <si>
    <t>Строительство участка ВЛ-0,4 кВ от КТП № 2, ВЛ-10 кВ № 3, ПС 35/10 кВ «Алифановская», для подключения строящегося здания ИП Партышев М.Ю., расположенного по адресу: Ростовская область, Тацинский район, х. Маслов, в 1,2 км на юго-запад от х. Маслов, к.н. 61:38:0600004:38 (ориентировочная протяженность ЛЭП – 0,22 км, прибор учёта электроэнергии - 1шт)</t>
  </si>
  <si>
    <t>150</t>
  </si>
  <si>
    <t>Установка прибора коммерческого учёта электрической энергии для присоединения гаража Ткачевой Н.А., расположенного по адресу: Ростовская область, Тарасовский район,  
х. Ерофеевка, ул. Школьная, д. 8, к.н. 61:37:0050401:603 (прибор учёта электроэнергии - 1шт).</t>
  </si>
  <si>
    <t>Строительство участка ВЛИ-0,4 кВ от опоры № 2, ВЛ-0,4 кВ №2, МТП № 64, ВЛ-10 кВ № 3, ПС 35/10 кВ «Каменская СХТ» для подключения строящегося жилого дома Лознева В.В. расположенного по адресу: Ростовская обл., Каменский р-н, х. Старая Станица, ул. 50 лет Победы, дом № 11, КН ЗУ 61:15:0130103:1280 (ориентировочная протяженность ЛЭП – 0,017 км, прибор учёта электроэнергии – 1 шт)</t>
  </si>
  <si>
    <t>Строительство участка ВЛ-0,4 кВ от опоры № 40/2, ВЛ-0,4 кВ № 2, КТП № 120, ВЛ-10 кВ № 2, ПС 35/10 кВ «Каменская СХТ» для подключения строящегося жилого дома Чокати В.Г. расположенного по адресу: Ростовская обл., Каменский р-н, х. Старая Станица, с восточной стороны земельного участка с КН 61:15:0130106:472, КН ЗУ 61:15:0130106:571 (ориентировочная протяженность ЛЭП – 0,050 км, прибор учета электроэнергии – 1шт).</t>
  </si>
  <si>
    <t>Строительство участка ВЛ-0,4кВ от опоры № 23, ВЛ-0,4кВ № 2, КТП № 71, ВЛ-10кВ № 4, ПС 35/10кВ «Каменская СХТ» для подключения строящегося жилого дома Меркуловой Е.А. расположенного по адресу: Ростовская обл., Каменский р-н, х. Абрамовка, ул. Ленина, д. 73, КН 61:15:0602101:2672 (ориентировочная протяженность ЛЭП – 0,116км, прибор учёта электроэнергии - 1шт.)</t>
  </si>
  <si>
    <t>Установка прибора коммерческого учёта электрической энергии, для присоединения объекта сельскохозяйственного производства Скорикова В.Ф., расположенного по адресу: Ростовская область, Каменский район, Красновское сельское поселение, к.н.з.у. 61:15:0601001:1804 (прибор учёта электроэнергии - 1шт.)</t>
  </si>
  <si>
    <t>Строительство участка ВЛ-0,4 кВ от проектируемой   ВЛ-0,4 кВ проектируемой КТП 10/04 кВ (по договору № 61-1-20-00513463 от 15.06.2020 г. и договору № 61-1-20-00513501 от 15.06.2020 г.), от опоры № 82, ВЛ-10 кВ № 7, ПС 110/35/10 кВ «Милютинская», для подключения жилого дома Деменко А.В., расположенного по адресу: Ростовская область, Милютинский район, х.Юдин, пер. Тырсовый, д. 7, к.н. 61:23:030101:160 (ориентировочная протяженность ЛЭП – 0,3 км, прибор учёта электроэнергии - 1шт)</t>
  </si>
  <si>
    <t>Строительство участка ВЛ-0,4 кВ от опоры № 42, ВЛ-0,4 кВ № 2, КТП № 20, ВЛ- 10 кВ №5, ПС 110/35/10 кВ «Милютинская», для подключения жилого дома Зубова О.Н., расположенного по адресу: Ростовская область, Милютинский район, х. Широкий Лог, ул. Казачья, д. 34, к.н. 61:23:0030901:94 (ориентировочная протяженность ЛЭП – 0,360 км)</t>
  </si>
  <si>
    <t>Строительство участка ВЛ-0,4 кВ от опоры № 1, ВЛ-0,4 кВ № 2, КТП № 40, ВЛ- 10 кВ №5, ПС 110/35/10 кВ «Милютинская», для подключения жилого дома Щур Ю.И.,   расположенного по адресу: Ростовская область, Милютинский район, х. Сулинский, ул. Транспортная, д. 9, к.н. 61:23:0010101:2 (ориентировочная протяженность ЛЭП – 0,350 км)</t>
  </si>
  <si>
    <t>Строительство участка ВЛ-0,4 кВ от опоры № 13, ВЛ-0,4 кВ № 1, КТП № 205, ВЛ- 10 кВ №1, ПС 35/10 кВ «Митякинская», для подключения зерносклада ИП главы К(Ф)Х Калинкиной С.А., расположенного по адресу: Ростовская область, Тарасовский район, х. Верхний Митякин, ул. Заречная, д. 161а, к.н. 61:37:0060101:566 (ориентировочная протяженность ЛЭП – 0,4 км)</t>
  </si>
  <si>
    <t>Обеспечение коммерческим учетом электрической энергии в точке поставки, по присоединению здания модульный ФАП МБУЗ «ЦРБ» расположенного по адресу: Ростовская область, Морозовский район, х. Трофименков, ул. Садовая, д.19 в, к.н. 61:24:0020501:624 (1шт)</t>
  </si>
  <si>
    <t>Обеспечение коммерческим учетом электрической энергии в точке поставки, по присоединению жилого дома Кисловой А.В., расположенного по адресу: Ростовская область, Тарасовский район, х. Липовка, ул. Пролетарская, д. 63, к.н. 61:37:0020301:83 (прибор учёта электроэнергии - 1шт)</t>
  </si>
  <si>
    <t>Обеспечение коммерческим учетом электрической энергии в точке поставки, по присоединению жилого дома Пивоварова В.А., расположенного по адресу: Ростовская область, Тарасовский район, сл. Колушкино, ул. Степная, д. 1, к.н. 61:37:090101:0220 (прибор учёта электроэнергии - 1шт)</t>
  </si>
  <si>
    <t>Строительство участка ВЛИ-0,4 кВ от РУ-0,4 кВ КТП № 311, ВЛ-10 кВ № 4, ПС 110/10 кВ «Волченская ПТФ», для подключения жилого дома Краснова М.В. расположенного по адресу: Ростовская обл., Каменский р-н, х. Волченский, ул. Садовая, д. № 12, КН 61:15:0040101:450 (ориентировочная протяженность ЛЭП – 0,254 км, прибор учёта электроэнергии - 1шт)</t>
  </si>
  <si>
    <t>Строительство участка ВЛ-10 кВ от опоры № 27, ВЛ-10 кВ № 6, ПС 35/10 кВ «Вишневецкая», ТП 10/0,4 кВ и участка ВЛ-0,4  кВ от РУ-0,4 кВ новой ТП 10/0,4 кВ, для подключения производственного здания ИП Рудакова Д.В., расположенного по адресу: Ростовская обл.,Каменский р-н, АКХ «Колос», пастбище р.у. 6, к.н.з.у. 61:15:0602101:2532 (ориентировочная протяженность ЛЭП – 0,054 км, трансформаторная мощность – 0,160 МВА, прибор учёта электроэнергии - 1 шт.)</t>
  </si>
  <si>
    <t>Строительство участка ВЛ-10 кВ от опоры № 34, ВЛ-10 кВ № 6, ПС 35/10 кВ «Вишневецкая», ТП 10/0,4 кВ и участка ВЛ-0,4 кВ от РУ-0,4 кВ новой ТП 10/0,4 кВ, для подключения производственного здания ИП Рудакова Д.В., расположенного по адресу: Ростовская обл., Каменский р-н, АКХ «Колос», участки № 54, № 6 к.н.з.у. 61:15:0602101:1359 (ориентировочная протяженность ЛЭП – 0,062 км, трансформаторная мощность – 0,160 МВА, прибор учёта электроэнергии - 1 шт.)</t>
  </si>
  <si>
    <t>Установка прибора коммерческого учёта электрической энергии для присоединения жилого дома Шипиловой А.А., расположенного по адресу: Ростовская область, Милютинский район,                              х. Сулинский, ул. Заречная, д. № 4, к.н. 61:23:0010101:225 (прибор учёта электроэнергии - 1шт)</t>
  </si>
  <si>
    <t>Обеспечение коммерческим учетом электрической энергии  в точке поставки, по присоединению автогаража Середенко А.В., расположенного по адресу: Ростовская область, Милютинский район, х.Николовка, ул.Торговая, д.28, к.н. 61:23:0600011:735(прибор учёта электроэнергии - 1шт)</t>
  </si>
  <si>
    <t>Обеспечение коммерческим учетом электрической энергии  в точке поставки, по присоединению жилого дома Аникина С.Н., расположенного по адресу: Ростовская область, Милютинский район, ст. Селивановская, ул. Кооперативная, д. № 27, к.н. 61:023:0080101:1056 (прибор учета электроэнергии – 1шт)</t>
  </si>
  <si>
    <t>Строительство участка ВЛ-0,4 кВ от опоры № 7, ВЛ-0,4 кВ № 1, КТП № 355, ВЛ-10 кВ № 4, ПС 35/10 кВ «Верхне-Кольцовская», для подключения ВРУ-0,4 кВ жилого дома Карасева В.А., расположенного по адресу: Ростовская область, Тацинский район, ст. Ермаковская, пер. Нижний, д. 2, корп. А, к.н. 61:38:0080101:1745 (ориентировочная протяженность ЛЭП – 0,37 км, прибор учёта электроэнергии - 1шт)</t>
  </si>
  <si>
    <t>Строительство участка ВЛ-0,4 кВ от опоры № 12 ВЛ-0,4 кВ №2 КТП № 426, ВЛ-10 кВ № 3, ПС 35/10 кВ «Нижнепоповская», для подключения малоэтажной жилой застройки Буценко Михаила Владимировича, расположенного по адресу: Ростовская обл., Белокалитвинский р-н, п. Сосны, ул. Октябрьская, КНЗУ 61:04:0150415:316 (ориентировочная   протяженность ЛЭП – 0,220 км, прибор учёта электроэнергии - 1шт)</t>
  </si>
  <si>
    <t>Строительство участка ВЛ-0,4 кВ от опоры № 24 ВЛ 0,4 кВ № 2, КТП № 953, ВЛ-10 кВ фид «Западной», ПС 35/10 кВ «Ш-26», для подключения ВРУ-0,4 кВ нежилой застройки Гончарова В.А., расположенного по адресу: Ростовская область, Белокалитвинский р-н, х. Западный, ул. Садовая, д. 40 д, к.н. 61:04:0080301:131 (ориентировочная протяженность ЛЭП – 0,221 км, прибор учёта электроэнергии - 1шт)</t>
  </si>
  <si>
    <t>Строительство участка ВЛ-0,4 кВ от опоры №14, ВЛ-0,4 кВ №1, КТП 378, ВЛ-10 кВ №2, ПС 35/10 кВ "Селивановская", для подключения жилого дома Череватенко А.П., расположенного по адресу: Ростовская область, Милютинский р-н, ст. Селивановская, ул. Заречная, дом №2, КН № 61:23:080101:0378 (ориентировочная протяженность ЛЭП 0,110 км)</t>
  </si>
  <si>
    <t>Установка прибора коммерческого учёта электрической энергии для присоединения здания детского сада № 7 Муниципального бюджетного дошкольного образовательного учреждения х. Новодмитриевский, расположенного по адресу: Ростовская область, Милютинский район, х.Новодмитриевский, ул. Новодмитриевка, д. № 10, к.н. 61:23:0050401:207(прибор учета электроэнергии – 1шт).</t>
  </si>
  <si>
    <t xml:space="preserve">Установка прибора коммерческого учёта электрической энергии, для присоединения крытого тока Диденко Н.И., 
расположенного по адресу: Ростовская область, Милютинский район сл. Маньково-Берёзовская, в 930 метрах на запад от сл. Маньково-Берёзовская КН ЗУ 61:23:0600006:773 (прибор учета электроэнергии – 1шт)
</t>
  </si>
  <si>
    <t>Установка прибора коммерческого учёта электрической энергии, для присоединения жилого дома Соколова А.И., расположенного по адресу: Ростовская обл., Милютинский р-н, х. Николовка, ул. Заречная, д.16, к.н. з.у. 61:23:0040301:70, (прибор учёта электроэнергии - 1шт)</t>
  </si>
  <si>
    <t>Установка прибора коммерческого учёта электрической энергии, для присоединения ВРУ- 0,22 кВ квартиры Давыдовой В.С., расположенной по адресу: Ростовская область, Милютинский район, х. Юдин, пер. Космонавтов, д. № 8, стр.1, кв.2, к.н. 61:23:0030101:2113 (прибор учёта электроэнергии - 1шт.).</t>
  </si>
  <si>
    <t>5</t>
  </si>
  <si>
    <t>Строительство участка ВЛ-0,4 кВ от РУ-0,4 кВ, КТП № 93, ВЛ-10 кВ № 1, ПС 35/10 кВ «Успенская», для подключения ВРУ-0,4 кВ жилого дома Овчаренко И.Н., расположенного по адресу: Ростовская область, Милютинский р-н, х. Антоновка, ул. Твердохлебовка, д. 10, к.н. 61:23:0040101:593 (ориентировочная протяженность ЛЭП – 0,32 км, прибор учёта электроэнергии - 1шт)</t>
  </si>
  <si>
    <t>Обеспечение коммерческим учетом электрической энергии  в точке поставки, по присоединению сельского клуба МБУК «Покровский СК», расположенного по адресу: Ростовская область, Морозовский р-н, х. Покровский, ул. Покровская, д. 52, к.н. 61:21:0080501:52 (прибор учёта электроэнергии - 1шт).</t>
  </si>
  <si>
    <t>Обеспечение коммерческим учетом электрической энергии  в точке поставки, по присоединению жилого дома Гаврильчик А.Н., расположенного по адресу: Ростовская область, Морозовский р-н, х. Чекалов, ул. Молодежная, д. 1, к.н. 61:24:0070505:25 (прибор учёта электроэнергии - 1шт).</t>
  </si>
  <si>
    <t>Обеспечение коммерческим учетом электрической энергии  в точке поставки, по присоединению жилого дома Коренькова А.П., расположенного по адресу: Ростовская область, Морозовский р-н,  ст-ца. Вольно-Донская, ул. Молодежная, д. 15, к.н. 61:24:0060104:75 (прибор учёта электроэнергии - 1шт).</t>
  </si>
  <si>
    <t>Обеспечение коммерческим учетом электрической энергии  в точке поставки, по присоединению жилого дома Ганжа А.А.,  расположенного по адресу: Ростовская область, Советский район,слобода Чистяково, ул. Советская, д.12 к.н.з.у. 61:36:0020101:285 (прибор учета электроэнергии – 1шт)</t>
  </si>
  <si>
    <t>Установка прибора коммерческого учёта электрической энергии, для присоединения строящегося нежилого здания ИП Беркутова М.А., расположенного по адресу: Ростовская область, Советский район,  сл. Петрово, ул. Центральная, д.27 «а» к.н. 61:36:0040301:906 (прибор учета электроэнергии – 1шт)</t>
  </si>
  <si>
    <t>Строительство участка ВЛ-0,4 кВ от опоры № 31, ВЛ-0,4 кВ №4, КТП № 73, ВЛ-10 кВ № 3, ПС 35/10 кВ «Советская-1», для подключения сторожевого дома Оберемко В.Н. расположенного по адресу: Ростовская обл., Советский р-н, ст Советская, примерно 0,16 км на восток от ориентира  ст. Советская, КНЗУ 61:36:0600002:443 (ориентировочная протяженность ЛЭП – 0,2 км, прибор учёта электроэнергии - 1шт)</t>
  </si>
  <si>
    <t>Установка прибора коммерческого учёта электрической энергии для присоединения ВРУ-0,4 кВ жилого дома  Кисленко В.Н., расположенного по адресу: Ростовская область, Тацинский район, х. Верхнеобливский, ул. Советская, 17 (прибор учёта электроэнергии - 1шт).</t>
  </si>
  <si>
    <t>10</t>
  </si>
  <si>
    <t>Установка прибора коммерческого учёта электрической энергии, для присоединения ВРУ-0,4 кВ строящегося здания ИП Демидовой Н.Н., расположенного по адресу: Ростовская область, Тацинский район, х. Верхнеобливский, примерно в 50 м на восток от ул. Школьная, 48, к.н. 61:38:0600003:1007 (прибор учёта электроэнергии - 1шт.)</t>
  </si>
  <si>
    <t>Строительство участка ВЛ-10 кВ от опоры № 39, ВЛ-10 кВ № 4, ПС 35/10 кВ «Тацинская СХТ», ТП 10/0,4 кВ и ВЛ-0,4 кВ от РУ-0,4 кВ проектируемой ТП 10/0,4 кВ, для подключения строящегося нежилого здания ИП Громова А.А, расположенного по адресу: Ростовская обл., Тацинский р-н, Тацинское сельское поселение, ст-ца Тацинская, ул. Пролетарская, д. 139-к, КН ЗУ 61:38:0010122:90 (ориентировочная протяженность ЛЭП –0,124 км, трансформаторная мощность – 0,1 МВА, прибор учёта электроэнергии - 1шт.)</t>
  </si>
  <si>
    <t>Строительство участка ВЛ-0,4 кВ от опоры № 1, ВЛ-0,4 кВ № 3, КТП № 259, ВЛ-10 кВ № 3, ПС 35/10 кВ «Алифановская», для подключения ВРУ-0,4 кВ жилого дома Литвинова Н.Г, расположенного по адресу: Ростовская область, Тацинский район, х. Потапов, ул. Мира, д. 3, к.н. 61:38:030901:0097 (ориентировочная протяженность ЛЭП – 0,523 км, прибор учёта электроэнергии - 1шт)</t>
  </si>
  <si>
    <t>Строительство участка ВЛ-0,4 кВ от опоры № 6, ВЛ-0,4 кВ № 2, КТП № 259, ВЛ-10 кВ № 3, ПС 35/10 кВ «Алифановская», для подключения ВРУ-0,4 кВ жилого дома Кононовой Л.В., расположенного по адресу: Ростовская область, Тацинский район, х. Потапов, ул. Набережная, д. 19, к.н. 61:38:0030901:11 (ориентировочная протяженность ЛЭП – 0,295 км, прибор учёта электроэнергии - 1шт)</t>
  </si>
  <si>
    <t>Строительство ВЛ-0,4 кВ от опоры №2 ВЛ-0,4кВ №2 ТП №606/100 кВА по ВЛ-10 кВ №3 ПС 110/10кВ "Промзона" с установкой на границе земельного участка Заявителя шкафа 0,4 кВ с коммутационным аппаратом для технологического присоединения жилого дома заявителя Орлянский О.И., расположенного в Ростовской области Миллеровский р-н , х. Терновой, пер.Новый д.1 (61:22:0061001:823) (ориентировочная протяженность ЛЭП-0,04км,)</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</si>
  <si>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 Скляровой И.С., расположенного по адресу: Ростовская область, Миллеровский район, х. Терновой, ул. Школьная, д. 98, к.н.з.у. 61:22:0061001:170 (1 шт)</t>
  </si>
  <si>
    <t>Строительство ВЛ-0,4 кВ от КТП 10/0,4 кВ №76 по ВЛ-10 кВ №3 ПС 35/10 кВ "Боковская", для технологического присоединения гаража заявителя Васильева В.М., расположенного в Ростовской области, Боковский р-н, ст. Боковская, ул. Гагарина 8Б,(61:05:0010101:726) (ориентировочная протяженность ЛЭП-0,047км,)»</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</si>
  <si>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гостевого дома Апонович К.С., расположенного по адресу: Ростовская область, Чертковский район, с. Алексеево- Лозовское, к.н. 61:42:00101016:4464</t>
  </si>
  <si>
    <t>Обеспечение коммерческим учетом электрической энергии (мощности) в точке поставки и установка шкафа 0,4 кВ с коммутационным аппаратом, для присоединения ВРУ-0,4 кВ уличного освещения, расположенного по адресу: Ростовская область, Боковский район, ст-ца Каргинская, ул. Чирская, д. 31 Б, к.н. 61:05:0040101:257</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</si>
  <si>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Афанасьевой Н.В., расположенного по адресу: Ростовская область, Шолоховский район, х. Дударевский, ул. Мостовая, д. 5, к.н. 61:43:041901:0046</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</si>
  <si>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Горбуновой Т.В., расположенного по адресу: Ростовская область, Кашарский район, п. Дибровый, кв-л. Школьный, д.21, к.н. 61:16:0130301:347</t>
  </si>
  <si>
    <t>Обеспечение коммерческим учетом электрической энергии (мощности) в точке поставки и установка шкафа 0,4 кВ с коммутационным аппаратом, для присоединения ЩРУ-0,4 кВ для сельскохозяйственного производства Дорониной Н.А., расположенного по адресу: Ростовская область, Верхнедонской  район, х. Громчанский, к.н. 61:07:0600026:320</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</si>
  <si>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Ермаковой О.С., расположенного по адресу: Ростовская область, Шолоховский район, х. Дубровский, пер. Степной, д. 10, к.н. 61:43:0030101:530</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</si>
  <si>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квартиры Казакова В.И., расположенного по адресу: Ростовская область, Кашарский район, с. Первомайское, ул. Торговая, д.5, кв./оф. 2, к.н. 61:16:0110102:194</t>
  </si>
  <si>
    <t>Обеспечение коммерческим учетом электрической энергии (мощности) в точке поставки и установка шкафа 0,4 кВ с коммутационным аппаратом, для присоединения жилого дома Кораблева В.Ю., расположенного по адресу: Ростовская область, Миллеровский район, х. Еритовка, ул. Октябрьская, д.13, к.н. 61:22:0080301:26 (1 шт)</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</si>
  <si>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Парамонова А.М., расположенного по адресу: Ростовская область, Шолоховский район, х. Антиповский, ул. Асфальтная, д. 36, к.н. 61:43:0030201:368</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</si>
  <si>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Магазина 111,заявителя ИП Щусь А.П., расположенного по адресу: Ростовская область, Чертковский район, х. Сидоровский, д. 5,  к.н. 61:42:0070201:73</t>
  </si>
  <si>
    <t>Строительство ВЛ-0,4 кВ от опоры №3 по ВЛ-0,4кВ №3 КТП-10/0,4 кВ №369 по ВЛ-10 кВ №2 ПС 35/10 кВ "Колундаевская" обеспечение коммерческим учетом электрической энергии (мощности) в точке поставки и установка шкафа 0,4 кВ с коммутационным аппаратом, для технологического присоединения кухни заявителя, Ильиной Н.Н., расположенной  Ростовская область, Шолоховский р-н, х. Поповский, ул. Школьная, д. 8, (к.н.з.у. 61:43:0090701:162) (ориентировочная протяженность ЛЭП-0,17 км)</t>
  </si>
  <si>
    <t>Строительство ВЛ-0,4 кВ от опоры №4 по ВЛ-0,4кВ №3 КТП-10/0,4 кВ №333 по ВЛ-10 кВ №2 ПС 35/10 кВ "Терновская-2", обеспечение коммерческим учетом электрической энергии (мощности) в точке поставки и установка шкафа 0,4 кВ с коммутационным аппаратом, для технологического присоединения жилого дома заявителя, Поповой Н.И., расположенного по адресу:  Ростовская область, Шолоховский р-н, ст-ца. Еланская, ул. Донская, д. 4, (к.н.з.у. 61:43:0020301:141) (ориентировочная протяженность ЛЭП-0,1 км)</t>
  </si>
  <si>
    <t>Строительство ВЛ-0,4 кВ от опоры №19 по ВЛ-0,4кВ №3 КТП-10/0,4 кВ №26 по ВЛ-10 кВ №1 ПС 35/10 кВ "Базковская" обеспечение коммерческим учетом электрической энергии (мощности) в точке поставки и установка шкафа 0,4 кВ с коммутационным аппаратом, для технологического присоединения квартиры заявителя, Кисель Н.И., расположенной  Ростовская область, Шолоховский р-н, ст. Базковская, ул. Калинина, д. 62, (к.н.з.у. 61:43:0010102:1415) (ориентировочная протяженность ЛЭП-0,17 км)</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</si>
  <si>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Луганской Т.Н., расположенного по адресу: Ростовская область, Кашарский район, с. Первомайское, ул. Калинина, д.5, к.н. 61:16:0110102:690</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</si>
  <si>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Попова М.А., расположенного по адресу: Ростовская область, Кашарский район, с. Россошь, ул. Центральная, д.60, к.н. 61:16:0140101:723</t>
  </si>
  <si>
    <t>Обеспечение коммерческим учетом электрической энергии (мощности) в точке поставки и установка шкафа 0,4 кВ с коммутационным аппаратом, для энергоснабжения домовладения Симонова П.А., расположенного по адресу: Ростовская область, Верхнедонской район, х. Озерский, ул. Верхняя, д. 14, к.н. 61:07:0080301:484 (1 шт.)</t>
  </si>
  <si>
    <t>Обеспечение коммерческим учетом электрической энергии (мощности) в точке поставки и установка шкафа 0,4 кВ с коммутационным аппаратом, для энергоснабжения жилого помещения Теймурова Л.А., расположенного по адресу: Ростовская область, Верхнедонской район, ст. Мешковская, ул. Молодежная, д. 8, кв. 2, к.н. 61:07:0110501:229 (1 шт.)</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</si>
  <si>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Ягольник А.Ю., расположенного по адресу: Ростовская область, Кашарский район, с. Первомайское, ул. Торговая, д.7, к.н. 61:16:0110102:192</t>
  </si>
  <si>
    <t>Строительство ВЛ-10 кВ от опоры №7 по ВЛ-10 кВ №2  ПС 110/35/10 кВ "Калининская" с установкой КТП и строительством ВЛ-0,4 кВ обеспечение коммерческим учетом электрической энергии (мощности) в точке поставки и установка шкафа 0,4 кВ с коммутационным аппаратом, для технологического присоединения строящегося склада  заявителя, ИП Глава КФХ Лащенов А.И., расположенного в  Ростовская область, Шолоховский р-н, пс. Межселенная территория, по границе СПК Калининское,  (61:23:0600016:249) (ориентировочная протяженность ЛЭП-0,02 км, ориентировочная мощность ТП- 0,025 МВА)</t>
  </si>
  <si>
    <t>Строительство ВЛ-0,4 кВ от опоры №18 по ВЛ-0,4 кВ №1 КТП-10/0,4 кВ №206 по ВЛ-10 кВ №1 ПС 110/35/10 кВ "Вешенская 1", обеспечение коммерческим учетом электрической энергии (мощности) в точке поставки и установка шкафа 0,4 кВ с коммутационным аппаратом, для технологического присоединения жилого дома  заявителя, Конышева В.Н., расположенной  Ростовская область, Шолоховский р-н, х. Дубровский, ул. Центральная, д. 4  (к.н.з.у.61:43:0030101:152) (ориентировочная протяженность ЛЭП-0,13 км)</t>
  </si>
  <si>
    <t xml:space="preserve">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квартиры, заявителя Осадченко А.Т., расположенного по адресу: Ростовская область, Миллеровский район, х.Каменка, ул. Школьная, д. 21,кв/оф 2 </t>
  </si>
  <si>
    <t>Обеспечение коммерческим учетом электрической энергии (мощности) в точке поставки и установка шкафа 0,4 кВ с коммутационным аппаратом, для энергоснабжения объекта придорожного сервиса заявителя Савельева Д.Д., расположенного по адресу: Ростовская область, Верхнедонской район,х. Ароматный, ул. Лисовенко, д. 1, к.н. 61:07:0050201:284 (1 шт)</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</si>
  <si>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квартиры заявителя Соловьевой Т.А., расположенного по адресу: Ростовская область, Шолоховский район, х. Калининский, ул. Центральная, д. 26, кв. 1 к.н.з.у. 61:43:050101:0776</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</si>
  <si>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 Чукарина А.П., расположенной по адресу: Ростовская область, Шолоховский район, х. Затонский, ул. Центральная, д. 48, к.н.з.у. 61:43:0080401:88 (1 шт)</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</si>
  <si>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 Вяликовай Л.А., расположенной по адресу: Ростовская область, Шолоховский район, х. Варваринский, ул. Горская, д. 51, к.н.з.у. 61:43:0080201:136 (1 шт)</t>
  </si>
  <si>
    <t>"Обеспечение коммерческим учетом электрической энергии(мощности) в точке поставки и установка шкафа 0,4 кВ с коммутационным аппаратом для электроснабжения жилого дома заявителя Гладковой Л.Н.,расположенного по адресу:Ростовская область,Кашарский район,х.Третий Интернационал,ул.Заветная,д.25,к.н.з.у. 61:16:0070401:161"</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</si>
  <si>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заявителя,Лаврова Н.Н.., расположенной по адресу: РО, Чертковский район, х. Маньковский, ул. Маньковская, д.9б, к.н.з.у. 61:42:0070301:178"</t>
  </si>
  <si>
    <t>"Обеспечение коммерческим учетом электрической энергии(мощности) в точке поставки и установка шкафа 0,4 кВ с коммутационным аппаратом для электроснабжения жилого дома заявителя Монастырсков А.А.., расположенного по адресу: Ростовская область, Верхнедонской район, х.Гормиловский, ул.Гормиловская, д.50, к.н.з.у. 61:07:0080501:42"</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</si>
  <si>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 Скорикова А.П., расположенной по адресу: Ростовская область, Верхнедонской район, х. Михайловский, ул. Степная, д. 42, к.н.з.у. 61:07:0100201:10» (1 шт)</t>
  </si>
  <si>
    <t>"Обеспечение коммерческим учетом электрической энергии(мощности) в точке поставки и установка шкафа 0,4 кВ с коммутационным аппаратом для электроснабжения жилого дома заявителя Топольскова С.Ф.,расположенного по адресу:Ростовская область,Верхнедонской  район,х.Солонцовский,ул.Солонцовская,д.12, к.н.з.у. 61:07:0060401:12"</t>
  </si>
  <si>
    <t>Строительство ВЛ-0,4 кВ от опоры №16/13 по ВЛ-0,4 кВ №1 КТП-10/0,4 кВ №220 по ВЛ-10 кВ №2 ПС 110/35/10 кВ «Вешенская 1», обеспечение коммерческим учетом электрической энергии (мощности) в точке поставки и установка шкафа 0,4 кВ с коммутационным аппаратом, для технологического присоединения жилого дома заявителя, Крымцевой Е.Г., расположенного Ростовская область, Шолоховский р-н, х. Зубковский, ул. Заречная, д. 12, (к.н.з.у. 61:43:0030301:205) (ориентировочная протяженность ЛЭП – 0,1 км) (1 шт)</t>
  </si>
  <si>
    <t>Строительство ВЛ-10 кВ от опоры №6/4/3/59 по ВЛ-10 кВ №6 ПС 35/10 кВ "Боковская" с установкой КТП и строительством 2-х ВЛ-0,4 кВ, установка приборов учета электрической энергии (мощности) в точках поставки и установка шкафов (0,22 и 0,4 кВ) с коммутационными аппаратами, для технологического присоединения жилых домов Заявителей, расположенныж в  Ростовская область, Боковский р-н, ст. Боковская, пер. Абрикосовый, (ориентировочная протяженность ЛЭП- 0,92 км, ориентировочная мощность ТП- 0,4 МВА, количество приборов учета 0,22 кВ- 3 шт., 0,4 кВ- 16 шт.)</t>
  </si>
  <si>
    <t>Строительство ВЛ-10 кВ от опоры № 146/100 по ВЛ-10 кВ № 18 ПС 110/35/10 кВ «ГОК» с установкой КТП и строительством ВЛ-0,4 кВ, обеспечение коммерческим учетом электрической энергии (мощности) в точке поставки и установка шкафа 0,4 кВ с коммутационным аппаратом, для технологического присоединения сельскохозяйственной ярмарки заявителя, ИП Салманов Н.М., расположенного в Ростовской области, Миллеровский р-н, Первомайское сельское поселение,  (61:22:0600028:963) (ориентировочная   протяженность ЛЭП – 0,057 км, ориентировочная мощность ТП – 0,025 МВА) (1 шт.)</t>
  </si>
  <si>
    <t>Строительство ВЛ-0,4 кВ от опоры №17 по ВЛ-0,4 кВ №2 КТП-10/0,4 кВ №206 по ВЛ-10 кВ №1 ПС 110/35/10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Пинкина Н.И., расположенного Ростовская область, Шолоховский р-н, х. Дударевский, ул. Центральная, д. 54, (к.н.з.у. 61:43:0030101:1264) (ориентировочная протяженность ЛЭП – 0,06 км) (1 шт)</t>
  </si>
  <si>
    <t>Строительство ВЛ-0,4 кВ от опоры №6 по ВЛ-0,4 кВ №1 КТП-10/0,4 кВ №227 по ВЛ-10 кВ №2 ПС 110/35/10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Кривошлыковой Е.И., расположенного по адресу: Ростовская область, Шолоховский р-н, х. Зубковский, ул. Лесная, д. 63, (к.н.з.у. 61:43:0030301:147) (ориентировочная протяженность ЛЭП – 0,36 км) (1 шт.)</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</si>
  <si>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 Агафонова Ю.М., расположенного по адресу: Ростовская область, Верхнедонской район, х. Назаровский, ул. Назаровская, д. 12, к.н.з.у. 61:07:0110401:80 (1 шт.)</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</si>
  <si>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 Агафоновой Е.С., расположенного по адресу: Ростовская область, Верхнедонской  район, х. Поповка, ул. Атаманская, д. 93, к.н.з.у. 61:07:0040401:562"</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</si>
  <si>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 Воробьева Л.В., расположенного по адресу: Ростовская область, Шолоховский район, х. Громковский, ул. Почтовая, д. 496 а, к.н. 61:43:0010501:1176"</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</si>
  <si>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квартиры заявителя, Дудукаловой В.Н., расположенного по адресу: Ростовская область, Верхнедонской  район, х. Верхняковский, ул. Садовая, д.2, к. 1, к.н.з.у. 61:07:0100501:147"</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</si>
  <si>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 Титова В.А., расположенного по адресу: Ростовская область, Верхнедонской район, х. Верхняковский, ул. Дорожная, д. 5, к.н.з.у. 61:07:0100501:378 (1 шт)</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</si>
  <si>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склада заявителя, СПК "Крестьянин"., расположенного по адресу: Ростовская область, Верхнедонской  район, ст. Шумилинская, ул. Чехова,  д. 6/2,  к.н.з.у. 61:07:0030101:1503</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</si>
  <si>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здания конторы Заявителя, СПК (колхоз) "Мир"., расположенного по адресу: Ростовская область, Чертковский  район, с. Сохрановка, ул. Школьная,  д. 2 б,  к.н.з.у. 61:42:0150101:612</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</si>
  <si>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Киселева Ю.В., расположенного по адресу: Ростовская область, Миллеровский  район, сл. Волошино, ул. Первомайская, д. 52, к.н.з.у. 61:22:0020101:484</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</si>
  <si>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 Капелюшного В.Е., расположенного по адресу: Ростовская область, Кашарский район, х. Семеновка, ул. Заречная, д. 20, к.н.з.у. 61:16:0130701:145</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</si>
  <si>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квартиры Заявителя, Лиманского И.Н., расположенной по адресу: Ростовская область, Кашарский район, п. Индустриальный, ул. Зеленая, д. 2, кв. 1, к.н.з.у. 61:16:0060101:470 (1 шт.)</t>
  </si>
  <si>
    <t>Обеспечение коммерческим учетом электрической энергии (мощности) в точке поставки и установка шкафа 0,4 кВ с коммутационным аппаратом, для электроснабжения жилого дома заявителя, Поповой Н.П., расположенного по адресу: Ростовская область, Шолоховский район, х. Дударевский, ул. Свдовая, д. 3, к.н.з.у. 61:43:0040101:482</t>
  </si>
  <si>
    <t>Строительство ВЛ-0,4кВ от опоры №52/3 по ВЛ-0,4кВ №2 КТП-10/0,4 кВ №284 по ВЛ-10кВ №5 ПС 35/10кВ "Ореховская",  установка прибора коммерческого учета электрической энергии (мощности) в точке поставки и установка шкафа 0,4кВ с коммутационным аппаратом (1 шт.) для технологического присоединения личного подсобного хозяйства заявителя Шишкова Ю.А.,расположенного по адресу: Ростовская область, Миллеровский р-н ,х. Ореховка,(к.н.з.у. 61:22:0600027:2077) (ориентировочная протяженность ЛЭП-0,055 км,)</t>
  </si>
  <si>
    <t>Строительство ВЛ-0,4 кВ от опоры №8 по ВЛ-0,4 кВ №1 КТП-10/0,4 кВ №165 по ВЛ-10 кВ №5 ПС 35/10 кВ «Долотинская»,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Думина С.А., расположенного по адресу: Ростовская область, Миллеровский р-н, х. Новоалександровка, ул. Горная, д. 11 (к.н.з.у. 61:22:0060901:21) (ориентировочная протяженность ЛЭП – 0,3 км) (1 шт.)</t>
  </si>
  <si>
    <t>Строительство ВЛ-10 кВ от опоры № 81 по ВЛ-10 кВ № 2 ПС 35/10 кВ «Криворожская» с установкой КТП и строительством ВЛ-0,4 кВ, установка коммерческого учета электрической энергии (мощности) в точке поставки и установка шкафа 0,4 кВ с коммутационным аппаратом, для технологического присоединения ангара заявителя, ИП Шоста А.Н., расположенного в Ростовской области, Миллеровский р-н, сл. Криворожье, Криворожское сельское поселение,  (61:22:0600024:703) (ориентировочная   протяженность ЛЭП – 0,026 км, ориентировочная мощность ТП – 0,025 МВА) (1 шт.)</t>
  </si>
  <si>
    <t>Строительство ВЛ-0,4 кВ от опоры №13 по ВЛ-0,4 кВ №1 КТП-10/0,4 кВ №662 по ВЛ-10 кВ №1 ПС 35/10 кВ «Криворожская»,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сельскохозяйственного ангара заявителя, Луганцева А.С., расположенного по адресу: Ростовская область, Миллеровский р-н, Криворожское сельское поселение (к.н.з.у. 61:22:0600024:710) (ориентировочная протяженность ЛЭП – 0,05 км) (1 шт.)</t>
  </si>
  <si>
    <t>Строительство ВЛ-0,4 кВ от опоры №13/14 по ВЛ-0,4 кВ №3 КТП-10/0,4 кВ №210 по ВЛ-10 кВ №1 ПС 110/35/10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Фроловой В.В., расположенного по адресу: Ростовская область, Шолоховский р-н, х. Антиповский, ул. Школьная, д. 78, (к.н.з.у. 61:43:0030201:206) (ориентировочная протяженность ЛЭП – 0,12 км) (1 шт.)</t>
  </si>
  <si>
    <t>Строительство ВЛ-0,4 кВ от опоры №3/5 по ВЛ-0,4 кВ №2 ЗТП-10/0,4 кВ №379 по ВЛ-10 кВ №3 ПС 35/10 кВ «Колундаевская»,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Афанасьева П.Н., расположенного по адресу: Ростовская область, Шолоховский р-н, х. Колундаевский, ул. Школьная, д. 4, (к.н.з.у. 61:43:0060101:1105) (ориентировочная протяженность ЛЭП – 0,075 км) (1 шт.)</t>
  </si>
  <si>
    <t>Строительство ВЛ-0,4 кВ от опоры №12 по ВЛ-0,4 кВ №3 КТП-10/0,4 кВ №104 по ВЛ-10 кВ №1 ПС 35/10 кВ «Базковская»,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Медведевой Н.М., расположенного по адресу: Ростовская область, Шолоховский р-н, х. Громковский, ул. Советская, д. 302 а, (к.н.з.у. 61:43:0010501:968) (ориентировочная протяженность ЛЭП – 0,085 км)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</si>
  <si>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Семиляковой О.И., расположенного по адресу: Ростовская область,Кашарский  район, х. Новодонецкий, ул. Ольховая, д.50, к.н.з.у. 61:16:0010201:134</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</si>
  <si>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Рыбаковой С.А., расположенного по адресу: Ростовская область, Шолоховский район, х. Колундаевский, пер. Новый, д.4, к.н.з.у. 61:43:0060101:497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</si>
  <si>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Харченко Ю.А., расположенного по адресу: Ростовская область, Кашарский район, с. Россошь, ул. Центральная, д. 53, к.н.з.у. 61:16:0140101:52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</si>
  <si>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Подкуйко А.В., расположенного по адресу: Ростовская область, Миллеровский  район, х. Новоандреевка, ул. Донецкая, д. 12, кв. 1, к.н.з.у. 61:22:0010801:29</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</si>
  <si>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Сакменновой В.Ф., расположенного по адресу: Ростовская область, Верхнедонской  район, х. Базковский, ул. Базковская, д.15, к.н.з.у. 61:07:0060201:11</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</si>
  <si>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Абаевой Х.Х., расположенного по адресу: Ростовская область, Шолоховский  район, х. Плешаковский, ул. Лесная, д. 37, к.н.з.у. 61:43:0050501:60</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</si>
  <si>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Кибасова В.А., расположенного по адресу: Ростовская область, Миллеровский  район, х. Треневка, ул. Российская, д. 30, к.н.з.у. 61:22:0061101:141</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</si>
  <si>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Пугачевой О.Н., расположенного по адресу: Ростовская область, Миллеровский  район, х. Треневка, ул. Восточная, д. 17, к.н.з.у. 61:22:0061101:75</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</si>
  <si>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Шуруповой Е.С., расположенного по адресу: Ростовская область, Верхнедонской район,   ст. Казанская, ул. Дальняя, д.17, к.н.з.у. 61:07:0050101:3323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</si>
  <si>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Решетниковой Е.А., расположенного по адресу: Ростовская область, Верхнедонской  район, х. Поповка, ул. Атаманская, д.79, к.н.з.у. 61:07:0040401:572</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</si>
  <si>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Дрынкина С.А., расположенного по адресу: Ростовская область, Верхнедонской  район, ст. Мешковская, ул.Молодежная, д.41, к.н.з.у. 61:06:49:05:00:00:509</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</si>
  <si>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Бондарева В.Н., расположенного по адресу: Ростовская область, Шолоховский район,   х. Колундаевский, ул. Гвардейская, д.26, к.н.з.у. 61:43:0060101:463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</si>
  <si>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Нестерович Д.Ю., расположенного по адресу: Ростовская область, г. Миллерово, сад. Маслодел, проезд 4, участок 16,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</si>
  <si>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нежилого здания  заявителя, ИП Лиховидова И.И., расположенного по адресу: Ростовская область, Шолоховский  район, х. Меркуловский, ул. Центральная, д. 51, к.н.з.у. 61:43:0080101:512 (1 шт.)</t>
  </si>
  <si>
    <t>Строительство ВЛ-10 кВ от опоры № 170 по ВЛ-10 кВ № 4 ПС 35/10 кВ «Кружилинская» с установкой КТП и строительством ВЛ-0,4 кВ, установку коммерческого учета (3 шт.) электрической энергии (мощности) в точке поставки и установка шкафов 0,4 кВ с коммутационным аппаратом, для технологического присоединения жилых домов заявителей, Заикина В.В., Чернышевой Ю.В., и Торопова А.В., расположенных в Ростовской области, Шолоховский р-н, х. Чукаринский, ул Сосновая 26, ул. Сосновая 28, ул. Сосновая 30 (61:43:0070501:206, 61:43:0070501:205, 61:43:0070501:207) (ориентировочная   протяженность ЛЭП – 0,24 км, ориентировочная мощность ТП – 0,063 МВА) (3 шт.)</t>
  </si>
  <si>
    <t>Строительство ВЛ-10 кВ от опоры №3/51/209 по ВЛ-10 кВ №18  ПС 110/35/10 кВ "ГОК" с установкой ТП и строительством ВЛ-0,4 кВ установка коммерческого учета электрической энергии (мощности) в точке поставки и установка шкафа 0,4 кВ с коммутационным аппаратом (1шт.), для технологического присоединения мастерской по ремонту сельскохозяйственной техники заявителя, ООО "Агросервис", расположенной в  Ростовская область, г. Миллерово, (61:54:0100001:17) (ориентировочная протяженность ЛЭП-0,48 км, ориентировочная мощность ТП- 0,16 МВА)</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</si>
  <si>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Мазанова С.П., расположенного по адресу: Ростовская область, Шолоховский  район, х. Громковский, ул. Почтовая, д. 141а, к.н.з.у. 61:43:0010501:1216</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</si>
  <si>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Насоновой О.С., расположенного по адресу: Ростовская область, Верхнедонской  район, х. Макаровский, ул.Макаровская, д.25, к.н.з.у. 61:07:0100101:52</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</si>
  <si>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Голубева Е.А., расположенного по адресу: Ростовская область, Шолоховский  район, х. Калининский, ул. Донская, д. 5, к.н.з.у. 61:43:0050101:612</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</si>
  <si>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Мирошниченко С.А., расположенного по адресу: Ростовская область, Миллеровский  район, сл. Титовка, ул. Пушкина, д. 18, 61:22:0150101:141</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</si>
  <si>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Тюрина А.А., расположенного по адресу: Ростовская область, Миллеровский  район, сл. Дегтево, ул. Садовая, д. 40,  61:22:0030101:45</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</si>
  <si>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Тесля А.Н., расположенного по адресу: Ростовская область,Кашарский  район, с. Россошь, ул. Центральная, д.114, к.н.з.у. 61:16:0140101:642</t>
  </si>
  <si>
    <t>Установка прибора учета электрической энергии (мощности) в точке поставки и установка шкафа 0,4 кВ с коммутационным аппаратом для электроснабжения склада заявителя, ИП Шоста А.Н., расположенного по адресу: Ростовская область, Миллеровский район, Криворожское сельское поселение, к.н.з.у. 61:22:0600024:548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</si>
  <si>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личного подсобного хозяйства заявителя, Саламахина А.В., расположенного по адресу: Ростовская область, Миллеровский  район, Дегтевское сельское поселение, к.н.з.у. 61:22:0030101:2331</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</si>
  <si>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Зимовнова П.В., расположенного по адресу: Ростовская область, Шолоховский район, х. Антиповский, ул. Заречная, д. 50, к.н.з.у. 61:43:0030201:323 (1 шт.)</t>
  </si>
  <si>
    <t>Строительство ВЛ-10 кВ от опоры № 30/39 по ВЛ-10 кВ № 2 ПС 110/35/10 кВ «Колодезянская» с установкой КТП и строительством ВЛ-0,4 кВ, установка приборов учета электрической энергии (мощности) в точках поставки и установка шкафов (0,22 и 0,4 кВ) с коммутационными аппаратами, для технологического присоединения нежилого помещения, жилых домов Заявителей, расположенных в Ростовской области, Миллеровский р-н, сл. Колодези, ул. Кравченко, (ориентировочная   протяженность ЛЭП – 1,082 км, ориентировочная мощность ТП – 0,16 МВА, количество приборов учёта 0,22 кВ – 5 шт., 0,4 кВ – 3 шт.)</t>
  </si>
  <si>
    <t>Строительство ВЛ-0,4кВ от опоры №5 по ВЛ-0,4кВ №2 КТП-10/0,4 кВ №722 по ВЛ-10кВ №5 ПС 110/10кВ "Маяк",  установка прибора коммерческого учета электрической энергии (мощности) в точке поставки и установка шкафа 0,4кВ с коммутационным аппаратом (1 шт.) для технологического присоединения базовой станции заявителя, ООО "Т2 Мобайл",расположенной по адресу: Ростовская область, Миллеровский р-н , сл. Никольская, ул. Российская, д. 12, кв. 2  к.н.з.у. 61:22:0100101:53 (ориентировочная протяженность ЛЭП-0,16 км,)</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</si>
  <si>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Гуртовой З.И., расположенного по адресу: Ростовская область,Кашарский  район, с. Первомайское, ул. Калинина, д.20, к.н.з.у. 61:16:0110102:717 91 шт.)</t>
  </si>
  <si>
    <t>Строительство ВЛ-0,4 кВ от опоры №2/27 по ВЛ-0,4 кВ №2 КТП-10/0,4 кВ №28 по ВЛ-10 кВ №4 ПС 35/10 кВ "Боковская" , установка прибора коммерческого учета  электрической энергии (мощности) в точке поставки и установки шкафа 0,4кВ с коммутационным аппаратом, (1 шт) для технологического присоединения жилого дома заявителя, Гладковой Н.В., расположенного по адресу: Ростовская область, Боковский р-н , х. Дуленков, ул. Огородная, д 23-Г., (к.н.з.у. 61:05:0010603:198), (ориентировочная протяженность ЛЭП-0,066 км)</t>
  </si>
  <si>
    <t>Строительство ВЛ-10 кВ от опоры № 5/164 по ВЛ-10 кВ № 2 ПС 110/35/10 кВ «Сохрановская» с установкой КТП и строительством ВЛ-0,4 кВ, установка приборов учета электрической энергии (мощности) в точках поставки и установка шкафов ( 0,4 кВ) с коммутационными аппаратами, для технологического присоединения гостиницы и объекта общественного питания Заявителя, Курганской Л.А., расположенных в Ростовской области, Чертковский р-н, х. Нагибин, ул. Молодежная 53, 55,  (ориентировочная   протяженность ЛЭП – 0,322 км, ориентировочная мощность ТП – 0,16 МВА, количество приборов учёта 0,4 кВ – 2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</si>
  <si>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Беловой Е.Ю., расположенного по адресу: Ростовская область, Шолоховский  район, х. Меркуловский, пер. Донской, д. 16, к.н.з.у. 61:43:0080101:543</t>
  </si>
  <si>
    <t>Установка прибора учета электрической энергии (мощности) в точке поставки и установка шкафа 0,4 кВ с коммутационным аппаратом для электроснабжения базовой станции сотовой связи заявителя, ООО «ТехноСтройГрупп», расположенной по адресу: Ростовская область, Шолоховский район, х. Калининский, к.н.з.у. 61:43:0050101</t>
  </si>
  <si>
    <t>Установка прибора учета электрической энергии (мощности) в точке поставки и установка шкафа 0,4 кВ с коммутационным аппаратом для электроснабжения квартиры заявителя, Крючковой Н.А., расположенной по адресу: Ростовская область, Миллеровский район, г. Миллерово, ул. Хозяйственная, д. 8, кв, 2 к.н.з.у. 61:54:0050001:156</t>
  </si>
  <si>
    <t>Строительство ВЛ-10 кВ от опоры № 35 по ВЛ-10 кВ № 2 ПС 35/10 кВ «Курская» с установкой КТП и строительством ВЛ-0,4 кВ, установка коммерческого учета электрической энергии (мощности) в точке поставки и установка шкафа 0,4 кВ с коммутационным аппаратом, для технологического присоединения ангара заявителя, ИП Глава КФХ Петров Н.Ю., расположенного в Ростовской области, Миллеровский р-н, Криворожское сельское поселение,  (61:22:0600020:466) (ориентировочная   протяженность ЛЭП – 1,355 км, ориентировочная мощность ТП – 0,025 МВА) (1 шт)</t>
  </si>
  <si>
    <t>Строительство ВЛ-10 кВ от опоры № 10/92 по ВЛ-10 кВ № 7 ПС 110/35/10 кВ «Сулин» с установкой КТП и строительством ВЛ-0,4 кВ, установка коммерческого учета электрической энергии (мощности) в точке поставки и установка шкафа 0,4 кВ с коммутационным аппаратом, для технологического присоединения коровника заявителя, ИП Глава КФХ Ломатченко Ю.А., расположенного в Ростовской области, Миллеровский р-н, Сулинское сельское поселение,  (61:22:0600022:800) (ориентировочная   протяженность ЛЭП – 2,05 км, ориентировочная мощность ТП – 0,025 МВА)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</si>
  <si>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личного подсобного хозяйства заявителя, Хмеловского А.А., расположенного по адресу: Ростовская область, Миллеровский район, х. Банниково-Александровский, ул. Степная, д. 6, корп. а, к.н.з.у. 61:22:0010201:672»</t>
  </si>
  <si>
    <t>Строительство ВЛ-10 кВ от опоры № 22/52 по ВЛ-10 кВ № 1 ПС 110/10 кВ «Дегтевская» с установкой КТП и строительством ВЛ-0,4 кВ», обеспечение коммерческим учетом электрической энергии (мощности) в точке поставки и установка шкафа 0,4 кВ с коммутационными аппаратами, для технологического присоединения ангара заявителя, ИП Беличенко А.Е., расположенного Ростовская область, Миллеровский р-н, (к.н.з.у. 61:22:0600006:1227) (ориентировочная протяженность ЛЭП – 0,955 км, ориентировочная мощность ТП – 0,025 МВА)</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</si>
  <si>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Губарева А.С., расположенного по адресу: Ростовская область, Шолоховский район, х. Калиновский, пер. Южный, д. 6, к.н.з.у. 61:43:0080501:342"</t>
  </si>
  <si>
    <t>Строительство ВЛ-10 кВ от опоры № 234/45 по ВЛ-10 кВ № 1 ПС 110/35/10 кВ «Вешенская 1» с установкой КТП и строительством ВЛ-0,4 кВ», для технологического присоединения жилого дома заявителя, Дударевой А.П., расположенного в Ростовской области, Шолоховский р-н, х. Щебуняевский, ул. Песчаная 9 (61:43:0080601:14, (ориентировочная протяженность ЛЭП – 0,96 км, ориентировочная мощность ТП – 0,025 МВА)</t>
  </si>
  <si>
    <t xml:space="preserve">Строительство ВЛ-0,4 кВ от РУ 0,4 кВ КТП-10/0,4 кВ №249 по ВЛ-10 кВ №6 ПС 110/35/10 кВ «Вешенская 1», установка прибора коммерческого учета электрической энергии (мощности) в точке поставки и установка шкафа 0,4 кВ с коммутационным аппаратом, (1 шт.) для технологического присоединения жилого дома заявителя, Бесхлебнова А.Ф., расположенного по адресу: Ростовская область, Шолоховский р-н, х. Черновский, ул. Заречная, д.1, (к.н.з.у. 61:43:0060801:441) (ориентировочная протяженность ЛЭП – 0,86 км) </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</si>
  <si>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Литовченко Н.Т., расположенного по адресу: Ростовская область, Миллеровский район, х. Кумшацкий, ул. Майская, д. 69, корп. а, к.н.з.у. 61:22:0010601:107</t>
  </si>
  <si>
    <t>Установка прибора учета электрической энергии (мощности) в точке поставки и установка шкафа 0,4 кВ с коммутационным аппаратом для электроснабжения земельного участка заявителя Горбачева П.А., расположенного по адресу: Ростовская область, Верхнедонской район, х. Заикинский, 0,1 км. на север, к.н.к. 61:07:0600010:208</t>
  </si>
  <si>
    <t>Установка прибора учета электрической энергии (мощности) в точке поставки и установка шкафа 0,4 кВ с коммутационным аппаратом для электроснабжения земельного участка заявителя Захаренко В.В., расположенного по адресу: Ростовская область, Верхнедонской район, ст. Казанская, ул. Трудовая, д. 7, к.н.з.у. 61:07:0050101:3307, (1 шт.)</t>
  </si>
  <si>
    <t>Установка прибора учета электрической энергии (мощности) в точке поставки и установка шкафа 0,4 кВ с коммутационным аппаратом для электроснабжения уличного освещения заявителя Администрация Михайлово-Александровского СП, расположенного по адресу: Ростовская область, Чертковский район,с.Михайлово-Александровка,ул..Большевистская д.36,к.н.з.у. 61:42:0090101:896</t>
  </si>
  <si>
    <t>Установка прибора учета электрической энергии (мощности) в точке поставки и установка шкафа 0,4 кВ с коммутационным аппаратом для электроснабжения жилого дома заявителя Муратовой Е.А., расположенного по адресу: Ростовская область, Миллеровский  район,х.Банниково-Александровский,ул.Студенческая д.8, к.н.з.у. 61:22:0010201:113</t>
  </si>
  <si>
    <t>Строительство ВЛ 0,4 кВ от ВЛ 0,4 кВ №1 КТП №629 ВЛ 10 кВ №501 ПС 35 кВ АС5 для электроснабжения ВРУ 0,4 кВ жилого дома Апальковой Ю. А. на участке с КН 61:02:0020101:131 в х. Алитуб Аксайского района Ростовской области (ориентировочная протяжённость ЛЭП 0,028 км)</t>
  </si>
  <si>
    <t xml:space="preserve">Строительство ВЛ 0,4 кВ от сущ. опоры №1/10 ВЛ 0,4 кВ №1 КТП 10/0,4 кВ № 89 ВЛ 10 кВ №706 ПС 110/10 кВ АС 7 для электроснабжения ВРУ 0,4 кВ жилого дома Бандурина В.А. на участке с КН 61:02:00600007:2787, в п. Красный Колос, ул, Казачья, 8, Аксайский район Ростовской области </t>
  </si>
  <si>
    <t>Строительство ВЛ 0,4 кВ от ВЛ 0,4 кВ №2 КТП №72 ВЛ 6 кВ №804 ПС 35 кВ АС8 для электроснабжения ВРУ 0,4 кВ жилого дома Басенко Е. В. на участке с КН 61:02:0600010:3456 в п. Российский Аксайского района Ростовской области (ориентировочная протяжённость ЛЭП 0,055 км)</t>
  </si>
  <si>
    <t>Строительство ТП 10/0,4 кВ, ВЛ 0,4 кВ,  ВЛ 10 кВ от ВЛ 10 кВ №1003 ПС 110 кВ АС10 для электроснабжения жилого дома Вуколова К.В. По ул. Краузиной, 6 в ст-це Грушевская Аксайского района Ростовской области (ориентировочная мощность трансформатора 0,250 МВА, ориентировочная протяженность ЛЭП 0,280 км)</t>
  </si>
  <si>
    <t>Строительство ВЛ 10 кВ от опоры №20 ВЛ 10 № 1406 ПС 35/10 кВ АС 14 для электроснабжения КТПН-10/0,4 кВ нежилого здания ИП Гореловский С.В. на участке с КН 61:02:0600008:1875 в п. Рассвет, ул. Магистральная, 7, Аксайского района Ростовской области (ориентировочная протяжённость ЛЭП 0,195 км)»</t>
  </si>
  <si>
    <t>«Строительство ВЛ 0,4 кВ от РУ 0,4 кВ техперевооружаемой КТП №190 (по договору №61-1-19-00484861 от 28.11.2019 г.) ВЛ 10 кВ №1513 ПС 110 кВ АС15 для электроснабжения ВРУ 0,4 кВ жилого дома Жалолова Р. Н. по ул. Вишневая, 2/12 в п. Водопадный Аксайского района Ростовской области (ориентировочная протяжённость ЛЭП 0,076 км)»</t>
  </si>
  <si>
    <t>Строительство ВЛ 0,4 кВ от ВЛ 0,4 кВ №1 КТП №450 ВЛ 10 кВ №1103 ПС 110 кВ АС11 для электроснабжения ВРУ 0,4 кВ жилого дома Кабраль Д. С. на участке с КН 61:02:0600009:3051 в ст-це Мишкинская Аксайского района Ростовской области (ориентировочная протяжённость ЛЭП 0,085 км)</t>
  </si>
  <si>
    <t>Строительство ВЛ 0,4 кВ от РУ 0,4 кВ КТП №95 ВЛ 6 кВ №305 ПС 35 кВ АС3 для электроснабжения автомойки ИП Ткачевой В. А. на участке с КН 61:02:0120103:799 в г. Аксае Аксайского района Ростовской области (ориентировочная протяжённость ЛЭП 0,2 км)</t>
  </si>
  <si>
    <t>Установка прибора учета для присоединения жилого дома Антонова С.М., расположенного по адресу: Ростовская обл., р-н. Аксайский, х. Махин, ул. Дружбы,  д. 20/6, кадастровый номер земельного участка: 61:02:0600015:5732»(1шт)</t>
  </si>
  <si>
    <t>Установка прибора учета для присоединения жилого дома Арутюняна Р.Р., расположенного по адресу: Ростовская обл., р-н. Аксайский, х. Ленина, ул. Победы, д. 13, кадастровый номер земельного участка: 61:02:0060101:391»(1шт)</t>
  </si>
  <si>
    <t>Установка прибора учета для присоединения жилого дома Кузьменко В.Г., расположенного по адресу: Ростовская обл., р-н. Аксайский, х. Алитуб, ул. Заречная,  д. 1, кадастровый номер земельного участка: 61:02:0020101:728»(1шт)</t>
  </si>
  <si>
    <t>Установка прибора учета для присоединения жилого дома Лямкиной Н.Б., расположенного по адресу: Ростовская обл., р-н. Аксайский, х. Верхнеподпольный, ул. Советская,  д. 110,  корп. А, кадастровый номер земельного участка: 61:02:0020201:634»(1шт)</t>
  </si>
  <si>
    <t>Установка прибора учета для присоединения жилого дома Ситниковой М.А., расположенного по адресу: Ростовская обл., р-н. Аксайский, ст-ца. Ольгинская, ул. Кузнецкая,  д. 57,  корп. А, кадастровый номер земельного участка: 61:02:0090102:3439»(1шт)</t>
  </si>
  <si>
    <t>Установка прибора учета для присоединения жилого дома Багдасарян С.Г., расположенного по адресу: Ростовская обл., р-н. Аксайский, п. Темерницкий, ул. Ореховая,  д. 2,  корп. В, кадастровый номер земельного участка: 61:02:0600005:5935»(1шт)</t>
  </si>
  <si>
    <t>Установка прибора учета для присоединения жилого дома Бесединой Р.Н., расположенного по адресу: Ростовская обл., р-н. Аксайский, п. Янтарный, пер. Незабудковый,  д. 5, кадастровый номер земельного участка: 61:02:0010102:3 (1шт)</t>
  </si>
  <si>
    <t>Установка прибора учета для присоединения жилого дома Васильева С.П., расположенного по адресу: Ростовская обл., р-н. Аксайский, ст-ца. Старочеркасская, ул. Революционная, д. 12, кадастровый номер земельного участка: 61:02:0110101:114»(1шт),</t>
  </si>
  <si>
    <t>Установка прибора учета для присоединения жилого дома Головиной Е.В., расположенного по адресу: Ростовская обл., р-н. Аксайский, г. Аксай, ул. Ильинская,  д. 58, кадастровый номер земельного участка: 61:02:0600010:4143 (1 шт)</t>
  </si>
  <si>
    <t>Установка прибора учета для присоединения жилого дома Лагоды М.А., расположенного по адресу: Ростовская обл., р-н. Аксайский, ст-ца. Мишкинская, ул. Платова, д. 12, кадастровый номер земельного участка: 61:02:0070201:667» (1шт)</t>
  </si>
  <si>
    <t>Установка прибора учета для присоединения жилого дома Ледник Е.В., расположенного по адресу: Ростовская обл., р-н. Аксайский, п. Щепкин, ул. Первомайская, д. 136, кадастровый номер земельного участка: 61:02:0080505:21» (1шт)</t>
  </si>
  <si>
    <t>Установка прибора учета для присоединения жилого дома Лубенец А.С., расположенного по адресу: Ростовская обл., р-н. Аксайский, п. Октябрьский, ул. Советская,  д. 38а, кадастровый номер земельного участка: 61:02:0080106:309»(1шт)</t>
  </si>
  <si>
    <t>Установка прибора учета для присоединения жилого дома Назарян Н.Р., расположенного по адресу: Ростовская обл., р-н. Аксайский, ст-ца. Старочеркасская, ул. Мира,  д. 7-г/1, кадастровый номер земельного участка: 61:02:0600013:2438»(1шт)</t>
  </si>
  <si>
    <t>Установка прибора учета для присоединения жилого дома Плахотниковой Галины Ивановны расположенного по адресу: Ростовская обл., р-н. Аксайский, п. Октябрьский, ул. Советская,  д. 28, кадастровый номер земельного участка: 61:02:0080103:571(1шт)</t>
  </si>
  <si>
    <t>Установка прибора учета для присоединения жилого дома Ревидович М.Н., расположенного по адресу: Ростовская обл., р-н. Аксайский, п. Октябрьский, ул. Лесная, д. 23, кадастровый номер земельного участка: 61:02:0600004:21549(1шт)</t>
  </si>
  <si>
    <t>Установка прибора учета для присоединения жилого дома Румянцевой Н.И., расположенного по адресу: Ростовская обл., р-н. Аксайский, п. Щепкин, ул. Еременко, в районе уч. 33, кадастровый номер земельного участка: 61:02:0600006:6220(1шт)</t>
  </si>
  <si>
    <t>Установка прибора учета для присоединения жилого дома Степанова П.В., расположенного по адресу: Ростовская обл., р-н. Аксайский, п. Красный, ул. Толстого, д. 12, кадастровый номер земельного участка: 61:02:00080601:1449»(1шт)</t>
  </si>
  <si>
    <t>Установка прибора учета для присоединения жилого дома Чернеева В.А., расположенного по адресу: Ростовская обл., Аксайский р-н., ст-ца. Старочеркасская, ул. Ильинская,  д. 17, кадастровый номер земельного участка:  61:02:0600013:1915» (1шт),</t>
  </si>
  <si>
    <t>Установка прибора учета для присоединения жилого дома Шепетина В.С., расположенного по адресу: Ростовская обл., р-н. Аксайский, г. Аксай, ул. Иевлева/Солнечная, д. 56/10 кадастровый номер земельного участка: 61:02:0120145:123(1шт)</t>
  </si>
  <si>
    <t>Установка прибора учета для присоединения  жилого дома Жукова М.Г., расположенного по адресу: Ростовская область, Багаевский район, х. Красный, ул. Полевая, д. 28, к.н. 61:03:060111:0019</t>
  </si>
  <si>
    <t>Установка прибора учета для присоединения  жилого дома Нам П.А., расположенного по адресу: Ростовская область, Багаевский район, х. Усьман, ул. Братская, д. 4, к.н. 61:03:060405:0021</t>
  </si>
  <si>
    <t>Установка прибора учета для присоединения жилого дома Аванесяна А.Ю., расположенного по адресу: Ростовская обл., р-н. Аксайский, ст-ца. Старочеркасская, ул. Минаева, д. 29, кадастровый номер земельного участка: 61:02:0110102:3645»(1шт)</t>
  </si>
  <si>
    <t>Установка прибора учета для присоединения жилого дома Безрук Е.А., расположенного по адресу: Ростовская обл., г. Новочеркасск, СТ №6, д. 67, кадастровый номер земельного участка: 61:55:0011016:51»(1шт)</t>
  </si>
  <si>
    <t>Установка прибора учета для присоединения жилого дома Бросалина С.А., расположенного по адресу: Ростовская обл., р-н. Аксайский, п. Водопадный, ул. Вишневая, д. 5, кадастровый номер земельного участка: 61:02:0010802:73.»(1шт)</t>
  </si>
  <si>
    <t>Установка прибора учета для присоединения жилого дома Гончаровой М. Д., расположенного по адресу: Российская Федерация, Ростовская обл., р-н. Аксайский, х. Махин, пер. Радужный, д. 13, кадастровый номер земельного участка: 61:02:0600015:5347»(1шт)</t>
  </si>
  <si>
    <t>Установка прибора учета для присоединения жилого дома Горбачева В.Ю., расположенного по адресу: Ростовская обл., р-н. Аксайский, ст-ца. Ольгинская, ул. Верхне-Луговая,  д. 108,  корп. Б, кадастровый номер земельного участка: 61:02:0090103:2447»(1шт)</t>
  </si>
  <si>
    <t>Установка прибора учета для присоединения жилого дома Ивановского П.С., расположенного по адресу: Ростовская обл., р-н. Аксайский, х. Камышеваха, пер. Хризолитовый, д. 4, кадастровый номер земельного участка: 61:02:0010401:747»(1шт)</t>
  </si>
  <si>
    <t>Установка прибора учета для присоединения жилого дома Ковнеристовой Л.Н., расположенного по адресу: Ростовская обл., Родионово-Несветайский район, южнее х. Каменный Брод, уч. 5, кадастровый номер земельного участка: 61:33:0600015:1475»(1шт)</t>
  </si>
  <si>
    <t>Установка прибора учета для присоединения жилого дома Колтакова Е.В., расположенного по адресу: Ростовская обл., р-н. Аксайский, п. Щепкин, ул. Южная, д. 5, корп. Д, кадастровый номер земельного участка: 61:02:0080504:542» (1шт)</t>
  </si>
  <si>
    <t>Установка прибора учета для присоединения жилого дома Мелентьевой Э.М., расположенного по адресу: Ростовская обл., р-н. Аксайский, ст-ца. Грушевская, ул. Советская,  д. 75, кадастровый номер земельного участка: 61:02:0030111:97»(1шт)</t>
  </si>
  <si>
    <t>Установка прибора учета для присоединения жилого дома Носова А.В., расположенного по адресу: Ростовская обл., р-н. Аксайский, п. Темерницкий, ул. Самшитовая,  д. 17, кадастровый номер земельного участка: 61:02:0600005:7311(1шт)</t>
  </si>
  <si>
    <t>Установка прибора учета для присоединения жилого дома Ованесова А.С., расположенного по адресу: Ростовская обл., р-н. Аксайский, п. Темерницкий, ул. Березовая, д. 23, кадастровый номер земельного участка: 61:02:0600005:10146»(1 шт)</t>
  </si>
  <si>
    <t>Установка прибора учета для присоединения жилого дома Орлянского Ю.В., расположенного по адресу: Ростовская обл., р-н. Аксайский, х. Ленина, ул. Платова, д. 24, кадастровый номер земельного участка: 61:02:060101:0606»(1шт)</t>
  </si>
  <si>
    <t>Установка прибора учета для присоединения жилого дома Палий О.И., расположенного по адресу: Ростовская обл., р-н. Аксайский, п. Щепкин, ул. Западная, д. 2, корп. А, кадастровый номер земельного участка: 61:02:0080501:732»(1шт)</t>
  </si>
  <si>
    <t>Установка прибора учета для присоединения жилого дома Рудюк В.В., расположенного по адресу: Ростовская обл., р-н. Аксайский, ст-ца. Ольгинская, пер. 1-й,  д. 12, кадастровый номер земельного участка: 61:02:0090102:2979»(1шт)</t>
  </si>
  <si>
    <t>Установка прибора учета для присоединения жилого дома Топорова Н.М., расположенного по адресу: Ростовская обл., р-н. Аксайский, х. Большой Лог, пер. Мирный,  д. 2/1, кадастровый номер земельного участка: 61:02:0010201:6120»(1шт)</t>
  </si>
  <si>
    <t>Установка прибора учета для присоединения жилого дома Хмеленко Е. В., расположенного по адресу: Ростовская обл., совх. Каменобродский, район Родионово-Несветайский, кадастровый номер земельного участка: 61:33:0600015:554»(1шт)</t>
  </si>
  <si>
    <t>Установка прибора учета для присоединения жилого дома Частухина Д.К., расположенного по адресу: Ростовская обл., р-н. Аксайский, п. Щепкин, ул. Западная, д. 2, кадастровый номер земельного участка: 61:02:0081101:2340»(1шт)</t>
  </si>
  <si>
    <t xml:space="preserve">Установка прибора учета для присоединения жилого дома Чиркун С.А., расположенного по адресу: Ростовская обл., р-н. Аксайский, х. Пчеловодный, ул. Подтелкова,  д. 52, кадастровый номер земельного участка: 61:02:0010501:865»(1шт)
</t>
  </si>
  <si>
    <t xml:space="preserve">Установка приборов учета для присоединения жилых домов Абраменко А.А. Дробицкой В.В., расположенных по адресу: Ростовская обл., р-н. Аксайский, п. Российский, кадастровый номер земельного участка: 61:02:0600010:12257; Ростовская обл., р-н. Аксайский, п. Российский, северо-западное направление 2,0 км от центра х. Большой Лог, поле № 33, (2 шт) </t>
  </si>
  <si>
    <t>Установка приборов учета для присоединения жилых домов Акининой В.О, Емельянченко О.Н, расположенных по адресу: Ростовская обл., р-н. Аксайский, х. Большой Лог, кадастровые номера земельных участков: 61:02:0600011:1749, 61:02:0600011:1706» (2шт)</t>
  </si>
  <si>
    <t>Установка прибора учета для присоединения жилых домов Гниленко Т.Н., Намазова Е.А., Семенишиной А.Н., расположенных по адресу: Ростовская обл., р-н. Аксайский, п. Янтарный, КН ЗУ 61:02:0010125:49 ул. Рябиновая, д. 123, ул. Персиковая, 11/123,: (3шт),</t>
  </si>
  <si>
    <t>Установка приборов учета для присоединения жилых домов Говорухиной Л.В., Морланг Т.А., расположенных по адресу: Ростовская обл., р-н. Аксайский, г. Аксай, ул. Юрия Жульева, д. 18, , ул. Виктора Дацко, д. 63,(2шт)</t>
  </si>
  <si>
    <t>Установка приборов учета для присоединения жилых домов Гужвина Е.А Першиной О.В. Березиной Е.В. Руденко Т.Б. Соколова Е.А. Срапионян Т.С, расположенных по адресу: Ростовская обл., р-н. Аксайский, г. Аксай, пер. Генеральский, д. 15, пер. Генеральский, д. 14, пер. Генеральский, д. 17, пер. Генеральский, д. 11, ул. Ефремова, д. 15, ул. Ефремова, д. 20, (6шт)</t>
  </si>
  <si>
    <t>Установка прибора учета для присоединения жилых домов, Шарифовой А.Ш,. Шахвардиян Л.С , расположенных по адресу: Ростовская обл., р-н. Аксайский, п. Янтарный, ул. Кедровая, д. 7, кадастровый номер земельного участка: 61:02:0600010:3717, с/х. АО "Аксайское", поле № 42-Б, кадастровый номер земельного участка: 61:02:0600010:3655, (2шт)</t>
  </si>
  <si>
    <t>Установка приборов учета для присоединения жилых домов, расположенных по адресу: Ростовская обл., р-н. Азовский, п. Красный Сад, ул. Рубиновая, д. 42, кадастровый номер земельного участка: 61:01:0600007:2173, в границах землепользования СПК(артель) "Красный сад", кадастровый номер земельного участка:  61:01:0600007:2058, 61:01:0600007:1884, 61:01:0600007:2169» (4 шт)</t>
  </si>
  <si>
    <t>Установка прибора учета для присоединения жилого дома Мальцева Д.А., расположенного по адресу: Ростовская обл., р-н. Аксайский, п. Российский, ул. Теннистая,  д. 46/3, кадастровый номер земельного участка: 61:02:0600010:10274»(1 шт)</t>
  </si>
  <si>
    <t>Установка приборов учета для присоединения жилых домов Матвиенко Д.С. Савченко Н.В., расположенных по адресу: Ростовская обл., р-н. Азовский, п. Красный Сад, ул. Пушкина, д. 67  корп. А, д. 67, д. 67,  корп. Б, ул. Павловой,  д. 16,  корп. А, (4шт), мощность 60 кВт</t>
  </si>
  <si>
    <t>Установка прибора учета для присоединения жилых домов, расположенных по адресу: Ростовская обл., р-н. Аксайский, х. Нижнетемерницкий, 2-я Озерная, д.2а, кадастровый номер земельного участка: 61:02:0600005:10204, ул. 2-я Озерная, кадастровый номер земельного участка:  61:02:0600005:10184, ул. 2-я Озерная, к.н. 61:02:0600005:10194»(3шт)</t>
  </si>
  <si>
    <t>Установка прибора учета для присоединения жилых домов Подгорновой М. Н., Костюковой Е. Н., расположенных по адресу: Ростовская обл., р-н. Аксайский, ст-ца. Старочеркасская, пер. Степной, д. 7, корп. А, пер. Степной,  д.7, кадастровые номера земельных участков: 61:02:0110102:3560, 61:02:0110102:3562» (2шт)</t>
  </si>
  <si>
    <t>Установка прибора учета для присоединения нежилых зданий, расположенных по адресу: Ростовская обл., р-н. Аксайский, х. Камышеваха, ул. Светлая,  д. 2,  корп. В, кадастровый номер земельного участка: 61:02:0600010:15994, ул. Авантюриновая, д.4,  кадастровый номер земельного участка: 61:02:0600010:10293»(2шт)</t>
  </si>
  <si>
    <t>Установка прибора учета для присоединения жилых домов Сошниковой Е.В., Карпун О.А., расположенных по адресу: Ростовская обл., р-н. Азовский, п. Красный Сад, ул. Крылова, д. 36, корп. Б; д. 36, корп. В, кадастровые номера земельных участков: 61:01:0130201:4570; 61:01:0130201:4742» (2шт)</t>
  </si>
  <si>
    <t>Установка прибора учета для присоединения жилых домов, расположенных по адресу: Ростовская обл., р-н. Аксайский, п. Российский, ул. Средняя,  д. 18, кадастровый номер земельного участка: 61:02:010301:0146, ул. Нижняя,  д. 1-а, кадастровый номер земельного участка: 61:02:0010301:1150, ул. Заповедная, д. 30, кадастровый номер земельного участка: 61:02:0010301:1315 (3 шт)</t>
  </si>
  <si>
    <t>Установка приборов учета для присоединения жилых домов, расположенных по адресу: Ростовская обл., р-н. Аксайский, ст-ца. Мишкинская, пер. Степной, д. 7, кадастровый номер земельного участка:  61:02:0600009:1074, ул. Привольная,  д. 9а/6, кадастровый номер земельного участка:  61:02:0600009:2859, с/х. КСП им. М. Горького, кадастровый номер земельного участка:  61:02:0600009:1260»(3 шт)</t>
  </si>
  <si>
    <t>Установка приборов учета для присоединения жилых домов Чернова А.А, Шейко Е.А., расположенных по адресу: Ростовская обл., р-н. Аксайский, х. Большой Лог, ул. Майская, д. 15/14, и ЗУ с КН 61:02:0600011:869(2шт)</t>
  </si>
  <si>
    <t>Установка приборов учета для присоединения жилых домов, расположенных по адресу: Ростовская обл., р-н. Аксайский, п. Щепкин, ул. Крестьянская,  д. 16, кадастровый номер земельного участка: 61:02:0080505:1010, 61:02:0080505:1011»(2шт)</t>
  </si>
  <si>
    <t>Строительство ВЛ 0,4 кВ от ВЛ 0,4 кВ №2 КТП №137 ВЛ 10 кВ №108 ПС 110 кВ БГ1 для электроснабжения жилого дома Исаева И. по адресу РО, Багаевский район, х. Елкин, пер. Северный, д. 28, к.н. 61:03:0030133:16. (ориентировочная протяжённость ЛЭП 0,145 км)</t>
  </si>
  <si>
    <t>Установка прибора учета для присоединения  вагончика Александрова Ю. А., расположенного по адресу: РО, Веселовский район, х. Верхний Хомутец, ул. Курская, 1-г, к.н. 61:06:0010207:147</t>
  </si>
  <si>
    <t xml:space="preserve">Установка прибора учета для присоединения  нежилого помещения Колотовкина В. Ф., расположенного по адресу: РО, Веселовский район, п. Веселый, пер. Комсомольский, 54-а, пом. № 1, к.н. 61:06:0010126:792
</t>
  </si>
  <si>
    <t>Установка прибора учета для присоединения  магазин ИП Моржуковой Е. В., расположенный по адресу: Ростовская область, Веселовский район, п. Веселый, ул. Ленинская, 84-а, к.н. 61:06:0010126:181</t>
  </si>
  <si>
    <t>Установка прибора учета для присоединения  жилого дома Нестеренко А. А., расположенного по адресу: Ростовская область, Веселовский район, п. Веселый, ул. Заречная, 26, к.н. 61:06:0010138:813</t>
  </si>
  <si>
    <t>Установка прибора учета для присоединения  жилого дома Шебалковой А. В, расположенного по адресу: Ростовская область, Веселовский район, п. Веселый, ул. Демьяна Бедного, 70, к.н. 61:06:0010121:43(1шт)</t>
  </si>
  <si>
    <t>Установка прибора учета для присоединения  жилого дома Якунина А. Е., расположенной по адресу: РО, Веселовский район, х. Позднеевка, ул. Мира, 2, к.н. 61:06:0060102:18</t>
  </si>
  <si>
    <t>Строительство ВЛ 0,4 кВ от опоры № 22 ВЛ-0,4 кВ № 3 КТП № 637 ВЛ 10 кВ №608 ПС СМ6  с установкой на границе земельного участка Заявителя прибора учета для электроснабжения ВРУ-0,4 кВ жилого дома заявителя Таировой А.Ш.(1 прибор учета)</t>
  </si>
  <si>
    <t xml:space="preserve">Строительство ВЛ 0,4 кВ от ВЛ 0,4 кВ №1 КТП №245 ВЛ 10 кВ №1513 ПС 110 кВ АС15 для электроснабжения ВРУ 0,4 кВ жилых домов Бугаян А. М. на участке с КН 61:02:060010:16034, 61:02:060010:16038 в п. Водопадный Аксайского района Ростовской области (ориентировочная протяжённость ЛЭП 0,130 км)
</t>
  </si>
  <si>
    <t>«Строительство КТПН 10/0,4 кВ, ВЛ 0,4 кВ, ВЛ 10 кВ от ВЛ 10 кВ №102 ПС 110 кВ АС1 для электроснабжения ВРУ 0,4 кВ гостиничного комплекса Казарян Н. С. на участке с КН 61:02:0000000:6785 в ст-це Ольгинская Аксайского района Ростовской области (ориентировочная мощность трансформатора 0,025 МВА, ориентировочная протяжённость ЛЭП 0,095 км)»</t>
  </si>
  <si>
    <t>Строительство ВЛ-0,4 кВ, ВЛ 0,4 кВ от опоры №9 ВЛ 0,4 кВ №3 КТП 10/0,4 кВ №419 ВЛ 10 кВ №1005 ПС 110/10 кВ АС 10 для электроснабжения жилого дома Любимова В.С. на участке с КН 61:02:0030107:281, в ст-це Грушевская Аксайского района Ростовской области (ориентировочная протяженность ЛЭП 0,022 км)</t>
  </si>
  <si>
    <t xml:space="preserve">Строительство ВЛ 0,4 кВ от проектируемой КТПН 10/0,4 кВ (по договору №61-1-19-00460413 от 08.08.2019 г.) КЛ 10 кВ №3ф3 РП-3 КЛ 10 кВ №1532 ПС 110 кВ АС15 для электроснабжения ВРУ 0,4 кВ шиномонтажа Нуриддиновой Т. Ш. по ул. Авиаторов, 4 в г. Аксае Аксайского района Ростовской области </t>
  </si>
  <si>
    <t>Установка прибора учета для присоединения  (ВРУ-0,4 кВ парка)., расположенной по адресу: Ростовская область, Аксайский район, ст. Ольгинская, ул. Ленина, д.152, КН 61:02:0090102:2929</t>
  </si>
  <si>
    <t>Установка прибора учета для присоединения  ВРУ 0,4 кВ жилого дома Краснова В. И., расположенного по адресу: Ростовская обл., Аксайский р-н, п. Красный Колос, ул. Куренная, 2А, участок с КН 61:02:0600007:3092</t>
  </si>
  <si>
    <t>Установка прибора учета для присоединения  жилого дома Лигай О.Т., расположенного по адресу: Ростовская область, Багаевский район, х. Елкин, пер. Новый, д. 3, к.н. 61:03:0030104:13 (1 шт)</t>
  </si>
  <si>
    <t>Установка прибора учета для присоединения  жилого дома Неведровой Т.С., расположенного по адресу: Ростовская область, Багаевский район, х. Арпачин, ул. Советская, д. 26-а, к.н. 61:03:0040204:37</t>
  </si>
  <si>
    <t>Строительство ТП 10/0,4 кВ, ВЛ 0,4 кВ, ВЛ 10 кВ от ВЛ 10 кВ №810 ПС 35 кВ В-8 для электроснабжения вагончика  ИП Главы КФХ Абдуловой С. Р. на участке с КН 61:06:0600004:40 в Веселовском районе Ростовской области, п. Полевой, участок находиться примерно в 1,2 км от ориентира по направлению на юго-восток п. Полевой</t>
  </si>
  <si>
    <t>Строительство ВЛ 0,4 кВ от ВЛ 0,4 кВ №1 КТП №3 ВЛ 10 кВ №158 ПС 110 кВ В1 для электроснабжения гаража Беляева В. А. по адресу РО, Веселовский район, п. Веселый, ул. Октябрьская, 2-ж, к.н. 61:06:0010135:243 (ориентировочная протяжённость ЛЭП 0,2 км)</t>
  </si>
  <si>
    <t>Строительство ВЛ 0,4 кВ по ВЛ 0,4 кВ №1 КТП №424 ВЛ 10 кВ №708 ПС 35 кВ В7 для электроснабжения мельницы ИП Главы КФХ Самаркина М. Н. по адресу РО, Веселовский район, х. Нижнесоленый, ул. Саманная, 1-а, к.н. 61:06:0020306:34 (ориентировочная протяжённость ЛЭП 0,195 км</t>
  </si>
  <si>
    <t>Установка прибора учета для присоединения ВРУ Базовой станции сотовой связи БС-1338 заявителя ООО «Т2 Мобайл»., расположенной по адресу: Ростовская обл., р-н. Семикаракорский, ст-ца. Новозолотовская, ул. Октябрьская, д. 5, кадастровый номер земельного участка: 61:35:0060101:486</t>
  </si>
  <si>
    <t>Установка прибора учета для присоединения ВРУ 0,4 кВ жилого дома Ушакова В.И., расположенного по адресу: Ростовская обл., р-н. Семикаракорский, х. Шаминка, ул. Ромашенко,  д. 58,  кв./оф. 2, кадастровый номер земельного участка: 61:35:0100301:1438 ( 1 шт)</t>
  </si>
  <si>
    <t>Установка приборов учета  для присоединения жилых домов в Аксайском районе Ростовской области (2этап 10 шт)</t>
  </si>
  <si>
    <t>Установка приборов учета для присоединения жилых домов в Аксайском районе Ростовской области» (1 этап 96 шт.)</t>
  </si>
  <si>
    <t xml:space="preserve">Строительство ВЛ 0,4 кВ от проектируемой ВЛ 0,4 кВ (по договору №61-1-18-00414451 от 03.12.2018 г.) проектируемого КТПН 10/0,4 кВ ВЛ 10 кВ №1203 ПС 110 кВ АС12 для электроснабжения ВРУ 0,4 кВ жилого дома Власова В. В. на участке с КН 61:33:0600015:581 в Родионово-Несветайском районе Ростовской области </t>
  </si>
  <si>
    <t>Строительство ВЛ 0,4 кВ от ВЛ 0,4 кВ №3 КТП №613 ВЛ 10 кВ №101 ПС 110 кВ АС1 для электроснабжения ВРУ 0,4 кВ жилого дома Жукова В. И. на участке с КН 61:02:0090102:3880 в ст-це Ольгинская Аксайского района Ростовской области (ориентировочная протяжённость ЛЭП 0,095 км)</t>
  </si>
  <si>
    <t xml:space="preserve">«Строительство ВЛ 0,4 кВ от РУ 0,4 кВ КТП №653 ВЛ 10 кВ №403 ПС 110 кВ АС4 для электроснабжения ВРУ 0,4 кВ жилого дома Кубанкина А. В. по пер. Новый, 6 в х. Ленина Аксайского района Ростовской области (ориентировочная протяжённость ЛЭП 0,150 км)»
</t>
  </si>
  <si>
    <t>Строительство ВЛ 0,4 кВ от ВЛ 0,4 кВ №2 техперевооружаемой КТП №73 (по договору №61-1-19-00513789 от 10.06.2020 г.) ВЛ 6 кВ №305 ПС 35 кВ АС3 для электроснабжения ВРУ 0,4 кВ жилого дома Манило С. Л. на участке с КН 61:02:0600010:14237 в г. Аксае Аксайского района Ростовской области</t>
  </si>
  <si>
    <t xml:space="preserve">Строительство ВЛ 0,4 кВ от проектируемой ВЛ 0,4 кВ (по договору №61-1-19-00444581 от 03.06.2019 г.) КТП №72 ВЛ 6 кВ №804 ПС 35 кВ АС8 для электроснабжения жилого дома Травенко Н. И. по ул. Еловая, 16 в п. Российский Аксайского района Ростовской области  </t>
  </si>
  <si>
    <t>Строительство ВЛ 0,4 кВ от ВЛ 0,4 кВ №1 КТП 10/0,4 кВ №83 ВЛ 10 кВ №301 ПС 35 кВ БГ3 для электроснабжения дачного дома Кнышева В.Г. по адресу РО, Багаевский район, п. Дачный, к.н. 61:03:0600004:3857. (ориентировочная протяжённость ЛЭП 0,025 км)</t>
  </si>
  <si>
    <t>Строительство ВЛ 0,4 кВ от ВЛ 0,4 кВ №3 КТП №577 ВЛ 10 кВ №704 ПС 35 кВ БГ7 для электроснабжения жилых домов Негодаева А.Л. и Цой В.В. по адресу РО, Багаевский район, х. Красный, ул. Новая, д. 18, д. 20, к.н. 61:03:0060107:336, к.н. 61:03:0060107:335</t>
  </si>
  <si>
    <t>Строительство ВЛ 0,4 кВ от ВЛ 0,4 кВ №1 КТП 10/0,4 кВ №11 ВЛ 10 кВ №259 ПС 110 кВ БГ2 для электроснабжения жилых домов Самокатовой И.В. и Романенко Т.К. по адресу РО, Багаевский район, ст. Манычская, ул. Озерная д. 3, д. 1, к.н. 61:03:0040130:35, к.н. 61:03:0040130:0034</t>
  </si>
  <si>
    <t xml:space="preserve">Установка коммерческого учета электрической энергии (мощности) 
в точке поставки по присоединению МБОУ «Федуловская средняя общеобразовательная школа», расположенной по адресу: Ростовская область, Багаевский район, х. Федулов, ул. Школьная, д. 16, к.н. 61:03:010204:0003 (1 шт)
</t>
  </si>
  <si>
    <t>Установка прибора учета для присоединения  жилого дома Чернышова О.Г., расположенного по адресу: Ростовская область, Багаевский район, х. Арпачин, ул. Береговая, д. 26, к.н. 61:03:0040215:17(1шт)</t>
  </si>
  <si>
    <t>Строительство ВЛ 0,4 кВ от РУ 0,4 кВ КТП 10/0,4 кВ №592 ВЛ 10 кВ №704 ПС 35 кВ БГ7 для электроснабжения склада Штоколова В.И. по адресу РО, Багаевский район, х. Красный, Красненское сельское поселение, к.н. 61:03:0600010:732(1). (ориентировочная протяжённость ЛЭП 0,03 км)</t>
  </si>
  <si>
    <t>Установка прибора учета для присоединения  жилого дома Криворотова Р. П, расположенного по адресу: Ростовская область, Веселовский район, п. Веселый, ул. Советская, 122-а, к.н. 61:06:0010107:45(1шт)</t>
  </si>
  <si>
    <t xml:space="preserve">Установка прибора учета для присоединения  шкафа телекоммуникационного ПАО «Ростелеком»  по адресу РО, Веселовский район, х. Казачий, вблизи ул. Школьная, 18
</t>
  </si>
  <si>
    <t>Установка прибора учета для присоединения  жилого дома Самары Н. С., расположенного по адресу: РО, Веселовский район, п. Веселый, ул. Первомайская, 4-а, пом. № 1, к.н. 61:06:0010133:412</t>
  </si>
  <si>
    <t>Строительство ТП 10/0,4 кВ, ВЛ 0,4 кВ, ВЛ 10 кВ от ВЛ 10 кВ №403 ПС 110 кВ АС4 для электроснабжения склада ИП Быстровой Е. В. на участке с КН 61:02:0600016:4156 в х. Маяковского Аксайского района Ростовской области (ориентировочная мощность трансформатора 0,250 МВА, ориентировочная протяжённость ЛЭП 0,085 км)</t>
  </si>
  <si>
    <t xml:space="preserve">Строительство ВЛ 0,4 кВ от ВЛ 0,4 кВ №1 КТП №425 ВЛ 10 кВ №1109 ПС 110 кВ АС11 с заменой силового трансформатора КТП №425 ВЛ 10 кВ №1109 ПС 110 кВ АС11 для электроснабжения ВРУ 0,4 кВ жилого дома Денисова И. В. на участке с КН 61:02:0030301:608 в х. Веселый Аксайского района Ростовской области </t>
  </si>
  <si>
    <t>Строительство ВЛ 0,4 кВ от РУ 0,4 кВ КТП №176 ВЛ 10 кВ №1206 ПС 110 кВ АС12 для электроснабжения нежилого помещения ИП Иванникова М. А. на участке с КН 61:02:0600007:3133 в п. Красный Колос Аксайского района Ростовской области (ориентировочная протяжённость ЛЭП 0,24 км;1 прибор учета)</t>
  </si>
  <si>
    <t>Строительство ВЛ 0,4 кВ от ВЛ 0,4 кВ №2 КТП №645 ВЛ 10 кВ №102 ПС 110 кВ АС1 для электроснабжения ВРУ 0,4 кВ жилого дома Колесникова А. Н. на участке с КН 61:02:0090102:3632 в ст-це Ольгинская Аксайского района Ростовской области (ориентировочная протяжённость ЛЭП 0,04 км)»</t>
  </si>
  <si>
    <t xml:space="preserve">Строительство ВЛ 0,4 кВ от проектируемой опоры установленной на границе земельного участка с к.н. 61:02:0600016:3846 по титулу: «Строительство ВЛ 0,4 кВ от РУ-0,4 кВ КТП 10/0,4 кВ № 653 ВЛ 10 кВ № 403 ПС 110/10 кВ АС 4» (по договору № 61-1-20-00509565 от 29.04.2020г.)  для электроснабжения ВРУ 0,4 кВ жилого дома Компанченко Д.В. на участке с КН 61:02:0600016:3840, в ул. Платова, 36, х. Ленина, Аксайский район, Ростовской области </t>
  </si>
  <si>
    <t>Строительство ВЛ 0,4 кВ от РУ 0,4 кВ КТП №255 ВЛ 10 кВ №1208 ПС 110 кВ АС12 для электроснабжения нежилого помещения ИП Маилян М. С. на участке с КН 61:02:0600004:1631 в Аксайском районе Ростовской области (ориентировочная протяжённость ЛЭП 0,03 км)</t>
  </si>
  <si>
    <t>Строительство ВЛ 0,4 кВ №4 от РУ 0,4 кВ ТП 10 кВ №275 ВЛ 10 кВ №3 ПС 35 кВ Б. Салы для электроснабжения ВРУ 0,4 кВ жилого дома Скнарина И. Н. на участке с КН 61:02:0600005:10049 в п. Темерницкий Аксайского района Ростовской области (ориентировочная протяжённость ЛЭП 0,65 км)</t>
  </si>
  <si>
    <t xml:space="preserve">Строительство ВЛ 0,4 кВ от проектируемой ВЛ 0,4 кВ №3 (по договору №61-1-21-00568371 от 31.03.2021 г.) от РУ 0,4 кВ ТП 10 кВ №275 ВЛ 10 кВ №3 ПС 35 кВ Б. Салы для электроснабжения ВРУ 0,4 кВ жилого дома Тарасова С. С. на участке с КН 61:02:0600005:9982 в п. Темерницкий Аксайского района Ростовской области </t>
  </si>
  <si>
    <t>Строительство ВЛ 0,4 кВ №3 от РУ 0,4 кВ ТП 10 кВ №275 ВЛ 10 кВ №3 ПС 35 кВ Б. Салы для электроснабжения ВРУ 0,4 кВ жилого дома Угрюмова Л. В. на участке с КН 61:02:0600005:9984 в п. Темерницкий Аксайского района Ростовской области (ориентировочная протяжённость ЛЭП 0,511 км)</t>
  </si>
  <si>
    <t>Строительство ВЛ 0,4 кВ от проектируемой ВЛ 0,4 кВ проектируемой КТПН 10/0,4 кВ (по договору №61-1-20-00443323 от 21.05.2019 г.) ВЛ 10 кВ №107 ПС 110 кВ АС1 для электроснабжения ВРУ 0,4 кВ жилого дома Храпова В. А. в ст-це Ольгинская Аксайского района Ростовской области</t>
  </si>
  <si>
    <t xml:space="preserve">Строительство ВЛ 0,4 кВ от ВЛ 0,4 кВ №3 КТП №184 ВЛ 6 кВ №807 ПС 35 кВ АС8 с заменой силового трансформатора КТП №184 ВЛ 6 кВ №807 ПС 35 кВ АС8 для электроснабжения ВРУ 0,4 кВ жилого дома Яйлаханян С. В. на участке с КН 61:02:0010201:6158 в х. Большой Лог Аксайского района Ростовской области </t>
  </si>
  <si>
    <t>Строительство ВЛ 0,4 кВ от ВЛ 0,4 кВ №1 КТП №275 ВЛ 10 кВ №3 ПС 35 кВ Б. Салы для электроснабжения ВРУ 0,4 кВ жилого дома Якобец Д. С. на участке с КН 61:02:0600005:7364 в п. Темерницкий Аксайского района Ростовской области (ориентировочная протяжённость ЛЭП 0,03 км)</t>
  </si>
  <si>
    <t xml:space="preserve">Строительство ВЛ 0,4 кВ от КТП №175   ВЛ 10 кВ №125 ПС 110 кВ СМ1 для электроснабжения дома блокированной застройки заявителя Тамилиной Л.А. по адресу: РО г. Семикаракорск, примерно в 60 м на северо-восток от ул. Солнечная, д.27 к.н.: 61:35:0110205:638 (ориентировочная протяжённость ЛЭП 0,3км)
</t>
  </si>
  <si>
    <t>Строительство ВЛ 0,4 кВ от опоры № 31 ВЛ-0,4 кВ № 3 КТП № 637 ВЛ 10 кВ №608 ПС СМ6  с установкой на границе земельного участка Заявителя прибора учета для электроснабжения ВРУ-0,4 кВ жилого здания заявителя ООО «АгроПартнер» по адресу: Ростовская область, Семикаракорский р-н, х. Большемечетный, ул. Широкая, д. 1/1, к.н.: 61:35:0020101:332</t>
  </si>
  <si>
    <t>Строительство ТП 10/0,4 кВ, ВЛ 0,4 кВ, ВЛ 10 кВ от ВЛ 10 кВ №208 ПС 110 кВ СМ2 для электроснабжения ВРУ-0,4 кВ жилого здания заявителя Молокановой Е.А. по адресу: Российская Федерация, Ростовская обл., р-н. Семикаракорский, х. Жуков, контуры полей № 16,17,8,30,48,32,36,35 массива земель, реорганизованного с/х предприятия ЗАО "Зеленая Горка", кадастровый номер земельного участка: 61:35:0600007:658</t>
  </si>
  <si>
    <t>Установка прибора учета для присоединения ВРУ 0,4 кВ жилого дома Непошивайленко М. Н., расположенного по адресу: Ростовская обл., р-н Аксайский, п. Темерницкий, ул. Тисовая, 60, участок с КН 61:02:0600005:10015 (1 шт.)</t>
  </si>
  <si>
    <t>Строительство ВЛ 0,4 кВ от опоры № 38 ВЛ 0,4 кВ №1 КТП-642 ВЛ 10 кВ №107 ПС 110/35/10 кВ АС 1 для электроснабжения жилого дома Орловой Н.И. по адресу Ростовская область, Аксайский район, ст-ца Ольгинская, ул. Широкая, д. 255, кадастровый номер земельного участка: 61:02:0600015:5173</t>
  </si>
  <si>
    <t>«Строительство ВЛ 0,4 кВ от проектируемой ВЛ 0,4 кВ проектируемой КТПН 10/0,4 кВ (по договору №61-1-19-00471857 от 17.10.2019 г.) ВЛ 10 кВ №706 ПС 35 кВ АС7 для электроснабжения ВРУ 0,4 кВ жилого дома Пчелинцевой А. В. по ул. Сарматская, 18 в п. Красный Колос Аксайского района Ростовской области (ориентировочная протяжённость ЛЭП 0,039 км)»</t>
  </si>
  <si>
    <t>Строительство ВЛ 0,4 кВ от ВЛ 0,4 кВ №2 КТП 10/0,4 кВ №11 ВЛ 10 кВ №259 ПС 110 кВ БГ2 для электроснабжения жилого дома Дюбина В.Н. по адресу РО, Багаевский район, ст. Манычская, ул. Кирова, д. 56 А, к.н. 61:03:0040134:56. (ориентировочная протяжённость ЛЭП 0,025 км)</t>
  </si>
  <si>
    <t>Строительство двух КТП 10/0,4 кВ, ВЛ 0,4 кВ, ВЛ 10 кВ от ВЛ 10 кВ №263 ПС 110 кВ БГ2 для электроснабжения ВРУ 0,4 кВ нежилого здания Науменко И.А., жилого дома Санатова А.В. по адресу: Ростовская обл., р-н. Аксайский, х. Алитуб, к.н.: 61:02:0600019:1687, к.н. 61:02:0600019:1686, ВРУ 0,4 кВ дачных домиков Ельцова В.В., Ельцова Е.В., Жидкова С.М., Гапченко М.С., Янченковой М.А., Бырдина Ю.А., Кумпане Л.Н.,Лузгарева А.И., Бакун В.П. по адресу: Ростовская обл., р-н. Багаевский, х. Арпачин</t>
  </si>
  <si>
    <t>Строительство ВЛ 0,4 кВ от ВЛ 0,4 кВ №2 КТП 10/0,4 кВ №163 ВЛ 10 кВ №605 ПС 110 кВ БГ6 для электроснабжения жилого дома Кияшко Н.С. по адресу РО, Багаевский район, х. Карповка, ул. Центральная д. 3-б, к.н. 61:03:0020203:188. (ориентировочная протяжённость ЛЭП 0,055 км)</t>
  </si>
  <si>
    <t>Строительство ВЛ 0,4 кВ от ВЛ 0,4 кВ №1 КТП 10/0,4 кВ №574 ВЛ 10 кВ №704 ПС 35 кВ БГ7 для электроснабжения храма Местной религиозной организации православный Приход храма Апостола Иоанна Богослова х. Красный Багаевского района Ростовской области Шахтинской Епархии Русской Православной Церкви (Московский Патриархат) по адресу РО, Багаевский район, х. Красный, ул. Центральная, д. 9-д</t>
  </si>
  <si>
    <t>Установка прибора учета для присоединения  жилого дома Галка Р.Ю., расположенного по адресу: Ростовская область, Багаевский район, х. Арпачин, ул. Советская, д. 13, к.н. 61:03:0040211:27 (1 шт)</t>
  </si>
  <si>
    <t>Установка прибора учета для присоединения  жилого дома Малик Ю.В., расположенного по адресу: Ростовская область, Багаевский район, х. Арпачин, ул. Советская, д. 78-з, к.н. 61:03:0040207:504(1шт)</t>
  </si>
  <si>
    <t>Установка прибора учета для присоединения  жилого дома Смоляковой И.А., расположенного по адресу: Ростовская область, Багаевский район, х. Карповка, ул. Зеленая, д. 9-а, к.н. 61:03:0020203:404 (1шт)</t>
  </si>
  <si>
    <t>Установка прибора учета для присоединения  магазина ИП Форопонова Н.Н., расположенного по адресу: Ростовская область, Багаевский район, х. Арпачин, ул. Советская, д. 48, к.н. 61:03:0040207:213(1шт)</t>
  </si>
  <si>
    <t>Установка прибора учета для присоединения  жилого дома Испирян А. З, расположенного по адресу: Ростовская область, Веселовский район, п. Веселый, ул. Ленинская, 48 а, к.н. 61:06:0010129:489 (1шт)</t>
  </si>
  <si>
    <t>Строительство ВЛ 0,4 кВ от опоры № 4 ВЛ 0,4 кВ № 1 КТП № 176 ВЛ 10 кВ №125 ПС СМ1 для электроснабжения ВРУ-0,4 кВ жилого дома заявителя Ленкова Ю.В. по адресу: Ростовская обл., р-н. Семикаракорский, г. Семикаракорск, примерно в 27 м на северо-восток от ул. Солнечная, 1/43-а, к.н.: 61:35:0110210:221</t>
  </si>
  <si>
    <t xml:space="preserve">Строительство КТПН 10/0,4 кВ, ВЛ 0,4 кВ, ВЛ 10 кВ от ВЛ 10 кВ №1109 ПС 110 кВ АС11 для электроснабжения ВРУ 0,4 кВ жилого дома Валитова О.А. на участке с КН 61:02:0600002:1093, КН 61:02:0600002:1092, КН 61:02:0600002:1080, ВРУ 0,4 кВ жилого дома Таибова на участке с КН 61:02:0600002:1081, КН 61:02:0600002:1082, КН 61:02:0600002:1083 в ст-це Грушевская Аксайского района Ростовской области (ориентировочная мощность трансформатора 0,160 МВА, ориентировочная протяженность ЛЭП 0,657  км)
</t>
  </si>
  <si>
    <t>Строительство ВЛ 0,4 кВ от ВЛ 0,4 кВ №1 КТП №725 ВЛ 10 кВ №105 ПС 110 кВ АС1 для электроснабжения ВРУ 0,4 кВ жилого дома Волошина А. С. на участке с КН 61:02:0090201:1092 в х. Нижнеподпольный Аксайского района Ростовской области (ориентировочная протяжённость ЛЭП 0,05 км;1 прибор учета)</t>
  </si>
  <si>
    <t>Строительство ВЛ 0,4 кВ от ВЛ 0,4 кВ №1 ТП 10 кВ №32 ВЛ 10 кВ №657 ПС 110 кВ АС6 для электроснабжения ВРУ 0,4 кВ жилого дома Зайцевой Н. В. по ул. 1-я Иловайская, 71 в ст-це Старочеркасская Аксайского района Ростовской области (ориентировочная протяжённость ЛЭП 0,116 км)</t>
  </si>
  <si>
    <t>Строительство ВЛ 0,4 кВ от ВЛ 0,4 кВ №3 КТП №491 ВЛ 10 кВ №1103 ПС 110 кВ АС11 с заменой силового трансформатора КТП №491 ВЛ 10 кВ №1101 ПС 110 кВ АС11 для электроснабжения ВРУ 0,4 кВ жилого дома Кучерова Н. Ю. в ст-це Мишкинская Аксайского района Ростовской области</t>
  </si>
  <si>
    <t xml:space="preserve">Строительство ВЛ 0,4 кВ от РУ 0,4 кВ КТП №520 ВЛ 6 кВ №3 РП-6 КЛ 6 кВ №340 ПС 110 кВ БТ3 для электроснабжения ВРУ 0,4 кВ жилых домов Марченко А.Г. в п. Красный Сад Азовского района Ростовской области (ориентировочная протяжённость ЛЭП 2,113 км)
</t>
  </si>
  <si>
    <t>Строительство КТПН 10/0,4 кВ, ВЛ 0,4 кВ, ВЛ 10 кВ от ВЛ 10 кВ №1109 ПС 110 кВ АС11 для электроснабжения ВРУ 0,4 кВ жилого дома Мацейко В. Г. на участке с КН 61:02:0600002:1132 в ст-це Грушевская Аксайского района Ростовской области (ориентировочная мощность трансформатора 0,025 МВА, ориентировочная протяжённость ЛЭП 0,060 км)</t>
  </si>
  <si>
    <t xml:space="preserve">Строительство ВЛ 0,4 кВ от конечной проектируемой опоры ВЛ 10 кВ (по договору № 61-1-19-00461451 от 25.09.2019г.) ВЛ 10 кВ №1203 ПС 110/10 кВ АС 12 для электроснабжения ВРУ 0,4 кВ жилого дома Мугу П.Д. на участке с КН 61:33:0600015:959, Родионово-Несветайском районе Ростовской области </t>
  </si>
  <si>
    <t>Установка прибора учета для присоединения жилого дома Анохиной Е. Г. расположенного по адресу: Ростовская область, Веселовский район, п. Веселый, ул. Садовая, 11 к.н. 61:06:060010138:115 (1 шт)</t>
  </si>
  <si>
    <t>Установка прибора учета для присоединения магазина непродовольственных товаров и мест для хранения автотранспортных средств ИП Варданян М. О. расположенных по адресу: Ростовская область, Веселовский район, п. Веселый, ул. Ленинская, 181-а к.н. 61:06:0010114:858</t>
  </si>
  <si>
    <t xml:space="preserve">Строительство ВЛ 0,4 кВ от опоры № 10 ВЛ 0,4 кВ № 2 КТП № 425 ВЛ 10 кВ №402 ПС СМ4  с установкой на границе земельного участка Заявителя прибора учета для электроснабжения ВРУ-0,4 кВ жилого дома заявителя Левизовой З.И. по адресу: Ростовская обл., р-н. Семикаракорский, х. Сусат ул. Песчаная, д.10/1, к.н.: 61:35:0090101:2879 </t>
  </si>
  <si>
    <t xml:space="preserve">Строительство ВЛ 0,4 кВ от ВЛ 0,4 кВ №1 КТП №414 ВЛ 10 кВ №1003 ПС 110 кВ АС10 для электроснабжения ВРУ 0,4 кВ жилых домов Бандурина М. А., Бандуриной Т. М. по ул. Подтелкова в х. Камышеваха Аксайского района Ростовской области (ориентировочная протяжённость ЛЭП 0,31 км)
</t>
  </si>
  <si>
    <t xml:space="preserve">Строительство ВЛ 0,4 кВ техперевооружаемого (проектируемого по договору № 61-1-19-00488413 от 05.12.2019г.) КТП 10/0,4 кВ проектируемой ВЛ 10 от опоры № 1/122 ВЛ 10 кВ  № 1208 ПС 110/10 кВ АС 12 для электроснабжения ВРУ 0,4 кВ жилого дома Елистратовой Т.В. на участке с КН 61:02:0080503:36 в п. Щепкин, ул. Строителей, 85, Аксайского района Ростовской области, ВРУ 0,4 кВ жилого дома Павленко Ю.В. на участке с КН 61:02:0080503:1244 в п. Щепкин, ул. Строителей, Аксайского района Ростовской области, ВРУ 0,4 кВ жилого дома Волошина Д.Д. на участке с КН 61:02:0080503:943 в п. Щепкин, ул. Строителей, 77Б, Аксайского района Ростовской области </t>
  </si>
  <si>
    <t xml:space="preserve">Строительство ВЛ 0,4 кВ от проектируемой ВЛ 0,4 кВ проектируемой КТПН 10/0,4 кВ (по договору №61-1-19-00461385 от 25.09.2019 г.) ВЛ 10 кВ №1203 ПС 110 кВ АС12 для электроснабжения ВРУ 0,4 кВ жилого дома Смагиной М. В. в Родионово-Несветайском районе Ростовской области </t>
  </si>
  <si>
    <t xml:space="preserve">Строительство ВЛ 0,4 кВ от проектируемой ВЛ 0,4 кВ проектируемой КТПН 10/0,4 кВ (по договору №61-1-20-00517323 от 25.06.2020 г.) ВЛ 10 кВ №1208 ПС 110 кВ АС12 для электроснабжения ВРУ 0,4 кВ жилого дома Казак Л. Д. в п. Щепкин Аксайского района Ростовской области </t>
  </si>
  <si>
    <t xml:space="preserve">Строительство ВЛ 0,4 кВ от существующей опоры № 11 ВЛ 0,4 кВ №2 КТП 10/0,4 кВ № 89 ВЛ 10 кВ №706 ПС 110/10 кВ АС 7 для электроснабжения ВРУ 0,4 кВ жилого дома Корнейчука А.В. на участке с КН 61:02:0600007:2759, в ул. Мелиховская, 75, п. Красный Колос, Аксайский район Ростовской области </t>
  </si>
  <si>
    <t>Строительство ВЛ 0,4 кВ от ВЛ 0,4 кВ №1 КТП №164 ВЛ 10 кВ №1208 ПС 110 кВ АС12 для электроснабжения ВРУ 0,4 кВ жилого дома Логиновой М. В. на участке с КН 61:02:0080103:581 в п. Октябрьский Аксайского района Ростовской области (ориентировочная протяжённость ЛЭП 0,025 км)</t>
  </si>
  <si>
    <t>Строительство ВЛ 0,4 кВ от ВЛ 0,4 кВ №2 КТП №89 ВЛ 10 кВ №706 ПС 110 кВ АС7 для электроснабжения ВРУ 0,4 кВ жилого дома Морикова С. И. по ул. Станичная, 27А в п. Красный Колос Аксайского района Ростовской области (ориентировочная протяжённость ЛЭП 0,045 км)</t>
  </si>
  <si>
    <t>Строительство ВЛ 0,4 кВ от ВЛ 0,4 кВ №2 КТП №175 ВЛ 10 кВ №1208 ПС 110 кВ АС12 для электроснабжения ВРУ 0,4 кВ жилого дома Мурадян Л. Т. на участке с КН 61:02:0000000:6208 в п. Щепкин Аксайского района Ростовской области (ориентировочная протяжённость ЛЭП 0,1 км</t>
  </si>
  <si>
    <t xml:space="preserve">Строительство ВЛ 0,4 кВ от ВЛ 0,4 кВ №1 КТП №260 ВЛ 10 кВ №3 ПС 35 кВ Б. Салы для электроснабжения ВРУ 0,4 кВ жилых домов по ул. 2-я Озерная в п. Нижнетемерницкий Аксайского района Ростовской области (ориентировочная протяжённость ЛЭП 0,145 км)
</t>
  </si>
  <si>
    <t>Строительство ВЛ 0,4 кВ от ВЛ 0,4 кВ №1 КТП №62 ВЛ 6 кВ №804 ПС 35 кВ АС8 для электроснабжения ВРУ 0,4 кВ жилого дома Папанага А. С. на участке с КН 61:02:0600010:12246 в п. Российский Аксайского района Ростовской области (ориентировочная протяжённость ЛЭП 0,055 км)</t>
  </si>
  <si>
    <t>«Строительство ВЛ 0,4 кВ от ВЛ 0,4 кВ №1 техперевооружаемой КТП №80 (по договорам №61-1-19-00798325, №61-1-19-00492221, №61-1-20-00508891) ВЛ 10 кВ №3 ПС 35 кВ Б. Салы для электроснабжения ВРУ 0,4 кВ жилого дома Потапенко И. А. на участке с КН 61:02:0600005:5202 в п. Темерницкий Аксайского района Ростовской области (ориентировочная протяжённость ЛЭП 0,115 км)»</t>
  </si>
  <si>
    <t>Строительство ВЛ 0,4 кВ от ВЛ 0,4 кВ №3 ТП 6 кВ №72 ВЛ 6 кВ №804 ПС 35 кВ АС8 для электроснабжения ВРУ 0,4 кВ жилого дома Денисовой О. В. на участке с КН 61:02:0600010:3494 в п. Российский Аксайского района Ростовской области (ориентировочная протяжённость ЛЭП 0,025 км)</t>
  </si>
  <si>
    <t>Строительство ВЛ 0,4 кВ от ВЛ 0,4 кВ №1 КТП №261 ВЛ 10 кВ №1547 ПС 110 кВ АС15 для электроснабжения ВРУ 0,4 кВ жилого дома Кузьмич А. А. по ул. Грушевая, 19 в п. Водопадный Аксайского района Ростовской области (ориентировочная протяжённость ЛЭП 0,03 км)</t>
  </si>
  <si>
    <t>Строительство ВЛ 0,4 кВ от ВЛ 0,4 кВ №1 КТП №434 ВЛ 10 кВ №1103 ПС 110 кВ АС11 для электроснабжения ВРУ 0,4 кВ жилого дома Чащиной А. И. на участке с КН 61:02:0600009:978 в ст-це Мишкинская Аксайского района Ростовской области (ориентировочная протяжённость ЛЭП 0,030 км)</t>
  </si>
  <si>
    <t xml:space="preserve">Строительство ТП 10/0,4 кВ, ВЛ 0,4 кВ, ВЛ 10 кВ от ВЛ 10 кВ №1103 ПС 110 кВ АС11 для электроснабжения ВРУ 0,4 кВ жилых домов в с/х КСП им. М. Горького Аксайского района Ростовской области (ориентировочная мощность трансформатора 0,063 МВА, ориентировочная протяжённость ЛЭП 0,847 км)»
</t>
  </si>
  <si>
    <t>Строительство ВЛ 0,4 кВ от ВЛ 0,4 кВ №1 КТП №726 ВЛ 10 кВ №105 ПС 110 кВ АС1 для электроснабжения ВРУ 0,4 кВ жилого дома Дворчанской О. В. на участке с КН 61:02:0090201:1140 в х. Нижнеподпольный Аксайского района Ростовской области (ориентировочная протяжённость ЛЭП 0,075 км)</t>
  </si>
  <si>
    <t>Строительство ВЛ 0,4 кВ от ВЛ 0,4 кВ №3 КТП №740 ВЛ 10 кВ №101 ПС 110 кВ АС1 для электроснабжения ВРУ 0,4 кВ жилого дома Трифоновой С. В. на участке с КН 61:02:0600015:5726 в х. Махин Аксайского района Ростовской области (ориентировочная протяжённость ЛЭП 0,045 км)»</t>
  </si>
  <si>
    <t xml:space="preserve">Строительство ВЛ 0,4 кВ от проектируемой ВЛ 0,4 кВ (по договору №61-1-20-00508999 от 16.04.2020 г.) от ВЛ 0,4 кВ №2 КТП №626 ВЛ 10 кВ №111 ПС 110 кВ АС1 для электроснабжения ВРУ 0,4 кВ жилого дома Хачатрян В. В. в п. Дорожный Аксайского района Ростовской области </t>
  </si>
  <si>
    <t>Установка приборов учета для присоединения жилых домов, расположенных по адресу: Ростовская обл., р-н. Аксайский, х. Камышеваха, п. Российский, ст-ца. Старочеркасская, п. Красный Колос, х. Большой Лог, п. Реконструктор, ст-ца. Мишкинская, р-н. Азовский, п. Красный Сад (32шт)</t>
  </si>
  <si>
    <t xml:space="preserve">Строительство ВЛ 0,4 кВ от проектируемой ВЛ 0,4 кВ (по договору №61-1-20-00508999 от 16.04.2020 г.) от ВЛ 0,4 кВ №2 ТП 10 кВ №626 ВЛ 10 кВ №111 ПС 110 кВ АС1 для электроснабжения ВРУ 0,4 кВ жилого дома Хачатрян В. В. по пер. Садовый в п. Дорожный Аксайского района Ростовской области </t>
  </si>
  <si>
    <t>Строительство ВЛ 0,4 кВ от ВЛ 0,4 кВ №2 КТП 10/0,4 кВ №11 ВЛ 10 кВ №259 ПС 110 кВ БГ2 для электроснабжения жилого дома Федорова А.Г. по адресу РО, Багаевский район, ст. Манычская, ул. Горбачева, д. 51, к.н. 61:03:040119:0001. (ориентировочная протяжённость ЛЭП 0,09 км)</t>
  </si>
  <si>
    <t>Строительство ВЛ 0,4 кВ от ВЛ 0,4 кВ №2 КТП 10/0,4 кВ №506 ВЛ 10 кВ №402 ПС 35 кВ БГ4 для электроснабжения жилого дома Новикова С.А. по адресу РО, Багаевский район, х. Тузлуков, ул. Береговая, д. 8-в, к.н. 61:03:0600011:980. (ориентировочная протяжённость ЛЭП 0,03 км)</t>
  </si>
  <si>
    <t>Строительство ВЛ 0,4 кВ от ВЛ 0,4 кВ №1 КТП 10/0,4 кВ №136 ВЛ 10 кВ №108 ПС 110 кВ БГ1 для электроснабжения жилого дома Перевертайло А.В. по адресу РО, Багаевский район, х. Елкин, ул. Подпольная, д. 65, к.н. 61:03:030139:0027. (ориентировочная протяжённость ЛЭП 0,14 км)</t>
  </si>
  <si>
    <t>Строительство ВЛ 0,4 кВ от ВЛ 0,4 кВ №1 КТП 10/0,4 кВ №150 ВЛ 10 кВ №307 ПС 35 кВ БГ3 для электроснабжения жилого дома Эминова И.А. по адресу РО, Багаевский район, х. Елкин, ул. Тимирязева, д. 1-а, к.н. 61:03:0030138:21. (ориентировочная протяжённость ЛЭП 0,025 км)</t>
  </si>
  <si>
    <t>Строительство ВЛ 0,4 кВ от ВЛ 0,4 кВ №2 КТП 10/0,4 кВ №9 ВЛ 10 кВ №259 ПС 110 кВ БГ2 для электроснабжения жилого дома Аксентий Р. по адресу РО, Багаевский район, ст. Манычская, ул. Горбачева, д. 42, к.н. 61:03:0040125:14. (ориентировочная протяжённость ЛЭП 0,185 км)</t>
  </si>
  <si>
    <t>Строительство ТП 10/0,4 кВ, ВЛ 0,4 кВ, ВЛ 10 кВ от ВЛ 10 кВ №406 ПС 35 кВ БГ4 для электроснабжения жилого дома Зудина А.П. по адресу: Р.О., р-н. Багаевский, п. Садовый, территория Канал Б-г-р-3, д. 1 (ориентировочная мощность трансформатора 0,025 МВА, ориентировочная протяжённость ЛЭП 0,1 км)</t>
  </si>
  <si>
    <t>Установка прибора учета для присоединения склада, здания весовой Ахметова А.У., расположенного по адресу: Ростовская область, Багаевский район, х. Красный, 20 м от а/д Красный-Садовый 1(шт.)</t>
  </si>
  <si>
    <t>Установка прибора учета для присоединения  жилого дома Горевой Т.Н., расположенного по адресу: Ростовская область, Багаевский район, ст. Манычская, ул. Поповкина, д. 17А (1 шт.)</t>
  </si>
  <si>
    <t>Установка прибора учета для присоединения  квартиры Горох Ф.В., расположенного по адресу: Ростовская область, Багаевский район, х. Ажинов, ул. Зеленая, д. 13, кв. 1, к.н. 61:03:0020103:33(1шт)</t>
  </si>
  <si>
    <t>Установка прибора учета для присоединения  жилого дома Ермоченко В.Н., расположенного по адресу: Ростовская область, Багаевский район, х. Ажинов, пер. Молодежный, д. 3 А, к.н. 61:03:0020107:452(1шт)</t>
  </si>
  <si>
    <t>Установка прибора учета для присоединения  жилого дома Ивко А.И., расположенного по адресу: Ростовская область, Багаевский район, х. Тузлуков, ул. Береговая, д. 1/1А, к.н. 61:03:0050201:430(1шт)</t>
  </si>
  <si>
    <t>Установка прибора учета для присоединения жилого дома Калашникова С.В.., расположенного по адресу: Ростовская область, Багаевский район, х. Арпачин, ул. Советская, д. 64 Б (1 шт.)</t>
  </si>
  <si>
    <t>Установка прибора учета для присоединения  жилого дома Кирьяковой М.Э., расположенного по адресу: Ростовская область, Багаевский район, ст. Манычская, пер. Малый Садовый, д. 5, к.н. 61:03:0040123:5 (1шт)</t>
  </si>
  <si>
    <t>Установка прибора учета для присоединения  жилого дома Кочконян А.К., расположенного по адресу: Ростовская область, Багаевский район, х. Красный, ул. Садовая, д. 17, к.н. 61:03:0060102:32 (1шт)</t>
  </si>
  <si>
    <t>Установка прибора учета для присоединения  жилого дома Маилевой Р.А., расположенного по адресу: Ростовская область, Багаевский район, х. Верхнеянченков, пер. Полевой, д. 16, к.н. 61:03:0030301:171(1шт)</t>
  </si>
  <si>
    <t>Установка прибора учета для присоединения  жилого дома Матвеева А.Н., расположенного по адресу: Ростовская область, Багаевский район, х. Елкин, пер. Рязанова, д. 8, к.н. 61:03:0030114:10 9 (1 шт)</t>
  </si>
  <si>
    <t>Установка прибора учета для присоединения  жилого дома Папинян К.Р., расположенного по адресу: Ростовская область, Багаевский район, х. Ажинов, ул. Советская, д. 15, к.н. 61:03:0020101:6 (1шт)</t>
  </si>
  <si>
    <t>Установка прибора учета для присоединения  жилого дома Русакова Д.Ю., расположенного по адресу: Ростовская область, Багаевский район, х. Арпачин, ул. Фрунзе, д. 21, к.н. 61:03:0040207:212 (1шт)</t>
  </si>
  <si>
    <t>Установка прибора учета для присоединения  жилого дома Терновой К.С., расположенного по адресу: Ростовская область, Багаевский район, х. Слава Труда, ул. Славянская, д. 11, к.н. 61:02:0020301:43 (1шт)</t>
  </si>
  <si>
    <t>Установка прибора учета для присоединения  жилого дома Бесалашвили И. Д. расположенного по адресу: Ростовская область, Веселовский район, п. Веселый, ул. Советская, 27-б к.н. 61:06:0010128:514»(1шт)</t>
  </si>
  <si>
    <t>Установка прибора учета для присоединения БС №61-0429, расположенной по адресу: Ростовская область, Веселовский район, п. Веселый, ул. Коллективная, 34-а, к.н. 61:06:0010134:599 ( 1 шт)</t>
  </si>
  <si>
    <t>Установка прибора учета для присоединения ВРУ 0,4 кВ жилого дома Малеевой Т.Ю., расположенного по адресу: Ростовская обл., р-н. Семикаракорский, ст-ца. Новозолотовская, ул. Донская, д. 20, к.н.:  61:35:0060101:245(1шт)</t>
  </si>
  <si>
    <t>Установка прибора учета для присоединения ВРУ 0,4 кВ жилого дома Приходкин В.В., расположенного по адресу: Ростовская обл., р-н. Семикаракорский, ст-ца. Новозолотовская, ул. Ленина, д. 61, к.н.: 61:35:0060101:2653527</t>
  </si>
  <si>
    <t xml:space="preserve">Строительство ВЛ 0,4 кВ от проектируемой ВЛ 0,4 кВ проектируемой КТПН 10/0,4 кВ (по договору №61-1-20-00524817 от 18.08.2020 г.) ВЛ 10 кВ №657 ПС 110 кВ АС6 для электроснабжения ВРУ 0,4 кВ жилого дома Горшкова А. А. в ст-це Старочеркасская Аксайского района Ростовской области </t>
  </si>
  <si>
    <t>Строительство ВЛ 0,4 кВ от ВЛ 0,4 кВ №3 КТП №5 ВЛ 10 кВ №657 ПС 110 кВ АС6 для электроснабжения ВРУ 0,4 кВ жилого дома Мосенцевой М. Е. на участке с КН 61:02:0110102:3378 в ст-це Старочеркасская Аксайского района Ростовской области (ориентировочная протяжённость ЛЭП 0,046 км)»</t>
  </si>
  <si>
    <t xml:space="preserve">Строительство ВЛ 0,4 кВ от ВЛ 0,4 кВ №1 КТП №1 ВЛ 10 кВ №657 ПС 110 кВ АС6 для электроснабжения ВРУ 0,4 кВ жилых домов по ул. Серафимовская, ул. Георгиевская в ст-це Старочеркасская Аксайского района Ростовской области (ориентировочная протяжённость ЛЭП 0,165 км)
</t>
  </si>
  <si>
    <t>Строительство ВЛ 0,4 кВ от ВЛ 0,4 кВ №1 КТП №1 ВЛ 10 кВ №657 ПС 110 кВ АС6 для электроснабжения ВРУ 0,4 кВ жилого дома Фролкиной О. В. на участке с КН 61:02:0600013:2100 в ст-це Старочеркасская Аксайского района Ростовской области (ориентировочная протяжённость ЛЭП 0,085 км)</t>
  </si>
  <si>
    <t>«Строительство ВЛ 0,4 кВ от ВЛ 0,4 кВ №2 КТП №32 ВЛ 10 кВ №657 ПС 110 кВ АС6 для электроснабжения ВРУ 0,4 кВ жилого дома Тамилина К. Ф. на участке с КН 61:02:0110102:2438 в ст-це Старочеркасская Аксайского района Ростовской области (ориентировочная протяжённость ЛЭП 0,116 км)»</t>
  </si>
  <si>
    <t>Строительство ВЛ 0,4 кВ от ВЛ 0,4 кВ проектируемой КТПН 10/0,4 кВ (по договору №61-1-19-00433103 от 18.03.2019 г.) ВЛ 10 кВ №1103 ПС 110 кВ АС11 для электроснабжения ВРУ 0,4 кВ жилого дома Арутюновой В. К. по ул. Вишневая, 11 в х. Александровка Аксайского района Ростовской области</t>
  </si>
  <si>
    <t>Строительство ВЛ 0,4 кВ от ВЛ 0,4 кВ №1 КТП №450 ВЛ 10 кВ №1103 ПС 110 кВ АС11 для электроснабжения ВРУ 0,4 кВ жилого дома Сагарь С. С. на участке с КН 61:02:0600009:1076 в  с/х КСП им. М. Горького Аксайского района Ростовской области (ориентировочная протяжённость ЛЭП 0,070 км)</t>
  </si>
  <si>
    <t>Строительство ВЛ 0,4 кВ от ВЛ 0,4 кВ №2 ТП 10/0,4 кВ №34 ВЛ 10 кВ №657 ПС 110 кВ АС6 для электроснабжения ВРУ 0,4 кВ жилого дома Московченко К. П. на участке с КН 61:02:0110102:2327 в ст-це Старочеркасская Аксайского района Ростовской области (ориентировочная протяжённость ЛЭП 0,05 км)</t>
  </si>
  <si>
    <t xml:space="preserve">Строительство ВЛ 0,4 кВ от ВЛ 0,4 кВ №1 КТП №446 ВЛ 10 кВ №1109 ПС 110 кВ АС11 с заменой силового трансформатора КТП №446 ВЛ 10 кВ №1109 ПС 110 кВ АС11 для электроснабжения ВРУ 0,4 кВ жилого дома Харитоновой Е. Н. на участке с КН 61:02:0030301:97 в х. Веселый Аксайского района Ростовской области </t>
  </si>
  <si>
    <t>Строительство ВЛ 0,4 кВ от ВЛ 0,4 кВ №2 КТП 10/0,4 кВ №575 ВЛ 10 кВ №704 ПС 35 кВ БГ7 для электроснабжения жилого дома Полегуевой М.Ф. по адресу РО, Багаевский район, х. Красный, ул. Кужниковская 3-я, д. 2/1, к.н. 61:03:0060109:71. (ориентировочная протяжённость ЛЭП 0,08 км)</t>
  </si>
  <si>
    <t>Строительство ВЛ 0,4 кВ от РУ 0,4 кВ КТП10 кВ №431 ВЛ 10 кВ №1001 ПС 110 кВ В10 для электроснабжения электронасосной станции  ИП Главы КФХ Карпенко В. В. по адресу РО, Веселовский район, Верхнесоленовское сельское поселение, к.н. 61:06:0600009:241(ориентировочная протяжённость ЛЭП 0,14 км)</t>
  </si>
  <si>
    <t>Строительство ВЛ 0,4 кВ по ВЛ 0,4 кВ №3 КТП10 кВ №34 ВЛ 10 кВ №151 ПС 110 кВ В1 для электроснабжения жилого дома Полякова С. В. по адресу РО, Веселовский район, п. Веселый, пер. Кленовый, 76, к.н. 61:06:0600012:1144 (ориентировочная протяжённость ЛЭП 0,13 км</t>
  </si>
  <si>
    <t>Установка прибора учета для присоединения магазина  Ильдимиркина А. В. расположенного по адресу: Ростовская область, Веселовский район, п. Чаканиха, ул. Молодежная, 27 А к.н. 61:06:0020812:119»(1шт)</t>
  </si>
  <si>
    <t>Установка прибора учета для присоединения  жилого дома Ильиной Е. В, расположенного по адресу: Ростовская область, Веселовский район, п. Веселый, ул. Максима Горького, 30-а, к.н. 61:06:0010110:476(1шт)</t>
  </si>
  <si>
    <t>Установка прибора учета для присоединения  жилого дома Лемешевского М. Г., расположенного по адресу: Ростовская область, Веселовский район, х. Нижнесоленый, ул. Казима Мустафаева, 49, к.н. 61:06:0020308:13(1шт)</t>
  </si>
  <si>
    <t>Установка прибора учета для присоединения  жилого дома Невидимова К. В, расположенного по адресу: Ростовская область, Веселовский район, п. Веселый, ул. Мелиораторов, 4-а к.н. 61:06:0010139:419»(1шт)</t>
  </si>
  <si>
    <t>Установка прибора учета для присоединения магазина «Промтовары» ИП Василенко Е. А. расположенного по адресу: Ростовская область, Веселовский район, п. Средний Маныч, ул. Ленина, 6 к.н. 61:06:0050103:124»(1шт)</t>
  </si>
  <si>
    <t>Установка прибора учета для присоединения  жилого дома Скороходовой О. Н, расположенного по адресу: Ростовская область, Веселовский район, п. Веселый, ул. Луговая, 12, к.н. 61:06:0010138:773» (1шт)</t>
  </si>
  <si>
    <t>Установка прибора учета для присоединения жилого дома Сопливенко А. В. расположенного по адресу: Р.О., Веселовский район, х. Нижнесоленый, ул. Саманная, д. 29 (1 шт)</t>
  </si>
  <si>
    <t>Установка прибора учета для присоединения здания магазина ИП Улиханян А. Ш. расположенного по адресу: Р.О., Веселовский район, х. Верхнесоленый, ул. Центральная, д. 71,( 1 шт)</t>
  </si>
  <si>
    <t>Установка прибора учета для присоединения жилого дома Шебалкова В. В. расположенного по адресу: Ростовская область, Веселовский район, х. Новоселовка, ул. Коллективная, д.37-а, к. н. 61:06:0040301:74»(1шт)</t>
  </si>
  <si>
    <t xml:space="preserve">Установка прибора учета для присоединения  квартиры Шульги Л. Л., расположенной по адресу: РО, Веселовский район, х. Позднеевка, пер. Цветочный, 11, кв.  1, к.н. 61:06:0060105:76
</t>
  </si>
  <si>
    <t xml:space="preserve">Строительство ВЛ 0,4 кВ от проектируемой ВЛ-0,4 кВ нового КТП (по договорам ТП № 61-1-19-00427405 от 27.02.2019 г. Павлов И.В, № 61-1-19-00427443 от 27.02.2019 г. Гавшева Л.М., № 61-1-19-00427459 от 27.02.2019г. Симакина Е.В., № 61-1-19-00427423 от 18.02.2019 г. Попова Г.Н.)  с установкой на границе земельного участка заявителя прибора учета для электроснабжения БС-1373 заявителя ООО «Т2 Мобайл» по адресу: РО, Семикаракорский р-н, х. Чебачий, ул. Горького, д. 59а, кадастровый номер земельного участка: 61:35:0060201:2675 </t>
  </si>
  <si>
    <t>«Строительство ВЛ 0,4 кВ от ВЛ 0,4 кВ №4 техперевооружаемой КТП №190 (по договору №61-1-19-00484861 от 28.11.2019 г.) ВЛ 10 кВ №1513 ПС 110 кВ АС15 для электроснабжения ВРУ 0,4 кВ жилого дома Гурулева М. В. по ул. Грушевая, 5 в п. Водопадный Аксайского района Ростовской области (ориентировочная протяжённость ЛЭП 0,168 км)»</t>
  </si>
  <si>
    <t>Установка системы учета для технологического присоединения «жилого дома», расположенного по адресу: 347609 Российская Федерация, Ростовская обл.,  р-н Сальский, п. Белозёрный,               ул. Речная, д. 24, к.н.з.у.: 61:34:0080101:421, заявитель              Зиновьев Э. В. (1 шт.)</t>
  </si>
  <si>
    <t>Строительство ВЛ 0,4 кВ от опоры №3-00/4 ВЛ 0,4 кВ Л-3 от                         КТП 10/0,4 кВ №495 по ВЛ 10 кВ Л-3 Красный Партизан, для электроснабжения объекта – «жилой дом», расположенного по адресу: Российская Федерация, Ростовская обл., р-н Сальский, п. Белозёрный,                        ул. Орджоникидзе, д.19, кв.1, кадастровый номер земельного участка: 61:34:080101:0320, заявитель Зеленко А.И.». (Ориентировочная протяженность ЛЭП-0,025 км)</t>
  </si>
  <si>
    <t>Строительство ВЛ 0,4 кВ от опоры №1-00/13-2 ВЛ 0,4 кВ Л-1 от КТП 10/0,4 кВ №404 по ВЛ 10 кВ Л-1 Фрунзе 1, для электроснабжения объекта – «жилой дом», расположенного по адресу: 347602 Российская Федерация, Ростовская обл., р-н Сальский, п. Степной Курган, ул. Октябрьская, д. 4, кв./оф. 1, кадастровый номер земельного участка: 61:34:0100101:414, заявитель Головлев С.Н.» (Ориентировочная протяженность ЛЭП-0,015 км)</t>
  </si>
  <si>
    <t>Строительство участка ВЛ 0,4 кВ от опоры №3-00/16 ВЛ 0,4 кВ Л-3 КТП 10/0,4 кВ №153 по ВЛ 10 кВ Л-3 Уютная для электроснабжения объекта  «жилой дом», расположенного по адресу: РФ, Ростовская область, Пролетарский район, х. Уютный, ул. Ленина. 118, кв. 2, заявитель Кравцов А.И.» (Ориентировочная протяженность ЛЭП – 0,025км)</t>
  </si>
  <si>
    <t xml:space="preserve"> «Установка системы учета для технологического присоединения «Здания детского сада», расположенного по адресу: 347603 Российская Федерация, Ростовская обл., р-н Сальский, п. Конезавод имени Будённого, ул. Ленина, д.15, корп. ж, кадастровый номер земельного участка: 61:34:0040101:4260, заявитель Управление образования Сальского района» (1 шт.)</t>
  </si>
  <si>
    <t>Установка системы учета для технологического присоединения «жилого дома», расположенного по адресу: 347760, РФ, Ростовская область, Целинский район, п. Новая Целина, ул. Макаренко, д. 33, к.н.з.у.:61:40:0010147:54, заявитель Стороженко Оксана Николаевна (1 шт.)</t>
  </si>
  <si>
    <t xml:space="preserve"> «Строительство ВЛ 0,4кВ от опоры №1-01/8 ВЛ 0,4кВ Л-1 КТП-10/0,4кВ №163 по ВЛ 10кВ Л-4 Уютная для электроснабжения объекта – «жилой дом», расположенного по адресу: РФ, Ростовская область, Пролетарский район, х. Уютный, ул. Первомайская, д. 42а, к.н. 61:31:0100201:63, заявитель Величко Е.В.» (1 шт.)</t>
  </si>
  <si>
    <t>Установка системы учета для технологического присоединения «парка»», расположенного по адресу: 347560, РФ, Ростовская область, Песчанокопский район, с. Развильное, пер. Пионерский,13-а, к.н.з. у.: 61:30:0090101:9223, заявитель Администрация Развильненского сельского поселения (1 шт.)</t>
  </si>
  <si>
    <t xml:space="preserve">«Строительство ВЛ 0,4 кВ от опоры №2-00/7 ВЛ 0,4 кВ Л-2 КТП-10/0,4 кВ №31 по ВЛ 10 кВ Л-8 Пролетарская для электроснабжения объекта - "фельдшерско - акушерский пункт", расположенного по адресу: РФ, Ростовская область,  Пролетарский район, х. Привольный, ул. Мира, д.32/2, к.н. 61:31:0050201:699, заявитель МБУЗ "ЦРБ" Пролетарского района  (ориентировочная протяжённость ЛЭП - 0,025 км)» </t>
  </si>
  <si>
    <t>«Установка системы учета для технологического присоединения электроснабжения объекта – «сети уличного освещения (ул. Мира, х. Малая Бургуста)», расположенного по адресу: РФ, Ростовская область, Пролетарский район, х. Малая Бургуста, ул. Мира, заявитель Администрация Ковринского сельского поселения (1 шт.)»</t>
  </si>
  <si>
    <t>Установка системы учета для технологического присоединения объекта – «жилой дом», расположенного по адресу: РФ, Ростовская область, Пролетарский район, ДНТ Ручеек №3", ул. Вишневая, д. 17, к.н. 61:31:0500101:142, заявитель Доношенко С.А. (1 шт.)"</t>
  </si>
  <si>
    <t>Строительство участка ВЛ 0,4 кВ от опоры №1-01/18 ВЛ 0,4 кВ Л-1 КТП 10/0,4 кВ №5 по ВЛ 10 кВ Л-3 Пролетарская для электроснабжения  объекта - «жилой дом», расположенного по адресу: РФ, Ростовская область, Пролетарский район, г. Пролетарск, ул. Плугина, д. 2, заявитель Снеткова О.В.(Ориентировочная протяженность ЛЭП – 0,025км)</t>
  </si>
  <si>
    <t>«Установка системы учета для технологического присоединения «Базовой станции сотовой связи», расположенного по адресу: 347608, Российская Федерация, Ростовская обл., р-н. Сальский, с. Бараники, ул. Пришкольная, возле кадастрового номера земельного участка: 61:34:0020101:1837, заявитель АО «Первая Башенная Компания» (1 шт.)</t>
  </si>
  <si>
    <t>Установка системы учета для технологического присоединения «мастерских», расположенного по адресу: РФ, Ростовская область, Сальский район, п. Супрун, в кадастровом квартале 61:34:0600003, с условным центром в п. Супрун отделение №2, поле 14г, с к.н. 61:34:0600003:1136, заявитель ИП глава К(Ф)Х Алиев А.А.  (1 шт.)</t>
  </si>
  <si>
    <t>Установка системы учета для технологического присоединения «жилого дома», расположенного по адресу: 347560, РФ, Ростовская область, Песчанокопский район, с. Развильное, ул. Шоссейная, 16 к.н. з. у.: 61:30:0090101:163, заявитель Галызина Е.С. (1 шт.)</t>
  </si>
  <si>
    <t>Установка системы учета для технологического присоединения «жилого дома», расположенного по адресу: 347563, РФ, Ростовская область, Песчанокопский район, с. Поливянка, пер. Кирпичный,4, к.н. з. у.: 61:30:0080101:200, заявитель Горобец В.И. (1 шт.)</t>
  </si>
  <si>
    <t>Установка системы учета для технологического присоединения «базовой станции сотовой связи БС 2679», расположенного по адресу: Российская Федерация, Ростовская обл., р-н Сальский, с. Шаблиевка, ул. Димитрова, кадастровый номер земельного участка: 61:34:0050201:2504, заявитель ООО «Т2 Мобайл»» (1 шт.)</t>
  </si>
  <si>
    <t>Установка системы учета для технологического присоединения «сооружение (объекты дорожного хозяйства)», расположенного по адресу: 347570, РФ, Ростовская область, Песчанокопский район, автомобильная дорога г. Ростов-на-Дону (от магистрали Дон") - г. Ставрополь (до границы Ставропольского края),к.н.з. у.: 61:30:0000000:2508, заявитель Министерство транспорта РО (1 шт.)"</t>
  </si>
  <si>
    <t>Установка системы учета для технологического присоединения «жилого дома», расположенного по адресу: Российская Федерация, Ростовская обл., р-н Сальский, с. Кручёная Балка, ул. Тихая, д. 26, кадастровый номер земельного участка: 61:34:0090101:1143, заявитель Мовчан Д.И. (1 шт.)</t>
  </si>
  <si>
    <t>Строительство ВЛ 0,4 кВ от опоры №2-00/6 ВЛ 0,4 кВ Л-2 КТП-10/0,4 кВ №250 по ВЛ 10 кВ Л-4 КРС для электроснабжения объекта - жилой дом", расположенного по адресу: РФ, Ростовская область, Пролетарский район, п. Опенки, ул. молодежная, д.10, кв.1, к.н. 61:31:0080101:680, заявитель Ларионова Н.А. (ориентировочная протяженность ЛЭП-0,025 км)"</t>
  </si>
  <si>
    <t>«Установка системы учета для технологического присоединения объекта – «дачный дом», расположенного по адресу:
 РФ, Ростовская область, Пролетарский район, ДНТ «Ручеек №3», ул. Садовая, д. 48, кв. 1, к.н. 61:31:0500101:225, заявитель Рацев Г.В.» (1 шт.)</t>
  </si>
  <si>
    <t>Установка системы учета для технологического присоединения «жилой дом», расположенного по адресу: 347767, РФ, Ростовская область, Целинский район, ст-ца Сладкая Балка, ул. Егорлыкская, д. 72, к.н.з.у.:61:40:0040201:5, заявитель Башанаев М.С. (1 шт.)</t>
  </si>
  <si>
    <t>«Установка системы учета для технологического присоединения объекта «жилой дом», расположенного по адресу: 347500, РФ, Ростовская область,
 Орловский район, п. Красноармейский, пер. Мостовой, д. 9, кв. 2 к.н. з.у.: 61:29:0060133:66, заявитель Воронкова М.В.» (1 шт.)</t>
  </si>
  <si>
    <t>Установка системы учета для технологического присоединения объекта «жилой дом», расположенного по адресу: 347500, РФ, Ростовская область, Орловский район, п. Красноармейский, ул. Кирова, д. 106, к.н. з.у.: 61:29:0060104:14, заявитель Добрицын Н.А. (1шт.)</t>
  </si>
  <si>
    <t>Установка системы учета для технологического присоединения «жилого дома», расположенного по адресу: 347627 Российская Федерация, Ростовская обл., р-н Сальский, п. Сеятель Северный, ул. Садовая, д. 76, кадастровый номер земельного участка: 61:34:0070101:2026,  заявитель Лесная Е.А. (1 шт.)</t>
  </si>
  <si>
    <t>«Установка системы учета для технологического присоединения «жилого дома», расположенного по адресу: 347627 Российская Федерация, Ростовская обл., р-н Сальский, 
п. Сеятель Южный, линия 1-я, д. 26, кадастровый номер земельного участка: 61:34:0070201:165, заявитель Дочинец В.И.»</t>
  </si>
  <si>
    <t>«Установка системы учета для технологического присоединения «жилого дома», расположенного по адресу: 347769, РФ, Ростовская область, Целинский район, с. Лопанка, ул. Калинина, д. 12, к.н.з.у.:61:40:0040101:2660, заявитель Закуркин Андрей Викторович» (1 шт.)</t>
  </si>
  <si>
    <t>Установка системы учета для технологического присоединения «квартира», расположенного по адресу: 347760, РФ, Ростовская область, Целинский район, п. Тихий, ул. Светлая, д. 10, кв. 2, к.н. з.у.: 61:40:0010601:39, заявитель Зарудняя Анастасия Михайловна (1 шт.)</t>
  </si>
  <si>
    <t>"Установка системы учета для технологического присоединения «жилого дома», расположенного по адресу: 347776, РФ, Ростовская область, Целинский район, х. Васильевка, ул. Солнечная, д. 97, к.н.з.у.:61:40:0100201:128, заявитель Зубков Геннадий Николаевич" (1 шт.)</t>
  </si>
  <si>
    <t>"Установка системы учета для технологического присоединения объекта «комнаты 1,2,3,5», расположенного по адресу: 347521, РФ, Ростовская область, Орловский район, х. Быстрянский, ул. Мира, д. 12/1, к.н. з.у.: 61:29:0010201:2977, заявитель Карпенко Ю.А." (1 шт.)</t>
  </si>
  <si>
    <t>"Установка системы учета для технологического присоединения «жилого дома», расположенного по адресу: 347500, РФ, Ростовская область, Орловский район, п. Красноармейский, пер. Южный, д. 31, к.н. з.у.: 61:29:0060135:72, заявитель Красилина Л.В." (1 шт.)</t>
  </si>
  <si>
    <t>«Установка системы учета для технологического присоединения «дома», расположенного по адресу: Российская Федерация, Ростовская обл., р-н Сальский, х. Бровки, ул. Степная, 32, кадастровый номер земельного участка: 61:34:0500801:778, заявитель Пикалев О.А.»</t>
  </si>
  <si>
    <t>«Установка системы учета для технологического присоединения «базовая станция сотовой связи», расположенного по адресу: Российская Федерация, Ростовская обл.,
 р-н. Сальский, п. Клены, пересечение ул. Пруцакова и ул. Солнечная, рядом с земельным участком с кад. номером 61:34:0010401:329, заявитель ПАО «Ростелеком»</t>
  </si>
  <si>
    <t>«Установка системы учета для технологического присоединения «базовая станция сотовой связи», расположенного по адресу: Российская Федерация, Ростовская обл., р-н. Сальский, п. Тальники, рядом с земельным участком с кад. номером 61:34:0100501:98, заявитель ПАО «Ростелеком»</t>
  </si>
  <si>
    <t>"Установка системы учета для технологического присоединения «квартира», расположенного по адресу: 347773, РФ, Ростовская область, Целинский район, с. Плодородное, ул. Молодежная, д. 37, кв. 1, к.н.з.у.:61:40:0070101:360, заявитель Сбоева Светлана Сергеевна" (1 шт.)</t>
  </si>
  <si>
    <t>«Установка системы учета для технологического присоединения «дома», расположенного по адресу: Российская Федерация, Ростовская обл., р-н Сальский, х. Бровки, СНТ №2 «Бровки», ул. Камышовая, 93, кадастровый номер земельного участка: 61:34:0500801:192, заявитель Сикорская И.А.»</t>
  </si>
  <si>
    <t>«Установка системы учета для технологического присоединения объекта «жилой дом», расположенного по адресу: 347500, РФ, Ростовская область, 
Орловский район, х. Широкий, ул. Степная, д. 26, к.н. з.у.: 61:29:0061101:179, заявитель Челиков Н.Н.» (1 шт.)</t>
  </si>
  <si>
    <t>Установка системы учета для технологического присоединения объекта «жилой дом», расположенного по адресу: 347500, РФ, Ростовская область, Орловский район, п. Красноармейский, ул. Восточная, д. 182, к.н. з.у.: 61:29:0060103:41, заявитель Шептиев А.А. (1 шт.)</t>
  </si>
  <si>
    <t>«Установка системы учета для технологического присоединения «жилой дом», расположенного по адресу: 347760, РФ, Ростовская область, Целинский район, п. Новая Целина, ул. Дружбы, д.24, к.н.з.у.:61:40:0010146:64, заявитель Шульга В.А.» (1 шт.)</t>
  </si>
  <si>
    <t>"Установка системы учета для технологического присоединения «жилой дом», расположенного по адресу: РФ, Ростовская область, Целинский район, п. Новая Целина, ул. Первомайская, д. 30, к.н. з.у.: 61:40:0010150:79, заявитель Щербина Михаил Андреевич (1 шт.)"</t>
  </si>
  <si>
    <t>"Установка системы учета для технологического присоединения «магазина », расположенного по адресу: 347566, РФ, Ростовская область, Песчанокопский район, п. Дальнее Поле, ул. Молодежная, 5/2, к.н.з. у.: 61:30:0040101:21, заявитель ИП Кожуро А.И. (1 шт.)"</t>
  </si>
  <si>
    <t>"Установка системы учета для технологического присоединения «дом агронома», расположенного по адресу: 347570, РФ, Ростовская область, Песчанокопский район, вблизи с. Песчанокопского, граф. учет №26 к.н.з. у.: 61:30:0600004:4428, заявитель ИП глав КФХ Кононов В.А. (1 шт.)"</t>
  </si>
  <si>
    <t>"Установка системы учета для технологического присоединения «здание», расположенного по адресу: 347570, РФ, Ростовская область, Песчанокопский район, вблизи с. Песчанокопского, к.н.з. у.: 61:30:0600004:6132, заявитель ИП глава КФХ Федоров В.И. (1 шт.)"</t>
  </si>
  <si>
    <t>Установка системы учета для технологического присоединения «складское здание (помещение)», расположенного по адресу: Российская Федерация, Ростовская обл., г. Сальск, справа от автодороги 338 км+850 м «Песчанокопское-Котельниково», кадастровый номер земельного участка: 61:57:0010101:38, заявитель ООО «Белозерное» (1 шт.)</t>
  </si>
  <si>
    <t>"Установка системы учета для технологического присоединения «жилого дома», расположенного по адресу: 347565, РФ, Ростовская область, Песчанокопский район, с. Красная Поляна, ул. Красная, 60, к.н.з. у.: 61:30:0050101:1391, заявитель Солодов В.В. (1 шт.)"</t>
  </si>
  <si>
    <t>"Установка системы учета для технологического присоединения «жилого дома», расположенного по адресу: 347565, РФ, Ростовская область, Песчанокопский район, с. Красная Поляна, пер. Речной, 4-а, к.н.з. у.: 61:30:0050101:5392, заявитель Хворостов Г.В. (1 шт.)"</t>
  </si>
  <si>
    <t>"Установка системы учета для технологического присоединения объекта – «зернохранилище», расположенного по адресу: РФ, Ростовская область, Пролетарский район, примерно в 8 км по направлению на восток от ориентира п.п. 1260 (Красный кут), к.н. 61:31:0600007:396, заявитель Абросимов А.А. (1 шт.)"</t>
  </si>
  <si>
    <t>"Установка системы учета для технологического присоединения объекта – «базовая станция/оборудование сотовой связи», расположенного по адресу: РФ, Ростовская область, Пролетарский район, п. Опенки, ул. Молодежная, участок в 20 м от дома №1, заявитель АО «ПБК» (1 шт.)"</t>
  </si>
  <si>
    <t>"Установка системы учета для технологического присоединения объекта – «жилой дом», расположенного по адресу: 347552 Российская Федерация, Ростовская обл., р-н. Пролетарский, х. Сухой, ул. Строительная, д. 16, кв.2, к.н 61:31:0090101:608, заявитель Магомедрасулова И.В.» (1 шт.)"</t>
  </si>
  <si>
    <t>"Установка системы учета для технологического присоединения объекта – «дачный дом», расположенного по адресу: РФ, Ростовская область, Пролетарский район, садовое товарищество «Заречное», к.н. 61:31:0500401:50, заявитель Минор А.А." (1 шт.)</t>
  </si>
  <si>
    <t>«Установка системы учета для технологического присоединения электроснабжения объекта – «домик рыбака», расположенного по адресу: РФ, Ростовская область, Пролетарский район, рядом с земельным участком с кадастровым номером 61:31:0600011:887, расположенным по адресу: Ростовская область, Пролетарский район, 5,55 км юго-западнее х. Уютный, кв. 1, к.н. 61:31:0600011:902, заявитель Радченко С.С.» (1 шт.)</t>
  </si>
  <si>
    <t>"Установка системы учета для технологического присоединения объекта – «жилой дом», расположенного по адресу: РФ, Местоположение установлено относительно ориентира, расположенного в границах участка. Почтовый адрес ориентира: Ростовская область, р-н. Пролетарский, х. Уютный, ул. Первомайская, д.20, к.н 61:31:0100201:10, заявитель Редько С.А." (1 шт.)</t>
  </si>
  <si>
    <t>"Установка системы учета для технологического присоединения объекта – «жилой дом», расположенного по адресу: РФ, Ростовская область, Пролетарский район, ст-ца. Буденновская, ул. Южная, д. 38, к.н. 61:31:0020101:896, заявитель Сылкин А.Н." (1 шт.)</t>
  </si>
  <si>
    <t>«Установка системы учета для технологического присоединения объекта – «жилой дом», расположенного по адресу: РФ, Ростовская обл., р-н. Пролетарский, п. Приманычский, ул. Приманычская, д. 7, к.н 61:31:0010301:105, заявитель Тельнов С.Е.» (1 шт.)</t>
  </si>
  <si>
    <t>"Установка системы учета для технологического присоединения объекта – «жилой дом», расположенного по адресу: РФ, Ростовская область, Пролетарский район, х. Татнинов, ул. Лесная, д. 1, к.н. 61:31:0070301:50, заявитель Челомбасова В.В." (1 шт.)</t>
  </si>
  <si>
    <t>"Установка системы учета для технологического присоединения «манеж», расположенного по адресу: 347771, РФ, Ростовская область, Целинский район, п. Юловский, Юловское сельское поселение, северная окраина, к.н. з.у.: 61:40:0600009:1405, заявитель ООО «Агрофирма «Целина» (1 шт.)"</t>
  </si>
  <si>
    <t>«Установка системы учета для технологического присоединения «домовладения», расположенного по адресу: 347614 Российская Федерация, Ростовская обл., р-н. Сальский, с. Березовка, ул. Юбилейная, д. 11, кадастровый номер земельного участка: 61:34:0030101:828, заявитель    Александровский Н.Н.» (1 шт.)</t>
  </si>
  <si>
    <t>"Установка системы учета для технологического присоединения «жилого дома», расположенного по адресу: 347603 Российская Федерация, Ростовская обл., р-н. Сальский, п. Конезавод имени Буденного, ул. Восточная, д. 25, кадастровый номер земельного участка: 61:34:0040101:515, заявитель Бездудный Д. В.»  (1 шт.)"</t>
  </si>
  <si>
    <t xml:space="preserve">«Установка системы учета для технологического присоединения объекта «квартира», расположенного по адресу: 347527, РФ, Ростовская область, Орловский район, п. Волочаевский, ул. Степная,27, кв. 1, к.н. з.у.: 61:29:00201011:72, заявитель Борилко Н.И.  (1 шт.)» </t>
  </si>
  <si>
    <t>"Установка системы учета для технологического присоединения объекта «жилой дом», расположенного по адресу: 347500, РФ, Ростовская область, Орловский район, х. Токмацкий, ул. Солнечная, д. 3, к.н. з.у.: 61:29:0061001:9, заявитель Быкадорова Л.В. (1шт.)"</t>
  </si>
  <si>
    <t>«Установка системы учета для технологического присоединения «жилого дома», расположенного по адресу: Российская Федерация, Ростовская обл., р-н. Сальский, п. Конезавод имени Буденного ул. 40 лет Победы, 8а, кадастровый номер земельного участка: 61:34:0040101:4233, заявитель    Гладкий Э.Н.» (1 шт.)</t>
  </si>
  <si>
    <t>"Установка системы учета для технологического присоединения объекта «квартира», расположенного по адресу: 347523, РФ, Ростовская область, Орловский район, х. Веселый, ул. Советская, д. 21, кв. 1 к.н. з.у.: 61:29:0070401:79, заявитель Гричук С.А.» (1 шт.)"</t>
  </si>
  <si>
    <t>«Установка системы учета для технологического присоединения «жилого дома», расположенного по адресу: 347767, РФ, Ростовская область, Целинский район, ст. Сладкая Балка, ул. Прогресс, д. 37, к.н.з.у.:61:40:0040501:203, заявитель Дерлыш Анатолий Александрович» (1 шт.)</t>
  </si>
  <si>
    <t>"Установка системы учета для технологического присоединения «жилого дома», расположенного по адресу: 347609, Российская Федерация, Ростовская обл., р-н. Сальский, п. Белозерный, ул. Степная, д. 1, кадастровый номер земельного участка: 61:34:0080101:359, заявитель Добрынина Н. П. (1 шт.)"</t>
  </si>
  <si>
    <t>«Установка системы учета для технологического присоединения «жилого дома», расположенного по адресу: 347767, РФ, Ростовская область, Целинский район, ст. Сладкая Балка, ул. Центральная, д. 46, к.н.з.у.:61:40:0040501:16, заявитель Дубровин Дмитрий Вадимович» (1 шт.)</t>
  </si>
  <si>
    <t>"Установка системы учета для технологического присоединения «Храм», расположенного по адресу: 347618 Российская Федерация, Ростовская обл., р-н Сальский, с. Кручёная Балка, ул. Челнокова, д. 67,  кадастровый номер земельного участка: 61:34:0090101:4202, заявитель Местная религиозная организация православный Приход Храма Архистратига Михаила село Кручёная Балка Сальского района Ростовской области Религиозной организации «Волгодонская Епархия Русской Православной Церкви (Московский Патриархат)» (1 шт.)"</t>
  </si>
  <si>
    <t>«Установка системы учета для технологического присоединения объекта «жилой дом», расположенного по адресу: 347526, РФ, Ростовская область, Орловский район, х. Нижнеантоновский, ул. Антоновская, д. 40, к.н. з.у.: 61:29:0050401:339, заявитель Зайченко Е.Н. (1 шт.)»</t>
  </si>
  <si>
    <t>"Установка системы учета для технологического присоединения «жилого дома», расположенного по адресу: 347612 Российская Федерация, Ростовская обл., р-н Сальский, с. Сандата, ул. Мира, д. 5, к.н.з.у.:61:34:0170101:495, заявитель Кезина О.Н. (1 шт.)"</t>
  </si>
  <si>
    <t>"Установка системы учета для технологического присоединения «жилого дома», расположенного по адресу: 347760, РФ, Ростовская область, Сальский район,            п. Конезавод имени Буденного, ул. Садовая, 15, к.н.з.у.: 61:34:0040101:4288, заявитель Конкин Сергей Сергеевич (1 шт.)"</t>
  </si>
  <si>
    <t>"Установка системы учета для технологического присоединения объекта «гараж», расположенного по адресу: 347523, РФ, Ростовская область, Орловский район, х. Островянский, ул. Советская, д. 1В, к.н. з.у.: 61:29:0070101:2461, заявитель ИП Кузин С.А. глава К(Ф)Х (1шт.)"</t>
  </si>
  <si>
    <t>"Установка системы учета для технологического присоединения объекта «жилой дом», расположенного по адресу: 347500, РФ, Ростовская область, Орловский район, п. Красноармейский, пер. Красноармейский,48, к.н. з.у.: 61:29:0060122:20, заявитель Лукашов Е.В.» (1 шт.)"</t>
  </si>
  <si>
    <t>"Установка системы учета для технологического присоединения «жилого дома», расположенного по адресу: 347613 Российская Федерация, Ростовская обл., р-н Сальский, х. Сладкий, ул. Новомирская, д. 10, кадастровый номер земельного участка: 61:34:0060301:1, заявитель Лукьяненко С.Н. (1 шт.)"</t>
  </si>
  <si>
    <t>«Установка системы учета для технологического присоединения объекта «квартира», расположенного по адресу: 347525, РФ, Ростовская область, Орловский район, х. Камышевка, ул. Школьная, 10, кв.2, к.н. з.у.: 61:29:0050101:343, заявитель Лупиногина Т.М.» (1 шт.)»</t>
  </si>
  <si>
    <t>"Установка системы учета для технологического присоединения «нежилого объекта», расположенного по адресу: Российская Федерация, Ростовская обл., р-н Сальский, п. Степной Курган, кадастровый номер земельного участка: 61:34:0600001:2593, заявитель Миргородский С.Н. (1 шт.)"</t>
  </si>
  <si>
    <t xml:space="preserve"> «Установка системы учета для технологического присоединения объекта «жилой дом», расположенного по адресу: 347525, РФ, Ростовская область, Орловский район, х. Камышевка, ул. Школьная, д. 75 к.н. з.у.: 61:29:0050101:280, заявитель Орлов С.П.» (1 шт.) </t>
  </si>
  <si>
    <t>"Установка системы учета для технологического присоединения «жилого дома», расположенного по адресу: 347612 Российская Федерация, Ростовская обл., р-н Сальский, с. Сандата, ул. Ленина, д. 109, кадастровый номер земельного участка: 61:34:0170101:1679, заявитель Остапенко И.И.» (1 шт.)"</t>
  </si>
  <si>
    <t>"Установка системы учета для технологического присоединения «жилого дома», расположенного по адресу: 347615, Российская Федерация, Ростовская обл., р-н. Сальский, с. Новый Егорлык, ул. Ленина, 10а, кадастровый номер земельного участка: 61:34:0110101:6626, заявитель Пономарь В.Н.» (1 шт.)"</t>
  </si>
  <si>
    <t>"Установка системы учета для технологического присоединения «жилой дом», расположенного по адресу: 347773, РФ, Ростовская область, Целинский район, х. Благодарный, ул. Луговая, д. 44, к.н.з.у.:61:40:0070201:47, заявитель Рамазанов Ахмед Мичошоевич" (1 шт.)</t>
  </si>
  <si>
    <t>Строительство участка  ВЛИ 0,4 кВ от опоры 2-00/6 ВЛ 0,4 кВ Л-2  КТП 10/0,4 кВ №260 по ВЛ 10 кВ Л-3 Ново-Донская для электроснабжения объекта – «склад», расположенного по адресу: РФ, Ростовская область, Целинский район, с. Средний Егорлык, с к.н. з.у.: 61:40:0080101:1801,  заявитель ИП глава КФХ Савельев Михаил Васильевич (Ориентировочная протяженность ЛЭП-0,035 км)</t>
  </si>
  <si>
    <t>"Установка системы учета для технологического присоединения объекта «жилой дом», расположенного по адресу: 347500, РФ, Ростовская область, Орловский район, п. Красноармейский, пер. Пролетарский,18, к.н. з.у.: 61:29:0060127:43, заявитель Савина О.А.» (1 шт.)"</t>
  </si>
  <si>
    <t>«Установка системы учета для технологического присоединения объекта «жилой дом», расположенного по адресу: 347525, РФ, Ростовская область, Орловский район, х. Камышевка, ул. Школьная, 13, к.н. з.у.: 61:29:0050101:324, заявитель Скляров Р.И.» (1 шт.)</t>
  </si>
  <si>
    <t>"Установка системы учета для технологического присоединения объекта «жилой дом», расположенного по адресу: 347500, РФ, Ростовская область, Орловский район, х. Широкий, ул. Южная, д. 10, к.н. з.у.: 61:29:0061101:10, заявитель Соловьянова В.И. (1шт.)"</t>
  </si>
  <si>
    <t>"Установка системы учета для технологического присоединения объекта «магазин», расположенного по адресу: 347500, РФ, Ростовская область, Орловский район, п. Красноармейский, пер. Красноармейский, д.1, к.н. з.у.: 61:29:0060123:114, заявитель ИП Сычев Н.Н. (1шт.)"</t>
  </si>
  <si>
    <t>«Установка системы учета для технологического присоединения «жилого дома с мансардой», расположенного по адресу: 347618 Российская Федерация, Ростовская обл., р-н. Сальский, с. Крученая Балка, ул. Комсомольская, д. 22, кадастровый номер земельного участка: 61:34:0090101:810, заявитель Тарасенко И.Е.»  (1 шт.)</t>
  </si>
  <si>
    <t>«Установка системы учета для технологического присоединения «жилого дома», расположенного по адресу: 347617 Российская Федерация, Ростовская обл., р-н. Сальский, х. Новоселый 1-й, ул. Речная, д. 1, кадастровый номер земельного участка: 61:34:0120401:201, заявитель Хохлачев К.А.»  (1 шт.)</t>
  </si>
  <si>
    <t>«Установка системы учета для технологического присоединения объекта «квартира», расположенного по адресу: 347524, РФ, Ростовская область, Орловский район, х. Пролетарский, пер. Спортивный, д. 3, кв. 3 к.н. з.у.: 61:29:110201:2706, заявитель Чумакова Л.В.» (1 шт.)</t>
  </si>
  <si>
    <t>«Установка системы учета для технологического присоединения объекта «квартира», расположенного по адресу: 347525, РФ, Ростовская область, Орловский район, х. Камышевка, ул. Школьная, д. 83, кв. 2, к.н. з.у.: 61:29:0050101:272, заявитель Шевченко Н.А. (1 шт.)»</t>
  </si>
  <si>
    <t>«Установка системы учета для технологического присоединения объекта «квартира», расположенного по адресу: 347525, РФ, Ростовская область, Орловский район, х. Камышевка, ул. А.Муравина, д. 28, кв. 1 к.н. з.у.: 61:29:0050101:391, заявитель Шевченко С.А.» (1 шт.)</t>
  </si>
  <si>
    <t>"Установка системы учета для технологического присоединения «дачного дома», расположенного по адресу: 347563, РФ, Ростовская область, Песчанокопский район, с. Поливянка, ул. Набережная, 1-а к.н.з. у.: 61:30:0080101:2782, заявитель Алексеева А.И. (1 шт.)"</t>
  </si>
  <si>
    <t>"Установка системы учета для технологического присоединения «административное здание», расположенное по адресу: 347568, РФ, Ростовская область, Песчанокопский район, с. Летник, ул. Ленина, 148-б, к.н.з. у.: 61:30:0030101:1089, заявитель ИП Алфутова Н.И." (1 шт.)"</t>
  </si>
  <si>
    <t>"Установка системы учета для технологического присоединения «жилого дома», расположенного по адресу: 347560, РФ, Ростовская область, Песчанокопский район, с. Развильное, ул. Буденного, 102-а к.н. з. у.: 61:30:0090101:2451, заявитель Ващенко С.В.» (1 шт.)"</t>
  </si>
  <si>
    <t>«Установка системы учета для технологического присоединения «жилого дома», расположенного по адресу: 347570, РФ, Ростовская область, Песчанокопский район, х. Терновой, ул. Ленина, д. 46-а, к.н. з. у.: 61:30:0010501:506, заявитель Гудков А.П.» (1 шт.)</t>
  </si>
  <si>
    <t xml:space="preserve">«Установка системы учета для технологического присоединения «кухни», расположенной по адресу: 347562, РФ, Ростовская область, Песчанокопский район, с. Богородицкое, ул. Калинина, д. 82 к.н. з. у.: 61:30:0020101:855, заявитель Гусев А.Ю.» (1 шт.) </t>
  </si>
  <si>
    <t>"Строительство ВЛ 0,4 кВ от опоры №1-00/3 ВЛ 0,4 кВ Л-1 КТП 10/0,4 кВ № 46 по ВЛ 10 кВ Л-2 Жуковская, установка системы учета для технологического присоединения – «дачный дом», расположенного по адресу: РФ, Ростовская область, Песчанокопский район, с. Жуковское, ул.1 Мая, участок №26-а, к.н. з.у.: 61:30:0030101:1059, заявитель Жилин В.Н. (Ориентировочная протяженность ЛЭП – 0,020 км)"</t>
  </si>
  <si>
    <t>"Установка системы учета для технологического присоединения «жилого дома», расположенного по адресу: 347567, РФ, Ростовская область, Песчанокопский район, с. Жуковское, ул. Социалистическая, 1 к.н.з. у.: 61:30:0030101:303, заявитель Жуков П.В. (1 шт.)"</t>
  </si>
  <si>
    <t>"Установка системы учета для технологического присоединения «жилого дома», расположенного по адресу: 347561, РФ, Ростовская область, Песчанокопский район, с. Развильное, ул. Первомайская, д. 78 к.н. з. у.: 61:30:0090101:9550, заявитель Кондабаров А.И." (1 шт)</t>
  </si>
  <si>
    <t>"Установка системы учета для технологического присоединения «здание амбулатории», расположенной по адресу: 347562, РФ, Ростовская область, Песчанокопский район, с. Богородицкое, ул. Кирова, д. 96 к.н. з. у.: 61:30:0020101:3736, заявитель МБУЗ «ЦРБ» Песчанокопского района (1 шт.)"</t>
  </si>
  <si>
    <t>"Установка системы учета для технологического присоединения «незавершенный строительством объект», расположенный по адресу: 347560, РФ, Ростовская область, Песчанокопский район, с. Развильное, ул. Фабричная, д. 15 к.н. з. у.: 61:30:0090101:918, заявитель Мельников Е.О." (1 шт)</t>
  </si>
  <si>
    <t>"Установка системы учета для технологического присоединения «административное здание», расположенное по адресу: 347560, РФ, Ростовская область, Песчанокопский район, с. Развильное, ул. Строителей, д. 111, к.н. з. у.: 61:30:0090101:9786, заявитель СПССОК «Развилкино» (1 шт.)"</t>
  </si>
  <si>
    <t>"Установка системы учета для технологического присоединения «жилого дома», расположенного по адресу: 347568, РФ, Ростовская область, Песчанокопский район, с. Летник, ул. Московская, 61 к.н.з. у.: 61:30:060101:0066, заявитель Сухинина М.Ю. (1 шт.)"</t>
  </si>
  <si>
    <t xml:space="preserve">«Установка системы учета для технологического присоединения «жилого доиа», расположенного по адресу: 347561, РФ, Ростовская область, Песчанокопский район, с. Развильное, ул. Жолоба, д. 59-а к.н. з. у.: 61:30:0090101:10145, заявитель Ткаля Р.М.» (1 шт) </t>
  </si>
  <si>
    <t>"Установка системы учета для технологического присоединения «жилого дома», расположенного по адресу: 347560, РФ, Ростовская область, Песчанокопский район, с. Развильное, ул. Комсомольская, 58 к.н. з. у.: 61:30:0090101:8914, заявитель Тхагова С.А.» (1 шт)"</t>
  </si>
  <si>
    <t>"Установка системы учета для технологического присоединения «жилого дома», расположенного по адресу: 347569, РФ, Ростовская область, Песчанокопский район, с. Рассыпное, ул. Котовского, д. 41 к.н. з. у.: 61:30:0100101:539, заявитель Шаров В.В.» (1 шт.)"</t>
  </si>
  <si>
    <t>«Строительство участка ВЛ 0,4 кВ от опоры №3-00/1-5 ВЛ 0,4кВ Л-3 КТП 10/0,4 кВ №815 по ВЛ 10 кВ Л-2 Будённовская для электроснабжения объекта «магазин «автозапчасти», расположенного по адресу: РФ, Ростовская область, Пролетарский район, ст-ца Будённовская, ул. Ленина, д. 22/4, заявитель Бурим М.В.» (Ориентировочная протяженность ЛЭП – 0,025км)</t>
  </si>
  <si>
    <t>Установка системы учета для технологического присоединения объекта – «гараж с подвалом», расположенного по адресу: РФ, Ростовская область, Пролетарский район, г. Пролетарск, ул. Матвеева, д. 11/45, к.н 61:31:0110262:30, заявитель Андрианова Н.А. (1 шт.)</t>
  </si>
  <si>
    <t>Строительство ВЛ 0,4 кВ от РУ 0,4 кВ ТП 10/0,4 кВ №5-3 по ВЛ 10 кВ №5 ПС 35/10 кВ Б.Салы, техническое перевооружение ТП 10/0,4 кВ №5-3 по ВЛ 10 кВ №5 ПС 35/10 кВ Б.Салы для технологического присоединения производственной базы Заявителя (Гаричева Л.С.) по адресу: Ростовская область, Мясниковский район, с. Б.Салы, ул. Абовяна, д.48 к.н.  №61:25:0040101:5275 (ориентировочная протяженность ЛЭП 0,09 км; мощность силового трансформатора 160 кВА)</t>
  </si>
  <si>
    <t>Строительство ВЛ 0,4 кВ от опоры по ВЛ 0,4 кВ №2 ТП 10/0,4 кВ №8-1 по ВЛ 10 кВ №8 ПС 110/35/10 кВ Синявская, для технологического присоединения жилого дома Заявителя (Геворгян Г.Т.) по адресу: Ростовская область, Мясниковский район, х. Веселый, ул. Ленина, д.77, корп. А, к.н.  №61:25:0060101:2880, (ориентировочная протяженность ЛЭП 0,08 км)</t>
  </si>
  <si>
    <t>Строительство ВЛ 0,4 кВ от опоры по ВЛ 0,4 кВ №1 ТП 10/0,4 кВ №1-106 по ВЛ 10 кВ №1 ПС 110/35/10 кВ Чалтырь, для технологического присоединения жилого дома Заявителя (Дьягольченко И.А.) по адресу: Ростовская область, Мясниковский район, х. Ленинаван, ул.  Софийская, д. 6, к.н. №61:25:0600401:5547 (ориентировочная протяженность ЛЭП 0,035 км)</t>
  </si>
  <si>
    <t>Строительство ВЛ 0,4 кВ от опоры по ВЛ 0,4 кВ №1 ТП 10/0,4 кВ №6-1А по ВЛ 10 кВ №6 ПС 35/10 кВ Б. Салы для технологического присоединения жилого дома Заявителя (Машарипова В.А.) по адресу: Ростовская область, Мясниковский район, с. Большие Салы, ул. 26 Бакинских Комиссаров, д. 2, к.н.  №61:25:0040101:1680, (ориентировочная протяженность ЛЭП 0,015 км)</t>
  </si>
  <si>
    <t>Строительство ВЛ 0,4 кВ от опоры по ВЛ 0,4 кВ №2 ТП 10/0,4 кВ №5-10 по ВЛ 10 кВ №5 ПС 110/27/10 кВ Хапры-Тяговая для технологического присоединения жилого дома Заявителя (Беденко А.Г.) по адресу: Ростовская область, Мясниковский район, х. Калинин, ул. Набережная, д. 208, корп. Б, к.н.  №61:25:0050101:6803, (ориентировочная протяженность ЛЭП 0,05 км)</t>
  </si>
  <si>
    <t>Строительство ВЛ 0,4 кВ от ВЛ 0,4 кВ №1 КТП 10/0,4 кВ №50м ВЛ 10 кВ №НС-3 ПС 35/10 кВ «Лакадемоновская» для технологического присоединения жилого дома Заявителя (Кириченко О.В.) по адресу: Ростовская область, Неклиновский район, с. Беглица, ул. Зарайченкова, 88, к.н. 61:26:0160401:769 (ориентировочная протяженность ЛЭП 0,24 км)</t>
  </si>
  <si>
    <t>Строительство ВЛ 0,4 кВ от КТП 10/0,4 кВ №471 ВЛ 10 кВ №3 ПС 110/10 кВ «Самбек» для электроснабжения нежилого здания заявителя (ООО «Донской бизнес») по адресу: Ростовская обл., Неклиновский район, с. Самбек, ул. Молодежная, 31, к.н. 61:26:0020101:1103 (ориентировочная протяженность ЛЭП 0,16 км)</t>
  </si>
  <si>
    <t>Строительство ВЛ 0,4 кВ от новой ТП 10/0,4 кВ, строительство ТП 10/0,4 кВ, строительство ВЛ 10 кВ от ВЛ 10 кВ № 7 ПС 110/35/10 кВ «Синявская», для технологического присоединения магазина Заявителя (ИП Бликян Н.Б.) по адресу: Ростовская область, Мясниковский район, х. Недвиговка ул. Ченцова д. 31 к.н. 61:25:0070101:1387 (ориентировочная протяженность ЛЭП 0,38 км; мощность силового трансформатора 100 кВА)</t>
  </si>
  <si>
    <t>Строительство ВЛ 0,4 кВ от ВЛ 0,4 кВ №1 КТП 10/0,4 кВ №494м ВЛ 10 кВ №7/8 ПС 35/10 кВ «Гаевка» для технологического присоединения жилого дома Заявителя (Рамазанов М.А.) по адресу: Ростовская область, Неклиновский район, с. Гаевка, ул. Набережная, 9, к.н. 61:26:0160301:503 (ориентировочная протяженность ЛЭП 0,11 км)</t>
  </si>
  <si>
    <t>Строительство ВЛ 0,4 кВ от новой ТП 10/0,4 кВ, строительство ТП 10/0,4 кВ, строительство ВЛ 10 кВ от ВЛ 10 кВ №2 отпайки на ТП №2-4 ПС 110/35/10 кВ Чалтырь для технологического присоединения нежилого помещения и склада Заявителей (Топалян Г.В., Топалян В.М.) по адресу: Ростовская область, Мясниковский район, с. Султан Салы ул. Селивёрстова, д. 1, д. 1/б к.н. №61:25:0030401:466, №61:25:0030401:465 (ориентировочная протяженность ЛЭП 0,74 км; мощность силового трансформатора 250 кВА)</t>
  </si>
  <si>
    <t>Строительство ВЛ 0,4 кВ от опоры по ВЛ 0,4 кВ №1 ТП 10/0,4 кВ №1-171 по ВЛ 10 кВ №1 ПС 110/35/10 кВ Чалтырь, запитанной от ВЛ 10 кВ №29-35 ПС 110/10 кВ Р-29, для технологического присоединения жилых домов Заявителей (Стрельченко А.А, Михальчук Т.И.) по адресу: Ростовская область, Мясниковский район, х. Ленинаван, ул. Кутузова, д. 28, 28/б, к.н. №61:25:0600401:15448, 61:25:0600401:15447, (ориентировочная протяженность ЛЭП 0,035 км)</t>
  </si>
  <si>
    <t>Строительство ВЛ 0,4 кВ от РУ 0,4 кВ ТП 10/0,4 кВ, строительство ТП 10/0,4 кВ, строительство ВЛ 10 кВ от ВЛ 10 кВ №4 ПС 110/35/10 кВ Чалтырь, для технологического присоединения нежилого здания Заявителя: (ИП Лопатина Т.А.), по адресу: Мясниковский район, с. Крым, ул. 11-я линия, д 1-н (ориентировочная протяженность ЛЭП 0,02 км; мощность силового трансформатора – 160 кВА)</t>
  </si>
  <si>
    <t>Строительство ВЛ 0,4 кВ от ВЛ 0,4 кВ №1 КТП 10/0,4 кВ №784 ВЛ 10 кВ №6 ПС 110/10 кВ «Самбек» для электроснабжения заявителя (Пуглий М.Г.) по адресу: Ростовская обл., Неклиновский район, п. Ореховый, ул. 1-я Строительная, 71, к.н. 61:26:00600014:401 (ориентировочная протяженность ЛЭП 0,23 км)</t>
  </si>
  <si>
    <t>Строительство ВЛ 0,4 кВ от ВЛ 0,4 кВ №1 КТП 10/0,4 кВ №846 ВЛ 10 кВ №1/3 ПС 110/35/10 кВ «Троицкая-1» для технологического присоединения стоянок автотранспорта Заявителей (Манукян Г.Ш., Варданян Ш.К.) по адресу: Ростовская область, Неклиновский район, к.н. 61:26:0600014:2021, к.н. 61:26:0600014:2022 (ориентировочная протяженность ЛЭП 0,21 км)</t>
  </si>
  <si>
    <t>Строительство ВЛ 0,4 кВ от РУ 0,4 кВ проектируемого ТП 10/0,4 кВ, строительство ТП 10/0,4 кВ, строительство ВЛ 10 кВ от ВЛ 10 кВ №1 ПС 110/35/10 кВ Чалтырь запитанной от ВЛ 10 кВ №29-35 ПС 110/10кВ Р-29, для технологического присоединения индивидуального жилого дома Заявителя: (Оганесян С.Г.) по адресу: Ростовская обл. Мясниковский р-н, х. Ленинаван, ул. Набережная, д 12 к.н. 61:25:0030202:100 (ориентировочная протяженность ЛЭП -0,36 км; мощность силового трансформатора – 100 кВА)</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</si>
  <si>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(1 шт) -(61-1-21-00592973)</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</si>
  <si>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(1 шт) -(61-1-21-00591061)</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</si>
  <si>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(1 шт) -(61-1-21-00591623)</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</si>
  <si>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(1 шт) -(61-1-21-00591625)</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</si>
  <si>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(1 шт) -(61-1-21-00593031)</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</si>
  <si>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(1 шт) -(61-1-21-00593021)</t>
  </si>
  <si>
    <t>Установка системы учета для технологического присоединения энергопринимающих устройств Заявителей: ООО «Синара-Городские Транспортные Решения Таганрог», Ростовской области (1 шт) -(61-1-21-00593341)</t>
  </si>
  <si>
    <t xml:space="preserve">Установка коммерческого учета электрической энергии (мощности) на границе земельного участка, подключенного от опоры №172-22   ВЛ-0,4  № 1 КТП-172 ВЛ-10  904  ПС 110 кВ Балко-Грузская, для электроснабжения жилого дома заявителя Мищенко В.А., х.Балко-Грузский, Егорлыкский район, Ростовская область   </t>
  </si>
  <si>
    <t xml:space="preserve">Установка коммерческого учета электрической энергии (мощности) на границе земельного участка, подключенного от опоры №250-8а ВЛ-0,4  № 1 КТП-250 ВЛ-10  507  ПС 35 кВ Е-5, для электроснабжения участка заявителя МБУК Егорлыкского района "Межпоселенческая центральная библиотека", х.Новая Деревня, Егорлыкский район, Ростовская область  </t>
  </si>
  <si>
    <t>Строительство участка ВЛИ-0,4кВ от оп. №135-138 ВЛ-0,4кВ №4 КТП-10/0,4 кВ №135 ВЛ-10 кВ №805 ПС 110/10 кВ «БОС» и системы учета электрической энергии (мощности) на границе земельного участка для электроснабжения жилого дома заявителя Патотовой С.Ю., п. Мокрый Батай, Кагальницкий р-он Ростовская область (ориентировочная протяженность ЛЭП – 0,02 км)</t>
  </si>
  <si>
    <t xml:space="preserve">Установка коммерческого учета электрической энергии (мощности) на границе земельного участка, подключенного от опоры №1-48 ВЛ-0,4 кВ №1 КТП-10/0,4 кВ №1 по ВЛ-10 кВ №612 ПС 35/10 кВ "КГ-3", для электроснабжения жилого дома заявителя Бедросова Ц.А., Кагальницкий р-н, с. Новобатайск ул. Горожанова д.2А, Ростовская область </t>
  </si>
  <si>
    <t xml:space="preserve">Установка коммерческого учета электрической энергии (мощности) на границе земельного участка, подключенного от опоры №17-12 ВЛ-0,4 кВ №1 КТП-10/0,4 кВ №1  ВЛ-10 кВ №501 ПС 35/10 кВ "ЗР-5", для электроснабжения квартиры заявителя Деречей Л.Ф., х. Гуляй-Борисовка, Зерноградский р-он, Ростовская область   </t>
  </si>
  <si>
    <t>Установка коммерческого учета электрической энергии (мощности) на границе земельного участка, подключенного от опоры № 8-48 ВЛ-0,4 кВ №1 КТП-10/0,4 кВ №8 по ВЛ-10 кВ № 305 ПС 35/10 кВ «КГ-3», для электроснабжения жилого дома заявителя Долговой Т.В. Кагальницкий р-н. п. Глубокий Яр, ул. Лесная д.10 Ростовская область»</t>
  </si>
  <si>
    <t>Установка коммерческого учета электрической энергии (мощности) на границе земельного участка, подключенного от опоры №323-3 ВЛ-0,4 кВ №2 КТП-10/0,4 кВ №323 ВЛ-10 кВ №1108 ПС 35/10 кВ Е-11, для электроснабжения участка заявителя ИП Банько С.А., нежилое помещение (склад), х.Изобильный, Егорлыкский район, Ростовская область</t>
  </si>
  <si>
    <t xml:space="preserve">Установка коммерческого учета электрической энергии (мощности) на границе земельного участка, подключенного от опоры №50-23 ВЛ-0,4 кВ № 2 КТП-10/0,4 кВ №50 ВЛ-10 кВ №707 от ПС 35/10 кВ «ЗР-7», для электроснабжения жилого дома заявителя Иванова П.Г.  Ростовская область, Зерноградский р-н, х. Путь Правды, ул. Ленина д.67  </t>
  </si>
  <si>
    <t xml:space="preserve">Установка коммерческого учета электрической энергии (мощности) на границе земельного участка, подключенного от опоры №85-44 ВЛ-0,4 кВ № 2 КТП-10/0,4 кВ №85 ВЛ-10 кВ №415 от ПС 35/10 кВ «КГ-4», для электроснабжения жилого дома заявителя Яковлева М.А.  Ростовская область, Кагальницкий р-н., х. Кагальничек  </t>
  </si>
  <si>
    <t xml:space="preserve">Установка коммерческого учета электрической энергии (мощности) на границе земельного участка, подключенного от опоры №89-37 ВЛ-0,4 кВ № 1 КТП-10/0,4 кВ №89 ВЛ-10 кВ №319 от ПС 35/10 кВ «КГ-3», для электроснабжения жилого дома заявителя Заверюхина А.Е.,  Ростовская область, Кагальницкий р-н., ст. Кировская, ул. Майская д.2А </t>
  </si>
  <si>
    <t xml:space="preserve">Установка коммерческого учета электрической энергии (мощности) на границе земельного участка, подключенного от опоры №33-41 ВЛ-0,4 кВ № 2 КТП-10/0,4 кВ №33 ВЛ-10 кВ №313 от ПС 35/10 кВ «КГ-3», для электроснабжения жилого дома заявителя Баранцева Е.Р.  Ростовская область, Кагальницкий р-н., ст. Кировская, ул. Суворова д.27А  </t>
  </si>
  <si>
    <t>Строительство участка ВЛИ-0,4кВ от опоры №175-27 ВЛ-0,4 кВ №1 КТП-10/0,4 кВ №175 по ВЛ-10 кВ № 605 ПС 110/6/10 кВ Е-6 и установка системы учета электрической энергии (мощности) на границе земельного участка для электроснабжения жилого дома заявителя Кротенко Ю.В., Егорлыкский р-он Ростовская область (1шт), (ориентировочная протяженность ЛЭП – 0,030 км)</t>
  </si>
  <si>
    <t>Установка коммерческого учета электрической энергии (мощности) на границе земельных участков, подключенных от оп. оп. № 95-43 ВЛ-0,4 кВ №3 КТП-95 по ВЛ-10 кВ №1106 ПС 35 кВ Е-11, для электроснабжения жилого дома по заявке Гузь Н.Ю.,  № 181-6 ВЛ-0,4 кВ №1 КТП-181 по ВЛ-10 кВ №904 ПС 110 кВ Балко-Грузская, для электроснабжения наружного освещения (светодиодные светильники) и фоторадарного комплекса измерения скорости транспортных средств «Кордон-М» 2 по заявке Министерства Транспорта, Егорлыкский р-он. Ростовская область (2 шт.)</t>
  </si>
  <si>
    <t xml:space="preserve">Установка прибора коммерческого учета электрической энергии (мощности) на границе земельного участка, подключенного от оп. №24-32 ВЛ-0,4 № 1 КТП-24 ВЛ-10 807 ПС 110 кВ Роговская, для электроснабжения жилого дома заявителя Настакалова П.М., ст. Новороговская, Егорлыкский р-он Ростовская область (1 шт)  </t>
  </si>
  <si>
    <t>Установка прибора коммерческого учета электрической энергии (мощности) на границе земельного участка, подключенного от оп. №92-33   ВЛ-0,4  № 1 КТП-92 ВЛ-10  502  ПС 35 кВ Е-5, для электроснабжения жилого дома заявителя Шинкарева А.В., х.Калмыков, Егорлыкский р-он Ростовская область» (1шт)</t>
  </si>
  <si>
    <t xml:space="preserve">Установка прибора коммерческого учета электрической энергии (мощности) на границе земельного участка, подключенного от оп. №132-62   ВЛ-0,4  № 1 КТП-132 ВЛ-10  506  ПС 35 кВ Е-5, для электроснабжения жилого дома заявителя Дарбинян А.В., х.Объединенный, Егорлыкский р-он Ростовская область» (1шт) </t>
  </si>
  <si>
    <t xml:space="preserve">Установка прибора коммерческого учета электрической энергии (мощности) на границе земельного участка, подключенного от оп. №418-5 ВЛ-0,4  № 1 КТП-418 ВЛ-10 кВ № 612  ПС 35 кВ Е-6, для электроснабжения жилого дома заявителя Тоноян А.З., х.Шаумяновский, Егорлыкский р-он Ростовская область» (1шт)  </t>
  </si>
  <si>
    <t>Установка прибора коммерческого учета электрической энергии (мощности) на границе земельного участка, подключенного от оп. №418-49 ВЛ-0,4  № 2 КТП-418 ВЛ-10 кВ № 612  ПС 35 кВ Е-6, для электроснабжения нежилого здания (склада) заявителя ИП Карапетян Г.Р., х.Шаумяновский, Егорлыкский р-он Ростовская область (1шт).</t>
  </si>
  <si>
    <t xml:space="preserve">Строительство участка ВЛИ-0,4кВ от оп. №36-42 ВЛ-0,4кВ №2 КТП-10/0,4 кВ №36 ВЛ-10 кВ №313 ПС 35/10 кВ «КГ-3» и системы учета электрической энергии (мощности) на границе земельного участка для электроснабжения жилого дома заявителя Мышакиной Л.А., Ростовская область, Кагальницкий р-н, ст. Кировская, ул. Кирова д.73Б (ориентировочная протяженность ЛЭП – 0,03 км)  </t>
  </si>
  <si>
    <t>Установка коммерческого учета электрической энергии (мощности) для технологического присоединения энергопринимающих устройств Заявителей: Ключников И.Н., Соколенко Л.Т., Комитет по управлению имуществом, Кагальницкого района, Силкин А.В., Зерноградский р-н, Ростовская область ( 4 шт.)</t>
  </si>
  <si>
    <t xml:space="preserve">Строительство системы учета для технологического присоединения энергопринимающих устройств Заявителей: Головченко Н.Ф., Кутровский А.Н. в Зерноградском, Кагальницком районе Ростовской области </t>
  </si>
  <si>
    <t>Установка коммерческого учета электрической энергии (мощности)  для технологического присоединения энергопринимающих устройств Заявителей: Болдаревой Л.Е., Мироновой М.О., Кагальницкий р-н, Игнатенко М.Г. Зерноградский р-н, Ростовская область ( 3 шт.)</t>
  </si>
  <si>
    <t>Установка коммерческого учета электрической энергии (мощности) на границе земельного участка, подключенного от оп. №48-34 ВЛ-0,4 кВ №3 КТП-10/0,4 кВ №48 по ВЛ-10 кВ № 318 ПС 35/10 кВ «КГ-3», для электроснабжения ЛПХ заявителя Мизюковой Т.В., х.Николаевский, Кагальницкий р-он, Ростовская область (1шт)</t>
  </si>
  <si>
    <t xml:space="preserve">Установка коммерческого учета электрической энергии (мощности)  для технологического присоединения энергопринимающих устройств Заявителей: Никифоровой В.В., Павленко В.П., Трофимова А.В. Зерноградский р-он, Кагальницкий р-он Ростовская область (3 шт.) </t>
  </si>
  <si>
    <t>Установка коммерческого учета электрической энергии  (мощности) для технологического присоединения энергопринимающих устройств Заявителей: Живцов А.В. Кагальницкий р-н, Минаев А.В., Животкевич А.А. Зерноградский р-н, Ростовская область ( 3 шт.)</t>
  </si>
  <si>
    <t>Строительство участка ВЛИ-0,4кВ от оп. №134-4 ВЛ-0,4кВ №1 КТП-10/0,4 кВ №134 ВЛ-10 кВ №101 ПС 220/110/35/10 кВ «Зерновая» и системы учета электрической энергии (мощности) на границе земельного участка для электроснабжения жилого дома заявителя Ващаева Н.Н., г. Зерноград, Ростовская область, Зерноградский р-он, г. Зерноград, ул. Аксайская д.12 (ориентировочная протяженность ЛЭП – 0,04 км)</t>
  </si>
  <si>
    <t>Строительство участка ВЛИ-0,4кВ от оп. №134-36 ВЛ-0,4кВ №2 КТП-10/0,4 кВ №134 ВЛ-10 кВ №101 ПС 220/110/35/10 кВ «Зерновая» и системы учета электрической энергии (мощности) на границе земельного участка для электроснабжения жилого дома заявителя Маркова А.В., Ростовская область, Зерноградский р-н, г. Зерноград, пер. Ярославский д.34 (ориентировочная протяженность ЛЭП – 0,08 км)</t>
  </si>
  <si>
    <t xml:space="preserve">Строительство участка ВЛИ-0,4кВ от оп. №202-21 ВЛ-0,4кВ №1 КТП-10/0,4 кВ №202 ВЛ-10 кВ №319 ПС 35/10 кВ «КГ-3» и системы учета электрической энергии (мощности) на границе земельного участка для электроснабжения ЛПХ заявителя Христюченко И.В., Ростовская область, Кагальницкий р-н, п. Мокрый Батай, ул. Садовая д.93 (ориентировочная протяженность ЛЭП – 0,025 км) </t>
  </si>
  <si>
    <t xml:space="preserve">Строительство участка ВЛИ-0,4кВ от оп. №4-73 ВЛ-0,4кВ №2 КТП-10/0,4 кВ №4 ВЛ-10 кВ №305 ПС 35/10 кВ «КГ-3» и системы учета электрической энергии (мощности) на границе земельного участка для электроснабжения ЛПХ заявителя Шеметовой О.Ю., Ростовская область, Кагальницкий р-н, ст. Кировская ул. Садовая д. 34  (ориентировочная протяженность ЛЭП – 0,03км) </t>
  </si>
  <si>
    <t xml:space="preserve">Установка коммерческого учета электрической энергии (мощности) для технологического присоединения энергопринимающих устройств Заявителей: Полеев А.А., Тепкина Н.Н., ИП Цаплев В.В., Зубова Т.Н, Сергушкин А.Ю., Кагальницкий р-он Ростовская область ( 5 шт.)  </t>
  </si>
  <si>
    <t xml:space="preserve">Установка коммерческого учета электрической энергии (мощности) для технологического присоединения энергопринимающих устройств Заявителей: Харло М. С. Кагальницкий р-н,  Зерноградское районное потребительское общество Зерноградский р-н, Ростовская область ( 2 шт.)  </t>
  </si>
  <si>
    <t>«Техническое перевооружение ВЛИ-0,4кВ №1 от оп. №102-8 до опоры №102-44 ВЛ-0,4кВ №1 КТП-10/0,4 кВ №102 ВЛ-10 кВ №2907 РП-29 ПС 35/10 кВ «А-18» и установка коммерческого учета электрической энергии (мощности) на границе земельного участка для электроснабжения жилого дома заявителя Архиповой А.Е., х. Обуховка, Азовский р-он Ростовская область (ориентировочная протяженность ЛЭП – 0,055 км)».</t>
  </si>
  <si>
    <t xml:space="preserve">Строительство участка ВЛИ-0,4кВ от оп. №101-26 ВЛ 0,4 кВ №2 КТП 10/0,4 кВ №101 ВЛ-10кВ №2412 ПС 35/10 кВ «А-24» и системы учета электрической энергии (мощности) на границе земельного участка для электроснабжения жилого дома заявителя Срединской Е.А., х. Полушкин, Азовский р-он Ростовская область (ориентировочная протяженность ЛЭП – 0,03 км) </t>
  </si>
  <si>
    <t xml:space="preserve">Строительство участка ВЛИ-0,4кВ от РУ-0,4 кВ КТП 10/0,4 кВ №162 ВЛ-10кВ №1101 ПС 35/10 кВ «А-11» и установка системы учета электрической энергии (мощности) на границе земельного участка для электроснабжения жилого дома заявителя Журовой Л.П., с. Кагальник, Азовский р-он Ростовская область (ориентировочная протяженность ЛЭП – 0,100 км) </t>
  </si>
  <si>
    <t xml:space="preserve">Строительство участка ВЛИ-0,4кВ от оп. №37-58 ВЛ-0,4 кВ №2 КТП 10/0,4 кВ №37 ВЛ-10кВ №1702 ПС 35/10 кВ «А-17» и установка системы учета электрической энергии (мощности) на границе земельного участка для электроснабжения жилого дома заявителя Ушакова М.Ю., с. Стефанидинодар, Азовский р-он Ростовская область (ориентировочная протяженность ЛЭП – 0,08 км)  </t>
  </si>
  <si>
    <t xml:space="preserve">Строительство участка ВЛИ-0,4кВ от проектируемой ВЛ-0,4 кВ (по договору №61-1-19-00474079 от 23.10.2019г.) КТП 10/0,4 кВ №233 ВЛ-10 кВ №1815 ПС «А-18» и установка системы учета электрической энергии (мощности) на границе земельного участка для электроснабжения жилого дома заявителя Мардаревой О.Н., Рыболовецкий колхоз им. Ленина, Азовский р-он Ростовская область (ориентировочная протяженность ЛЭП – 0,140 км) </t>
  </si>
  <si>
    <t>Строительство участка ВЛИ-0,4кВ от № 25-161 ВЛ-0,4 кВ №3 КТП 10/0,4 кВ №25 ВЛ-10кВ №1815 ПС 35/10 кВ «А-18» и системы учета электрической энергии (мощности) на границе земельного участка для электроснабжения жилого дома заявителя Тихомирова Г.А., х.Колузаево, Азовский р-он Ростовская область (ориентировочная протяженность ЛЭП – 0,200 км)</t>
  </si>
  <si>
    <t>Строительство участка ВЛИ-0,4кВ от оп. № 25-10 ВЛ-0,4 кВ №3 КТП 10/0,4 кВ №25 ВЛ-10кВ №1815 ПС 35/10 кВ «А-18» и системы учета электрической энергии (мощности) на границе земельного участка для электроснабжения жилого дома заявителя Тюрина С.В., х. Колузаево Ростовская область (ориентировочная протяженность ЛЭП – 0,08 км)</t>
  </si>
  <si>
    <t>'Строительство участка ВЛИ-0,4кВ от оп. №188-60 ВЛ-0,4 кВ №3 КТП 10/0,4 кВ №188 ВЛ-10 кВ 3125 ПС 110/35/10 кВ А-31 и установка шкафа 0,4 кВ с коммутационным аппаратом для электроснабжения жилого дома заявителя Соколова А.В., с. Пешково, Ростовская область (ориентировочная протяженность ЛЭП – 0,250 км)</t>
  </si>
  <si>
    <t>'Строительство участка ВЛИ-0,4кВ от РУ-0,4 кВ КТП 10/0,4 кВ №99 ВЛ-10кВ №106Н ПС 110/6/10 кВ «НС-1» и системы учета электрической энергии (мощности) на границе земельного участка для электроснабжения жилого дома заявителя Шрамко А.С., п. Овощной, Азовский р-он Ростовская область (ориентировочная протяженность ЛЭП – 0,300 км)</t>
  </si>
  <si>
    <t xml:space="preserve">Строительство ЛЭП-10 кВ от оп. 6 кВ по ВЛ-10кВ №101 ПС 35/10 кВ «Е-1», ТП-10/0,4 кВ, ЛЭП-0,4 кВ и установка системы учета электрической энергии (мощности) на границе земельного участка для электроснабжения жилого помещения заявителя Кирюшкина В.Н., ст.Егорлыкская, Егорлыкский район Ростовская область (ориентировочная протяженность ЛЭП– 0,480 км, ориентировочная трансформаторная мощность – 0,025 МВА)  </t>
  </si>
  <si>
    <t xml:space="preserve">Установка прибора коммерческого учета электрической энергии (мощности) на границе земельного участка, подключенного от оп. №227-8 ВЛ-0,4 № 1 КТП-227 ВЛ-10 605 ПС 35 кВ Е-6, для электроснабжения нежилого здания заявителя ИП Савченко Н.Г, 45 м. на юг от южной окраины х.Кавалерский, Егорлыкский р-он Ростовская область»(1шт) </t>
  </si>
  <si>
    <t xml:space="preserve">Установка прибора коммерческого учета электрической энергии (мощности) на границе земельного участка, подключенного от оп. №211-25 ВЛ-0,4 № 2 КТП-211 ВЛ-10 612 ПС 35 кВ Е-6, для электроснабжения нежилого здания заявителя ИП Сафарян А.П., ул.Баграмяна, 16а, х. Шаумяновский, Егорлыкский р-он Ростовская область»(1шт) </t>
  </si>
  <si>
    <t>'Строительство ВЛ-10 кВ от оп. №18 по ВЛ-10кВ №1501 ПС 110/10 кВ «ЗР-15», ТП-10/0,4 кВ, ЛЭП-0,4 кВ и установка системы учета электрической энергии (мощности) на границе земельного участка для электроснабжения садового дома заявителя Бондаренко С.Н., Ростовская область, Зерноградский р-н, СТ «Эксперимент» участок №1 (ориентировочная протяженность ЛЭП– 0,035 км, ориентировочная трансформаторная мощность – 0,025 МВА)</t>
  </si>
  <si>
    <t xml:space="preserve">Строительство участка ВЛИ-0,4кВ от оп. №91-84 ВЛ-0,4кВ №1 КТП 10/0,4 кВ №91 ВЛ-10 кВ №415 ПС 35/10 кВ «КГ-4» и системы учета электрической энергии (мощности) на границе земельного участка для электроснабжения личного подсобного хозяйства заявителя Самсонова А.В., Ростовская область, Кагальницкий район, п. Лугань, ул. Луганская д.20 (ориентировочная протяженность ЛЭП – 0,03км) </t>
  </si>
  <si>
    <t>Строительство участка ВЛИ-0,4кВ от оп. №83-36 по ВЛ-0,4 кВ №1 КТП 10/0,4 кВ №83 ВЛ-10 кВ №801 ПС 35/10 кВ «ЗР-8» для электроснабжения ангара заявителя ООО «Эдельвейс», х. Клюев, Зерноградский район, Ростовская область (ориентировочная протяженность ЛЭП – 0,26 км)</t>
  </si>
  <si>
    <t>'Строительство ВЛ-10 кВ от оп. №6-66 по ВЛ-10кВ №3127 ПС 110/35/10 кВ «А-31», ТП-10/0,4 кВ, ВЛИ-0,4 кВ и установка системы учета электрической энергии (мощности) на границе земельного участка для электроснабжения магазина заявителя ИП Мироненко С.А., с. Займо-Обрыв, Азовский район Ростовская область (ориентировочная протяженность ЛЭП– 0,06 км, ориентировочная трансформаторная мощность – 0,1 МВА)</t>
  </si>
  <si>
    <t>Установка коммерческого учета электрической энергии (мощности) на границе земельного участка, подключенного от опоры №184-65 ВЛ-0,4 кВ №4 КТП-10/0,4 кВ №184 по ВЛ-10 кВ №3113 ПС 110/35/10 кВ "А-31", для электроснабжения жилого дома заявителя Зарецкой Н.Г., с. Пешково, Азовский р-он Ростовская область</t>
  </si>
  <si>
    <t xml:space="preserve">Установка коммерческого учета электрической энергии (мощности) на границе земельного участка, подключенного от опоры №168-57 ВЛ-0,4 кВ №1 КТП-10/0,4 кВ №168 ВЛ-10 кВ №1708 ПС 35/10 кВ "А-17", для электроснабжения жилого дома заявителя ИП Аветисян В.С., с. Круглое, Азовский р-он Ростовская область </t>
  </si>
  <si>
    <t>Установка коммерческого учета электрической энергии (мощности) на границе земельного участка, подключенного от опоры №45-29/5 ВЛ-0,4 кВ №1 ЗТП-10/0,4 кВ №45 по ВЛ-10 кВ № 211 ПС 35/10 кВ «А-2», для электроснабжения жилого дома заявителя Килигиной О.С., х. Новоалександровка, Азовский р-он Ростовская область</t>
  </si>
  <si>
    <t>Установка коммерческого учета электрической энергии (мощности) на границе земельного участка, подключенного от опоры №113-13 ВЛ-0,4 кВ №1 КТП-10/0,4 кВ №113 по ВЛ-10 кВ №3113 ПС 110/35/10 кВ "А-31", для электроснабжения жилого дома заявителя Кузьмина Б.И., с.Пешково, Ростовская область</t>
  </si>
  <si>
    <t>Установка коммерческого учета электрической энергии (мощности) на границе земельного участка, подключенного от опоры №93-7 ВЛ-0,4 кВ №2 КТП-10/0,4 кВ №93 по ВЛ-10 кВ № 202Н ПС 110/6/10 кВ «НС-2», для электроснабжения жилого дома заявителя Недоводова А.В., с. Кулешовка, Азовский р-он Ростовская область</t>
  </si>
  <si>
    <t>Строительство участка ВЛИ-0,4кВ от оп. 311-3/4 ВЛ-0,4 кВ №2 КТП 10/0,4 кВ №311 ВЛ-10кВ №106Н ПС 110/6/10 кВ «НС-1» и системы учета электрической энергии (мощности) на границе земельного участка для электроснабжения жилого дома заявителя Щербиной С.Н., СХА "Кулешовское" поле III, Азовский район Ростовская область (ориентировочная протяженность ЛЭП – 0,120 км)</t>
  </si>
  <si>
    <t xml:space="preserve">Строительство участка ВЛИ-0,4кВ от оп. №311-1/5 ВЛ-0,4 кВ №3 КТП 10/0,4 кВ №311 ВЛ-10кВ №106Н ПС 110/6/10 кВ «НС-1» и системы учета электрической энергии (мощности) на границе земельного участка для электроснабжения жилого дома заявителя Острижного Е.В., СХА "Кулешовское" поле III о, Азовский р-он Ростовская область (ориентировочная протяженность ЛЭП – 0,065 км) </t>
  </si>
  <si>
    <t>Установка коммерческого учета электрической энергии (мощности) на границе земельного участка, подключенного от опоры №240-149 ВЛ-0,4 кВ №3 КТП-10/0,4 кВ №240 ВЛ-10 кВ №106Н ПС 110/6/10 кВ "НС-1", для электроснабжения жилого дома заявителя Кузнецовой А.Ю., п. Овощной, Азовский р-он Ростовская область</t>
  </si>
  <si>
    <t xml:space="preserve">Установка коммерческого учета электрической энергии (мощности) на границе земельного участка, подключенного от опоры №9-1 ВЛ-0,4 кВ №1 КТП-10/0,4 кВ №9 (на балансе ООО "Рыбколхоз им. Ленина") ВЛ-10 кВ №1815 ПС 35/10 кВ "А-18", для электроснабжения жилого дома заявителя Кочубинской О.А., х. Городище, Азовский р-он Ростовская область </t>
  </si>
  <si>
    <t>Установка коммерческого учета электрической энергии (мощности) на границе земельного участка, подключенного от опоры №157-57 ВЛ-0,4 кВ №2 КТП-10/0,4 кВ №157 по ВЛ-10 кВ №1101 ПС 35/10 кВ "А-11", для электроснабжения жилого дома заявителя Морозова Д.А., с. Кагальник, Азовский р-он Ростовская область</t>
  </si>
  <si>
    <t xml:space="preserve">Установка коммерческого учета электрической энергии (мощности) на границе земельного участка, подключенного от опоры №66-39 ВЛ-0,4 кВ №2 КТП 10/0,4 кВ №66 ВЛ-10 кВ №307 Н ПС 110/35/6/10 кВ "НС-3", для электроснабжения жилого дома заявителя Бельчич А.Д., х. Зеленый Мыс, Азовский р-он,  Ростовская область </t>
  </si>
  <si>
    <t xml:space="preserve">Установка коммерческого учета электрической энергии (мощности) на границе земельного участка, подключенного от оп. №86-7 ВЛ-0,4 кВ №1 КТП-10/0,4 кВ №86 по ВЛ-10 кВ № 1107 ПС 35/10 кВ «А-11», для электроснабжения жилого дома заявителя Шульгиной Е.В., х. Павловка, Азовский р-он Ростовская область  </t>
  </si>
  <si>
    <t xml:space="preserve">'Строительство участка ВЛИ- 0,4 кВ от оп. №48-25 ВЛ-0,4 кВ №2 КТП-10/0,4 кВ №48 ВЛ-10 кВ №1815 ПС 35/10 "А-18" и установка коммерческого учета электрической энергии (мощности) на границе земельного участка для электроснабжения жилого дома заявителя Кравченко О.Е., Рыболовецкий колхоз им. Ленина, Азовский р-он, Ростовская область (ориентировочная протяженность ЛЭП-0,220км) </t>
  </si>
  <si>
    <t xml:space="preserve">Установка приборов коммерческого учета электрической энергии (мощности) для технологического присоединения энергопринимающих устройств Заявителей: Щипко С.С., х.Объединенный, Машкина С.В., п.Роговский, Егорлыкский р-он Ростовская область (2 шт.) </t>
  </si>
  <si>
    <t xml:space="preserve">Строительство участка ВЛИ-0,4 кВ от проектируемой ТП 10/0,4 кВ (по договору ТП № 61-1-20-00475639 от 14.04.20г.) по ВЛ-10 кВ №313 ПС 35/10 кВ «КГ-3»  и системы учета электрической энергии (мощности) на границе земельного участка для электроснабжения офисного здание заявителя  Гурова Ю.А. Ростовская область, Кагальницкий район, ст. Кировская  (ориентировочная протяженность ЛЭП– 0,17 км) </t>
  </si>
  <si>
    <t xml:space="preserve">Строительство участка ВЛИ-0,4кВ от оп. №182-34 ВЛ-0,4кВ №3 КТП-10/0,4 кВ №182 ВЛ-10 кВ №805 ПС 110/10 кВ «БОС» и системы учета электрической энергии (мощности) на границе земельного участка для электроснабжения жилого дома заявителя Кузьменко С.В., Ростовская область, Кагальницкий р-н, п. Мокрый Батай, пер. Осенний д.2 (ориентировочная протяженность ЛЭП – 0,05 км) </t>
  </si>
  <si>
    <t xml:space="preserve">Строительство участка ВЛИ-0,4кВ от проектируемой ТП 10/0,4 кВ (по договору ТП № 61-1-19-00475639 от 15.10.2019г.) ВЛ 10 кВ №313 ПС 35/10 кВ «КГ-3» и системы учета электрической энергии (мощности) на границе земельного участка для электроснабжения офисного здания заявителя ИП Артюхова А.А., ст. Кировская, Кагальницкий район, Ростовская область (ориентировочная протяженность ЛЭП – 0,1 км) </t>
  </si>
  <si>
    <t>Установка коммерческого учета электрической энергии (мощности) на границе земельного участка, подключенного от РУ-0,4 кВ КТП 10/0,4 кВ №39 по ВЛ 10 кВ №121 ПС 220/110/35/10 кВ «Зерновая», для электроснабжения производственной базы по заявке Зерноградского районного потребительского общества, г. Зерноград, ул. Гагарина, Ростовская область (1шт)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</si>
  <si>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Измайлова Н.И., Давыдова М.А., Кагальницкий р-он Ростовская область ( 2 шт.)</t>
  </si>
  <si>
    <t xml:space="preserve">Установка прибора коммерческого учета электрической энергии (мощности) на границе земельного участка, подключенного от опоры №121-37 ВЛ-0,4 кВ № 1 КТП-10/0,4 кВ №121 ВЛ-10 кВ №122 от ПС 220/110/35/10 кВ «Зерновая», для электроснабжения личного подсобного хозяйства заявителя Колесник В.А., Ростовская область, Зерноградский р-н, х. Ракитный, ул. Заречная д.7Б ( 1 шт.) </t>
  </si>
  <si>
    <t>Установка прибора коммерческого учета электрической энергии (мощности) на границе земельного участка, подключенного от опоры №10-24 ВЛ-0,4 кВ № 2 КТП-10/0,4 кВ №10 ВЛ-10 кВ №501 от ПС 35/10 кВ «ЗР-5», для электроснабжения магазина заявителя Вьюкова О.В., Ростовская область, Зерноградский р-н, х. Гуляй-Борисовка, ул. Ленина д.17А (1 шт.)</t>
  </si>
  <si>
    <t xml:space="preserve">Установка приборов коммерческого учета электрической энергии (мощности) для технологического присоединения энергопринимающих устройств Заявителей: Беликовой Н.А., Генрих В.Р., Зерноградский р-он, Фещенко Е.Н., Кагальницкий р-он Ростовская область ( 3 шт.)  </t>
  </si>
  <si>
    <t>Установка прибора коммерческого учета электрической энергии (мощности) на границе земельного участка, подключенного от опоры №22-77 ВЛ-0,4 кВ № 2 КТП-10/0,4 кВ №22 ВЛ-10 кВ №1507 от ПС 110/10 кВ «ЗР-15», для электроснабжения жилого дома заявителя Ломакина А.В., Ростовская область, Зерноградский р-н, г. Зерноград, ул. Липовая д.12 ( 1 шт.)</t>
  </si>
  <si>
    <t xml:space="preserve">Установка прибора коммерческого учета электрической энергии (мощности) на границе земельного участка, подключенного от опоры №95-9 ВЛ-0,4 № 2 от КТП-95 по ВЛ-10 1501 ПС 110 кВ ЗР-15, для электроснабжения ЛПХ заявителя Федотовой В.В., Ростовская область, Зерноградский р-н, п. Экспериментальный, ул. Гагарина д.25 (1 шт.) </t>
  </si>
  <si>
    <t xml:space="preserve">Установка прибора коммерческого учета электрической энергии (мощности) на границе земельного участка, подключенного от опоры №41-43 ВЛ-0,4 № 1 от КТП-41 по ВЛ-10 103 ПС 110 кВ Звонкая, для электроснабжения личного подсобного хозяйства заявителя  Палиева И.В., Ростовская область, Кагальницкий р-н., п. Березовая Роща, ул. Цветочная,  д. 26Б " (1 шт.)  </t>
  </si>
  <si>
    <t xml:space="preserve">Строительство участка ВЛИ-0,4кВ от оп. №75-57 ВЛ-0,4кВ №3 КТП-10/0,4 кВ №75 ВЛ-10 кВ №1501 ПС 35/10 кВ «ЗР-15» и системы учета электрической энергии (мощности) на границе земельного участка для электроснабжения фельдшерско-акушерского пункта заявителя Муниципальное бюджетное учреждение здравоохранения "Центральная районная больница", Ростовская обл., р-н. Зерноградский п. Экспериментальный ул. Гастелло д.2а (ориентировочная протяженность ЛЭП – 0,3 км) </t>
  </si>
  <si>
    <t xml:space="preserve">Установка коммерческого учета электрической энергии (мощности) на границе земельного участка, подключенного от опоры №350-57/4 ВЛ- 0,4 кВ №2 КТП 6/0,4 кВ №350 по ВЛ-6 кВ №207Н ПС 110/6/10 кВ "НС-2", для электроснабжения участка заявителя Лущай Д.О., СНТ "Квант", Ростовская область  </t>
  </si>
  <si>
    <t>Установка коммерческого учета электрической энергии (мощности) на границе земельного участка, подключенного от опоры №57-27 ВЛ-0,4 кВ №1 КТП-10/0,4 кВ №57 по ВЛ-10 кВ № 1019 ПС 110/35/10 кВ «Самарская», для электроснабжения жилого дома заявителя Федоровой Д.А., х. Победа, Азовский р-он Ростовская область</t>
  </si>
  <si>
    <t>Установка коммерческого учета электрической энергии (мощности) на границе земельного участка, подключенного от опоры №25-44 ВЛ-0,4 кВ №2 КТП-10/0,4 кВ №25 по ВЛ-10 кВ № 1815 ПС 35/10 кВ «А-18», для электроснабжения жилого дома заявителя Святкину И.П., х. Колузаево, Азовский р-он Ростовская область</t>
  </si>
  <si>
    <t xml:space="preserve">Строительство участка ВЛИ-0,4кВ от проектируемой ВЛ-0,4 кВ (по договору № 61-1-20-00499303 от 04.03.2020 г.) КТП-6/0,4 кВ №350 по ВЛ-6 кВ № 207Н ПС 110/6/10 кВ «НС-2» и установка системы учета электрической энергии (мощности) на границе земельных участков для электроснабжения объектов заявителей Гамзюковой О.Д., Бухтояровой В.А., Гуриной Л.В., СТ «Квант», Азовский р-он Ростовская область (ориентировочная протяженность ЛЭП – 0,115 км)     </t>
  </si>
  <si>
    <t xml:space="preserve">Строительство участка ВЛИ-0,4кВ от проектируемой ВЛ-0,4 кВ (по договору ТП № 61-1-20-00519109 от 11.08.2020 г.) КТП 10/0,4 кВ №334 ВЛ-10 202Н ПС 110/6/10 кВ «НС-2» и установка системы учета электрической энергии (мощности) на границе земельных участков для электроснабжения жилых домов заявителей Додвинова С.А., Трусовой Е.А., ЗАО «Обильное» Азовский р-он Ростовская область (ориентировочная протяженность ЛЭП – 0,04 км)   </t>
  </si>
  <si>
    <t xml:space="preserve">Строительство участка ВЛИ-0,4кВ от РУ-0,4 кВ КТП 10/0,4 кВ №174 ВЛ-10кВ 1011 ПС 110/35/10 кВ «Самарская» и системы учета электрической энергии (мощности) на границе земельных участков для электроснабжения жилых домов заявителей Сокирко А.И., Хныковой Н.В., с. Самарское, Азовский р-он Ростовская область (ориентировочная протяженность ЛЭП – 0,09 км)   </t>
  </si>
  <si>
    <t xml:space="preserve">'Строительство участка ВЛИ 0,4кВ от опоры №18-1 ВЛ 0,4кВ №1 КТП 10/0,4 кВ №18 ВЛ 10 кВ №3113 ПС 110/35/10 А-31 и системы учета электрической энергии (мощности) на границе земельного участка для электроснабжения жилого дома заявителя Урамовой М.В., с. Пешково, Азовский район Ростовская область (ориентировочная протяженность ЛЭП – 0,04 км)  </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</si>
  <si>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Шен А.Ф., Соколова В.А., Вихровой Л.В., Одинцовой В.Э., Азовский р-он Ростовская область (4 шт.)</t>
  </si>
  <si>
    <t xml:space="preserve">Установка прибора коммерческого учета электрической энергии (мощности) на границе земельного участка, подключенного от опоры №157-60 ВЛ-0,4 кВ №3 КТП 10/0,4кВ №157 ВЛ-10кВ №301Н ПС 110/35/6/10 кВ «НС-3» для технологического присоединения энергопринимающих устройств жилого дома Заявителя Шмидт С.Н., х. Песчаный Азовский район, Ростовская область (1 шт.) </t>
  </si>
  <si>
    <t>'Установка прибора коммерческого учета электрической энергии (мощности) на границе земельного участка, подключенного от опоры №153-16 ВЛ 0,4 кВ №1 КТП 10/0,4кВ №153 ВЛ 10кВ №915 ПС 35/10 кВ «А-9» для технологического присоединения энергопринимающих устройств жилого дома Заявителя Гасымова В.А., с. Платоно-Петровка Азовский район, Ростовская область (1 шт.)</t>
  </si>
  <si>
    <t>Строительство ВЛ-6 кВ от проектируемой ВЛ-6 кВ (по договору ТП №61-1-19-00480705 от 02.12.2019г.) по ВЛ-6кВ №207Н ПС 110/6/10 кВ «НС-2», ТП-6/0,4 кВ, ВЛ-0,4 кВ и установка системы учета электрической энергии (мощности) на границе земельного участка для электроснабжения хозяйственной постройки заявителя Кеник А.С., 3,1 км на юго-восток от пункта ГГС Пеленкин, Азовский район Ростовская область (ориентировочная протяженность ЛЭП– 0,940 км, ориентировочная трансформаторная мощность – 0,025 МВА)</t>
  </si>
  <si>
    <t xml:space="preserve">Установка прибора коммерческого учета электрической энергии (мощности) на границе земельного участка, подключенного от оп. №52-53   ВЛ-0,4 № 1 КТП-52 ВЛ-10  203  ПС 110 кВ Егорлыкская, для электроснабжения жилого дома заявителя Кубаревой Р.К., х.Рассвет, ул.Солнечная, 13б, Егорлыкский р-он Ростовская область» (1шт)  </t>
  </si>
  <si>
    <t xml:space="preserve">Установка прибора коммерческого учета электрической энергии (мощности) на границе земельного участка, подключенного от оп. №205-20   ВЛ-0,4 № 1 КТП-205 ВЛ-10  612  ПС 35 кВ Е-6, для электроснабжения жилого дома заявителя Киракосова Ю.Э., х.Шаумяновский, ул. Южная, 140а, Егорлыкский р-он Ростовская область» (1шт)  </t>
  </si>
  <si>
    <t xml:space="preserve">Установка прибора коммерческого учета электрической энергии (мощности) на границе земельного участка, подключенного от оп. №205-3   ВЛ-0,4 № 1 КТП-205 ВЛ-10 612  ПС 35 кВ Е-6, для электроснабжения жилого дома заявителя Татевосян Л.Н., х.Шаумяновский, ул. Южная, 172а, Егорлыкский р-он, Ростовская область (1шт)  </t>
  </si>
  <si>
    <t xml:space="preserve">Установка приборов коммерческого учета электрической энергии (мощности) для технологического присоединения энергопринимающих устройств Заявителей: Кольвах Ю.С., Любимовой А.И. Кагальницкий р-он Ростовская область ( 2 шт.)  </t>
  </si>
  <si>
    <t xml:space="preserve">Установка прибора коммерческого учета электрической энергии (мощности) на границе земельного участка, подключенного от опоры РУ-0,4 кВ № 1 ЗТП-10/0,4 кВ №20 (на балансе ИП Папаяни А.А.) ВЛ-10 кВ №711 от ПС 110/35/10 кВ «Юбилейная», для электроснабжения базовой станции сотовой связи №66108 «РсО Новобатайск –ТЦ» заявителя ПАО «Вымпел-коммуникации», Ростовская область, Кагальницкий р-н, с. Новобатайск, южная окраина ( 1 шт.)   </t>
  </si>
  <si>
    <t xml:space="preserve">Установка приборов коммерческого учета электрической энергии (мощности) для технологического присоединения энергопринимающих устройств Заявителей: Щербина А.Н., Зерноградский р-он, Алояна Р.М., Хатояна З.М. Кагальницкий р-он, Ростовская область ( 3 шт.) </t>
  </si>
  <si>
    <t xml:space="preserve">Установка приборов коммерческого учета электрической энергии (мощности) для технологического присоединения энергопринимающих устройств Заявителей: Топорковой Н.В., Стукалова М.Н., Зерноградский район Ростовская область (2 шт.) </t>
  </si>
  <si>
    <t xml:space="preserve">Строительство участка ВЛИ-0,4кВ от оп. №57-128 ВЛ-0,4кВ №2 КТП-10/0,4 кВ №128 ВЛ-10 кВ №313 ПС 35/10 кВ «КГ-3» и системы учета электрической энергии (мощности) на границе земельного участка для электроснабжения магазина заявителя Кареник Н.А., Ростовская область, Кагальницкий р-н, ст Кировская, ул. Кирова д.94 (ориентировочная протяженность ЛЭП – 0,05 км)  </t>
  </si>
  <si>
    <t xml:space="preserve">Строительство участка ВЛИ 0,4кВ от опоры № 83-171 ВЛ 0,4 кВ №2 КТП 10/0,4 кВ №83 ВЛ 10кВ №415 ПС 35/10 кВ «КГ-4» и системы учета электрической энергии (мощности) на границе земельного участка для электроснабжения жилого дома заявителя Бредихина И.Ю., с. Васильево-Шамшево, Кагальницкий район, Ростовская область (ориентировочная протяженность ЛЭП – 0,07 км)  </t>
  </si>
  <si>
    <t xml:space="preserve">Строительство участка ВЛИ 0,4кВ от опоры № 182-36 ВЛ 0,4 кВ №3 КТП 10/0,4 кВ №182 ВЛ 10кВ №805 ПС 110/10 кВ «БОС» и системы учета электрической энергии (мощности) на границе земельного участка для электроснабжения жилого дома заявителя Борисюк Д.П., п. Мокрый Батай, Кагальницкий район, Ростовская область (ориентировочная протяженность ЛЭП – 0,065 км)   </t>
  </si>
  <si>
    <t>Установка прибора коммерческого учета электрической энергии (мощности) на границе земельного участка, подключенного от опоры №128-59 ВЛ-0,4 № 2 от КТП-128 по ВЛ-10 313 ПС 35 кВ КГ3, для электроснабжения торгового павильона заявителя Слоян С.С., Ростовская область, Кагальницкий р-н, ст. Кировская ул. Кирова д.90 (1 шт.)</t>
  </si>
  <si>
    <t xml:space="preserve">Установка прибора коммерческого учета электрической энергии (мощности) на границе земельного участка, подключенного от опоры №196-36 ВЛ-0,4 № 1 от МТП-196 по ВЛ-10 805 ПС 110 кВ БОС, для электроснабжения склада заявителя  Дмитриевой Т.Н., Ростовская область, Кагальницкий р-н. п. Мокрый Батай, участок находится примерно в 460м по направлению на юго-запад от ориентира СПК "Вишневый" (1 шт.)  </t>
  </si>
  <si>
    <t xml:space="preserve">Установка прибора коммерческого учета электрической энергии (мощности) на границе земельного участка, подключенного от опоры №31-45 ВЛ-0,4 № 3 от КТП-31 по ВЛ-10 1402 ПС 110 кВ ЗР14, для электроснабжения магазина заявителя Бондаренко А.Г., Ростовская область, Зерноградский р-н, с. Светлоречное, ул. Специалистов д.15 кв.1 (1 шт.) </t>
  </si>
  <si>
    <t xml:space="preserve">Установка прибора коммерческого учета электрической энергии (мощности) на границе земельного участка, подключенного от опоры №100-67 ВЛ-0,4 № 2 от КТП-100 по ВЛ-10 1210 ПС 110 кВ Манычская, для электроснабжения склада заявителя главы крестьянского (фермерского) хозяйства Юнкиной И.В., Ростовская область, Зерноградский р-н, п. Сорговый в 1,028км на запад от юго-западной его окраины (1 шт.)  </t>
  </si>
  <si>
    <t>Установка прибора коммерческого учета электрической энергии (мощности) на границе земельного участка, подключенного от опоры №29-1 ВЛ-0,4 № 1 от КТП-29 по ВЛ-10 1402 ПС 110 кВ ЗР14, для электроснабжения ЛПХ заявителя Перетятько В.И., Ростовская область, Зерноградский р-н, с. Светлоречное, ул. Садовая д.20 кв.3 (1 шт.)</t>
  </si>
  <si>
    <t>Строительство ЛЭП-10 кВ от оп. №8 ВЛ-10 кВ №318 ПС 35/10 кВ "КГ-3", ТП-10/0,4 кВ, ЛЭП-0,4 кВ, для электроснабжения частной клиники заявителя ИП Зайцева П.П., ст. Кировская Кагальницкий район, Ростовская область (ориентировочная протяженностьЛЭП-0,36 км, ориентировочная трансформаторная мощность-0,250 МВА)</t>
  </si>
  <si>
    <t>Строительство участка ВЛИ-0,4кВ от проектируемой ВЛ-0,4 кВ (по договору №61-1-20-00519721 от 07.08.2020г.) КТП 10/0,4 кВ №48 по ВЛ-10кВ №1815 ПС 35/10 кВ «А-18» и установка системы учета электрической энергии (мощности) на границе земельных участков для электроснабжения жилых домов заявителей Зарецкого А.В., Давыдовой А.В., Рыболовецкий колхоз им. Ленина, Азовский р-он Ростовская область (ориентировочная протяженность ЛЭП – 0,055 км)».</t>
  </si>
  <si>
    <t>Строительство участка ВЛИ 0,4кВ от проектируемой ВЛ 0,4 кВ (по договору ТП № 61-1-20-00543131 от 24.11.2020 г.) КТП 10/0,4 кВ №174 ВЛ 10кВ 1011 ПС 110/35/10 кВ «Самарская» и системы учета электрической энергии (мощности) на границе земельного участка для электроснабжения хозяйственной постройки заявителя Савченко Ю.В., с. Самарское, Азовский район, Ростовская область (ориентировочная протяженность ЛЭП – 0,075 км)</t>
  </si>
  <si>
    <t xml:space="preserve">Установка прибора коммерческого учета электрической энергии (мощности) на границе земельного участка, подключенного от опоры №21-1 ВЛ-0,4 кВ №1 КТП 10/0,4кВ №21 ВЛ-10кВ №1411 РП-14 ПС 110/35/10 кВ «А-32» для технологического присоединения энергопринимающих устройств ангара Заявителя ООО "Бизон Юг", х. Полтава 1-я Азовский район, Ростовская область (1 шт.)  </t>
  </si>
  <si>
    <t xml:space="preserve">Установка прибора коммерческого учета электрической энергии (мощности) на границе земельного участка, подключенного от опоры б/н ВЛ-0,4 кВ КТП 10/0,4кВ №230 (балансовая принадлежность ВЛ-0,4кВ, ТП 10/0,4 кВ №230 Амаева М.А.) ВЛ-10кВ №105Н ПС 110/6/10 кВ «НС-1» для технологического присоединения энергопринимающих устройств жилого дома Заявителя Амаева М.А., х. Усть-Койсуг Азовский район, Ростовская область (1 шт.) </t>
  </si>
  <si>
    <t xml:space="preserve">Установка прибора коммерческого учета электрической энергии (мощности) на границе земельного участка, подключенного от опоры №115-82 ВЛ-0,4 кВ №4 КТП 10/0,4кВ №115 ВЛ-10кВ №3125 ПС 110/35/10 кВ «А-31» для технологического присоединения энергопринимающих устройств жилого дома Заявителя Дворниченко С.О., с. Пешково Азовский район, Ростовская область (1 шт.) </t>
  </si>
  <si>
    <t xml:space="preserve">Установка прибора коммерческого учета электрической энергии (мощности) на границе земельного участка, подключенного от опоры №240-138 ВЛ-0,4 кВ №3 КТП 10/0,4кВ №240 ВЛ-10кВ №106Н ПС 110/6/10 кВ «НС-1» для технологического присоединения энергопринимающих устройств жилого дома Заявителя Карпаевой Н.И., п. Овощной Азовский район, Ростовская область (1 шт.)  </t>
  </si>
  <si>
    <t xml:space="preserve">Установка прибора коммерческого учета электрической энергии (мощности) на границе земельного участка, подключенного от опоры №184-32 ВЛ 0,4 кВ №3 КТП 10/0,4кВ №184 ВЛ 10кВ №3113 ПС 110/35/10 кВ А-31 для технологического присоединения энергопринимающих устройств жилого дома Заявителя Кузьменко В.Ю., с. Пешково Азовский район, Ростовская область (1 шт.)  </t>
  </si>
  <si>
    <t>Строительство ВЛИ - 0,4 кВ совместным подвесом по ВЛ 10 кВ № 313 ПС 35/10 «КГ-3» в пролете опор №4-194 ÷ 12-194 от РУ 0,4 кВ техперевооружаемой КТП-10/0,4 кВ №194 ВЛ-10кВ №313 ПС 35/10 «КГ-3» и установка коммерческого учета электрической энергии (мощности) для электроснабжения магазина Заявителя ИП Шульженко А.В., Кагальницкий район Ростовская область (ориентировочная протяженность ЛЭП– 0,300 км</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</si>
  <si>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Муниципального предприятия жилищно-коммунального хозяйства Кагальницкого сельского поселения, Марадудина В.И., Буденного И.И., Вельченко Н.Н., Сафаряна Д.А., Зерноградский р-он, Кагальницкий р-он Ростовская область ( 7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</si>
  <si>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Кузьменко В.Н. Кагальницкий район, Собянин С.Н. Аксайский район Ростовская область (2 шт.)</t>
  </si>
  <si>
    <t>Установка приборов коммерческого учета электрической энергии (мощности) на границе земельного участка, подключенного от опоры №16-6 ВЛ-0,4кВ №1 КТП-10/0,4 кВ №16 ВЛ-10кВ №605 ПС 35/10 кВ «КГ-6» для технологического присоединения энергопринимающих устройств ЛПХ Заявителя Титовского А.В., Ростовская область, Зерноградский, с. Новобатайск, ул. Советская, д. 53а (1 шт.)</t>
  </si>
  <si>
    <t>Установка прибора коммерческого учета электрической энергии (мощности) на границе земельного участка, подключенного от опоры №19-10 ВЛ-0,4 кВ № 1 КТП-10/0,4 кВ №19 ВЛ-10 кВ №612 от ПС 35/10 кВ «КГ-6», для электроснабжения жилого дома заявителя Шульги Т.Е., Ростовская область, Кагальницкий р-н, с. Новобатайск, ул. Илларионова д.5А ( 1 шт.)</t>
  </si>
  <si>
    <t>Строительство ЛЭП - 0,4 кВ совместным подвесом с ВЛ-10 кВ №1507 в пролете опор №23-14 &amp;#247; 23-21 ВЛ-0,4 №2 от ЗТП 10/0,4 кВ №23 по ВЛ-10 №1507 ПС 110/10 кВ ЗР-15 и установка коммерческого учета электрической энергии (мощности) для электроснабжения жилого дома Заявителя ИП Турбина В.В., Зерноградский район Ростовская область (ориентировочная протяженность ЛЭП– 0,300 км)</t>
  </si>
  <si>
    <t>Строительство участка ВЛИ-0,4кВ от оп. №28-188 ВЛ-0,4кВ №4 ЗТП-10/0,4 кВ №28 ВЛ-10 кВ №313 ПС 35/10 кВ «КГ-3» и системы учета электрической энергии (мощности) на границе земельного участка для электроснабжения жилого дома заявителя Маликова Д.В., ст. Кировская, Кагальницкий р-он Ростовская область (ориентировочная протяженность ЛЭП – 0,05 км)</t>
  </si>
  <si>
    <t>Установка прибора коммерческого учета электрической энергии (мощности) на границе земельного участка, подключенного от опоры №18-15 ВЛ-0,4 №1 от КТП-18 по ВЛ-10 605 ПС 35 кВ КГ6, для электроснабжения объекта торговли заявителя Кравцовой А.А., Ростовская область, Кагальницкий р-н, с. Новобатайск, ул. Ленина д.44 (1 шт.)</t>
  </si>
  <si>
    <t>Установка прибора коммерческого учета электрической энергии (мощности) на границе земельного участка, подключенного от опоры №2-15 ВЛ-0,4 №1 от КТП-2 по ВЛ-10 605 ПС 35 кВ КГ6, для электроснабжения ЛПХ заявителя Коноваловой С.Н., Ростовская область, Кагальницкий р-н, с. Новобатайск, ул. Азовская д.1А (1 шт.)</t>
  </si>
  <si>
    <t>Установка прибора коммерческого учета электрической энергии (мощности) на границе земельного участка, подключенного от опоры №19-58 ВЛ-0,4 № 1 от КТП-19 по ВЛ-10 211 ПС 35 кВ КГ2, для электроснабжения жилого дома заявителя Левченко С.С., Ростовская область, Кагальницкий р-н, х. Кагальничек (Кагальницкое с/п), ул. Трудовая д.27А (1 шт.)</t>
  </si>
  <si>
    <t>Строительство участка ВЛИ 0,4кВ от РУ 0,4 кВ КТП 10/0,4 кВ №13 ВЛ 10кВ №3203 ПС 110/35/10 кВ «А-32» и системы учета электрической энергии (мощности) на границе земельного участка для электроснабжения сельскохозяйственной базы заявителя ИП Швидченко А.Н., Азовский район, АОЗТ им. Ленина, Ростовская область (ориентировочная протяженность ЛЭП – 0,03 км)</t>
  </si>
  <si>
    <t>Строительство участка ВЛИ 0,4кВ от проектируемой ВЛ 0,4 кВ (по договору ТП № 61-1-20-00543967 от 10.11.2020 г.) МТП 10/0,4 кВ №311 ВЛ 10кВ №106Н ПС 110/6/10 кВ НС-1 и системы учета электрической энергии (мощности) на границе земельного участка для электроснабжения жилого дома заявителя Сопиной М.И., СХА "Кулешовское" поле III о, Азовский район, Ростовская область (ориентировочная протяженность ЛЭП – 0,065км)</t>
  </si>
  <si>
    <t>Строительство участка ВЛИ 0,4кВ от опоры №311-5/1 ВЛ 0,4 кВ №2 МТП 10/0,4 кВ №311 ВЛ 10кВ №106Н ПС 110/6/10 кВ НС-1 и системы учета электрической энергии (мощности) на границе земельного участка для электроснабжения жилого дома заявителя Соколова А.Ю., СХА "Кулешовское" поле III о, Азовский район, Ростовская область (ориентировочная протяженность ЛЭП – 0,150 км)</t>
  </si>
  <si>
    <t>'Строительство участка ВЛИ 0,4кВ от опоры №136-61 ВЛ 0,4 кВ №3 КТП 10/0,4 кВ №136 ВЛ 10кВ №3113 ПС 110/35/10 кВ А-31 и системы учета электрической энергии (мощности) на границе земельного участка для электроснабжения жилого дома заявителя Герасименко Д.А., с. Пешково, Азовский район, Ростовская область (ориентировочная протяженность ЛЭП – 0,100 км)</t>
  </si>
  <si>
    <t>'Установка прибора коммерческого учета электрической энергии (мощности) на границе земельного участка, подключенного от опоры №67-36 ВЛ 0,4 кВ №2 КТП 10/0,4кВ №67 ВЛ 10кВ №606 ПС 35/10 кВ А-6 для технологического присоединения энергопринимающих устройств жилого дома Заявителя Толмачева В.В., с. Порт-Катон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</si>
  <si>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№167-24 ВЛ-0,4 кВ №1 КТП-10/0,4 кВ №167 по ВЛ-10 кВ № 106Н ПС 110/6/10 кВ «НС-1» для технологического присоединения энергопринимающих устройств нежилого строения Заявителя ИП Мушегян К.Х., ДНТ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</si>
  <si>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№184-32 ВЛ-0,4 кВ №3 КТП 10/0,4кВ №184 ВЛ-10кВ №3113 ПС 110/35/10 кВ «А-31» для технологического присоединения энергопринимающих устройств жилого дома Заявителя Кузьменко В.Ю.,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</si>
  <si>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№3-106 ВЛ-0,4 кВ №3 КТП 10/0,4кВ №3 ВЛ-10кВ №2903 РП-29 ПС 35/10 кВ «А-18» для технологического присоединения энергопринимающих устройств жилого дома Заявителя Чадов А.А., х. Обуховка Азовский район, Ростовская область (1 шт.)</t>
  </si>
  <si>
    <t>Строительство ВЛИ 0,4 кВ от опоры №2-64 технически перевооружаемой ВЛ 0,4 кВ №1 КТП 10/0,4 кВ №2 ВЛ 10кВ №606 ПС 35/10 кВ А-6 и установка коммерческого учета электрической энергии (мощности) на границе земельного участка для электроснабжения жилого дома заявителя Мартынив Е.А., с. Порт-Катон, Азовский р-он Ростовская область (ориентировочная протяженность ЛЭП – 0,140 км)</t>
  </si>
  <si>
    <t>Строительство участка ВЛИ-0,4кВ от РУ-0,4 кВ КТП 10/0,4 кВ №141 ВЛ-10кВ №802 ПС 35/10 кВ «А-8» и системы учета электрической энергии (мощности) на границе земельного участка для электроснабжения жилого дома заявителя Степанян А.Т., с.Семибалки, Азовский р-он Ростовская область (ориентировочная протяженность ЛЭП – 0,700 км)</t>
  </si>
  <si>
    <t>Строительство участка ВЛИ-0,4кВ от РУ-0,4кВ КТП-10/0,4 кВ №64  ВЛ-10 кВ № 405 ПС 35/10 кВ Е-4 и установка системы учета электрической энергии (мощности) на границе земельного участка для электроснабжения жилого дома заявителя ИП Руденко Н.Ф., Егорлыкский р-он Ростовская область (ориентировочная протяженность ЛЭП – 0,020 км)</t>
  </si>
  <si>
    <t>Установка прибора коммерческого учета электрической энергии (мощности) на границе земельного участка, подключенного на оп. №132-102   ВЛ-0,4 № 3 КТП-132 ВЛ-10 506 ПС 35 кВ Е-5, для электроснабжения заготовительного пункта заявителя ИП Слюсаренко В.В., х.Объединенный, ул. Зеленая, 29а, Егорлыкский р-он Ростовская область» (1шт)</t>
  </si>
  <si>
    <t>Установка прибора коммерческого учета электрической энергии (мощности) на границе земельного участка, подключенного на оп. №418-11   ВЛ-0,4 № 1 КТП-418 ВЛ-10 612 ПС 35 кВ Е-6, для электроснабжения жилой кухни заявителя Авакян А.А., х.Шаумяновский, ул. Тоноян, 47, Егорлыкский р-он Ростовская область (1шт)</t>
  </si>
  <si>
    <t>Установка прибора коммерческого учета электрической энергии (мощности) на границе земельного участка, подключенного от оп. №350-1 ВЛ-0,4 № 1 КТП-350 ВЛ-10 707 ПС 35 кВ Е-7, для электроснабжения жилого дома заявителя Гаджирагимовой С.Х., х.Прощальный, ул. Железнодорожная, 50, Егорлыкский р-он Ростовская область»(1шт)</t>
  </si>
  <si>
    <t>Строительство участка ВЛИ-0,4кВ от опоры №161-34 ВЛ-0,4 кВ №3 КТП-10/0,4 кВ №161 по ВЛ-10 кВ № 802 ПС 110/6/10 кВ Роговская, установить в существующую КТП дополнительный автоматический выключатель Iн=40А и установка системы учета электрической энергии (мощности) на границе земельного участка для электроснабжения артезианской скважины заявителя ЕМУП «Коммунальник», ст.Новороговская, Егорлыкский р-он Ростовская область (1шт), (ориентировочная протяженность ЛЭП – 0,250 км)</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</si>
  <si>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Курашова Р.А., Гаджикурбанова И.П. Зерноградский район, Обертышева С.С. Кагальницкий район Ростовская область (3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</si>
  <si>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Лаврик В.Г., Давиденко З.А., Газарова В.В., Кагальницкий район Ростовская область (3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</si>
  <si>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Соловьева В.Н.,  Зерноградский район, Полупановой Л.Ю. ; Соловьева В.Н.  Кагальницкий район Ростовская область (3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</si>
  <si>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Нестерова В.И., Тереховой А.Ю., Кагальницкий район, Столяровой Л.В. Зерноградский район Ростовская область (3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</si>
  <si>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Кривошеева Н.В., Левченко П.В. ; Кагальницкий район Ростовская область (2 шт.)</t>
  </si>
  <si>
    <t>Установка прибора коммерческого учета электрической энергии (мощности) на границе земельного участка, подключенного от опоры №109-91 ВЛ 0,4 №3 КТП-109 ВЛ-10 805 ПС 110 кВ БОС для технологического присоединения энергопринимающих устройств ЛПХ Заявителя Стрелкова Д.Ю., Ростовская область, Кагальницкий р-н, п. Мокрый Батай, ул. Солнечная д.33 (1 шт.)</t>
  </si>
  <si>
    <t>Установка прибора коммерческого учета электрической энергии (мощности) на границе земельного участка, подключенного от опоры №1-10 ВЛ-0,4 №1 от КТП-1 по ВЛ-10 612 ПС 35 кВ КГ6, для электроснабжения объекта ЛПХ заявителя Щербаковой Е.П., Ростовская обл., р-н. Кагальницкий, с. Новобатайск, пер. Западный,  д. 12 (1 шт.)</t>
  </si>
  <si>
    <t>Установка прибора коммерческого учета электрической энергии (мощности) на границе земельного участка, подключенного от опоры №18-8 ВЛ 0,4 №1 КТП-18 ВЛ-10 605 ПС 35 кВ КГ6 для технологического присоединения энергопринимающих устройств ЛПХ Заявителя Быкова А.Н., Ростовская область, Кагальницкий р-н, с. Новобатайск, ул. Ленина д.60 (1 шт.)</t>
  </si>
  <si>
    <t>Установка прибора коммерческого учета электрической энергии (мощности) на границе земельного участка, подключенного от опоры №83-114 ВЛ-0,4 №1 от КТП-83 по ВЛ-10 801 ПС 35 кВ ЗР8, для электроснабжения склада заявителя ООО «КХ Исаева», Ростовская область, Зерноградский р-н, в 0,063 км на восток х. Клюев (1 шт.)</t>
  </si>
  <si>
    <t>Установка прибора коммерческого учета электрической энергии (мощности) на границе земельного участка, подключенного от опоры №89-50 ВЛ 0,4 №2 КТП-89 ВЛ-10 1207 ПС 110 кВ Манычская для технологического присоединения энергопринимающих устройств ЛПХ Заявителя Багмат В.А., Ростовская область, Зерноградский р-н, п. Сорговый, ул. Заполосная д.7А (1 шт.)</t>
  </si>
  <si>
    <t>Установка прибора коммерческого учета электрической энергии (мощности) на границе земельного участка, подключенного от опоры №109-43 ВЛ-0,4 № 2 от КТП-109 по ВЛ-10 805 ПС 110 БОС, для электроснабжения жилого дома заявителя Подкользиной В.Е., Ростовская область, Кагальницкий р-н, п. Мокрый Батай, ул. Строителей д.12 (1 шт.)</t>
  </si>
  <si>
    <t>Установка прибора коммерческого учета электрической энергии (мощности) на границе земельного участка, подключенного от опоры №182-24 ВЛ-0,4 № 2 от КТП-182 по ВЛ-10 805 ПС 110 кВ БОС, для электроснабжения жилого дома заявителя Кобезева К.Ю., Ростовская область, Кагальницкий р-н, п. Мокрый Батай, ул. Первостроителей д.1 (1 шт.)</t>
  </si>
  <si>
    <t>Установка прибора коммерческого учета электрической энергии (мощности) на границе земельного участка, подключенного от опоры №18-6 ВЛ 0,4 №1 КТП-18 ВЛ-10 605 ПС 35 кВ КГ6 для технологического присоединения энергопринимающих устройств магазина Заявителя ИП Щерба И.А., Ростовская область, Кагальницкий р-н, с. Новобатайск, ул. Ленина д.64А (1 шт.)</t>
  </si>
  <si>
    <t>Установка прибора коммерческого учета электрической энергии (мощности) на границе земельного участка, подключенного от опоры №204-19 ВЛ 0,4 №1 КТП-204 ВЛ-10 605 ПС 35 кВ КГ6 для технологического присоединения энергопринимающих устройств ЛПХ Заявителя Руденко Т.И., Ростовская область, Кагальницкий р-н, с. Новобатайск, ул. Пушкинская д.55А (1 шт.)</t>
  </si>
  <si>
    <t>Установка прибора коммерческого учета электрической энергии (мощности) на границе земельного участка, подключенного от опоры №25-1 ВЛ 0,4 №1 МТП-25 ВЛ-10 806 ПС 35 кВ ЗР8 для технологического присоединения энергопринимающих устройств ЛПХ Заявителя Краснощекова Ю.В., Ростовская область, Зерноградский р-н, х. Донской, ул. Первостроителей д.1 (1 шт.)</t>
  </si>
  <si>
    <t>Установка прибора коммерческого учета электрической энергии (мощности) на границе земельного участка, подключенного от опоры №4-119 ВЛ 0,4 №4 КТП-4 ВЛ-10 305 ПС 35 кВ КГ3 для технологического присоединения энергопринимающих устройств жилого дома Заявителя Зайцева П.П., Ростовская область, Кагальницкий р-н, ст. Кировская, ул. Садовая д.28 (1 шт.)</t>
  </si>
  <si>
    <t>Установка прибора коммерческого учета электрической энергии (мощности) на границе земельного участка, подключенного от опоры №4-47 ВЛ 0,4 №2 КТП-4 ВЛ-10 305 ПС 35 кВ КГ3 для технологического присоединения энергопринимающих устройств жилого дома Заявителя Фомина А.С., Ростовская область, Кагальницкий р-н, ст. Кировская, ул. Садовая д.16 (1 шт.)</t>
  </si>
  <si>
    <t>Установка коммерческого учета электрической энергии (мощности) на границе земельного участка, подключенного от опоры №42-30 ВЛ- 0,4 кВ №1 КТП-10/0,4 кВ №42 по ВЛ-10 кВ №2608 ПС 110/6/10 кВ "А-26", для электроснабжения жилого дома заявителя Картавцевой Н.А., с.Кулешовка, Ростовская область</t>
  </si>
  <si>
    <t>Установка коммерческого учета электрической энергии (мощности) на границе земельного участка, подключенного от опоры №115-132 ВЛ-0,4 кВ №4 КТП-10/0,4 кВ №115 по ВЛ-10 кВ №3125 ПС 110/35/10 кВ "А-31", для электроснабжения жилого дома заявителя Борисова А.А., с. Пешково, Азовский р-он Ростовская область</t>
  </si>
  <si>
    <t>Установка коммерческого учета электрической энергии (мощности) на границе земельного участка, подключенного от опоры №27-53 ВЛ-0,4 кВ №1 КТП-10/0,4 кВ №27 по ВЛ-10 кВ №1815 ПС 35/10 кВ «А-18», для электроснабжения жилого дома заявителя Хлудневой Е.А., х. Городище, Азовский р-он, Ростовская область</t>
  </si>
  <si>
    <t>Установка коммерческого учета электрической энергии (мощности) на границе земельного участка, подключенного от опоры №311-1/3 ВЛ-0,4 кВ №3 КТП-10/0,4 кВ №311 ВЛ-10 кВ №106Н ПС 110/6/10 кВ "НС-1", для электроснабжения жилого дома заявителя Шаповалова В.В.,СХА "Кулешовское" поле III о, Азовский р-он Ростовская область</t>
  </si>
  <si>
    <t>Установка прибора коммерческого учета электрической энергии (мощности) на границе земельного участка, подключенного от опоры №103-14 ВЛ 0,4 кВ №3 КТП 10/0,4 кВ №103 ВЛ 10кВ 2608 ПС 110/10 кВ А-26 для технологического присоединения энергопринимающих устройств жилого дома Заявителя Арутюнян М.Г., с. Кулешовка Азовский район, Ростовская область (1 шт.)</t>
  </si>
  <si>
    <t>Строительство ВЛ 10 кВ от опоры № 8 по ВЛ 10 кВ №107Н ПС 110/6/10 кВ НС-1, ТП 10/0,4 кВ, ВЛИ 0,4 кВ и установка системы учета электрической энергии (мощности) на границе земельного участка для электроснабжения жилого дома заявителя Кудряшова Е.В., ДНТ «Дон», Азовский район, Ростовская область (ориентировочная протяженность ЛЭП– 0,100 км, ориентировочная трансформаторная мощность – 0,025 МВА)</t>
  </si>
  <si>
    <t>Строительство участка ВЛИ 0,4кВ от опоры №36-11 ВЛ-0,4 кВ №1 КТП 10/0,4 кВ №36 ВЛ-10 кВ №1702 ПС 35/10 кВ А-17 и системы учета электрической энергии (мощности) на границе земельного участка для электроснабжения жилого дома заявителя Гейнц И.А., с.Стефанидинодар, Азовский район, Ростовская область (ориентировочная протяженность ЛЭП – 0,06 км)</t>
  </si>
  <si>
    <t>Установка коммерческого учета электрической энергии (мощности) на границе земельного участка, подключенного от опоры оп. №185-62/18 ВЛ-0,4 кВ №2 (на балансе ДНТ «Эдем») КТП 10/0,4 кВ №185 ВЛ-10кВ №106Н ПС 110/6/10 кВ «НС-1», для электроснабжения жилого дома заявителя Игнатовой А.А., ДНТ «Эдем», Азовский р-он Ростовская область</t>
  </si>
  <si>
    <t>Строительство системы учета электрической энергии (мощности) на границе земельного участка, подключенного от оп. №201-59 ВЛ-0,4 кВ №2 КТП-10/0,4 кВ №201 по ВЛ-10 кВ № 1019 ПС 110/35/10 кВ «Самарская», для электроснабжения автомойки заявителя ИП Ивановой Е.Ю., х. Победа, Азовский р-он Ростовская область</t>
  </si>
  <si>
    <t>Установка коммерческого учета электрической энергии (мощности) на границе земельного участка, подключенного от оп. №8-32 ВЛ-0,4 кВ №1 КТП-10/0,4 кВ №8 по ВЛ-10 кВ № 1014 ПС 110/35/10 кВ «Самарская», для электроснабжения магазина заявителя ООО «Нуар», с. Самарское, Азовский р-он Ростовская область (1шт)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</si>
  <si>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Матвиенко С.П., Татаринцева И.Е., Тен Л.А., ИП Чермантеевой С.П., Щербаковой В.И., Азовский р-он Ростовская область (5 шт.)</t>
  </si>
  <si>
    <t>Установка прибора коммерческого учета электрической энергии (мощности) на границе земельного участка, подключенного от опоры №221-56 ВЛ-0,4 кВ №2 КТП 10/0,4кВ №221 ВЛ-10кВ №901 ПС 35/10 кВ «А-9» для технологического присоединения энергопринимающих устройств жилого дома Заявителя Литовченко С.Н., с. Высочино, Азовский район, Ростовская область (1 шт.)</t>
  </si>
  <si>
    <t>Строительство участка ВЛИ 0,4кВ от опоры оп. №184-44 ВЛ-0,4 кВ №2 КТП 10/0,4 кВ №184 ВЛ-10кВ №3113 ПС 110/35/10 кВ «А-31» и системы учета электрической энергии (мощности) на границе земельного участка для электроснабжения жилого дома заявителя Грущенко В.Н., с. Пешково, Азовский район, Ростовская область (ориентировочная протяженность ЛЭП – 0,085 км)</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</si>
  <si>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Малейко В.А., Золотаревой А.А., Мелкозеров Д.А. Азовский район Ростовская область (3 шт.)</t>
  </si>
  <si>
    <t>Установка приборов коммерческого учета электрической энергии (мощности) на границе земельного участка, подключенного от опоры №9-1 ВЛ-0,4 кВ №1 КТП 10/0,4кВ №9 ВЛ-10кВ №801 ПС 35/10 кВ «А-8» для технологического присоединения энергопринимающих устройств домика для отдыха Заявителя Бойко С.Е., восточная сторона мыса Павло-Очаковской косы, Азовский район Ростовская область (1 шт.)</t>
  </si>
  <si>
    <t>Установка коммерческого учета электрической энергии (мощности) на границе земельного участка, подключенного от РУ 0,4 кВ ТП 10/0,4 кВ №66 по ВЛ 10 кВ №3127 ПС 110/35/10 кВ А-31, для электроснабжения магазина заявителя ИП Инатаевой Л.Н., с. Займо-Обрыв, Азовский район Ростовская область (1шт)</t>
  </si>
  <si>
    <t>Установка прибора коммерческого учета электрической энергии (мощности) на границе земельного участка, подключенного от опоры №18-34 ВЛ 0,4 кВ №2 КТП 10/0,4кВ №18 ВЛ 10кВ №3113 ПС 110/35/10 кВ А-31 для технологического присоединения энергопринимающих устройств жилого дома Нарыжного А.С.,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</si>
  <si>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№51-82 ВЛ 0,4 кВ №2 КТП 10/0,4кВ №51 ВЛ 10кВ №211 ПС 35/10 кВ А-2 для технологического присоединения энергопринимающих устройств жилого дома Улитиной М.С., х. Новоалександровка Азовский район, Ростовская область (1 шт.)</t>
  </si>
  <si>
    <t>Строительство ВЛ 10 кВ от опоры №172 ВЛ-10 кВ №105Н ПС 110/6/10 кВ «НС-1» и установка системы учета электрической энергии (мощности) на границе земельного участка для электроснабжения жилого дома заявителя Чистяковой М.М., х.Шмат Азовского района, Ростовская область (ориентировочная протяженность ЛЭП– 0,07 км)</t>
  </si>
  <si>
    <t>Строительство участка ВЛИ 0,4кВ от проектируемой ВЛ 0,4 кВ (по договору ТП № 61-1-20-00551955 от 01.02.2021 г.) КТП 10/0,4 кВ №174 ВЛ 10кВ 1011 ПС 110/35/10 кВ «Самарская» и системы учета электрической энергии (мощности) на границе земельного участка для электроснабжения жилого дома заявителя Сырги А.В., с.Самарское, Азовский район, Ростовская область (ориентировочная протяженность ЛЭП – 0,06 км)</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</si>
  <si>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Пицкова И.И., Петреченко Н.Г., Азовский район Ростовская область (2 шт.)</t>
  </si>
  <si>
    <t>Установка прибора коммерческого учета электрической энергии (мощности) на границе земельного участка, подключенного от опоры №17-33/1 ВЛ-0,4 кВ №1 КТП 10/0,4кВ №17 ВЛ-10кВ №107Н ПС 110/6/10 кВ НС-1 для технологического присоединения энергопринимающих устройств жилого дома Заявителя Дуюнова М.А., п. 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</si>
  <si>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№240-163 ВЛ-0,4кВ №3 КТП 10/0,4 кВ №240 ВЛ-10кВ №106Н ПС 110/6/10 кВ НС-1 для технологического присоединения энергопринимающих устройств жилого дома Заявителя Гребеневой О.А., п. 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</si>
  <si>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№358-15 ВЛ 0,4 кВ №2 КТП 10/0,4кВ №358 ВЛ 10кВ №202Н ПС 110/6/10 кВ НС-2 для технологического присоединения энергопринимающих устройств жилого дома Заявителя Дементьевой А.В., ЗАО «Обильное» поля 86-88, 1 км. от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</si>
  <si>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№358-3 ВЛ 0,4 кВ №1 КТП 10/0,4кВ №358 ВЛ 10кВ №202Н ПС 110/6/10 кВ НС-2 для технологического присоединения энергопринимающих устройств жилого дома Заявителя Хамицевич А.А., ЗАО Обильное, поля 86-88, 1 км от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</si>
  <si>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№88-4/3 ВЛ 0,4 кВ №1 КТП 10/0,4кВ №88 ВЛ 10кВ №3127 ПС 110/35/10 кВ А-31 для технологического присоединения энергопринимающих устройств жилого дома Заявителя Сиденко С.А., с. Займо-Обрыв Азовский район, Ростовская область (1 шт.)</t>
  </si>
  <si>
    <t>Строительство участка ВЛИ 0,4кВ от опоры № 115-5 ВЛ-0,4 кВ №1 КТП 10/0,4 кВ №115 ВЛ-10 кВ №3125 от ПС 110/35/10 кВ А-31 и системы учета электрической энергии (мощности) на границе земельных участков для электроснабжения жилых домов заявителя Кутир П.А., с. Пешково, Азовский район, Ростовская область (ориентировочная протяженность ЛЭП – 0,085 км)</t>
  </si>
  <si>
    <t>Установка прибора коммерческого учета электрической энергии (мощности) на границе земельного участка, подключенного от опоры №101-14 ВЛ 0,4 кВ №1 КТП 10/0,4кВ №101 ВЛ 10кВ №1904 РП-19 ПС 110/35/10 кВ Самарская для технологического присоединения энергопринимающих устройств жилого дома Заявителя Орлова Д.П., с. Новотроицкое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</si>
  <si>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№111-56 ВЛ 0,4 кВ №3 КТП 10/0,4кВ №111 ВЛ 10кВ №3113 ПС 110/35/10 кВ А-31 для технологического присоединения энергопринимающих устройств жилого дома Заявителя Кужель Ю.М.,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</si>
  <si>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№144-47 ВЛ 0,4 кВ №2 КТП 10/0,4кВ №144 ВЛ 10кВ №1107 ПС 35/10 кВ А-11 для технологического присоединения энергопринимающих устройств жилого дома Заявителя Сухомлиновой Е.А., с. Кагальник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</si>
  <si>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№166-57 ВЛ 0,4 кВ №1 КТП 10/0,4кВ №166 ВЛ 10кВ №1606 ПС 35/10 кВ А-16 для технологического присоединения энергопринимающих устройств жилого дома Заявителя Арутюнян Л.Н., п. Новомирский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</si>
  <si>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№17-30 ВЛ 0,4 кВ №1 КТП 10/0,4кВ №17 ВЛ 10кВ №107Н ПС 110/6/10 кВ НС-1 для технологического присоединения энергопринимающих устройств жилого дома Заявителя Кошель Н.С., п. 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</si>
  <si>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№240-137 ВЛ 0,4 кВ №3 КТП 10/0,4кВ №240 ВЛ 10кВ №106Н ПС 110/6/10 кВ НС-1 для технологического присоединения энергопринимающих устройств жилого дома Заявителя Задорожней Л.П., п. Овощной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</si>
  <si>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№24-5 ВЛ-0,4 кВ №1 ЗТП 10/0,4кВ №24 КЛ-10кВ №1205 ПС 110/10 кВ А-12 для технологического присоединения энергопринимающих устройств базовой станции сотовой связи Заявителя ПАО «МТС»,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</si>
  <si>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№24-54 ВЛ 0,4 кВ №1 КТП 10/0,4кВ №24 ВЛ 10кВ №1815 ПС 35/10 кВ А-18 для технологического присоединения энергопринимающих устройств гаража Заявителя Фоменко Е.А., х. Колузаево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</si>
  <si>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№27-100 ВЛ-0,4 кВ №3 КТП-10/0,4 кВ №27 по ВЛ-10 кВ №1701 ПС 35/10 кВ «А-17» для технологического присоединения энергопринимающих устройств жилого дома Заявителя Талпа С.Б., с. Круглое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</si>
  <si>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№346-1 ВЛ 0,4 кВ №1 КТП 10/0,4кВ №346 ВЛ 10кВ №105Н ПС 110/6/10 кВ НС-1 для технологического присоединения энергопринимающих устройств жилого дома Заявителя Аведова С.С., х. Шмат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</si>
  <si>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проектируемой ВЛИ-0,4 кВ проектируемой ТП 10/0,4 кВ (по договору ТП №61-1-20-00538899 от 16.11.2020г.) ВЛ-10кВ №3127 ПС 110/35/10 кВ «А-31» для технологического присоединения энергопринимающих устройств жилого дома Заявителя Донченко С.А., с. Займо-Обрыв, Азовский р-он Ростовская область (1 шт.)</t>
  </si>
  <si>
    <t>Установка приборов коммерческого учета электрической энергии (мощности) на границе земельного участка, подключенного от оп. №201-20 ВЛ-0,4 кВ №2 КТП-10/0,4 кВ №201 по ВЛ-10 кВ №1019 ПС 110/35/10 кВ «Самарская» для технологического присоединения энергопринимающих устройств жилого дома Заявителя Хакиева Н.Р., Азовский район Ростовская область (1шт.)</t>
  </si>
  <si>
    <t>Строительство участка ВЛИ-0,4кВ от РУ-0,4кВ КТП-10/0,4 кВ №130 ВЛ-10 кВ №1702 ПС 35/10 кВ «А-17» и системы учета электрической энергии (мощности) на границе земельного участка для электроснабжения дачного дома заявителя Северенко Е.В., КСП «Ленинское знамя», в границах Круглянского СП, Азовский р-он Ростовская область (ориентировочная протяженность ЛЭП – 0,620 км)</t>
  </si>
  <si>
    <t>Строительство участка ВЛИ-0,4кВ от оп. №128-10 ВЛ-0,4кВ №1 КТП-10/0,4 кВ №128 ВЛ-10 кВ №1815 ПС 35/10 «А-18» для электроснабжения жилого дома заявителя Ивченко А.А., в 850 м от ориентира ТП «Городище» по направлению на юго-восток, Азовский район, Ростовская область (ориентировочная протяженность ЛЭП – 0,300 км)</t>
  </si>
  <si>
    <t>Строительство ЛЭП 6 кВ от опоры № 47 по ВЛ 6 кВ №2301 ПС 35/6 кВ Правобережная, ТП 6/0,4 кВ, ЛЭП 0,4 кВ и установка системы учета электрической энергии (мощности) на границе земельного участка для электроснабжения объекта сельскохозяйственного производства ООО «Рыболовецкая Артель Белый Амур», Ростовская область, Азовский район, х. Дугино (ориентировочная протяженность ЛЭП– 0,120 км, ориентировочная трансформаторная мощность – 0,250 МВА)</t>
  </si>
  <si>
    <t>Установка прибора коммерческого учета электрической энергии (мощности) на границе земельного участка, подключенного на оп. №211-53   ВЛ-0,4 № 2 КТП-211 ВЛ-10 612 ПС 35 кВ Е-6, для электроснабжения жилого дома заявителя Григорян А.А., х.Шаумяновский, ул. Молодежная, 10, Егорлыкский р-он Ростовская область» (1шт)</t>
  </si>
  <si>
    <t>Строительство ВЛ 10 кВ от оп. №3-38 по ВЛ 10кВ №716 ПС 110/35/10 кВ «Юбилейная», ТП 10/0,4 кВ, ВЛИ 0,4 кВ и установка системы учета электрической энергии (мощности) на границе земельного участка для электроснабжения административного здания заявителя ИП главы к(ф)х Оптовкина И.В., Ростовская область, Кагальницкий район, п. Воронцовка (ориентировочная протяженность ЛЭП– 0,06 км, ориентировочная трансформаторная мощность – 0,250 МВА)</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</si>
  <si>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Исламова Е.В., Гайдарова Д.В., Козорезовой И.А., Кагальницкий район Ростовская область (3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</si>
  <si>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Куцеваловой А.А., Паруна А.М., Борисова Н.Ю., Зерноградский район Ростовская область (3 шт.)</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</si>
  <si>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Лютовой Е.Н., Пустоветова А.И, Зерноградский район Ростовская область (2 шт.)</t>
  </si>
  <si>
    <t>Установка прибора коммерческого учета электрической энергии (мощности) на границе земельного участка, подключенного от опоры №54-99 ВЛ-0,4 №3 от КТП-54 по ВЛ-10 318 ПС 35 кВ КГ3, для электроснабжения артезианской скважины заявителя МУП ЖКХ Кагальницкого сельского поселения, Ростовская область, Кагальницкий р-н, ст. Кировская, ул. Буденновская д. 44А (1 шт.)</t>
  </si>
  <si>
    <t>Установка прибора коммерческого учета электрической энергии (мощности) на границе земельного участка, подключенного от опоры №16-59 ВЛ-0,4 №2 от КТП-16 по ВЛ-10 605 ПС 35 кВ КГ6, для электроснабжения личного подсобного хозяйства заявителя Новосельцевой А.А., Ростовская область, Кагальницкий р-н, с. Новобатайск, пер. Ткачевский д.15 (1 шт.)</t>
  </si>
  <si>
    <t>Установка прибора коммерческого учета электрической энергии (мощности) на границе земельного участка, подключенного от опоры №117-39 ВЛ-0,4 №1 от КТП-117 по ВЛ-10 805 ПС 110 кВ БОС, для электроснабжения жилого дома заявителя Оттева А.С., Ростовская область, Кагальницкий р-н, п. Мокрый Батай, ул. Солнечная д.13А (1 шт.)</t>
  </si>
  <si>
    <t>Установка прибора коммерческого учета электрической энергии (мощности) на границе земельного участка, подключенного от опоры №109-92 ВЛ-0,4 №3 от КТП-109 по ВЛ-10 805 ПС 110 кВ БОС, для электроснабжения ЛПХ заявителя Чернышева А.В., Ростовская область, Кагальницкий р-н, п. Мокрый Батай, ул. Солнечная д.37    (1 шт.)</t>
  </si>
  <si>
    <t>Установка прибора коммерческого учета электрической энергии (мощности) на границе земельного участка, подключенного от опоры №13-40 ВЛ-0,4 №3 от КТП-13 по ВЛ-10 612 ПС 35 кВ КГ6, для электроснабжения ЛПХ заявителя Юрьевой Г.А., Ростовская область, Кагальницкий р-н, с. Новобатайск, ул. Фабричная д.11А (1 шт.)</t>
  </si>
  <si>
    <t>Установка прибора коммерческого учета электрической энергии (мощности) на границе земельного участка, подключенного от опоры №101-23 ВЛ-0,4 №2 от КТП-101 по ВЛ-10 1319 ПС 35 кВ ЗР13, для электроснабжения артскважины заявителя Богатского Ю.А., Ростовская область, Зерноградский р-н, х. Заполосный, левый склон б.Хомутец (1 шт.)</t>
  </si>
  <si>
    <t>Установка прибора коммерческого учета электрической энергии (мощности) на границе земельного участка, подключенного от опоры №109-23 ВЛ-0,4 №1 от КТП-109 по ВЛ-10 805 ПС 110 кВ БОС, для электроснабжения ЛПХ заявителя Кочерга Н.В., Ростовская область, Кагальницкий р-н, п. Мокрый Батай ул. Садовая д.29 кв. 2 (1 шт.)</t>
  </si>
  <si>
    <t>Установка прибора коммерческого учета электрической энергии (мощности) на границе земельного участка, подключенного от опоры №77-30 ВЛ 0,4 №1 КТП-77 ВЛ-10 313 ПС 35 кВ КГ3 для технологического присоединения энергопринимающих устройств жилого дома Заявителя Кучмаревой Л.А., Ростовская область, Кагальницкий р-н, ст. Кировская, ул. Менделеева д.48 (1 шт.)</t>
  </si>
  <si>
    <t>Установка прибора коммерческого учета электрической энергии (мощности) на границе земельного участка, подключенного от опоры №9-9 ВЛ-0,4 №1 от КТП-9 по ВЛ-10 612 ПС 35 кВ КГ6, для электроснабжения жилого дома заявителя Жаткин В.Е., Ростовская область, Кагальницкий р-н, с. Новобатайск ул. Садовая д. 7 (1 шт.)</t>
  </si>
  <si>
    <t>Строительство ВЛ-10 кВ от оп. №6-246 ВЛ-10 кВ №1107 ПС 35/10 кВ А-11, строительство ТП-10/0,4 кВ, строительство участка ВЛ-0,4 кВ для подключения жилого дома заявителя Михалева А.С. х. Узяк, Азовский район Ростовская область (ориентировочная протяженность ЛЭП – 0,430 км, ориентировочная трансформаторная мощность – 0,025 МВА)</t>
  </si>
  <si>
    <t>Строительство ВЛ-10 кВ от оп. № 76 по ВЛ-10 кВ №914 от ПС 110/35/10 кВ А-9, ТП-10/0,4 кВ, ВЛ-0,4 кВ и системы учета электрической энергии (мощности) на границе земельного участка для электроснабжения хозяйственного помещения заявителя ООО «Органик Фудс Инвестмент», с.Пешково, Азовский район Ростовская область (ориентировочная протяженность ЛЭП– 0,09 км, ориентировочная трансформаторная мощность – 0,025 МВА)</t>
  </si>
  <si>
    <t xml:space="preserve">Строительство ВЛ 0,4 кВ от №365-5 ВЛ 0,4кВ №1 КТП 10/0,4 кВ №365              ВЛ 10кВ №107Н ПС 110/6/10 кВ НС-1 и установка коммерческого учета электрической энергии (мощности) на границе земельного участка для электроснабжения жилого дома заявителя Ткачевой М.Ю., п. Овощной, Азовский р-он Ростовская область (ориентировочная протяженность ЛЭП – 0,115 км)
</t>
  </si>
  <si>
    <t>Строительство участка ВЛИ 0,4кВ от РУ 0,4 кВ ТП 10/0,4 кВ №186 по ВЛ 10 кВ №3113 от ПС 110/35/10 кВ А-31 и системы учета электрической энергии (мощности) на границе земельного участка для электроснабжения магазина заявителя ИП Шапошниковой О.А., с. Пешково, Азовский район, Ростовская область (ориентировочная протяженность ЛЭП – 0,06 км)</t>
  </si>
  <si>
    <t>Установка коммерческого учета электрической энергии (мощности) на границе земельного участка, подключенного от опоры №102-2 ВЛ 0,4 кВ №1 КТП 10/0,4кВ №102 ВЛ 10кВ №2907 РП-29 ПС 35/10 кВ А-18, для электроснабжения жилого дома заявителя Чекодановой Н.В., х. Обуховка, Азовский район Ростовская область</t>
  </si>
  <si>
    <t>Установка приборов коммерческого учета электрической энергии (мощности) для технологического присоединения энергопринимающих устройств Заявителей: Бурого А.Н., Басаранович И.И., Трухманова А.А., Азовский район Ростовская область (3 шт.)</t>
  </si>
  <si>
    <t>Установка прибора коммерческого учета электрической энергии (мощности) на границе земельного участка, подключенного от опоры №30-8 ВЛ-0,4 кВ №1 КТП 10/0,4кВ №30 ВЛ-10кВ №2907 РП-29 ПС 35/10 кВ «А-18» для технологического присоединения энергопринимающих устройств жилого дома Заявителя Картичева С.В., ст-ца. Елизаветинская Азовский район, Ростовская область (1 шт.)</t>
  </si>
  <si>
    <t>Строительство участка ВЛИ 0,4кВ от опоры №15-10 ВЛ 0,4 кВ №1 КТП 10/0,4 кВ №15 ВЛ 10кВ №802 ПС 35/10 кВ «А-8» и системы учета электрической энергии (мощности) на границе земельного участка для электроснабжения жилого дома заявителя Минина С.А., х. Павло-Очаково, Азовский район, Ростовская область (ориентировочная протяженность ЛЭП – 0,130 км)</t>
  </si>
  <si>
    <t>Установка прибора коммерческого учета электрической энергии (мощности) на границе земельного участка, подключенного от опоры №9-1 ВЛ-0,4 кВ №1 КТП 10/0,4кВ №9 ВЛ-10кВ №801 ПС 35/10 кВ «А-8» для технологического присоединения энергопринимающих устройств домика отдыха Заявителя Каплиной А.В., восточная сторона мыса Павло-Очаковской косы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</si>
  <si>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№334-8 ВЛ 0,4 кВ №1 КТП 10/0,4кВ №334 ВЛ 10кВ №202Н ПС 110/6/10 кВ НС-2 для технологического присоединения энергопринимающих устройств жилого дома Заявителя Короп О.М., с. Кулешовка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</si>
  <si>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№55-57 ВЛ-0,4 кВ №3 КТП 10/0,4кВ №55 ВЛ-10кВ №1019 ПС 110/35/10 кВ «Самарская» для технологического присоединения энергопринимающих устройств жилого дома Заявителя Мельниковой Н.В., х. Победа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</si>
  <si>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№82-13 ВЛ-0,4 кВ №1 КТП 10/0,4кВ №82 ВЛ-10кВ №1802 ПС 35/10 кВ «А-18» для технологического присоединения энергопринимающих устройств жилого дома Заявителя Остапенко А.А., х. Рогожкино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</si>
  <si>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№103-6 ВЛ 0,4 кВ №1 КТП 10/0,4кВ №103 ВЛ 10кВ №1913 ПС 110/35/10 кВ Самарская для технологического присоединения энергопринимающих устройств жилого дома Заявителя Голубовой Л.А., х. Ельбузд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</si>
  <si>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№148-10 ВЛ 0,4 кВ №1 КТП 10/0,4кВ №148 ВЛ 10кВ №1019 ПС 110/35/10 кВ Самарская для технологического присоединения энергопринимающих устройств жилого дома Заявителя Лаптева В.В., х. Победа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</si>
  <si>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№157-9 ВЛ 0,4 кВ №1 КТП 10/0,4кВ №157 ВЛ 10кВ №301Н ПС 110/6/10 кВ НС-3 для технологического присоединения энергопринимающих устройств жилого дома Заявителя Белоусовой С.Т., х. Песчаный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</si>
  <si>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№184-2 ВЛ 0,4 кВ №1 КТП 10/0,4кВ №184 ВЛ 10кВ №3113 ПС 110/35/10кВ А-3 1для технологического присоединения энергопринимающих устройств жилого дома Заявителя Лазаревой А.М.,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</si>
  <si>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№185-23 ВЛ 0,4 кВ №2 КТП 10/0,4кВ №185 ВЛ 10кВ №3125 ПС 110/35/10 кВ А-31 для технологического присоединения энергопринимающих устройств жилого дома Заявителя Мырковой О.В., с. Пешково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</si>
  <si>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№316-17 ВЛ 0,4 кВ №1 КТП 10/0,4кВ №3169 ВЛ 10кВ №211 ПС 35/10 кВ А-2 для технологического присоединения энергопринимающих устройств жилого дома Заявителя Громыко Н.В., х. Новоалександровка,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</si>
  <si>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№329-28 ВЛ 0,4 кВ №2 КТП 10/0,4кВ №329 ВЛ 10кВ №106Н ПС 110/6/10 кВ НС-1 для технологического присоединения энергопринимающих устройств жилого дома Заявителя Громыко Н.В., Кулешовское сельское поселение, ДНТ "Виктория" Азовский район, Ростовская область (1 шт.)</t>
  </si>
  <si>
    <t>Установка прибора коммерческого учета электрической энергии (мощности) на границе земельного участка, подключенного от опоры №350-30/2 ВЛ 0,4 кВ №4 КТП 10/0,4кВ №350 ВЛ 10кВ №207Н ПС 110/6/10 кВ НС-2 для технологического присоединения энергопринимающих устройств дачного дома Заявителя Герасимова И.М., СТ «Квант» Азовский район, Ростовская область (1 шт.)</t>
  </si>
  <si>
    <t>Строительство участка ВЛИ 0,4кВ от опоры №166-48 ВЛ-0,4 кВ №2 КТП 10/0,4 кВ №166 ВЛ-10кВ №1701 ПС 35/10 кВ А-17 и системы учета электрической энергии (мощности) на границе земельного участка для электроснабжения жилого дома заявителя Велигура О.С., с. Круглое, Азовский район, Ростовская область (ориентировочная протяженность ЛЭП – 0,250 км)</t>
  </si>
  <si>
    <t>Техническое перевооружение ВЛ 0,4 кВ №3 от РУ 0,4 кВ КТП 10/0,4 кВ №25 до опоры №25-104 ВЛ 0,4 кВ №3 КТП 10/0,4 кВ №25 ВЛ 10 кВ №1815 ПС А-18 для электроснабжения лодочной станции заявителя Кривко И.А., х. Курган, Азовский район Ростовская область (ориентировочная протяженность ЛЭП – 0,580 км)</t>
  </si>
  <si>
    <t>Строительство ВЛ 10 кВ от опоры № 80 по ВЛ 10 кВ №1316 ПС 35/10 кВ А-13, ТП 10/0,4 кВ, ВЛ 0,4 кВ и установка системы учета электрической энергии (мощности) на границе земельного участка для электроснабжения объекта крестьянского (фермерского) хозяйства заявителя ИП Падалка О.Н., Ростовская область, Азовский район, в 200 м по направлению на запад от ориентира х.Сонино, Азовский район, Ростовская область (ориентировочная протяженность ЛЭП– 0,880 км, ориентировочная трансформаторная мощность – 0,025 МВА)</t>
  </si>
  <si>
    <t>Строительство участка ВЛИ-0,4кВ от проектируемой ВЛ-0,4 кВ проектируемой ТП 10/0,4 кВ (по договору ТП № 61-1-19-00469845 от 01.10.2019 г.) ВЛ-10кВ №2412 ПС 35/10 кВ «А-24» и системы учета электрической энергии (мощности) на границе земельного участка для электроснабжения лодочной станции заявителя ИП Починок М.И., п. Топольки Ростовская область (ориентировочная протяженность ЛЭП – 0,380 км)</t>
  </si>
  <si>
    <t>Техническое перевооружение ВЛИ-0,4 кВ №3 от РУ-0,4кВ КТП-10/0,4 кВ №39 ВЛ-10 кВ №1908 РП-19 ПС 110/35/10 кВ «Самарская» и установка коммерческого учета электрической энергии (мощности) на границе земельного участка для электроснабжения жилого дома заявителя Терещенко А.А., х. Бурхановка, Азовский р-он Ростовская область (ориентировочная протяженность ЛЭП – 0,420 км)</t>
  </si>
  <si>
    <t>Строительство участка ВЛИ-0,4кВ от оп. №97-1 ВЛ-0,4кВ №1 КТП-10/0,4 кВ №97 ВЛ-10 кВ №2907 РП-29 ПС 35/10 кВ «А-18» и установка коммерческого учета электрической энергии (мощности) на границе земельного участка для электроснабжения жилого дома заявителя Волконогова Д.О., х. Казачий Ерик, Азовский р-он Ростовская область (ориентировочная протяженность ЛЭП – 0,150 км)</t>
  </si>
  <si>
    <t xml:space="preserve">Строительство участка ВЛИ-0,4кВ от оп. №40-66 ВЛ-0,4кВ №2 КТП-10/0,4 кВ №40 ВЛ-10 кВ №1802 ПС 35/10 «А-18» и установка коммерческого учета электрической энергии (мощности) на границе земельных участков для электроснабжения жилых домов заявителей Дьякова П.В., Дьяковой Г.И., х. Рогожкино, Ростовская область (ориентировочная протяженность ЛЭП – 0,110 км)
</t>
  </si>
  <si>
    <t>Строительство участка ВЛИ-0,4 кВ от проектируемой ВЛ-0,4 кВ (по договору ТП №61-1-18-00409567 от 12.12.2018г.) КТП 10/0,4 кВ №48 по ВЛ-10кВ №1815 ПС 35/10 кВ "А-18" для электроснабжения жилого дома заявителя Заряева П.В., Рыболовецкий колхоз им. Ленина, Азовский район, Ростовская область (ориентировочная протяженность ЛЭП - 0,120 км)</t>
  </si>
  <si>
    <t>Строительство ЛЭП-10 кВ от оп. 10 кВ №128 по ВЛ-10кВ №3214 ПС 110/35/10 кВ «А-32», ТП-10/0,4 кВ, ЛЭП-0,4 кВ и системы учета электрической энергии (мощности) на границе земельного участка для электроснабжения склада заявителя ИП Гончарова Н.С., х.Красная Заря, Азовский район Ростовская область (ориентировочная протяженность ЛЭП– 0,930 км, ориентировочная трансформаторная мощность – 0,063 МВА)</t>
  </si>
  <si>
    <t>Строительство участка ВЛИ-0,4кВ от опоры №329-28 ВЛ-0,4 кВ №2 КТП-10/0,4 кВ №329 по ВЛ-10 кВ № 106Н ПС 110/6/10 кВ «НС-1» и установка системы учета электрической энергии (мощности) на границе земельного участка для электроснабжения жилого дома заявителя Пономаревой И.А., ДНТ "Виктория", Азовский р-он Ростовская область (ориентировочная протяженность ЛЭП – 0,130 км)</t>
  </si>
  <si>
    <t>Строительство участка ВЛИ-0,4кВ от оп. №13-72 ВЛ-0,4кВ №3 КТП-10/0,4 кВ №13 ВЛ-10 кВ №3125 ПС 110/35/10 кВ «А-31» и системы учета электрической энергии (мощности) на границе земельного участка для электроснабжения жилого дома заявителя Редькиной З.И., с. Головатовка, Азовский р-он Ростовская область (ориентировочная протяженность ЛЭП – 0,150 км)</t>
  </si>
  <si>
    <t xml:space="preserve">Установка коммерческого учета электрической энергии (мощности) на границе земельного участка, подключенного от опоры №134-37 ВЛ-0,4 кВ №2 КТП-10/0,4 кВ №134 по ВЛ-10 кВ №101 ПС 220/110/35/10 кВ "Зерновая", для электроснабжения жилого дома заявителя Маркова А.В., Ростовская область, г. Зерноград пер. Ярославский, дом 33  </t>
  </si>
  <si>
    <t>Строительство участка ВЛИ-0,4кВ от оп. №257-67 по ВЛ 0,4 кВ №2 КТП 6/0,4 кВ №257 ВЛ-6 кВ №10701 ПС 110/35/6 кВ «А-1» и системы учета электрической энергии (мощности) на границе земельного участка для электроснабжения жилого дома заявителя Великохацкого А.А., г. Азов Ростовская область (ориентировочная протяженность ЛЭП – 0,03 км)</t>
  </si>
  <si>
    <t xml:space="preserve">Строительство участка ВЛИ-0,4кВ от оп. №253-124 по ВЛ 0,4 кВ №4 КТП 6/0,4 кВ №253 ВЛ-6 кВ №10701 ПС 110/35/6 кВ «А-1» и системы учета электрической энергии (мощности) на границе земельного участка для электроснабжения жилых домов заявителя Авакяна Р.Р., г. Азов Ростовская область (ориентировочная протяженность ЛЭП – 0,04 км)  </t>
  </si>
  <si>
    <t xml:space="preserve">Установка коммерческого учета электрической энергии (мощности) на границе земельного участка, подключенного от опоры оп. №б/н ВЛ-0,4кВ (балансовая принадлежность Квартального комитета №39) КТП-6/0,4 кВ №101 по ВЛ-6кВ №10701 ПС 110/35/6 кВ «А-1», для электроснабжения жилого дома заявителя Бувайловой Н.А., г. Азов, Ростовская область  </t>
  </si>
  <si>
    <t xml:space="preserve">Строительство участка ВЛИ-0,4кВ от проектируемой ВЛ-0,4 кВ (по договору ТП № 61-1-20-00531301 от 14.09.2020 г.) КТП 6/0,4 кВ №257 ВЛ-6 кВ №10701 ПС 110/35/6 кВ «А-1» и системы учета электрической энергии (мощности) на границе земельного участка для электроснабжения жилого дома заявителя Любова А.А., г. Азов Ростовская область (ориентировочная протяженность ЛЭП – 0,160 км) </t>
  </si>
  <si>
    <t xml:space="preserve">'Установка прибора коммерческого учета электрической энергии (мощности) на границе земельного участка, подключенного от опоры №44-39 ВЛ-0,4 кВ № 1 МТП-10/0,4 кВ №44 ВЛ-10 кВ №1002 от ПС 110/10 кВ «ЗР-10», для электроснабжения жилого дома заявителя Галян С.О., Ростовская область, Зерноградский р-н, г. Зерноград, ул. 50-летия Победы д.50 ( 1 шт.) </t>
  </si>
  <si>
    <t xml:space="preserve">Строительство участка ВЛИ 0,4кВ от проектируемой ВЛ 0,4 кВ (по договору ТП № 61-1-20-00515125 от 15.06.2020 г.) КТП 6/0,4 кВ №257 ВЛ 6 кВ №10701 ПС 110/35/6 кВ «А-1» и системы учета электрической энергии (мощности) на границе земельного участка для электроснабжения жилого дома заявителя Таутиевой А.Н., г.Азов Ростовская область (ориентировочная протяженность ЛЭП – 0,085 км) </t>
  </si>
  <si>
    <t>'Строительство участка ВЛИ 0,4кВ от опоры №257-94 ВЛ 0,4 кВ №2 КТП 6/0,4 кВ №257 ВЛ 6 кВ №10701 ПС 110/35/6 кВ А-1 и системы учета электрической энергии (мощности) на границе земельных участков для электроснабжения жилых домов заявителей Головневой О.В., Холкина А.Я., г. Азов, Ростовская область (ориентировочная протяженность ЛЭП – 0,135 км)</t>
  </si>
  <si>
    <t>Установка прибора коммерческого учета электрической энергии (мощности) на границе земельного участка, подключенного от опоры №46-8 ВЛ-0,4кВ №1 КТП 10/0,4 кВ №46 ВЛ-10кВ №1106 ПС 35/10 кВ А-11 для технологического присоединения энергопринимающих устройств жилого дома Заявителя Таибовой О.А., городской округ "Город Азов", г. Азов Азовский район, Ростовская область (1 шт.)</t>
  </si>
  <si>
    <t>Строительство участка ВЛИ 0,4кВ от опоры № 134-2 ВЛ 0,4 №1 КТП-134 ВЛ-10 101 ПС 110 кВ Зерновая и системы учета электрической энергии (мощности) на границе земельного участка для электроснабжения жилого дома заявителя Рыжая А.М., г. Зерноград, Зерноградский район, Ростовская область (ориентировочная протяженность ЛЭП – 0,03 км)</t>
  </si>
  <si>
    <t>Установка прибора коммерческого учета электрической энергии (мощности) на границе земельного участка, подключенного от опоры №253-20 ВЛ 0,4 кВ №2 КТП 6/0,4кВ №253 ВЛ 6кВ №10706 ПС 110/35/6 кВ А-1 для технологического присоединения энергопринимающих устройств жилого дома Заявителя Семисиновой С.Н., г. Азов, Ростовская область (1 шт.)</t>
  </si>
  <si>
    <t>Строительство участка ВЛИ-0,4кВ от РУ-0,4кВ КТП-10/0,4 кВ №18 ВЛ-10 кВ №1815 ПС 35/10 кВ «А-18» и системы учета электрической энергии (мощности) на границе земельного участка для электроснабжения жилого дома заявителя Чернова Б.П., х. Курган, Азовский р-он Ростовская область (ориентировочная протяженность ЛЭП – 0,175 км)</t>
  </si>
  <si>
    <t>1 - 20 кВ</t>
  </si>
  <si>
    <t>8.2.2.</t>
  </si>
  <si>
    <t>Средства коммерческого учета электрической энергии (мощности) трехфазные полукосвенного включения</t>
  </si>
  <si>
    <t>Установка ВРУ 0,4 кВ на стойке шинного портала 35 кВ № 28 Т-З для присоединения ЛЭП-0,4 кВ от ПС 110/35 кВ Заря, расположенной по адресу: Ростовская область, Красносулинский район (1шт.)</t>
  </si>
  <si>
    <t>Строительство ТП-10/0,4, ЛЭП-10 кВ от оп. № 10 отпайки на ТП 56 ВЛ 10 кВ Новоегоровка от ПС Н-9, и ВЛИ-0,4 кВ от вновь установленной ТП-10/0,4 кВ для присоединения плотины рыбохозяйственного пруда ИП Дорошенко А.Б. по адресу: р-н. Родионово-Несветайский, примерно 1.5 км от хут.Новоегоровка по направлению на юго-восток, кадастровый номер сооружения: 61:33:0000000:5258 (ориентировочная протяженность ЛЭП 2,210 км, ориентировочная мощность трансформатора 25 кВА)</t>
  </si>
  <si>
    <t>Строительство участка ВЛЗ10 кВ от ВЛ10 кВ Керчик ПС 35/10 Ш18, с установкой ТП 10/0,4 кВ, и строительство ВЛИ 0,4 кВ от вновь установленной ТП 10/0,4 кВ для присоединения ВРУ-0,4 кВ вагончика ИП Шабановой Л.С. в ст. Евсеевской Усть-Донецкого района (ориентировочная протяженность ЛЭП 3,1 км, ориентировочная мощность трансформатора 0,025 МВА)</t>
  </si>
  <si>
    <t>Строительство участка ВЛ-10 кВ от существующей оп. №243 по ВЛ-10 кВ «Федоровка» от ПС 110/10 С-5, с установкой ТП-10/0,4 кВ, и строительство ВЛИ-0,4 кВ от вновь установленной ТП-10/0,4 кВ для присоединения ВРУ-0,4 кВ карьера, Ростовская обл, Красносулинский район, на землях СПК «Федоровский», в 3,25 км на восток от х. Большая Федоровка. (ООО Южный Нерудный Базис) (ориентировочная протяженность ЛЭП 2,165 км, ориентировочная мощность трансформатора 0,025 МВА)</t>
  </si>
  <si>
    <t>Строительство участка ВЛЗ10 кВ от ВЛ10 кВ Первомайка ПС 35/10 Ш31, с установкой ТП 10/0,4 кВ, и строительство ВЛИ 0,4 кВ от вновь установленной ТП 10/0,4 кВ (Усть-Донецкий РЭС) для присоединения ВРУ-0,4кВ объекта сельскохозяйственного производства по адресу: Ростовская область, р-н Октябрьский, Краснолучская администрация КН 61:28:0600018:9 (ориентировочная протяженность ЛЭП 0,085 км, ориентировочная мощность трансформатора 0,025 МВА)</t>
  </si>
  <si>
    <t>Строительство ВЛИ-0,4 кВ от оп. №2 ВЛИ-0,4 кВ №1 КТП №817 по ВЛ-6 кВ Прогресс ПС 35 кВ Ш-41 для присоединения складского здания ИП Благодарева В.В. по адресу: Ростовская область, Октябрьский район, ст. Заплавская, ул. Клубная, д.1-б (ориентировочная протяженность ЛЭП 0,17 км)</t>
  </si>
  <si>
    <t>Строительство участка ВЛ-10 кВ от опоры № 3 отпайка на КТП №67, ВЛ-10 кВ от ПС 110/35/10 кВ «Советская-2», ТП 10/0,4 кВ и ВЛ-0,4 кВ от проектируемой ТП 10/0,4 кВ, для подключения дошкольной организации на 60 мест, расположенной по адресу: Ростовская обл., Советский р-н, поселок Чирский, ул. Дорожная д. 16, КН ЗУ 61:36:0030101:1574 (ориентировочная протяженность ЛЭП –0,04 км, трансформаторная мощность – 0,160 МВА, прибор учёта электроэнергии - 1шт)</t>
  </si>
  <si>
    <t>Строительство участка ВЛ-10 кВ от опоры № 3 отпайка на КТП № 144, ВЛ-10 кВ №1 от ПС 35/10 кВ «Советская-1», ТП 10/0,4 кВ и ВЛ-0,4 кВ от проектируемой ТП 10/0,4 кВ, для подключения дошкольной организации на 50 мест, расположенной по адресу: Ростовская обл., Советский  р-н, слобода Чистяково, ул. Западная  д. 18 «а», КН ЗУ 61:36:0020101:1395 (ориентировочная протяженность ЛЭП –0,08 км, трансформаторная мощность – 0,160 МВА, прибор учёта электроэнергии - 1шт)</t>
  </si>
  <si>
    <t>Установка прибора коммерческого учёта электрической энергии, для присоединения ВРУ-0,4 кВ ЛЭП-0,4 кВ Государственного казенного учреждения Ростовской области «Противопожарная служба Ростовской области» в лице начальника Кравцова В.В., расположенного по адресу: Ростовская область, Тацинский район, ст. Скосырская, ул. Школьная, д. 5, корпус Б, к.н. 61:38:0060101:1370. (прибор учёта электроэнергии - 1шт.)</t>
  </si>
  <si>
    <t>Строительство участка ВЛ-10 кВ от опоры № 20, отпайка Л-361, ВЛ-10 кВ №1, ПС 35/10 кВ «Тарасовская СХТ», ТП 10/0,4 кВ и ВЛ-0,4 кВ от РУ-0,4 кВ проектируемой ТП 10/0,4 кВ, для подключения освещения территории строящегося придорожного комплекса  Геворкяна Г.В., расположенного по адресу: Ростовская обл., Тарасовский р-н, Дячкинское сельское поселение, разъезд Дяткино, территория Сервисная, земельный участок № 4, КН ЗУ 61:37:0600012:1539 (ориентировочная протяженность ЛЭП –0,05 км, трансформаторная мощность – 0,16 МВА, прибор учёта электроэнергии 100 кВт - 1шт)</t>
  </si>
  <si>
    <t>Строительство участка ВЛ-10 кВ  от  опоры № 6 Л-129, ВЛ-10 кВ № 4, ПС110/10 кВ «Волченская ПТФ», ТП 10/0,4кВ и участка ВЛ-0,4 кВ от РУ-0,4 кВ новой ТП 10/0,4 кВ, для подключения нежилого здания «Свято-Троицкий храм», расположенного по адресу: Ростовская обл., Каменский р-н, х. Волченский, ул. Шахтерская, д. № 104, к.н.з.у. 61:15:0040101:648 (ориентировочная протяженность ЛЭП – 0,029 км, трансформаторная мощность – 0,160 МВА, прибор учёта электроэнергии - 1шт.)</t>
  </si>
  <si>
    <t>Строительство участка ВЛ-10 кВ от опоры № 17 Л-205, ВЛ-10 кВ № 3, ПС 35/10 кВ «Каменская СХТ», ТП 10/0,4 кВ и ВЛ-0,4 кВ от РУ-0,4 кВ проектируемой ТП 10/0,4 кВ, для подключения строящегося склада ИП Рудакова Д.В. расположенного по адресу: Ростовская обл., Каменский р-н, х. Старая Станица,АКХ «Колос», пастбище 12г, КН ЗУ 61:15:06002101:2655 (ориентировочная протяженность ЛЭП –1,420 км, трансформаторная мощность – 0,160 МВА, прибор учёта электроэнергии - 1шт)</t>
  </si>
  <si>
    <t>Строительство участка КВЛ-10 кВ от опоры № 42, ВЛ-10 кВ № 1, ПС 35/10 кВ «Глубокинская», ТП 10/0,4 кВ и участка ВЛ-0,4 кВ от РУ-0,4 кВ новой ТП 10/0,4 кВ, для подключения электрической зарядной станции для электромобилей АО «Ситроникс», расположенной по адресу: Ростовская обл., Каменский р-н, р.п. Глубокий, а/д М-4 «Дон» в 30 м от дорожного полотна слева, АЗС Лукойл 31362, к.н.з.у. 61:15:0010106:127 (ориентировочная протяженность ЛЭП – 0,472 км, трансформаторная мощность – 0,160 МВА, прибор учёта электроэнергии - 1 шт.)</t>
  </si>
  <si>
    <t>Строительство ВЛ-0,4 кВ от КТП-10/0,4 кВ №209 по ВЛ-10 кВ №1 ПС 35/10 кВ "В. Чирская", обеспечение коммерческим учетом электрической энергии (мощности) в точке поставки и установка шкафа 0,4 кВ с коммутационным аппаратом, для технологического присоединения строящегося склада  заявителя, ООО Юбилейное, расположенной  Ростовская область, Боковский р-н, х. Большенаполовский, ул. Школьная, д. 64  (к.н.з.у.61:05:0600001:177) (ориентировочная протяженность ЛЭП-0,096 км)</t>
  </si>
  <si>
    <t>«Строительство ВЛ 0,4 кВ от РУ 0,4 кВ, вновь построенной ТП 10/0,4 кВ, строительство ВЛ 10 кВ от опоры № 21/48  по ВЛ 10 кВ №3 ПС 35/10 кВ «Базковская», установка прибора учета электрической энергии (мощности) в точке поставки и установка шкафа 0,4 кВ с коммутационным аппаратом (1 шт.), для технологического присоединения модульной Автогазозаправочной станции Заявителя, Зюзина А.В., расположенной в Ростовской области, Шолоховский р-н, х. Белогорский, ул. Автострадная, д. 3  (61:43:010302:217) (ориентировочная   протяженность ЛЭП – 0,13 км, ориентировочная мощность ТП – 0,025 МВА)»</t>
  </si>
  <si>
    <t>«Установка прибора учета для технологического присоединения  модульного дома культуры заявителя, Терновское СП, расположенного по адресу: Ростовская область, Шолоховский район, х. Терновской, ул. Центральная, д. 7в, к.н.з.у. 61:43:0090101:750 (1 шт.)»</t>
  </si>
  <si>
    <t>Строительство ЛЭП 10 кВ от опоры №8 по ВЛ 10 кВ №307Н ПС 110/6/10 кВ НС-3, ТП 10/0,4 кВ, ЛЭП 0,4 кВ и установка системы учета электрической энергии (мощности) на границе земельного участка для электроснабжения питомника декоративных растений заявителя ИП глава КФХ Арутюнян О.С., х. Еремеевка, Азовский район, Ростовская область (ориентировочная протяженность ЛЭП– 0,035 км, ориентировочная трансформаторная мощность – 0,250 МВА)</t>
  </si>
  <si>
    <t>Строительство ЛЭП 6 кВ от опоры № 17 по КВЛ 6 кВ №429 ПС 35/6 кВ А-4, ТП 6/0,4 кВ, ЛЭП 0,4 кВ и установка системы учета электрической энергии (мощности) на границе земельного участка для электроснабжения нежилого помещения заявителя ООО «Топливно-энергетическая компания», Ростовская область, г. Азов, к.н. 61:01:0600004:707 (ориентировочная протяженность ЛЭП– 1,62 км, ориентировочная трансформаторная мощность – 0,250 МВА)</t>
  </si>
  <si>
    <t>Строительство ЛЭП 10 кВ от опоры № 3-349 по ВЛ 10 кВ №910-1106 ПС 35/10 кВ А-9, ТП 10/0,4 кВ, ЛЭП 0,4 кВ и установка системы учета электрической энергии (мощности) на границах земельных участков для электроснабжения объектов торговли заявителей ИП Мироненко С.А. и Гиваргизовой А.Б., Ростовская область, Азовский район, г.Азов, ул.Победы (ориентировочная протяженность ЛЭП– 0,330 км, ориентировочная трансформаторная мощность – 0,250 МВА)</t>
  </si>
  <si>
    <t>Строительство ЛЭП 10 кВ от опоры №9-17 по ВЛ 10 кВ №107Н ПС 110/6/10 кВ НС-1, ТП 10/0,4 кВ, ЛЭП 0,4 кВ и установка системы учета электрической энергии (мощности) на границе земельного участка для электроснабжения нежилой застройки ИП Калашник И.Н., Ростовская область, Азовский район, п. Овощной (ориентировочная протяженность ЛЭП– 0,06 км, ориентировочная трансформаторная мощность – 0,250 МВА)</t>
  </si>
  <si>
    <t>Строительство ЛЭП 10 кВ от опоры № 22 по ВЛ 10 кВ №211 ПС 35/10 кВ А-2, ТП 10/0,4 кВ, ЛЭП 0,4 кВ и установка системы учета электрической энергии (мощности) на границе земельного участка для электроснабжения нежилой застройки заявителя ИП Алексеенко А.П., Ростовская область, Азовский район, х.Новоалександровка, пер.Луговой, з/у 8-в (ориентировочная протяженность ЛЭП– 0,04 км, ориентировочная трансформаторная мощность – 0,250 МВА)</t>
  </si>
  <si>
    <t>Строительство ЛЭП 10 кВ от опоры №4рк по ВЛ 10 кВ №304Н ПС 110/35/10/6 кВ НС-3, ТП 10/0,4 кВ, ЛЭП 0,4 кВ и установка системы учета электрической энергии (мощности) на границе земельного участка для электроснабжения складского здания/помещения заявителя ООО «АПК Азовский», Азовский район, Ростовская область, к.н. 61:01:0600013:1394 (ориентировочная протяженность ЛЭП– 0,06 км, ориентировочная трансформаторная мощность – 0,250 МВА)</t>
  </si>
  <si>
    <t>Строительство ЛЭП 10 кВ от опоры №223 по ВЛ 10 кВ №3125 ПС 110/35/10 кВ А-31, ТП 10/0,4 кВ, ЛЭП 0,4 кВ и установка системы учета электрической энергии (мощности) на границе земельного участка для электроснабжения нежилого здания ИП Бугаян С.О., Ростовская область, Азовский район, с. Пешково (ориентировочная протяженность ЛЭП– 0,380 км, ориентировочная трансформаторная мощность – 0,250 МВА)</t>
  </si>
  <si>
    <t>Строительство ЛЭП 10 кВ от опоры №24 по ВЛ 10 кВ №3105 ПС 110/35/10 кВ А-31, ТП 10/0,4 кВ, ЛЭП 0,4 кВ и установка системы учета электрической энергии (мощности) на границе земельного участка для электроснабжения объекта крестьянского (фермерского) хозяйства заявителя ИП Дорошенко Е.А., участок расположен на территрии ассоциации КФХ «Прогресс» компл.№1, поле 15, участок 233, с. Займо-Обрыв, Азовский район, Ростовская область, к.н. 61:01:0600011:1347 (ориентировочная протяженность ЛЭП– 0,315 км, ориентировочная трансформаторная мощность – 0,250 МВА)</t>
  </si>
  <si>
    <t>Строительство ВЛ 0,4 кВ РУ-0,4 КТП 10/0,4 кВ №50 по ВЛ 10 кВ №211 ПС 35/10 кВ А-2 и установка коммерческого учета электрической энергии (мощности) на границе земельного участка для электроснабжения хозяйственной постройки заявителя ООО «АгроДонЭкспорт», ул. Победы, д. 54, х. Новоалександровка, Азовский район, Ростовская область, к.н. 61:01:0110101:3261 (ориентировочная протяженность ЛЭП – 0,37 км)</t>
  </si>
  <si>
    <t>Строительство ЛЭП 10 кВ от опоры №116 по ВЛ 10 кВ №2608 ПС 35/10 кВ А-26, ТП 10/0,4 кВ, ЛЭП 0,4 кВ и установка системы учета электрической энергии (мощности) на границе земельного участка для электроснабжения нежилой застройки заявителя ИП Хлыстунов А.Н., х. Новоалександровка, Азовский район, Ростовская область (ориентировочная протяженность ЛЭП– 0,265 км, ориентировочная трансформаторная мощность – 0,250 МВА)</t>
  </si>
  <si>
    <t>Строительство ЛЭП 0,4 кВ от опоры №45-53 ВЛ 0,4 кВ №3 ТП 10/0,4кВ №45 ВЛ 10 кВ №2907 РП-29 ПС 35/10 кВ А-18 и установка коммерческого учета электрической энергии (мощности) на границе земельного участка для электроснабжения нежилой застройки заявителя ИП Бабаян М.Г., Ростовская область, Азовский район, х.Курган, пер.Кручиный, д.32 (ориентировочная протяженность ЛЭП – 0,035 км)</t>
  </si>
  <si>
    <t>Строительство ЛЭП 10 кВ от опоры № 2-92 по ВЛ 10 кВ 415 ПС 35 кВ КГ4, ТП 10/0,4 кВ, ЛЭП 0,4 кВ и установка системы учета электрической энергии (мощности) на границе земельного участка для электроснабжения нежилой застройки заявителя ИП Лиходедов В.Н., Ростовская область, р-н Кагальницкий, с. Иваново-Шамшево, ул. Ростовская д.2А к.н. 61:14:0030301:48 (ориентировочная протяженность ЛЭП– 0,085 км, ориентировочная трансформаторная мощность – 0,160 МВА)</t>
  </si>
  <si>
    <t>Строительство ЛЭП 10 кВ от опоры №8-103 по ВЛ 10 кВ №2608 ПС 110/10 кВ А-26, ТП 10/0,4 кВ, ЛЭП 0,4 кВ и установка системы учета электрической энергии (мощности) на границе земельного участка для электроснабжения нежилой застройки заявителя ИП Сиренко М.Г., с. Кулешовка, Азовский район, Ростовская область, к.н. 61:01:0090102:73 (ориентировочная протяженность ЛЭП– 0,100 км, ориентировочная трансформаторная мощность – 0,250 МВА)</t>
  </si>
  <si>
    <t>Строительство ЛЭП 10 кВ от опоры №86 по ВЛ 10 кВ №809 ПС 110/10 кВ БОС, ТП 10/0,4 кВ, ЛЭП 0,4 кВ и установка системы учета электрической энергии (мощности) на границе земельного участка для электроснабжения объекта сельскохозяйственного производства заявителя ИП Черников А.Ю., п.Суходольск, Азовский район, Ростовская область, к.н. 61:01:0600007:2770 (ориентировочная протяженность ЛЭП– 0,03 км, ориентировочная трансформаторная мощность – 0,250 МВА)</t>
  </si>
  <si>
    <t>Строительство ЛЭП 10 кВ от опоры №13-198 по ВЛ 10 кВ №3125 ПС 110/35/10 кВ А-31, ТП 10/0,4 кВ, ЛЭП 0,4 кВ и установка системы учета электрической энергии (мощности) на границе земельного участка для электроснабжения объекта сельскохозяйственного производства заявителя ИП Давыдов С.А., участок находящийся у северо-восточной границы с. Головатовка, Азовский район, Ростовская область, к.н. 61:01:0600012:1121(ориентировочная протяженность ЛЭП– 0,650 км, ориентировочная трансформаторная мощность – 0,250 МВА)</t>
  </si>
  <si>
    <t>Строительство КЛ 10 кВ от опоры №9-17 по ВЛ 10 кВ №107Н ПС 110/6/10 кВ НС-1, ТП 10/0,4 кВ, ВЛИ 0,4 кВ и установка системы учета электрической энергии (мощности) на границе земельного участка для электроснабжения хозяйственной постройки заявителя ИП Барсегян А.Г., ул. Кравченко, д. 8, п. Овощной, Азовский район, Ростовская область, к.н. 61:01:0130101:1490(ориентировочная протяженность КВЛ– 0,215 км, ориентировочная трансформаторная мощность – 0,250 МВА)</t>
  </si>
  <si>
    <t>Строительство ЛЭП 10 кВ от опоры №7-62 по ВЛ 10 кВ №3127 ПС 110/35/10 кВ А-31, ТП 10/0,4 кВ, ЛЭП 0,4 кВ и установка системы учета электрической энергии (мощности) на границе земельного участка для электроснабжения нежилой застройки (хозяйственная постройка) заявителя ИП Миронов В.В., с. Кагальник, Азовский район, Ростовская область (ориентировочная протяженность ЛЭП– 0,71 км, ориентировочная трансформаторная мощность – 0,250 МВА)</t>
  </si>
  <si>
    <t>Строительство ЛЭП 10 кВ от опоры №291 по ВЛ 10 кВ №102 ПС 110 кВ Звонкая, ТП 10/0,4 кВ, ЛЭП 0,4 кВ и установка системы учета электрической энергии (мощности) на границе земельного участка для электроснабжения нежилой застройки заявителя ИП Филатов М.Ю., Ростовская область, Кагальницкий р-н, х. Зеленая Роща, ул. Полтавская д.37 к.н. 61:14:0070205:81(ориентировочная протяженность ЛЭП– 0,11 км, ориентировочная трансформаторная мощность – 0,250 МВА)</t>
  </si>
  <si>
    <t>Строительство ЛЭП 10 кВ от опоры №139 по ВЛ 10 кВ №3129 ПС 110/35/10 кВ А-31, ТП 10/0,4 кВ, ЛЭП 0,4 кВ и установка системы учета электрической энергии (мощности) на границе земельного участка для электроснабжения объекта сельскохозяйственного производство заявителя ИП Глава крестьянского (фермерского) хозяйства Дорошенко Р.И., с. Пешково, Азовский район, Ростовская область, к.н. 61:01:0600012:941, к.н. 61:01:0600012:679 (ориентировочная протяженность ЛЭП– 0,125 км, ориентировочная трансформаторная мощность – 0,400 МВА)</t>
  </si>
  <si>
    <t>Строительство ЛЭП 10 кВ от опоры №143 по ВЛ 10 кВ №3129 ПС 110/35/10 кВ А-31, ТП 10/0,4 кВ, ЛЭП 0,4 кВ и установка системы учета электрической энергии (мощности) на границе земельного участка для электроснабжения объекта сельскохозяйственного производство заявителя ИП Глава крестьянского (фермерского) хозяйства Дорошенко Р.И., с. Пешково, Азовский район, Ростовская область, к.н. 61:01:0600012:862, к.н. 61:01:0600012:684 (ориентировочная протяженность ЛЭП– 0,270 км, ориентировочная трансформаторная мощность – 0,400 МВА)</t>
  </si>
  <si>
    <t>Строительство ЛЭП 10 кВ от опоры №34-61 по ВЛ 10 кВ №3127 ПС 110/35/10 кВ А-31, ТП 10/0,4 кВ, ЛЭП 0,4 кВ и установка системы учета электрической энергии (мощности) на границе земельного участка для электроснабжения объекта крытая стоянка заявителя Дорошенко И.И., ул. Морская, на юго-запад от участка с кадастровым номером 61:01:0140401:1026, с. Займо-Обрыв, Азовский район, Ростовская область, к.н. 61:01:0140401:3207 (ориентировочная протяженность ЛЭП– 0,050 км, ориентировочная трансформаторная мощность – 0,250 МВА)</t>
  </si>
  <si>
    <t>Строительство ЛЭП 10 кВ от опоры №113 по ВЛ 10 кВ №2608 ПС 110/10/10 кВ А-26, ТП 10/0,4 кВ, ЛЭП 0,4 кВ и установка системы учета электрической энергии (мощности) на границе земельного участка для электроснабжения объекта нежилого здания заявителя ООО «Транспуть», х. Новоалександровка, Азовский район, Ростовская область, к.н. 61:01:0600005:3718 (ориентировочная протяженность ЛЭП– 0,045 км, ориентировочная трансформаторная мощность – 0,25 МВА)</t>
  </si>
  <si>
    <t>Строительство ЛЭП 10 кВ от опоры № 3-17 по ВЛ 10 кВ №107Н ПС 110/10/6 кВ НС-1, ТП 10/0,4 кВ, ЛЭП 0,4 кВ и установка системы учета электрической энергии (мощности) на границе земельного участка для электроснабжения объекта торговли заявителя ИП Поповой Н.Е., Ростовская область, Азовский район, п.Овощной, ул.М.Горького, д. 19 а (ориентировочная протяженность ЛЭП– 0,025 км, ориентировочная трансформаторная мощность – 0,100 МВА)</t>
  </si>
  <si>
    <t>Строительство ЛЭП 10 кВ от опоры №1-36 по ВЛ 10 кВ №313 ПС 35 кВ КГ3, ТП 10/0,4 кВ, ЛЭП 0,4 кВ и установка системы учета электрической энергии (мощности) на границе земельного участка для электроснабжения производственного здания/помещения заявителя ИП Попова Ю.В., Ростовская область, Кагальницкий р-н, ст. Кировская, ул. Московская д.126 к.н. 61:14:0600019:3314 (ориентировочная протяженность ЛЭП– 0,02 км, ориентировочная трансформаторная мощность – 0,160 МВА)</t>
  </si>
  <si>
    <t>Строительство ЛЭП 10кВ от опоры №7-10 по ВЛ 10кВ №106Н ПС 110/10/6кВ НС-1, ТП 10/0,4кВ, ЛЭП 0,4кВ и установка системы учета электрической энергии (мощности) на границе земельного участка для электроснабжения нежилов застройки заявителя ИП Давришев П.С., ДНТ "Кулешовка" , Азовский район, ростовская область, к.н. 61:01:0600006:9680 (ориентировочная протяженность ЛЭП - 0,03км, ориентировочная трансформаторная мощность 0,25МВА)</t>
  </si>
  <si>
    <t>Строительство ЛЭП 10 кВ от опоры №32 ВЛ 10 кВ №2907 РП 29 ПС 35/10 кВ А-18, ТП 10/0,4 кВ, ЛЭП 0,4 кВ и установка системы учета электрической энергии (мощности) на границе земельного участка для электроснабжения объекта нежилой застройки заявителя ИП Бердутиной Е.С., х. Курган, Азовский район, Ростовская область, к.н. 61:01:0030701:1603 (ориентировочная протяженность ЛЭП– 0,61 км, ориентировочная трансформаторная мощность – 0,16 МВА)</t>
  </si>
  <si>
    <t>Строительство ЛЭП 10 кВ от опоры № 91 по ВЛ 10 кВ 313 ПС 35 кВ КГ3, ТП 10/0,4 кВ, ЛЭП 0,4 кВ и установка системы учета электрической энергии (мощности) на границе земельного участка для электроснабжения нежилой застройки заявителя ИП Шульженко А.В., Ростовская область, р-н Кагальницкий, ст. Кировская, ул. Московская д.93 к.н. 61:14:0600019:3395 (ориентировочная протяженность ЛЭП– 0,170 км, ориентировочная трансформаторная мощность – 0,250 МВА)</t>
  </si>
  <si>
    <t>Строительство ЛЭП 10 кВ от опоры № 41-113 по ВЛ 10 кВ 305 ПС 35 кВ КГ3, ТП 10/0,4 кВ, ЛЭП 0,4 кВ и установка системы учета электрической энергии (мощности) на границе земельного участка для электроснабжения навеса заявителя ИП Бенделиани А.С., Ростовская область, р-н Кагальницкий, к.н. 61:14:050152:0001 (ориентировочная протяженность ЛЭП– 0,22 км, ориентировочная трансформаторная мощность – 0,100 МВА)</t>
  </si>
  <si>
    <t>Строительство ЛЭП 10 кВ от опоры № 6-69 по ВЛ 10 кВ 413 ПС 35/10 кВ КГ4, ТП 10/0,4 кВ, ЛЭП 0,4 кВ и установка системы учета электрической энергии (мощности) на границе земельного участка для электроснабжения нежилого здания заявителя ИП Лопатиев И.Е., Ростовская область, р-н Кагальницкий, х. Середин, ул. Солнечная д.50, к.н. 61:14:0030901:317 (ориентировочная протяженность ЛЭП– 0,550 км, ориентировочная трансформаторная мощность – 0,250 МВА)</t>
  </si>
  <si>
    <t>Строительство ВЛ 0,4кВ от РУ 0.4 кВ КТП 10/0,4 кВ №178 по ВЛ 10 кВ №1011 ПС 110/35/10 кВ Самарская и установка коммерческого учета электрической энергии (мощности) на границе земельного участка для электроснабжения объекта нежилой застройки заявителя ИП Ищенко А.С., Азовский район, Ростовская область, к.н. 61:01:0600020:2377 (ориентировочная протяженность ЛЭП – 0,12 км)</t>
  </si>
  <si>
    <t>Строительство ЛЭП 10 кВ от опоры №6 по ВЛ-10 313 ПС 35 кВ КГ3, ТП 10/0,4 кВ, ЛЭП 0,4 кВ и установка системы учета электрической энергии (мощности) на границе земельного участка для электроснабжения объекта медицинского учреждения заявителя ГБУ РО «ЦРБ», Ростовская область, Кагальницкий р-н, ст. Кировская, ул. Больничная д.4, к.н. 61:14:0050145:601 (ориентировочная протяженность ЛЭП– 0,45 км, ориентировочная трансформаторная мощность – 0,160 МВА)</t>
  </si>
  <si>
    <t>Строительство ЛЭП 10 кВ от опоры №85 по ВЛ 10 кВ №3113 ПС 110/35/10 кВ А-31, ТП 10/0,4 кВ, ЛЭП 0,4 кВ и установка системы учета электрической энергии (мощности) на границе земельного участка для электроснабжения объекта сельскохозяйственного производства заявителя ИП Прокофьев М.А., с. Пешково, Азовский район, Ростовская область, к.н. 61:01:0600012:1382, к.н. 61:01:0600012:1383 (ориентировочная протяженность ЛЭП– 0,190 км, ориентировочная трансформаторная мощность – 0,400 МВА)</t>
  </si>
  <si>
    <t>Строительство ТП-10/0,4 кВ от опоры №5-128 ВЛ 10 кВ №1101 ПС 35/10кВ А-11, ВЛИ-0,4кВ от РУ 0,4 кВ проектируемой ТП 10/0,4 кВ по ВЛ 10 кВ №1101 ПС 35/10кВ А-11 и установка системы учета электрической энергии (мощности) на границе земельного участка для электроснабжения малоэтажной жилой застройки заявителя ИП Алавердова Т.Г., Ростовская область, Азовский район, с. Кагальник, ул. Мостовой спуск, д. 159а, к.н.: 61:01:0060101 (ориентировочная протяженность ЛЭП– 0,1 км, ориентировочная трансформаторная мощность – 0,250 МВА)</t>
  </si>
  <si>
    <t>Строительство ЛЭП 10 кВ от опоры №47 по ВЛ 10 кВ №1014 ПС 110/35/10 кВ «Самарская», ТП 10/0,4 кВ, ЛЭП 0,4 кВ и установка системы учета электрической энергии (мощности) на границе земельного участка для электроснабжения объекта производственного здания ООО «ПСБПЛИТКА», ул. К.Маркса, д. 142, с. Самарское, Азовский район, Ростовская область, к.н. 61:01:0170102:256 (ориентировочная протяженность ЛЭП– 0,03 км, ориентировочная трансформаторная мощность – 0,250 МВА)</t>
  </si>
  <si>
    <t>Строительство ЛЭП 10 кВ от опоры №1-106 (на балансе ИП Барсегян В.А.)  по ВЛ 10 кВ №1913 РП-19 ПС 110/35/10 кВ Самарская, ТП 10/0,4 кВ, ЛЭП 0,4 кВ и установка системы учета электрической энергии (мощности) на границе земельного участка для электроснабжения нежилого здания заявителя ИП Барсегян В.А., Азовский район, Ростовская область, к.н. 61:01:0600020:3482 (ориентировочная протяженность ЛЭП– 0,11 км, ориентировочная трансформаторная мощность – 0,25 МВА)</t>
  </si>
  <si>
    <t>Строительство ЛЭП 10 кВ от опоры № 121 по ВЛ 10 кВ 313 ПС 35/10 кВ КГ3, ТП 10/0,4 кВ, ЛЭП 0,4 кВ и установка системы учета электрической энергии (мощности) на границе земельного участка для электроснабжения объекта общественного питания заявителя ИП Чапидзе Т.Д., Ростовская область, р-н Кагальницкий, ст. Кировская, 25 км Ростов-Ставрополь, к.н. 61:14:0050151:1 (ориентировочная протяженность ЛЭП– 0,22 км, ориентировочная трансформаторная мощность – 0,160 МВА)</t>
  </si>
  <si>
    <t>Строительство ЛЭП-0,4 кВ от РУ-0,4 кВ ТП 10/0,4кВ №218 по ВЛ 10кВ №3125 ПС 110/35/10 кВ А-31 и установка коммерческого учета электрической энергии (мощности) на границе земельного участка для электроснабжения объекта нежилого помещения заявителя Мироненко А.М., с. Пешково, Азовский район, Ростовская область, к.н. 61:01:0140101:8908 (ориентировочная протяженность ЛЭП – 0,07 км)</t>
  </si>
  <si>
    <t>Строительство ЛЭП 10 кВ от опоры №197 ВЛ 10 кВ №716 ПС 110 кВ Юбилейная, ТП 10/0,4 кВ, ЛЭП 0,4 кВ и установка системы учета электрической энергии (мощности) на границе земельного участка для электроснабжения объекта крестьянского (фермерского) хозяйства заявителя ИП Бакулина А.В., Ростовская обл., Кагальницкий р-н, п. Воронцовка, ул. 40 лет Победы д.19-Б к.н. 61:14:0600018:582 (ориентировочная протяженность ЛЭП – 0,02 км, ориентировочная трансформаторная мощность – 0,160 МВА)</t>
  </si>
  <si>
    <t>Строительство ЛЭП 0,4 кВ от РУ 0,4 кВ КТП 10/0,4 кВ №12 ВЛ-10 кВ №3125 ПС 110/35/10 кВ А-31 и установка коммерческого учета электрической энергии (мощности) на границе земельного участка для электроснабжения дошкольной образовательной организации заявителя УКС и ЖКХ Администрации Азовского района, с. Головатовка, Азовский р-н, Ростовская обл., юго-восточнее земельного участка с к.н. 61:01:0140301:499, к.н. 61:01:0600012:1040 (ориентировочная протяженность ЛЭП – 0,13 км)</t>
  </si>
  <si>
    <t>Строительство ВЛ 0,4 кВ от РУ-0,4 кВ ТП 10/0,4 кВ №50 ВЛ 10 кВ 211 ПС 35/10 кВ А-2 и установка коммерческого учета электрической энергии (мощности) на границе земельного участка для электроснабжения объекта складское здание/помещение заявителя ИП Стеничев Н.В., х. Новоалександровка, Азовский район, Ростовская область, к.н. 61:01:0110101:921 (ориентировочная протяженность ЛЭП – 0,03 км)</t>
  </si>
  <si>
    <t>Строительство ЛЭП 10 кВ от опоры №23-96 по ВЛ 10 кВ №2608 ПС 110/10-10 кВ А-26, ТП 10/0,4 кВ, и установка системы учета электрической энергии (мощности) на границе земельного участка для электроснабжения морозильной камеры глубокой заморозки заявителя ИП Наливайченко Д.А., ул. Ленина, д. 324 ж, с. Кулешовка, Азовский район, Ростовская область, к.н. 61:01:0090101:3560 (ориентировочная протяженность ЛЭП– 0,015 км, ориентировочная трансформаторная мощность – 0,250 МВА)</t>
  </si>
  <si>
    <t>Строительство участка ВЛИ-0,4 кВ от опоры №9 ВЛ 0,4 кВ №4 КТП 1430 ВЛ 10 кВ №17 ПС 110 кВ Цимлянская и установка прибора коммерческого учета электрической энергии (мощности) в точке поставки, с монтажом ответвления от ВЛИ к вводу и шкафа 0,4 кВ, для присоединения объекта общественного питания ИП Аракелян Т.А., расположенного по адресу: Ростовская область, Цимлянский район, г. Цимлянск, ул. Победы, д. 112-114, к.н.з.у.: 61:48:0010506:131 (ориентировочная протяженность ЛЭП 0,07 км)</t>
  </si>
  <si>
    <t>Строительство участка ВЛ-6 кВ от опоры №6/54 ВЛ 6 кВ №14 ПС 35 кВ Романовская, с установкой ТП-6/0,4 кВ, строительство ВЛИ-0,4 кВ от РУ-0,4 кВ вновь установленной ТП-6/0,4 кВ и установка прибора коммерческого учета электрической энергии (мощности) в точке поставки для присоединения базы отдыха ИП Бражкиной Е.А., расположенной по адресу: Ростовская область, г. Волгодонск, у. Отдыха, к.н.з.у.: 61:48:0020101:1577 (ориентировочная протяженность ЛЭП 0,025 км, ориентировочная мощность трансформатора 0,1 МВА)</t>
  </si>
  <si>
    <t>Установка шкафа коммерческого учета электрической энергии (мощности) в точке поставки и монтаж спуска от проводов ВЛ до шкафа коммерческого учета электрической энергии(мощности) для присоединения объекта крестьянского (фермерского) хозяйства ИП главы К(Ф)Х Бакаева С.С., расположенного по адресу: Ростовская область, Зимовниковский район, х. Новолодин, вблизи ул. Речная, К.Н.З.у.: 61:13:0000000:9236</t>
  </si>
  <si>
    <t>Установка шкафа коммерческого учета электрической энергии (мощности) в точке поставки и монтаж спуска от проводов ВЛ до шкафа коммерческого учета электрической энергии (мощности) для присоединения свинарника-маточника ИП главы К(Ф)Х Квасовой С.А., расположенного по адресу: Ростовская область, Константиновский район, в 170 м юго-западнее х. Хрящевский, к.н.з.у.: 61:17:0600010:3725</t>
  </si>
  <si>
    <t>Установка прибора учета для технологического присоединения автомобильного пункта пропуска Волошино, Заявителя, ФГКУ «Дирекция по строительству и эксплуатации объектов Росграницы», расположенного по адресу: Ростовская область, Миллеровский район, сл. Волошино к.н.з.у. 61:22:0600017:601 (1 шт.)</t>
  </si>
  <si>
    <t>Установка прибора учета для технологического присоединения нежилого здания заявителя ИП Никифорова А.Е., расположенного по адресу: Ростовская область, Миллеровский район, х. Грай-Воронец, ул. Ракетная, д. 34, (1шт.)</t>
  </si>
  <si>
    <t>Установка прибора коммерческого учёта электрической энергии, для присоединения складского помещения ИП Даниловой Н.И., расположенного по адресу: Ростовская область, Каменский район, х. Старая Станица, ул. Железнодорожная, дом № 11, к.н.з.у. 61:15:0130101:160(прибор учёта электроэнергии - 1шт.)</t>
  </si>
  <si>
    <t>Строительство участка ВЛ-10 кВ от опоры № 16 отпайки Л-242, ВЛ-10 кВ № 1, ПС110/35/10/6 кВ «К-4», ТП 10/0,4 кВ и участка ВЛ-0,4 кВ от РУ-0,4 кВ новой ТП 10/0,4 кВ, для подключения ООО «Кварц», расположенного по адресу: Ростовская обл., Каменский р-н, х. Астахов, в 0,3 км к западу от окраины х. Астахов, к.н.з.у. 61:15:0600701:935 (ориентировочная протяженность ЛЭП – 0,165 км, трансформаторная мощность – 0,160 МВА, прибор учёта электроэнергии - 1 шт.)</t>
  </si>
  <si>
    <t>Строительство участка ЛЭП-0,4 кВ от опоры №1 ВЛ-0,4кВ №3 КТП № 153 ВЛ-10 кВ № 3, ПС 35/10 кВ «Каменская СХТ» для подключения объекта туристической отрасли Донскова С.И., расположенного по адресу: Ростовская область, Каменский р-н, Старостаничное сп., х. Лесной, ул. Лермонтова д.17В, к.н.з.у. 61:157:0130501:2304 (ориентировочная протяженность ЛЭП – 0,124 км, прибор учёта   электроэнергии - 1шт.)</t>
  </si>
  <si>
    <t>Строительство участка ВЛ-10 кВ от опоры № 9 Л-24, ВЛ-10 кВ № 6, ПС 35/10 кВ «Вишневецкая», ТП 10/0,4 кВ и участка ВЛ-0,4 кВ от РУ-0,4 кВ новой ТП 10/0,4 кВ, для электроснабжения туристического комплекса ИП Рудакова Д.В., расположенного по адресу: Ростовская обл., Каменский р-н, 600 м к югу от х. Филипенков на берегу р. Северский Донец примыкает к ЗУ с КН 61:15:0602101:1441, КН ЗУ 61:15:0602101:2553 (ориентировочная протяженность ЛЭП – 1,500 км, ориентировочная мощность ТП – 0,16 МВА)</t>
  </si>
  <si>
    <t>Строительство участка ВЛ-0,4 кВ от РУ 0,4 кВ новой ТП 10/0,4 кВ, строительство ТП 10/0,4 кВ, строительство участка ВЛ 10 кВ от опоры № 17, Л-205 ВЛ-10 кВ №3, ПС 35/10 кВ «Каменская СХТ», для подключения строящегося склада ИП Рудакова Д.В., расположенного по адресу: Ростовская обл., Каменский р-н, Старостаничное сельское поселение, АКХ «Колос», пастбище р. уч. № 12,КН 61:15:0602101:2613 (ориентировочная протяженность ЛЭП–1,150 км, ориентировочная мощность – 0,160 МВА)</t>
  </si>
  <si>
    <t>Строительство участка ВЛ-10 кВ от опоры № 50, ВЛ-10 кВ № 1, ПС 35/10 кВ «Глубокинская», ТП 10/0,4 кВ и участка ВЛ-0,4 кВ от РУ-0,4 кВ новой ТП 10/0,4 кВ, для подключения АЗС № 61322 ООО «ЛУКОЙЛ - Югнефтепродукт», расположенной по адресу: Ростовская обл., Каменский р-н, р.п. Глубокий, 907 км автомагистрали М-4 «Дон», в 30 м от дорожного полотна справа по ходу километража, к.н.з.у. 61:15:0010111:75 (ориентировочная протяженность ЛЭП – 0,063 км, трансформаторная мощность – 0,160 МВА, прибор учёта электроэнергии - 1 шт.)</t>
  </si>
  <si>
    <t>Установка прибора коммерческого учета электрической энергии, для присоединения объектов ООО «БСК», расположенных по адресу: Ростовская область, Каменский р-н, х. Акатновка, к.н.з.у. 61:15:0602001:507 и 61:15:0602001:599 (прибор учета электрической энергии - 1 шт.)</t>
  </si>
  <si>
    <t>Строительство участка ВЛ-10 кВ от ВЛ-10 кВ № 6 ПС 110/35/10 кВ  «Обливская-1», ТП 10/0,4 кВ и участка ВЛ-0,4 кВ от  РУ-0,4 кВ новой ТП 10/0,4 кВ, для подключения нежилой застройки  ИП Чехонина И.М., расположенной по адресу: Ростовская обл., Обливский р-н,   станица  Обливская,  ул.  Калиманова,  д.  21 В,  КНЗУ 61:27:0070147:614 (ориентировочная       протяженность   ЛЭП  –  0,017  км,  трансформаторная мощность – 0,160 МВА, прибор учёта электроэнергии - 1шт)</t>
  </si>
  <si>
    <t>Строительство участка ВЛ-10 кВ от опоры № 73, ВЛ-10 кВ № 4, ПС 35/10 кВ «Каменская СХТ», ТП 10/0,4 кВ и участка ВЛ-0,4 кВ от РУ-0,4 кВ  новой ТП 10/0,4 кВ, для подключения жилого дома Богдановой О.Ю., расположенного по адресу: Ростовская обл., Каменский р-н, х. Диченский, ул. Степная, д. № 35 А, к.н.з.у. 61:15:0602101:2602 (ориентировочная протяженность ЛЭП – 0,028 км, трансформаторная мощность – 0,160 МВА, прибор учёта электроэнергии - 1шт.)</t>
  </si>
  <si>
    <t>Строительство участка ВЛ-10 кВ от опоры № 1 Л-99, ВЛ-10 кВ № 1, ПС 35/10 кВ «Глубокинская», ТП 10/0,4 кВ и участка ВЛ-0,4 кВ от  РУ-0,4 кВ новой ТП 10/0,4 кВ для подключения придорожного сервиса Панфиловой А.И., расположенного по адресу: Ростовская обл., Каменский р-н, р.п. Глубокий, примыкает к з.у. с к.н. 61:15:0010111:70, к.н.з.у. 61:15:0010111:78 (ориентировочная протяженность ЛЭП – 0,137 км, трансформаторная мощность – 0,160 МВА, прибор учёта электроэнергии - 1шт.)</t>
  </si>
  <si>
    <t>Установка прибора коммерческого учета электрической энергии, для присоединения физкультурно-оздоровительных сооружений ИП Новойдарского С.М., расположенного по адресу: Ростовская область, Каменский район, х. Абрамовка, ул. Ленина, 27 Г, КН 61:15:0000000:6247 (прибор учета электроэнергии - 1 шт.)</t>
  </si>
  <si>
    <t>Установка прибора коммерческого учета электрической энергии, для присоединения «объект сельскохозяйственного производства» ООО «Союз», расположенного по адресу: Российская Федерация, Ростовская обл., р-н. Каменский, Волченское с.п. АКХ «Победа» КН 61:15:0602301:1549 (прибор учета электроэнергии - 1 шт.)</t>
  </si>
  <si>
    <t>Установка прибора коммерческого учета электрической энергии, для присоединения «объект сельскохозяйственного производства» ООО «Союз», расположенного по адресу: Российская Федерация, Ростовская обл., р-н. Каменский, х. Волченский, ул. Молодежная, 68, КН 61:15:0602301:1561 (прибор учета электроэнергии - 1 шт.)</t>
  </si>
  <si>
    <t>Строительство участка ВЛ-10 кВ от отпайки Л-252, ВЛ-10 кВ № 6, ПС35/10 кВ «Селивановская», ТП 10/0,4 кВ и участка ВЛ-0,4 кВ от РУ-0,4 кВ новой ТП 10/0,4 кВ, для подключения ООО «РЗК «Ресурс», расположенного по адресу: Ростовская обл., Милютинский р-н, х. Севостьянов, участок находится примерно в 500 м по направлению на север от ориентира х. Севостьянов, К.Н.З.У.: 61:23:0600004:393 (ориентировочная протяженность ЛЭП – 0,105 км, трансформаторная мощность – 0,160 МВА, прибор учёта электроэнергии - 1 шт.)</t>
  </si>
  <si>
    <t>Строительство участка ВЛ-10 кВ от опоры № 20, ВЛ-10 № 3 , ПС 35/10 кВ «Каменская СХТ», ТП 10/0,4 кВ и участка ВЛ-0,4 кВ от РУ-0,4 кВ новой ТП 10/0,4 кВ, для подключения объекта туристической отрасли Донскова С.И., расположенного по адресу: Ростовская обл., Каменский р-н, х Лесной, ул. Лермонтова, д. 17 Б, к.н.з.у. 61:15:0130501:1631 (ориентировочная протяженность ЛЭП – 0,056 км, трансформаторная мощность – 0,160 МВА, прибор учёта электроэнергии - 1 шт.)</t>
  </si>
  <si>
    <t>Установка прибора коммерческого учёта электрической энергии, для присоединения кафе ООО «Топ фудс лтд», расположенного по адресу: Ростовская область, Тарасовский р-н, Дячкинское сельское поселение, 2,3 км на северо-восток от сл. Дячкино, к.н. 61:37:0600012:1899 (прибор учёта электроэнергии - 1шт)</t>
  </si>
  <si>
    <t>«Строительство ВЛ 10 кВ от опоры 7-02/42 по ВЛ 10 кВ Л-7 Львовская, строительство КТП 10/0,4 кВ, ВЛ 0,4 кВ и установка системы учета электрической энергии (мощности) на границе земельного участка для электроснабжения объекта – «объект крестьянского (фермерского) хозяйства», расположенного по адресу: Российская Федерация, Ростовская обл., р-н. Орловский, х. Николаевский, ул. Степная, д.4,  кадастровый номер земельного участка: 61:29:0080301:28, заявитель Зубайриев А.А.» (Ориентировочная протяженность ЛЭП – 0,51 км, ориентировочная мощность ТП – 0,16 МВА)</t>
  </si>
  <si>
    <t xml:space="preserve">Строительство ТП 10/0,4 кВ, ВЛ 0,4 кВ, ВЛ 10 кВ от ВЛ 10 кВ №155 ПС 110 кВ В1 для электроснабжения нежилой застройки (хозяйственная посторойка, нежилое здание) ООО «Оргтехника-ВР»  на участке с КН 61:12:0600301:113, расположенной по адресу: РО, Зерноградский район, х. Заполосный в 5,3 км на северо-запад от северной его окраины  </t>
  </si>
  <si>
    <t>Строительство ТП 10/0,4 кВ, ВЛ 0,4 кВ, ВЛ 10 кВ по ВЛ 10 кВ №402 ПС 35 кВ В4 для электроснабжения нежилой застройки ООО «Оргтехника-ВР» на участке с КН 61:12:0600301:401 в Зерноградском районе Ростовской области, ориентир х. Запалосный от северной окраины, участок находится примерно в 8,531 км от ориентира по направлению на северо-запад (ориентировочная мощность трансформатора 0,1 МВА, ориентировочная протяжённость ЛЭП 1,915 км)</t>
  </si>
  <si>
    <t xml:space="preserve">Строительство ВЛ 0,4 кВ, ТП 10/0,4 кВ, ВЛ 10 кВ по ВЛ 10 кВ №1208 ПС 110/10 кВ АС-12 для электроснабжения складского здания/помещения ИП Гуляева по адресу: РО, Аксайскпй район, Щепкинское сельское поселение, п. Октябрьский, ул. Рубежная, з/у 12, КН земельного участка: 61:02:0600004:3081. </t>
  </si>
  <si>
    <t xml:space="preserve">Строительство ТП 10/0,4 кВ, ВЛ 0,4 кВ, ВЛ 10 кВ от ВЛ 10 кВ №910 ПС 35 кВ В9 для электроснабжения объекта сельскохозяйственного производства ООО «ЮгАгроХолдинг» на участке с КН 61:06:0600014:186, расположенного по адресу: РО, Веселовский район, местоположение установлено относительно ориентира, расположенного за пределами участка, ориентир х. Красный Маныч </t>
  </si>
  <si>
    <t>Строительство ТП 10/0,4 кВ, ВЛ 0,4 кВ, ВЛ 10 кВ от ВЛ 10 кВ №1208 ПС 110 кВ АС12 для электроснабжения нежилой застройки ООО «ВторМетТрейд» на участке с КН 61:02:0600004:3324 в п. Октябрьский Аксайского района Ростовской области (ориентировочная мощность трансформатора 0,16 МВА, ориентировочная протяженность ЛЭП 0,04 км)</t>
  </si>
  <si>
    <t>Строительство ТП 10/0,4 кВ, ВЛ 0,4 кВ, ВЛ 10 кВ от ВЛ 10 кВ №3 ПС 35 кВ Б. Салы для электроснабжения складского здания/помещения ИП Алоян Н. А. на участке с КН 61:02:0600005:0471 в п. Щепкин Аксайского района Ростовской области (ориентировочная мощность трансформатора 0,16 МВА, ориентировочная протяжённость ЛЭП 1,33 км)</t>
  </si>
  <si>
    <t>Установка прибора учета для присоединения передвижного объекта ООО «Мастер», расположенного по адресу: РО, р-н Аксайский, КН 61:02:0600009:2282 (1 шт.)</t>
  </si>
  <si>
    <t>Установка прибора учета для присоединения складского помещения Усачева К. Б., расположенного по адресу: РО, р-н Аксайский, ст-ца Мишкинская, ул. Декабристов, 14, КН 61:02:0070202:627 (1 шт.)</t>
  </si>
  <si>
    <t>Установка прибора учета для присоединения ЛЭП-0,4 кВ малоэтажной жилой застройки, расположенной по адресу: РО., Азовский р-н, п. Красный Сад, ул. Крылова, д. 8, КН: 61:01:0130201:87, (1шт.)</t>
  </si>
  <si>
    <t>Учет электрической энергии в РУ 0,4 кВ ТП 10/0,4 №106 и ТП 10/0,4 кВ №107 по КЛ 10 кВ №28-64 и КЛ 28-61 от ПС 110 кВ Р28 в целях электроснабжения нежилого здания Ревякиной И.В.., расположенной по адресу: г. Ростов-на-Дону, пер. 2-й Поселковый, д.25/225 (2шт)</t>
  </si>
  <si>
    <t>Установка узла учета для присоединения в РУ 0,4 кВ ТП 10/0,4 кВ ВЛ 10 кВ №414 ПС 220 кВ Р4 заявителя ИП Федоровой А.В., расположенной по адресу: Ростовская обл., р-н Аксайский, кадастровый номер земельного участка:61:02:0600010:24056 (1 шт.)</t>
  </si>
  <si>
    <t>Установка прибора учета в РУ 0,4 кВ КТП-10/0,4 кВ ВЛ 10 кВ №3 ПС 35 кВ Б. Салы заявителя ИП Чехомовой О. В., расположенной по адресу: Ростовская обл., р-н. Аксайский, п. Темерницкий, ул. Степная, 50, кадастровый номер земельного участка: 61:02:0081101:0283 (1 шт.)</t>
  </si>
  <si>
    <t>Установка узла учета для присоединения в РУ 0,4 кВ ТП 10/0,4 кВ ВЛ 10 кВ №414 ПС 220 кВ Р4 производственного здания/помещения, заявителя ИП Меликян Э.А., расположенного по адресу: РО, р-н Аксайский, КН:61:02:0600010:24057 (1шт.)</t>
  </si>
  <si>
    <t>Установка узла учета для присоединения в шкафу 0,4 кВ от опоры №3 ВЛ 0,4 кВ №4 ТП 10/0,4 кВ №464 ВЛ 10 кВ №1101 ПС 110/35/10 кВ АС-11 нежилой застройки, заявителя ООО «ДонЛитМаш», расположенной по адресу: РО, р-н Аксайский, ст-ца Мишкинска, КН:61:02:0070202:2324 (1шт.)</t>
  </si>
  <si>
    <t>Установка узлов учета для присоединения в РУ 0,4 кВ ТП 10/0,4 кВ, ВЛ 10 кВ №3 ПС 35/10 кВ Б. Салы трубного завода, заявителя ИП Цесарского И.В., расположенного по адресу: Ростовская обл., р-н Аксайский, АО «Темерницкое», поле №26, КН: 61:02:0600005:13157, 61:02:0600005:9513, 61:02:0600005:13158, (3шт.)</t>
  </si>
  <si>
    <t>Установка узла учета для присоединения в РУ 0,4 кВ ТП 10/0,4 кВ ВЛ 0,4 кВ №1 ТП 10/0,4 кВ №145 ВЛ 10 кВ №15-13 ПС 110/10-10 кВ AC-15 объекта общественного питания заявителя ООО “Янтарь”, расположенного по адресу: Ростовская обл., р-н Аксайский, п. Водопадный, ул. Совхозная, д. 1а, КН: 61:02:0010804:434, (1шт.)</t>
  </si>
  <si>
    <t>Установка прибора учета для присоединения РУ-0,4 кВ для электроснабжения земельного участка заявителя Мардаровского Александра Николаевича, расположенного по адресу: Ростовская обл., Веселовский р-н, п. Веселый, ул. Октябрьская, д. 224, к.н. 61:06:0600012:81</t>
  </si>
  <si>
    <t>Установка узла учета для присоединения в РУ 0,4 кВ ТП 10/0,4 кВ ВЛ 6 кВ №806 ПС 35/6 кВ АС-8 нежилой застройки заявителя ИП Бибиков А.Н., расположенной по адресу: Ростовская обл., р-н Аксайский, п. Реконструктор, ул. Отраслевая, КН:61:02:0600011:2919, (1шт.)</t>
  </si>
  <si>
    <t xml:space="preserve">Строительство КЛ 0,4 кВ от РУ 0,4 кВ ТП №250 по КЛ 10 кВ № 15-15 и №15-23 ПС 110кВ AC 15 для электроснабжения ВРУ-0,4 кВ «МБУ Спортивная школа №13», по адресу: РО, г. Ростов-на-дону, ул. Зеленая, рядом с домом №22, КН: 61:44:0022207:6 </t>
  </si>
  <si>
    <t>Установка прибора учета  для присоединения складов минеральных удобрений АО «А1 АГРОХИМ», расположенных по адресу: Ростовская область, Усть-Донецкий район, р.п. Усть-Донецкий, ул. Вокзальная, д. 1, к.н.з.у.: 61:39:0010110:37 (1шт.)</t>
  </si>
  <si>
    <t>Установка прибора учета для присоединения детского оздоровительного лагеря ИП Цыбрий А.В., расположенного по адресу: Ростовская область,  Усть-Донецкий район, х. Пухляковский, ул. Центральная, д. 164, КН ЗУ 61:39:0600012:13 (1шт.)</t>
  </si>
  <si>
    <t xml:space="preserve">Обеспечение коммерческим учетом электрической энергии (мощности) в точке поставки по присоединению объектов заявителей. Ростовская область, Октябрьский район, ст. Кривянская, ул. Матвеевка д. 8; ул. Большая д.170 (Максимова Т.Н.; Сысоенко Н.П.) (2 шт.)
</t>
  </si>
  <si>
    <t>Строительство ВЛ-0,4 кВ от опоры №19 ВЛ-0,4 кВ №2 ТП-10/0,4 кВ №50 по ВЛ-10 кВ №6 ПС 110/35/10 кВ «Кашарская», обеспечение коммерческим учетом электрической энергии (мощности) в точке поставки и установка шкафа 0,4 с коммутационными аппаратами, для технологического присоединения сельскохозяйственного производства заявителя, ИП Решетько В.А., расположенное Ростовская область, Кашарский р-н, с. Лысогорка (к.н. 61:16:0600010:347) (ориентировочная протяженность ЛЭП – 0,077 км)</t>
  </si>
  <si>
    <t>Строительство ВЛ-10 кВ от опоры №72/166 по ВЛ-10 кВ №3  ПС 35/10 кВ "Мальчевская" с установкой КТП и строительством ВЛ-0,4 кВ обеспечение коммерческим учетом электрической энергии (мощности) в точке поставки и установка шкафа 0,4 кВ с коммутационным аппаратом, для технологического присоединения гостиници  заявителя, ИП Позигун И.Н., расположенного в  Ростовская область, Миллеровский  р-н,  (61:22:0600008:1226) (ориентировочная протяженность ЛЭП-0,18 км, ориентировочная мощность ТП- 0,160 МВА)</t>
  </si>
  <si>
    <t>Строительство ВЛ-10 кВ от опоры № 187 по ВЛ-10 кВ № 6 ПС 110/35/10 кВ «Сохрановская» с установкой КТП и строительством ВЛ-0,4 кВ», для технологического присоединения станции техобслуживания заявителя,  ИП Мухамедова И.М., расположенной в Ростовской области, Чертковский р-н, х. Нагибин,  (61:42:0600003:669) (ориентировочная   протяженность ЛЭП – 1,88 км, ориентировочная мощность ТП – 0,250 МВА)</t>
  </si>
  <si>
    <t>Строительство ВЛ-10кВ от опоры № 203 по ВЛ-10кВ № 4 ПС 110/35/10 кВ "Ал. Лозовская" с установкой КТП и строительством ВЛ-0,4кВ", для технологического присоединения базовой станции №61-02514 ПАО Мобильные ТелеСистемы, расположенной в Ростовской области, Чертковский р-н, х. Ястребиновский, (61:42:06000018) (ориентировочная протяженность ЛЭП 2,31км, ориентировочная мощность ТП 0,025МВА)</t>
  </si>
  <si>
    <t>Строительство КТПН 10/0,4 кВ, ВЛ 0,4 кВ, ВЛ 10 кВ от ВЛ 10 кВ №3 ПС 35 кВ Б. Салы для электроснабжения ВРУ 0,4 кВ жилого дома Бабаева Л. И. на участке с КН 61:02:0600005:10787 в п. Темерницкий Аксайского района Ростовской области (ориентировочная мощность трансформатора 0,025 МВА, ориентировочная протяжённость ЛЭП 0,06 км)</t>
  </si>
  <si>
    <t xml:space="preserve">Строительство КТПН 10/0,4 кВ, ВЛ 0,4 кВ, ВЛ 10 кВ от опоры №76 ВЛ 10 № 1109 ПС 110/35/10 кВ АС 11 для электроснабжения ВРУ 0,4 кВ нежилого здания ИП Степанян А.Н. на участке с КН 61:02:0600002:2748 в ст-це Грушевская Аксайского района Ростовской области </t>
  </si>
  <si>
    <t>65</t>
  </si>
  <si>
    <t>Строительство КВЛ 0,4 кВ ТП 6/0,4 кВ №4 КЛ 6 кВ № 4107 ПС 110 кВ Р41 для электроснабжения АО «Русские Башни» (ориентировочная протяжённость ЛЭП 0,207 км)</t>
  </si>
  <si>
    <t>Строительство ВЛ-10 кВ от оп. 10 кВ №17 по ВЛ-10кВ №1802 ПС 35/10 кВ «А-18», ТП-10/0,4 кВ, ВЛ-0,4 кВ и системы учета электрической энергии (мощности) на границе земельного участка для электроснабжения жилого дома заявителя Родионова Д.Н., х. Дугино, Азовский район Ростовская область (ориентировочная протяженность ЛЭП– 0,340 км, ориентировочная трансформаторная мощность – 0,025 МВА)</t>
  </si>
  <si>
    <t>Строительство ВЛ 6 кВ от опоры № 15 по ВЛ 6кВ №10701 ПС 110/35/6 кВ А-1, ТП 6/0,4 кВ, ВЛИ 0,4 кВ и установка системы учета электрической энергии (мощности) на границе земельных участков для электроснабжения 4-х жилых домов заявителя Кудлай В.Н., г. Азов, Ростовская область (ориентировочная протяженность ЛЭП– 0,470 км, ориентировочная трансформаторная мощность – 0,040 МВА)</t>
  </si>
  <si>
    <t>Строительство ТП 10/0,4 кВ, ВЛ 0,4 кВ, ВЛ 10 кВ от ВЛ 10 кВ №1212 ПС 110 кВ АС12 для электроснабжения магазина ИП Сучкова Ф. А. на участке с КН 61:02:00800104:110 в п. Октябрьский Аксайского района Ростовской области (ориентировочная мощность трансформатора 0,16 МВА, ориентировочная протяжённость ЛЭП 0,075 км)</t>
  </si>
  <si>
    <t>Строительство ТП 6/0,4 кВ, ВЛ 0,4 кВ, ВЛ 6 кВ от ВЛ 6 кВ №806 ПС 35 кВ АС8 для электроснабжения нежилого здания ООО “Кондитерская фабрика” Московский десертъ” на участке с КН 61:02:0600011:1336 в Аксайском районе Ростовской области (ориентировочная мощность трансформатора 0,250 МВА, ориентировочная протяжённость ЛЭП 0,030 км)</t>
  </si>
  <si>
    <t xml:space="preserve">Строительство КТПН 10/0,4 кВ, ВЛ 10 кВ, ВЛ 0,4 кВ от ВЛ 10 кВ №1103 ПС 110 кВ АС11 для электроснабжения ВРУ 0,4 кВ жилых домов в ст-це Мишкинская Аксайского района Ростовской области (ориентировочная мощность трансформатора 0,630 МВА, ориентировочная протяжённость ЛЭП 2,115 км)
</t>
  </si>
  <si>
    <t>Строительство ВЛ 0,4 кВ от проектируемой ВЛ 0,4 кВ проектируемой КТПН 10/0,4 кВ (по договору №61-1-19-00465385 от 01.10.2019 г.) ВЛ 10 кВ №403 ПС 110 кВ АС4 для электроснабжения ВРУ 0,4 кВ жилого дома Васильева В. А. на участке с КН 61:02:0600021:1871 в х. Истомино Аксайского района Ростовской области</t>
  </si>
  <si>
    <t>Строительство ТП 10/0,4 кВ, ЛЭП 0,4 кВ, ЛЭП 10 кВ от ВЛ 10 кВ №406 ПС 110 кВ АС4 для электроснабжения нежилых застроек и складских зданий/помещений ИП Гулуа Р. З. в пос. АО «Родина» Аксайского района Ростовской области (ориентировочная мощность трансформатора 1,0 МВА, ориентировочная протяженность ЛЭП 1,8 км)</t>
  </si>
  <si>
    <t>Строительство КТП 10/0,4 кВ, ВЛ 0,4 кВ, ВЛ 10 кВ от ВЛ 10 кВ №111 ПС 110 кВ АС1 для электроснабжения нежилой застройки ООО «Формула» на участке с КН 61:02:0050101:2710 в п. Дорожный Аксайского района Ростовской области (ориентировочная мощность трансформатора 0,25 МВА, ориентировочная протяжённость ЛЭП 0,06 км)</t>
  </si>
  <si>
    <t>Строительство ТП 10/0,4 кВ, ВЛ 0,4 кВ, ВЛ 10 кВ от ВЛ 10 кВ №403 ПС 110 кВ АС4 для электроснабжения нежилого здания Хачатурян Е. М. на участке с КН 61:02:0060101:3844 в х. Ленина Аксайского района Ростовской области (ориентировочная мощность трансформатора 0,250 МВА, ориентировочная протяжённость ЛЭП 0,060 км)</t>
  </si>
  <si>
    <t xml:space="preserve">Строительство ТП 10/0,4 кВ, ВЛ 0,4 кВ, ВЛ 10 кВ от ВЛ 10 кВ №103 ПС 110 кВ АС1 для электроснабжения нежилой застройки (хозяйственная постройка, нежилое здание) ООО «Аксайское сельскохозяйственное предприятие» на участке с КН 61:02:0600021:1634 в х. Островского Аксайского района Ростовской области </t>
  </si>
  <si>
    <t>Строительство ТП 10/0,4 кВ, ВЛ 0,4 кВ, ВЛ 10 кВ от ВЛ 10 кВ №105 ПС 110 кВ АС1 для электроснабжения газонаполнительной станции ООО “ДонАвтономГаз” на участке с КН 61:02:0600015:4738 в Аксайском районе Ростовской области (ориентировочная мощность трансформатора 0,250 МВА, ориентировочная протяжённость ЛЭП 0,322 км)</t>
  </si>
  <si>
    <t>Строительство ВЛ 0,4 кВ от РУ 0,4 кВ КТП №239 ВЛ 10 кВ №3 ПС 35 кВ Б. Салы для электроснабжения индивидуальных жилых домов блокированной застройки ООО “Строительная компания Экодом” на участке с КН 61:02:0600005:9378 в Аксайском районе Ростовской области</t>
  </si>
  <si>
    <t>Строительство КТП 10/0,4 кВ, ВЛ 0,4 кВ, ВЛ 10 кВ от ВЛ 10 кВ №307 ПС 35 кВ БГ3 для электроснабжения ВРУ 0,4 кВ нежилого здания ИП Амирханян В.Ш. по адресу: Ростовская обл., р-н. Багаевский, х. Верхнеянченков, пер. Мирный, д. 30, к.н.: 61:03:0030301:59. (ориентировочная мощность трансформатора 0,16 МВА, ориентировочная протяжённость ЛЭП 0,035 км)</t>
  </si>
  <si>
    <t>Установка прибора учета для присоединения магазина ИП Раджабова А. М. расположенного по адресу: Р.О., Веселовский район, х. Красное Знамя, ул. Центральная, д. 23-а» (1шт.)</t>
  </si>
  <si>
    <t>8.2.3.</t>
  </si>
  <si>
    <t>Средства коммерческого учета электрической энергии (мощности) трехфазные косвенного включения</t>
  </si>
  <si>
    <t>Плановые расходы на выполнение мероприятий по технологическому присоединению, предусмотренных подпунктами "а" и "в" пункта 16 Методических указаний по определению размера платы за технологическое присоединение к электрическим сетям, на 2025 год "Херсонэнерго" филиал акционерного общества "Юго-Западная Электросетевая Компания"</t>
  </si>
  <si>
    <t>Приложение N 2
к Методическим указаниям по определению размера платы 
за технологическое присоединение к электрическим сетям утв. приказом ФАС России от 30.06.2022 N 490/22</t>
  </si>
  <si>
    <t>Приложение N 3
к Методическим указаниям по определению 
размера платы за технологическое присоединение 
к электрическим сетям 
утв. приказом ФАС России от 30.06.2022 N 490/22</t>
  </si>
  <si>
    <t xml:space="preserve">Расчет
фактических расходов на выполнение мероприятий по технологическому присоединению, предусмотренных
подпунктами "а" и "в" пункта 16 Методических указаний по определению размера платы за технологическое
присоединение к электрическим сетям, за 2022-2024 г.г.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</si>
</sst>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р_._-;\-* #,##0.00_р_._-;_-* &quot;-&quot;??_р_._-;_-@_-"/>
    <numFmt numFmtId="165" formatCode="#,##0.000"/>
    <numFmt numFmtId="166" formatCode="_-* #,##0.00\ _₽_-;\-* #,##0.00\ _₽_-;_-* &quot;-&quot;??\ _₽_-;_-@_-"/>
    <numFmt numFmtId="167" formatCode="0.0000"/>
    <numFmt numFmtId="168" formatCode="0.000"/>
    <numFmt numFmtId="169" formatCode="#,##0.000_ ;\-#,##0.000\ "/>
    <numFmt numFmtId="170" formatCode="0.0"/>
  </numFmts>
  <fonts count="28" x14ac:knownFonts="1">
    <font>
      <sz val="11"/>
      <color theme="1"/>
      <name val="Calibri"/>
      <family val="2"/>
      <charset val="204"/>
      <scheme val="minor"/>
    </font>
    <font>
      <sz val="13"/>
      <color theme="1"/>
      <name val="Times New Roman"/>
      <family val="1"/>
      <charset val="204"/>
    </font>
    <font>
      <b/>
      <sz val="13"/>
      <name val="Times New Roman"/>
      <family val="1"/>
      <charset val="204"/>
    </font>
    <font>
      <b/>
      <sz val="11"/>
      <color theme="1"/>
      <name val="Calibri"/>
      <family val="2"/>
      <charset val="204"/>
      <scheme val="minor"/>
    </font>
    <font>
      <sz val="11"/>
      <color theme="1"/>
      <name val="Calibri"/>
      <family val="2"/>
      <charset val="204"/>
      <scheme val="minor"/>
    </font>
    <font>
      <sz val="10"/>
      <name val="Arial Cyr"/>
      <charset val="204"/>
    </font>
    <font>
      <sz val="13"/>
      <color rgb="FF000000"/>
      <name val="Times New Roman"/>
      <family val="1"/>
      <charset val="204"/>
    </font>
    <font>
      <sz val="13"/>
      <color rgb="FF444444"/>
      <name val="Times New Roman"/>
      <family val="1"/>
      <charset val="204"/>
    </font>
    <font>
      <b/>
      <sz val="12"/>
      <color indexed="8"/>
      <name val="Times New Roman"/>
      <family val="1"/>
      <charset val="204"/>
    </font>
    <font>
      <sz val="10"/>
      <color indexed="8"/>
      <name val="Times New Roman"/>
      <family val="1"/>
      <charset val="204"/>
    </font>
    <font>
      <b/>
      <sz val="13"/>
      <color theme="1"/>
      <name val="Times New Roman"/>
      <family val="1"/>
      <charset val="204"/>
    </font>
    <font>
      <sz val="12"/>
      <color indexed="8"/>
      <name val="Times New Roman"/>
      <family val="1"/>
      <charset val="204"/>
    </font>
    <font>
      <b/>
      <sz val="14"/>
      <color indexed="8"/>
      <name val="Times New Roman"/>
      <family val="1"/>
      <charset val="204"/>
    </font>
    <font>
      <b/>
      <vertAlign val="subscript"/>
      <sz val="14"/>
      <color indexed="8"/>
      <name val="Times New Roman"/>
      <family val="1"/>
      <charset val="204"/>
    </font>
    <font>
      <sz val="12"/>
      <color theme="1"/>
      <name val="Times New Roman"/>
      <family val="1"/>
      <charset val="204"/>
    </font>
    <font>
      <b/>
      <sz val="12"/>
      <color theme="1"/>
      <name val="Times New Roman"/>
      <family val="1"/>
      <charset val="204"/>
    </font>
    <font>
      <sz val="10"/>
      <name val="Times New Roman"/>
      <family val="1"/>
      <charset val="204"/>
    </font>
    <font>
      <sz val="16"/>
      <color indexed="8"/>
      <name val="Times New Roman"/>
      <family val="1"/>
      <charset val="204"/>
    </font>
    <font>
      <sz val="11"/>
      <name val="Times New Roman"/>
      <family val="1"/>
      <charset val="204"/>
    </font>
    <font>
      <sz val="12"/>
      <name val="Times New Roman"/>
      <family val="1"/>
      <charset val="204"/>
    </font>
    <font>
      <b/>
      <sz val="12"/>
      <name val="Times New Roman"/>
      <family val="1"/>
      <charset val="204"/>
    </font>
    <font>
      <sz val="13"/>
      <color theme="1"/>
      <name val="Calibri"/>
      <family val="2"/>
      <charset val="204"/>
      <scheme val="minor"/>
    </font>
    <font>
      <b/>
      <sz val="13"/>
      <color theme="1"/>
      <name val="Calibri"/>
      <family val="2"/>
      <charset val="204"/>
      <scheme val="minor"/>
    </font>
    <font>
      <sz val="10"/>
      <name val="Arial"/>
      <family val="2"/>
      <charset val="204"/>
    </font>
    <font>
      <sz val="11"/>
      <color theme="1"/>
      <name val="Times New Roman"/>
      <family val="1"/>
      <charset val="204"/>
    </font>
    <font>
      <sz val="10"/>
      <color theme="1"/>
      <name val="Times New Roman"/>
      <family val="1"/>
      <charset val="204"/>
    </font>
    <font>
      <b/>
      <sz val="11"/>
      <color theme="1"/>
      <name val="Times New Roman"/>
      <family val="1"/>
      <charset val="204"/>
    </font>
    <font>
      <sz val="9"/>
      <color theme="1"/>
      <name val="Times New Roman"/>
      <family val="1"/>
      <charset val="204"/>
    </font>
  </fonts>
  <fills count="10">
    <fill>
      <patternFill patternType="none"/>
    </fill>
    <fill>
      <patternFill patternType="gray125"/>
    </fill>
    <fill>
      <patternFill patternType="solid">
        <fgColor rgb="FFFFFFFF"/>
        <bgColor indexed="64"/>
      </patternFill>
    </fill>
    <fill>
      <patternFill patternType="solid">
        <fgColor theme="4"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5" fillId="0" borderId="0"/>
    <xf numFmtId="164" fontId="4" fillId="0" borderId="0" applyFont="0" applyFill="0" applyBorder="0" applyAlignment="0" applyProtection="0"/>
    <xf numFmtId="166" fontId="4" fillId="0" borderId="0" applyFont="0" applyFill="0" applyBorder="0" applyAlignment="0" applyProtection="0"/>
    <xf numFmtId="0" fontId="5" fillId="0" borderId="0"/>
    <xf numFmtId="0" fontId="23" fillId="0" borderId="0"/>
  </cellStyleXfs>
  <cellXfs count="259">
    <xf numFmtId="0" fontId="0" fillId="0" borderId="0" xfId="0"/>
    <xf numFmtId="0" fontId="1" fillId="0" borderId="0" xfId="0" applyFont="1"/>
    <xf numFmtId="0" fontId="0" fillId="0" borderId="0" xfId="0" applyAlignment="1">
      <alignment horizontal="right"/>
    </xf>
    <xf numFmtId="0" fontId="1" fillId="0" borderId="0" xfId="0" applyFont="1" applyAlignment="1">
      <alignment horizontal="right" wrapText="1"/>
    </xf>
    <xf numFmtId="0" fontId="1" fillId="0" borderId="0" xfId="0" applyFont="1" applyAlignment="1">
      <alignment vertical="top" wrapText="1"/>
    </xf>
    <xf numFmtId="4" fontId="1" fillId="0" borderId="0" xfId="0" applyNumberFormat="1" applyFont="1"/>
    <xf numFmtId="0" fontId="11" fillId="0" borderId="1" xfId="0" applyFont="1" applyBorder="1" applyAlignment="1">
      <alignment horizontal="center" vertical="center" wrapText="1"/>
    </xf>
    <xf numFmtId="0" fontId="11" fillId="0" borderId="0" xfId="0" applyFont="1" applyAlignment="1">
      <alignment vertical="center" wrapText="1"/>
    </xf>
    <xf numFmtId="0" fontId="11" fillId="3" borderId="0" xfId="0" applyFont="1" applyFill="1" applyAlignment="1">
      <alignment vertical="center" wrapText="1"/>
    </xf>
    <xf numFmtId="0" fontId="11" fillId="4" borderId="1" xfId="0" applyFont="1" applyFill="1" applyBorder="1" applyAlignment="1">
      <alignment horizontal="center" vertical="center" wrapText="1"/>
    </xf>
    <xf numFmtId="0" fontId="11" fillId="6" borderId="0" xfId="0" applyFont="1" applyFill="1" applyAlignment="1">
      <alignment vertical="center" wrapText="1"/>
    </xf>
    <xf numFmtId="0" fontId="8"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4" fontId="8" fillId="4" borderId="1" xfId="0" applyNumberFormat="1" applyFont="1" applyFill="1" applyBorder="1" applyAlignment="1">
      <alignment horizontal="center" vertical="center" wrapText="1"/>
    </xf>
    <xf numFmtId="0" fontId="11" fillId="6" borderId="1" xfId="0" applyFont="1" applyFill="1" applyBorder="1" applyAlignment="1">
      <alignment horizontal="left" vertical="center" wrapText="1"/>
    </xf>
    <xf numFmtId="1" fontId="8" fillId="6" borderId="1" xfId="0" applyNumberFormat="1" applyFont="1" applyFill="1" applyBorder="1" applyAlignment="1">
      <alignment horizontal="center" vertical="center" wrapText="1"/>
    </xf>
    <xf numFmtId="0" fontId="11" fillId="7" borderId="0" xfId="0" applyFont="1" applyFill="1" applyAlignment="1">
      <alignment vertical="center" wrapText="1"/>
    </xf>
    <xf numFmtId="0" fontId="8" fillId="0" borderId="1" xfId="0" applyFont="1" applyBorder="1" applyAlignment="1">
      <alignment horizontal="center" vertical="center" wrapText="1"/>
    </xf>
    <xf numFmtId="0" fontId="11" fillId="0" borderId="1" xfId="0" applyFont="1" applyBorder="1" applyAlignment="1">
      <alignment horizontal="left"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1" fontId="15"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14" fillId="0" borderId="12" xfId="0" applyFont="1" applyBorder="1" applyAlignment="1">
      <alignment horizontal="left" vertical="center" wrapText="1"/>
    </xf>
    <xf numFmtId="167" fontId="14" fillId="0" borderId="1" xfId="3" applyNumberFormat="1" applyFont="1" applyFill="1" applyBorder="1" applyAlignment="1">
      <alignment horizontal="center" vertical="center"/>
    </xf>
    <xf numFmtId="0" fontId="14" fillId="0" borderId="1" xfId="0" applyFont="1" applyBorder="1" applyAlignment="1">
      <alignment horizontal="left" vertical="top" wrapText="1"/>
    </xf>
    <xf numFmtId="1" fontId="14" fillId="0" borderId="1" xfId="3" applyNumberFormat="1" applyFont="1" applyFill="1" applyBorder="1" applyAlignment="1">
      <alignment horizontal="center" vertical="center"/>
    </xf>
    <xf numFmtId="169" fontId="14" fillId="0" borderId="1" xfId="3" applyNumberFormat="1" applyFont="1" applyFill="1" applyBorder="1" applyAlignment="1">
      <alignment horizontal="center" vertical="center"/>
    </xf>
    <xf numFmtId="168" fontId="14" fillId="0" borderId="1" xfId="0" applyNumberFormat="1" applyFont="1" applyBorder="1" applyAlignment="1">
      <alignment horizontal="left" vertical="center" wrapText="1"/>
    </xf>
    <xf numFmtId="0" fontId="14" fillId="0" borderId="1" xfId="0" applyFont="1" applyBorder="1" applyAlignment="1">
      <alignment wrapText="1"/>
    </xf>
    <xf numFmtId="0" fontId="11" fillId="9" borderId="0" xfId="0" applyFont="1" applyFill="1" applyAlignment="1">
      <alignment vertical="center" wrapText="1"/>
    </xf>
    <xf numFmtId="0" fontId="8" fillId="9" borderId="1" xfId="0" applyFont="1" applyFill="1" applyBorder="1" applyAlignment="1">
      <alignment horizontal="center" vertical="center" wrapText="1"/>
    </xf>
    <xf numFmtId="0" fontId="11" fillId="9" borderId="1" xfId="0" applyFont="1" applyFill="1" applyBorder="1" applyAlignment="1">
      <alignment horizontal="left" vertical="center" wrapText="1"/>
    </xf>
    <xf numFmtId="1" fontId="8" fillId="9" borderId="1" xfId="0" applyNumberFormat="1" applyFont="1" applyFill="1" applyBorder="1" applyAlignment="1">
      <alignment horizontal="center" vertical="center" wrapText="1"/>
    </xf>
    <xf numFmtId="1" fontId="8" fillId="0" borderId="1" xfId="0" applyNumberFormat="1" applyFont="1" applyBorder="1" applyAlignment="1">
      <alignment horizontal="center" vertical="center" wrapText="1"/>
    </xf>
    <xf numFmtId="170" fontId="8"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1" fontId="11" fillId="0" borderId="1"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8" fillId="0" borderId="13" xfId="0" applyFont="1" applyBorder="1" applyAlignment="1" applyProtection="1">
      <alignment vertical="center" wrapText="1"/>
      <protection locked="0"/>
    </xf>
    <xf numFmtId="4" fontId="19" fillId="0" borderId="13"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8" fillId="9" borderId="14" xfId="0" applyFont="1" applyFill="1" applyBorder="1" applyAlignment="1">
      <alignment horizontal="center" vertical="center" wrapText="1"/>
    </xf>
    <xf numFmtId="0" fontId="11" fillId="9" borderId="14" xfId="0" applyFont="1" applyFill="1" applyBorder="1" applyAlignment="1">
      <alignment horizontal="left" vertical="center" wrapText="1"/>
    </xf>
    <xf numFmtId="1" fontId="8" fillId="9" borderId="14" xfId="0" applyNumberFormat="1" applyFont="1" applyFill="1" applyBorder="1" applyAlignment="1">
      <alignment horizontal="center" vertical="center" wrapText="1"/>
    </xf>
    <xf numFmtId="0" fontId="11" fillId="4" borderId="14" xfId="0" applyFont="1" applyFill="1" applyBorder="1" applyAlignment="1">
      <alignment horizontal="center" vertical="center" wrapText="1"/>
    </xf>
    <xf numFmtId="0" fontId="0" fillId="4" borderId="14" xfId="0" applyFill="1" applyBorder="1" applyAlignment="1">
      <alignment horizontal="center" vertical="center" wrapText="1"/>
    </xf>
    <xf numFmtId="0" fontId="8" fillId="4" borderId="14" xfId="0" applyFont="1" applyFill="1" applyBorder="1" applyAlignment="1">
      <alignment horizontal="center" vertical="center" wrapText="1"/>
    </xf>
    <xf numFmtId="0" fontId="11" fillId="4" borderId="14" xfId="0" applyFont="1" applyFill="1" applyBorder="1" applyAlignment="1">
      <alignment horizontal="left" vertical="center" wrapText="1"/>
    </xf>
    <xf numFmtId="0" fontId="8" fillId="6" borderId="14" xfId="0" applyFont="1" applyFill="1" applyBorder="1" applyAlignment="1">
      <alignment horizontal="center" vertical="center" wrapText="1"/>
    </xf>
    <xf numFmtId="4" fontId="8" fillId="4" borderId="14" xfId="0" applyNumberFormat="1" applyFont="1" applyFill="1" applyBorder="1" applyAlignment="1">
      <alignment horizontal="center" vertical="center" wrapText="1"/>
    </xf>
    <xf numFmtId="0" fontId="0" fillId="0" borderId="14" xfId="0" applyBorder="1" applyAlignment="1">
      <alignment horizontal="center" vertical="center" wrapText="1"/>
    </xf>
    <xf numFmtId="0" fontId="11" fillId="6" borderId="14" xfId="0" applyFont="1" applyFill="1" applyBorder="1" applyAlignment="1">
      <alignment horizontal="left" vertical="center" wrapText="1"/>
    </xf>
    <xf numFmtId="1" fontId="8" fillId="6" borderId="14" xfId="0" applyNumberFormat="1" applyFont="1" applyFill="1" applyBorder="1" applyAlignment="1">
      <alignment horizontal="center" vertical="center" wrapText="1"/>
    </xf>
    <xf numFmtId="0" fontId="20" fillId="4" borderId="14" xfId="0" applyFont="1" applyFill="1" applyBorder="1" applyAlignment="1">
      <alignment horizontal="center" vertical="center" wrapText="1"/>
    </xf>
    <xf numFmtId="4" fontId="20" fillId="4" borderId="14" xfId="0" applyNumberFormat="1" applyFont="1" applyFill="1" applyBorder="1" applyAlignment="1">
      <alignment horizontal="center" vertical="center" wrapText="1"/>
    </xf>
    <xf numFmtId="0" fontId="11" fillId="0" borderId="14" xfId="0" applyFont="1" applyBorder="1" applyAlignment="1">
      <alignment horizontal="left" vertical="center" wrapText="1"/>
    </xf>
    <xf numFmtId="1" fontId="11" fillId="0" borderId="14" xfId="0" applyNumberFormat="1" applyFont="1" applyBorder="1" applyAlignment="1">
      <alignment horizontal="center" vertical="center" wrapText="1"/>
    </xf>
    <xf numFmtId="3" fontId="11" fillId="0" borderId="14" xfId="0" applyNumberFormat="1" applyFont="1" applyBorder="1" applyAlignment="1">
      <alignment horizontal="center" vertical="center" wrapText="1"/>
    </xf>
    <xf numFmtId="0" fontId="11" fillId="0" borderId="14" xfId="0" quotePrefix="1" applyFont="1" applyBorder="1" applyAlignment="1">
      <alignment horizontal="left" vertical="center" wrapText="1"/>
    </xf>
    <xf numFmtId="1" fontId="11" fillId="0" borderId="15" xfId="0" applyNumberFormat="1" applyFont="1" applyBorder="1" applyAlignment="1">
      <alignment horizontal="center" vertical="center" wrapText="1"/>
    </xf>
    <xf numFmtId="0" fontId="11" fillId="0" borderId="15" xfId="0" applyFont="1" applyBorder="1" applyAlignment="1">
      <alignment horizontal="center" vertical="center" wrapText="1"/>
    </xf>
    <xf numFmtId="0" fontId="11" fillId="0" borderId="15" xfId="0" quotePrefix="1" applyFont="1" applyBorder="1" applyAlignment="1">
      <alignment horizontal="left" vertical="center" wrapText="1"/>
    </xf>
    <xf numFmtId="0" fontId="3"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14" fillId="4" borderId="12" xfId="0" applyFont="1" applyFill="1" applyBorder="1" applyAlignment="1">
      <alignment horizontal="center" vertical="center"/>
    </xf>
    <xf numFmtId="0" fontId="14" fillId="0" borderId="0" xfId="0" applyFont="1"/>
    <xf numFmtId="0" fontId="14" fillId="3" borderId="0" xfId="0" applyFont="1" applyFill="1"/>
    <xf numFmtId="0" fontId="14" fillId="4" borderId="14" xfId="0" applyFont="1" applyFill="1" applyBorder="1" applyAlignment="1">
      <alignment horizontal="center" vertical="center"/>
    </xf>
    <xf numFmtId="0" fontId="14" fillId="0" borderId="14" xfId="0" applyFont="1" applyBorder="1" applyAlignment="1">
      <alignment horizontal="center" vertical="center"/>
    </xf>
    <xf numFmtId="0" fontId="14" fillId="7" borderId="0" xfId="0" applyFont="1" applyFill="1"/>
    <xf numFmtId="0" fontId="20" fillId="9" borderId="14" xfId="0" applyFont="1" applyFill="1" applyBorder="1" applyAlignment="1">
      <alignment horizontal="center" vertical="center" wrapText="1"/>
    </xf>
    <xf numFmtId="1" fontId="20" fillId="9" borderId="14" xfId="0" applyNumberFormat="1" applyFont="1" applyFill="1" applyBorder="1" applyAlignment="1">
      <alignment horizontal="center" vertical="center" wrapText="1"/>
    </xf>
    <xf numFmtId="0" fontId="14" fillId="4" borderId="14" xfId="0" applyFont="1" applyFill="1" applyBorder="1" applyAlignment="1">
      <alignment horizontal="left" vertical="center" wrapText="1"/>
    </xf>
    <xf numFmtId="0" fontId="0" fillId="4" borderId="14" xfId="0" applyFill="1" applyBorder="1" applyAlignment="1">
      <alignment horizontal="left" vertical="center"/>
    </xf>
    <xf numFmtId="0" fontId="0" fillId="4" borderId="14" xfId="0" applyFill="1" applyBorder="1" applyAlignment="1">
      <alignment vertical="center"/>
    </xf>
    <xf numFmtId="0" fontId="0" fillId="0" borderId="14" xfId="0" applyBorder="1" applyAlignment="1">
      <alignment vertical="center"/>
    </xf>
    <xf numFmtId="0" fontId="14" fillId="0" borderId="14" xfId="0" applyFont="1" applyBorder="1" applyAlignment="1">
      <alignment vertical="center" wrapText="1"/>
    </xf>
    <xf numFmtId="1" fontId="14" fillId="0" borderId="14" xfId="0" applyNumberFormat="1" applyFont="1" applyBorder="1" applyAlignment="1">
      <alignment horizontal="center" vertical="center"/>
    </xf>
    <xf numFmtId="3" fontId="14" fillId="0" borderId="14" xfId="0" applyNumberFormat="1" applyFont="1" applyBorder="1" applyAlignment="1">
      <alignment horizontal="center" vertical="center"/>
    </xf>
    <xf numFmtId="0" fontId="19" fillId="4" borderId="14" xfId="0" applyFont="1" applyFill="1" applyBorder="1" applyAlignment="1">
      <alignment horizontal="center" vertical="center"/>
    </xf>
    <xf numFmtId="1" fontId="14" fillId="0" borderId="15" xfId="0" applyNumberFormat="1" applyFont="1" applyBorder="1" applyAlignment="1">
      <alignment horizontal="center" vertical="center"/>
    </xf>
    <xf numFmtId="0" fontId="14" fillId="0" borderId="15" xfId="0" applyFont="1" applyBorder="1" applyAlignment="1">
      <alignment vertical="center" wrapText="1"/>
    </xf>
    <xf numFmtId="0" fontId="8" fillId="4" borderId="14" xfId="0" applyFont="1" applyFill="1" applyBorder="1" applyAlignment="1">
      <alignment horizontal="left" vertical="center" wrapText="1"/>
    </xf>
    <xf numFmtId="0" fontId="8" fillId="8" borderId="14" xfId="0" applyFont="1" applyFill="1" applyBorder="1" applyAlignment="1">
      <alignment horizontal="center" vertical="center" wrapText="1"/>
    </xf>
    <xf numFmtId="0" fontId="0" fillId="0" borderId="14" xfId="0" applyBorder="1" applyAlignment="1">
      <alignment horizontal="left" vertical="center"/>
    </xf>
    <xf numFmtId="0" fontId="14" fillId="6" borderId="0" xfId="0" applyFont="1" applyFill="1"/>
    <xf numFmtId="0" fontId="15" fillId="4" borderId="14" xfId="0" applyFont="1" applyFill="1" applyBorder="1" applyAlignment="1">
      <alignment horizontal="center" vertical="center"/>
    </xf>
    <xf numFmtId="4" fontId="15" fillId="4" borderId="14" xfId="0" applyNumberFormat="1" applyFont="1" applyFill="1" applyBorder="1" applyAlignment="1">
      <alignment horizontal="center" vertical="center"/>
    </xf>
    <xf numFmtId="16" fontId="8" fillId="9" borderId="14" xfId="0" applyNumberFormat="1" applyFont="1" applyFill="1" applyBorder="1" applyAlignment="1">
      <alignment horizontal="center" vertical="center" wrapText="1"/>
    </xf>
    <xf numFmtId="0" fontId="15" fillId="9" borderId="14" xfId="0" applyFont="1" applyFill="1" applyBorder="1" applyAlignment="1">
      <alignment horizontal="center" vertical="center"/>
    </xf>
    <xf numFmtId="1" fontId="15" fillId="9" borderId="14" xfId="0" applyNumberFormat="1" applyFont="1" applyFill="1" applyBorder="1" applyAlignment="1">
      <alignment horizontal="center" vertical="center"/>
    </xf>
    <xf numFmtId="14" fontId="8" fillId="4" borderId="14" xfId="0" applyNumberFormat="1" applyFont="1" applyFill="1" applyBorder="1" applyAlignment="1">
      <alignment horizontal="center" vertical="center" wrapText="1"/>
    </xf>
    <xf numFmtId="0" fontId="15" fillId="4" borderId="14" xfId="0" applyFont="1" applyFill="1" applyBorder="1" applyAlignment="1">
      <alignment horizontal="left" vertical="center" wrapText="1"/>
    </xf>
    <xf numFmtId="0" fontId="15" fillId="4" borderId="14" xfId="0" applyFont="1" applyFill="1" applyBorder="1" applyAlignment="1">
      <alignment horizontal="center" vertical="center" wrapText="1"/>
    </xf>
    <xf numFmtId="0" fontId="14" fillId="5" borderId="14" xfId="0" applyFont="1" applyFill="1" applyBorder="1" applyAlignment="1">
      <alignment horizontal="center" vertical="center"/>
    </xf>
    <xf numFmtId="4" fontId="14" fillId="4" borderId="14" xfId="0" applyNumberFormat="1" applyFont="1" applyFill="1" applyBorder="1" applyAlignment="1">
      <alignment horizontal="center" vertical="center"/>
    </xf>
    <xf numFmtId="0" fontId="15" fillId="4" borderId="14" xfId="0" applyFont="1" applyFill="1" applyBorder="1" applyAlignment="1">
      <alignment vertical="center" wrapText="1"/>
    </xf>
    <xf numFmtId="0" fontId="14" fillId="8" borderId="14" xfId="0" applyFont="1" applyFill="1" applyBorder="1" applyAlignment="1">
      <alignment horizontal="center" vertical="center"/>
    </xf>
    <xf numFmtId="0" fontId="15" fillId="6" borderId="14" xfId="0" applyFont="1" applyFill="1" applyBorder="1" applyAlignment="1">
      <alignment horizontal="center" vertical="center"/>
    </xf>
    <xf numFmtId="16" fontId="8" fillId="4" borderId="14" xfId="0" applyNumberFormat="1" applyFont="1" applyFill="1" applyBorder="1" applyAlignment="1">
      <alignment horizontal="center" vertical="center" wrapText="1"/>
    </xf>
    <xf numFmtId="0" fontId="14" fillId="9" borderId="0" xfId="0" applyFont="1" applyFill="1"/>
    <xf numFmtId="0" fontId="15" fillId="0" borderId="14" xfId="0" applyFont="1" applyBorder="1" applyAlignment="1">
      <alignment horizontal="center" vertical="center"/>
    </xf>
    <xf numFmtId="1" fontId="8" fillId="0" borderId="14" xfId="0" applyNumberFormat="1" applyFont="1" applyBorder="1" applyAlignment="1">
      <alignment horizontal="center" vertical="center" wrapText="1"/>
    </xf>
    <xf numFmtId="0" fontId="11" fillId="0" borderId="14" xfId="0" applyFont="1" applyBorder="1" applyAlignment="1">
      <alignment horizontal="center" vertical="top" wrapText="1"/>
    </xf>
    <xf numFmtId="0" fontId="14" fillId="0" borderId="14" xfId="0" applyFont="1" applyBorder="1" applyAlignment="1">
      <alignment vertical="top" wrapText="1"/>
    </xf>
    <xf numFmtId="0" fontId="14" fillId="0" borderId="0" xfId="0" applyFont="1" applyAlignment="1">
      <alignment vertical="top"/>
    </xf>
    <xf numFmtId="0" fontId="14" fillId="0" borderId="14" xfId="0" applyFont="1" applyBorder="1" applyAlignment="1">
      <alignment horizontal="center" vertical="top"/>
    </xf>
    <xf numFmtId="0" fontId="8" fillId="0" borderId="14" xfId="0" applyFont="1" applyBorder="1" applyAlignment="1">
      <alignment horizontal="center" vertical="top" wrapText="1"/>
    </xf>
    <xf numFmtId="0" fontId="11" fillId="0" borderId="14" xfId="0" applyFont="1" applyBorder="1" applyAlignment="1">
      <alignment horizontal="left" vertical="top" wrapText="1"/>
    </xf>
    <xf numFmtId="1" fontId="11" fillId="0" borderId="14" xfId="0" applyNumberFormat="1" applyFont="1" applyBorder="1" applyAlignment="1">
      <alignment horizontal="center" vertical="top" wrapText="1"/>
    </xf>
    <xf numFmtId="1" fontId="14" fillId="0" borderId="14" xfId="0" applyNumberFormat="1" applyFont="1" applyBorder="1" applyAlignment="1">
      <alignment horizontal="center" vertical="top"/>
    </xf>
    <xf numFmtId="3" fontId="14" fillId="0" borderId="14" xfId="0" applyNumberFormat="1" applyFont="1" applyBorder="1" applyAlignment="1">
      <alignment horizontal="center" vertical="top"/>
    </xf>
    <xf numFmtId="0" fontId="14" fillId="4" borderId="14" xfId="0" applyFont="1" applyFill="1" applyBorder="1" applyAlignment="1">
      <alignment horizontal="center" vertical="center" wrapText="1"/>
    </xf>
    <xf numFmtId="3" fontId="19" fillId="0" borderId="14" xfId="0" applyNumberFormat="1" applyFont="1" applyBorder="1" applyAlignment="1">
      <alignment horizontal="center" vertical="center"/>
    </xf>
    <xf numFmtId="0" fontId="15" fillId="4" borderId="15" xfId="0" applyFont="1" applyFill="1" applyBorder="1" applyAlignment="1">
      <alignment horizontal="center" vertical="center" wrapText="1"/>
    </xf>
    <xf numFmtId="2" fontId="11" fillId="0" borderId="14" xfId="0" applyNumberFormat="1" applyFont="1" applyBorder="1" applyAlignment="1">
      <alignment horizontal="center" vertical="center" wrapText="1"/>
    </xf>
    <xf numFmtId="170" fontId="11" fillId="0" borderId="14" xfId="0" applyNumberFormat="1" applyFont="1" applyBorder="1" applyAlignment="1">
      <alignment horizontal="center" vertical="center" wrapText="1"/>
    </xf>
    <xf numFmtId="0" fontId="14" fillId="0" borderId="0" xfId="0" applyFont="1" applyAlignment="1">
      <alignment horizontal="center" vertical="center"/>
    </xf>
    <xf numFmtId="1" fontId="14" fillId="0" borderId="12" xfId="0" applyNumberFormat="1" applyFont="1" applyBorder="1" applyAlignment="1">
      <alignment horizontal="center" vertical="center"/>
    </xf>
    <xf numFmtId="0" fontId="11" fillId="0" borderId="12" xfId="0" applyFont="1" applyBorder="1" applyAlignment="1">
      <alignment horizontal="center" vertical="center" wrapText="1"/>
    </xf>
    <xf numFmtId="0" fontId="11" fillId="0" borderId="12" xfId="0" applyFont="1" applyBorder="1" applyAlignment="1">
      <alignment horizontal="left" vertical="center" wrapText="1"/>
    </xf>
    <xf numFmtId="0" fontId="14" fillId="0" borderId="12" xfId="0" applyFont="1" applyBorder="1" applyAlignment="1">
      <alignment horizontal="center" vertical="center"/>
    </xf>
    <xf numFmtId="1" fontId="11" fillId="0" borderId="12" xfId="0" applyNumberFormat="1" applyFont="1" applyBorder="1" applyAlignment="1">
      <alignment horizontal="center" vertical="center" wrapText="1"/>
    </xf>
    <xf numFmtId="0" fontId="14" fillId="0" borderId="14" xfId="0" quotePrefix="1" applyFont="1" applyBorder="1" applyAlignment="1">
      <alignment vertical="center" wrapText="1"/>
    </xf>
    <xf numFmtId="0" fontId="14" fillId="4" borderId="14" xfId="0" applyFont="1" applyFill="1" applyBorder="1" applyAlignment="1">
      <alignment vertical="center" wrapText="1"/>
    </xf>
    <xf numFmtId="3" fontId="14" fillId="0" borderId="0" xfId="0" applyNumberFormat="1" applyFont="1" applyAlignment="1">
      <alignment horizontal="center" vertical="center"/>
    </xf>
    <xf numFmtId="1" fontId="14" fillId="0" borderId="0" xfId="0" applyNumberFormat="1" applyFont="1" applyAlignment="1">
      <alignment horizontal="center" vertical="center"/>
    </xf>
    <xf numFmtId="0" fontId="15" fillId="8" borderId="14" xfId="0" applyFont="1" applyFill="1" applyBorder="1" applyAlignment="1">
      <alignment horizontal="center" vertical="center"/>
    </xf>
    <xf numFmtId="0" fontId="2" fillId="0" borderId="0" xfId="0" applyFont="1"/>
    <xf numFmtId="0" fontId="2" fillId="0" borderId="0" xfId="0" applyFont="1" applyAlignment="1">
      <alignment horizontal="center" vertical="center"/>
    </xf>
    <xf numFmtId="0" fontId="2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left"/>
    </xf>
    <xf numFmtId="0" fontId="21" fillId="0" borderId="0" xfId="0" applyFont="1" applyAlignment="1">
      <alignment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 fillId="0" borderId="0" xfId="5" applyFont="1" applyAlignment="1">
      <alignment horizontal="left" vertical="center" wrapText="1"/>
    </xf>
    <xf numFmtId="0" fontId="2" fillId="0" borderId="0" xfId="5"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1" fillId="0" borderId="14" xfId="0" applyFont="1" applyBorder="1" applyAlignment="1">
      <alignment vertical="top" wrapText="1" indent="1"/>
    </xf>
    <xf numFmtId="0" fontId="1" fillId="0" borderId="14" xfId="0" applyFont="1" applyBorder="1" applyAlignment="1">
      <alignment horizontal="center" vertical="center" wrapText="1"/>
    </xf>
    <xf numFmtId="0" fontId="1" fillId="0" borderId="14" xfId="0" applyFont="1" applyBorder="1" applyAlignment="1">
      <alignment horizontal="left" vertical="center" wrapText="1" indent="1"/>
    </xf>
    <xf numFmtId="4" fontId="1" fillId="0" borderId="14" xfId="0" applyNumberFormat="1" applyFont="1" applyBorder="1" applyAlignment="1">
      <alignment horizontal="right" vertical="center" wrapText="1"/>
    </xf>
    <xf numFmtId="4" fontId="1" fillId="0" borderId="14" xfId="0" applyNumberFormat="1" applyFont="1" applyBorder="1" applyAlignment="1">
      <alignment horizontal="center" vertical="center" wrapText="1"/>
    </xf>
    <xf numFmtId="4" fontId="1" fillId="4" borderId="18" xfId="0" applyNumberFormat="1" applyFont="1" applyFill="1" applyBorder="1" applyAlignment="1">
      <alignment horizontal="right" vertical="center" wrapText="1"/>
    </xf>
    <xf numFmtId="0" fontId="1" fillId="0" borderId="14" xfId="0" applyFont="1" applyBorder="1" applyAlignment="1">
      <alignment vertical="center" wrapText="1"/>
    </xf>
    <xf numFmtId="4" fontId="1" fillId="0" borderId="14" xfId="0" applyNumberFormat="1" applyFont="1" applyBorder="1" applyAlignment="1">
      <alignment vertical="center" wrapText="1"/>
    </xf>
    <xf numFmtId="0" fontId="1" fillId="4" borderId="18" xfId="0" applyFont="1" applyFill="1" applyBorder="1" applyAlignment="1">
      <alignment horizontal="center" vertical="center" wrapText="1"/>
    </xf>
    <xf numFmtId="49" fontId="1" fillId="0" borderId="14" xfId="0" applyNumberFormat="1" applyFont="1" applyBorder="1" applyAlignment="1">
      <alignment horizontal="center" vertical="center" wrapText="1"/>
    </xf>
    <xf numFmtId="4" fontId="6" fillId="0" borderId="14" xfId="0" applyNumberFormat="1" applyFont="1" applyBorder="1" applyAlignment="1">
      <alignment horizontal="right" vertical="center" wrapText="1"/>
    </xf>
    <xf numFmtId="49" fontId="7" fillId="2" borderId="14" xfId="0" applyNumberFormat="1" applyFont="1" applyFill="1" applyBorder="1" applyAlignment="1">
      <alignment horizontal="center" vertical="center" wrapText="1"/>
    </xf>
    <xf numFmtId="4" fontId="6" fillId="2" borderId="14" xfId="0" applyNumberFormat="1" applyFont="1" applyFill="1" applyBorder="1" applyAlignment="1">
      <alignment horizontal="right" vertical="center" wrapText="1"/>
    </xf>
    <xf numFmtId="0" fontId="10" fillId="0" borderId="0" xfId="0" applyFont="1"/>
    <xf numFmtId="0" fontId="10" fillId="4" borderId="0" xfId="0" applyFont="1" applyFill="1" applyAlignment="1">
      <alignment wrapText="1"/>
    </xf>
    <xf numFmtId="0" fontId="0" fillId="5" borderId="11" xfId="0" applyFill="1" applyBorder="1" applyAlignment="1">
      <alignment horizontal="center" vertical="center" wrapText="1"/>
    </xf>
    <xf numFmtId="0" fontId="0" fillId="5" borderId="11" xfId="0" applyFill="1" applyBorder="1" applyAlignment="1">
      <alignment horizontal="left" vertical="center" wrapText="1"/>
    </xf>
    <xf numFmtId="0" fontId="24" fillId="0" borderId="0" xfId="0" applyFont="1"/>
    <xf numFmtId="0" fontId="24" fillId="0" borderId="0" xfId="0" applyFont="1" applyAlignment="1">
      <alignment horizontal="right"/>
    </xf>
    <xf numFmtId="0" fontId="25" fillId="0" borderId="7"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vertical="center" wrapText="1"/>
    </xf>
    <xf numFmtId="0" fontId="14" fillId="0" borderId="15" xfId="0" applyFont="1" applyBorder="1" applyAlignment="1">
      <alignment wrapText="1"/>
    </xf>
    <xf numFmtId="168" fontId="14" fillId="0" borderId="15" xfId="0" applyNumberFormat="1" applyFont="1" applyBorder="1" applyAlignment="1">
      <alignment vertical="center" wrapText="1"/>
    </xf>
    <xf numFmtId="168" fontId="14" fillId="0" borderId="15" xfId="0" applyNumberFormat="1" applyFont="1" applyBorder="1" applyAlignment="1">
      <alignment wrapText="1"/>
    </xf>
    <xf numFmtId="49" fontId="14" fillId="0" borderId="15" xfId="4" applyNumberFormat="1" applyFont="1" applyBorder="1" applyAlignment="1">
      <alignment vertical="center" wrapText="1"/>
    </xf>
    <xf numFmtId="0" fontId="8" fillId="4" borderId="15" xfId="0" applyFont="1" applyFill="1" applyBorder="1" applyAlignment="1">
      <alignment horizontal="center" vertical="center" wrapText="1"/>
    </xf>
    <xf numFmtId="0" fontId="0" fillId="4" borderId="12" xfId="0" applyFill="1" applyBorder="1" applyAlignment="1">
      <alignment horizontal="center" vertical="center" wrapText="1"/>
    </xf>
    <xf numFmtId="0" fontId="0" fillId="8" borderId="12" xfId="0" applyFill="1" applyBorder="1" applyAlignment="1">
      <alignment vertical="center" wrapText="1"/>
    </xf>
    <xf numFmtId="0" fontId="0" fillId="4" borderId="11" xfId="0" applyFill="1" applyBorder="1" applyAlignment="1">
      <alignment horizontal="center" vertical="center" wrapText="1"/>
    </xf>
    <xf numFmtId="0" fontId="0" fillId="5" borderId="12" xfId="0" applyFill="1" applyBorder="1" applyAlignment="1">
      <alignment vertical="center" wrapText="1"/>
    </xf>
    <xf numFmtId="0" fontId="8" fillId="8" borderId="15" xfId="0" applyFont="1" applyFill="1" applyBorder="1" applyAlignment="1">
      <alignment horizontal="center" vertical="center" wrapText="1"/>
    </xf>
    <xf numFmtId="0" fontId="0" fillId="8" borderId="11" xfId="0" applyFill="1" applyBorder="1" applyAlignment="1">
      <alignment horizontal="left" vertical="center" wrapText="1"/>
    </xf>
    <xf numFmtId="0" fontId="0" fillId="8" borderId="12" xfId="0" applyFill="1" applyBorder="1" applyAlignment="1">
      <alignment horizontal="left" vertical="center" wrapText="1"/>
    </xf>
    <xf numFmtId="0" fontId="0" fillId="5" borderId="12" xfId="0" applyFill="1" applyBorder="1" applyAlignment="1">
      <alignment horizontal="left" vertical="center" wrapText="1"/>
    </xf>
    <xf numFmtId="0" fontId="0" fillId="0" borderId="0" xfId="0" applyAlignment="1">
      <alignment horizontal="center" vertical="center"/>
    </xf>
    <xf numFmtId="4" fontId="11" fillId="0" borderId="0" xfId="0" applyNumberFormat="1" applyFont="1" applyAlignment="1">
      <alignment vertical="center" wrapText="1"/>
    </xf>
    <xf numFmtId="0" fontId="12" fillId="0" borderId="0" xfId="0" applyFont="1" applyAlignment="1">
      <alignment horizontal="center" vertical="center" wrapText="1"/>
    </xf>
    <xf numFmtId="0" fontId="8" fillId="5" borderId="0" xfId="0" applyFont="1" applyFill="1" applyAlignment="1">
      <alignment horizontal="center" vertical="center" wrapText="1"/>
    </xf>
    <xf numFmtId="4" fontId="14" fillId="0" borderId="0" xfId="0" applyNumberFormat="1" applyFont="1"/>
    <xf numFmtId="0" fontId="8" fillId="4" borderId="15" xfId="0" applyFont="1" applyFill="1" applyBorder="1" applyAlignment="1">
      <alignment horizontal="center" vertical="center" wrapText="1"/>
    </xf>
    <xf numFmtId="0" fontId="0" fillId="4" borderId="12" xfId="0" applyFill="1" applyBorder="1" applyAlignment="1">
      <alignment horizontal="center" vertical="center" wrapText="1"/>
    </xf>
    <xf numFmtId="0" fontId="15" fillId="4" borderId="15" xfId="0" applyFont="1" applyFill="1" applyBorder="1" applyAlignment="1">
      <alignment vertical="center" wrapText="1"/>
    </xf>
    <xf numFmtId="0" fontId="0" fillId="4" borderId="12" xfId="0" applyFill="1" applyBorder="1" applyAlignment="1">
      <alignment vertical="center" wrapText="1"/>
    </xf>
    <xf numFmtId="0" fontId="8" fillId="8" borderId="15" xfId="0" applyFont="1" applyFill="1" applyBorder="1" applyAlignment="1">
      <alignment horizontal="center" vertical="center" wrapText="1"/>
    </xf>
    <xf numFmtId="0" fontId="0" fillId="8" borderId="12" xfId="0" applyFill="1" applyBorder="1" applyAlignment="1">
      <alignment horizontal="center" vertical="center" wrapText="1"/>
    </xf>
    <xf numFmtId="4" fontId="8" fillId="4" borderId="15" xfId="0" applyNumberFormat="1" applyFont="1" applyFill="1" applyBorder="1" applyAlignment="1">
      <alignment horizontal="center" vertical="center" wrapText="1"/>
    </xf>
    <xf numFmtId="4" fontId="0" fillId="4" borderId="12" xfId="0" applyNumberForma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0" fillId="4" borderId="11" xfId="0" applyFill="1" applyBorder="1" applyAlignment="1">
      <alignment horizontal="center" vertical="center"/>
    </xf>
    <xf numFmtId="0" fontId="0" fillId="0" borderId="12" xfId="0" applyBorder="1" applyAlignment="1">
      <alignment horizontal="center" vertical="center"/>
    </xf>
    <xf numFmtId="0" fontId="8" fillId="5" borderId="15" xfId="0" applyFont="1" applyFill="1" applyBorder="1" applyAlignment="1">
      <alignment horizontal="center" vertical="center" wrapText="1"/>
    </xf>
    <xf numFmtId="0" fontId="0" fillId="5" borderId="12" xfId="0" applyFill="1" applyBorder="1" applyAlignment="1">
      <alignment horizontal="center" vertical="center" wrapText="1"/>
    </xf>
    <xf numFmtId="4" fontId="8" fillId="4" borderId="15" xfId="0" applyNumberFormat="1" applyFont="1" applyFill="1" applyBorder="1" applyAlignment="1">
      <alignment horizontal="left" vertical="center" wrapText="1"/>
    </xf>
    <xf numFmtId="4" fontId="0" fillId="4" borderId="11" xfId="0" applyNumberFormat="1" applyFill="1" applyBorder="1" applyAlignment="1">
      <alignment vertical="center" wrapText="1"/>
    </xf>
    <xf numFmtId="0" fontId="0" fillId="8" borderId="12" xfId="0" applyFill="1" applyBorder="1" applyAlignment="1">
      <alignment vertical="center" wrapText="1"/>
    </xf>
    <xf numFmtId="0" fontId="0" fillId="4" borderId="11" xfId="0" applyFill="1" applyBorder="1" applyAlignment="1">
      <alignment horizontal="center" vertical="center" wrapText="1"/>
    </xf>
    <xf numFmtId="0" fontId="8" fillId="4" borderId="15" xfId="0" applyFont="1" applyFill="1" applyBorder="1" applyAlignment="1">
      <alignment horizontal="left" vertical="center" wrapText="1"/>
    </xf>
    <xf numFmtId="0" fontId="0" fillId="4" borderId="11" xfId="0" applyFill="1" applyBorder="1" applyAlignment="1">
      <alignment vertical="center" wrapText="1"/>
    </xf>
    <xf numFmtId="0" fontId="0" fillId="5" borderId="12" xfId="0" applyFill="1" applyBorder="1" applyAlignment="1">
      <alignment vertical="center" wrapText="1"/>
    </xf>
    <xf numFmtId="0" fontId="0" fillId="5" borderId="11" xfId="0" applyFill="1" applyBorder="1" applyAlignment="1">
      <alignment horizontal="center" vertical="center" wrapText="1"/>
    </xf>
    <xf numFmtId="4" fontId="0" fillId="4" borderId="11" xfId="0" applyNumberFormat="1" applyFill="1" applyBorder="1" applyAlignment="1">
      <alignment horizontal="center" vertical="center" wrapText="1"/>
    </xf>
    <xf numFmtId="0" fontId="0" fillId="0" borderId="12" xfId="0" applyBorder="1" applyAlignment="1">
      <alignment horizontal="center" vertical="center" wrapText="1"/>
    </xf>
    <xf numFmtId="0" fontId="8" fillId="8" borderId="15" xfId="0" applyFont="1" applyFill="1" applyBorder="1" applyAlignment="1">
      <alignment horizontal="left" vertical="center" wrapText="1"/>
    </xf>
    <xf numFmtId="0" fontId="0" fillId="8" borderId="11" xfId="0" applyFill="1" applyBorder="1" applyAlignment="1">
      <alignment vertical="center" wrapText="1"/>
    </xf>
    <xf numFmtId="4" fontId="0" fillId="4" borderId="12" xfId="0" applyNumberFormat="1" applyFill="1" applyBorder="1" applyAlignment="1">
      <alignment vertical="center" wrapText="1"/>
    </xf>
    <xf numFmtId="0" fontId="8" fillId="5" borderId="15"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1" xfId="0" applyFont="1" applyFill="1" applyBorder="1" applyAlignment="1">
      <alignment horizontal="left" vertical="center" wrapText="1"/>
    </xf>
    <xf numFmtId="0" fontId="8" fillId="4" borderId="12" xfId="0" applyFont="1" applyFill="1" applyBorder="1" applyAlignment="1">
      <alignment horizontal="left" vertical="center" wrapText="1"/>
    </xf>
    <xf numFmtId="4" fontId="8" fillId="4" borderId="11" xfId="0" applyNumberFormat="1" applyFont="1" applyFill="1" applyBorder="1" applyAlignment="1">
      <alignment horizontal="left" vertical="center" wrapText="1"/>
    </xf>
    <xf numFmtId="4" fontId="8" fillId="4" borderId="12" xfId="0" applyNumberFormat="1" applyFont="1" applyFill="1" applyBorder="1" applyAlignment="1">
      <alignment horizontal="left" vertical="center" wrapText="1"/>
    </xf>
    <xf numFmtId="0" fontId="0" fillId="8" borderId="11" xfId="0" applyFill="1" applyBorder="1" applyAlignment="1">
      <alignment horizontal="center" vertical="center" wrapText="1"/>
    </xf>
    <xf numFmtId="0" fontId="0" fillId="4" borderId="11" xfId="0" applyFill="1" applyBorder="1" applyAlignment="1">
      <alignment horizontal="left" vertical="center" wrapText="1"/>
    </xf>
    <xf numFmtId="0" fontId="0" fillId="5" borderId="11" xfId="0" applyFill="1" applyBorder="1" applyAlignment="1">
      <alignment horizontal="left" vertical="center" wrapText="1"/>
    </xf>
    <xf numFmtId="0" fontId="0" fillId="8" borderId="11" xfId="0" applyFill="1" applyBorder="1" applyAlignment="1">
      <alignment horizontal="left" vertical="center" wrapText="1"/>
    </xf>
    <xf numFmtId="0" fontId="0" fillId="4" borderId="12" xfId="0" applyFill="1" applyBorder="1" applyAlignment="1">
      <alignment horizontal="left" vertical="center" wrapText="1"/>
    </xf>
    <xf numFmtId="0" fontId="0" fillId="8" borderId="12" xfId="0" applyFill="1" applyBorder="1" applyAlignment="1">
      <alignment horizontal="left" vertical="center" wrapText="1"/>
    </xf>
    <xf numFmtId="0" fontId="8" fillId="4" borderId="16"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0" fillId="5" borderId="12" xfId="0" applyFill="1" applyBorder="1" applyAlignment="1">
      <alignment horizontal="left" vertical="center" wrapText="1"/>
    </xf>
    <xf numFmtId="0" fontId="8" fillId="5" borderId="12" xfId="0" applyFont="1" applyFill="1" applyBorder="1" applyAlignment="1">
      <alignment horizontal="center" vertical="center" wrapText="1"/>
    </xf>
    <xf numFmtId="4" fontId="8" fillId="4" borderId="11" xfId="0" applyNumberFormat="1" applyFont="1" applyFill="1" applyBorder="1" applyAlignment="1">
      <alignment horizontal="center" vertical="center" wrapText="1"/>
    </xf>
    <xf numFmtId="4" fontId="0" fillId="4" borderId="11" xfId="0" applyNumberFormat="1" applyFill="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8" fillId="0" borderId="0" xfId="0" applyFont="1" applyAlignment="1">
      <alignment horizontal="right" vertical="center" wrapText="1"/>
    </xf>
    <xf numFmtId="0" fontId="8" fillId="0" borderId="0" xfId="0" applyFont="1" applyAlignment="1">
      <alignment horizontal="center" vertical="center" wrapText="1"/>
    </xf>
    <xf numFmtId="0" fontId="9" fillId="0" borderId="0" xfId="0" applyFont="1" applyAlignment="1">
      <alignment horizontal="right" vertical="center" wrapText="1"/>
    </xf>
    <xf numFmtId="0" fontId="10" fillId="0" borderId="0" xfId="0" applyFont="1" applyAlignment="1">
      <alignment horizontal="center" vertical="center" wrapText="1"/>
    </xf>
    <xf numFmtId="0" fontId="0" fillId="0" borderId="0" xfId="0" applyAlignment="1">
      <alignment horizontal="center" vertical="center"/>
    </xf>
    <xf numFmtId="0" fontId="24" fillId="0" borderId="0" xfId="0" applyFont="1" applyAlignment="1">
      <alignment horizontal="left" vertical="center" wrapText="1"/>
    </xf>
    <xf numFmtId="0" fontId="2" fillId="0" borderId="0" xfId="0" applyFont="1" applyAlignment="1">
      <alignment horizontal="center" wrapText="1"/>
    </xf>
    <xf numFmtId="0" fontId="1" fillId="0" borderId="14" xfId="0" applyFont="1" applyBorder="1" applyAlignment="1">
      <alignment horizontal="center" vertical="center" wrapText="1"/>
    </xf>
    <xf numFmtId="0" fontId="24" fillId="0" borderId="0" xfId="0" applyFont="1" applyAlignment="1">
      <alignment horizontal="left" vertical="top" wrapText="1" indent="16"/>
    </xf>
    <xf numFmtId="0" fontId="26" fillId="0" borderId="0" xfId="0" applyFont="1" applyAlignment="1">
      <alignment horizontal="center" vertical="center" wrapText="1"/>
    </xf>
    <xf numFmtId="0" fontId="27" fillId="0" borderId="0" xfId="0" applyFont="1" applyAlignment="1">
      <alignment horizontal="center" vertical="top"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cellXfs>
  <cellStyles count="6">
    <cellStyle name="Обычный" xfId="0" builtinId="0"/>
    <cellStyle name="Обычный 2" xfId="1" xr:uid="{4485FFCF-97C6-4B48-8C99-873B4DA6A6BD}"/>
    <cellStyle name="Обычный_Вихарева" xfId="4" xr:uid="{415B83A3-A2E0-4D03-95AE-70C5723FC473}"/>
    <cellStyle name="Обычный_Приложение 1" xfId="5" xr:uid="{772FF54C-2796-4DA6-9515-60F69A707F2F}"/>
    <cellStyle name="Финансовый 2" xfId="2" xr:uid="{BE0A758C-908E-4660-9DE0-8D4DFEBAEB0F}"/>
    <cellStyle name="Финансовый 2 2" xfId="3" xr:uid="{43FA6B78-6722-4EA6-8C32-1CFA1BF0DE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12</xdr:row>
      <xdr:rowOff>0</xdr:rowOff>
    </xdr:from>
    <xdr:to>
      <xdr:col>2</xdr:col>
      <xdr:colOff>190500</xdr:colOff>
      <xdr:row>12</xdr:row>
      <xdr:rowOff>19050</xdr:rowOff>
    </xdr:to>
    <xdr:sp macro="" textlink="">
      <xdr:nvSpPr>
        <xdr:cNvPr id="2" name="AutoShape 1" descr="data:image;base64,R0lGODdhFAAXAIABAAAAAP///ywAAAAAFAAXAAACK4yPqcvtD6MMoAIa76lQI8+A2yNKZeacWKiun9G6bkxZ7zTisL7rNg8MKgoAOw==">
          <a:extLst>
            <a:ext uri="{FF2B5EF4-FFF2-40B4-BE49-F238E27FC236}">
              <a16:creationId xmlns:a16="http://schemas.microsoft.com/office/drawing/2014/main" id="{D904E680-0174-4666-AF77-0EBE1E5D4060}"/>
            </a:ext>
          </a:extLst>
        </xdr:cNvPr>
        <xdr:cNvSpPr>
          <a:spLocks noChangeAspect="1" noChangeArrowheads="1"/>
        </xdr:cNvSpPr>
      </xdr:nvSpPr>
      <xdr:spPr bwMode="auto">
        <a:xfrm>
          <a:off x="6191250" y="2514600"/>
          <a:ext cx="1905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ru-RU"/>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N1\D\2003\&#1060;&#1086;&#1088;&#1084;&#1080;&#1088;&#1086;&#1074;&#1072;&#1085;&#1080;&#1077;%20&#1044;&#1055;&#1053;\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63-fs05\Departments\&#1044;&#1086;&#1082;&#1091;&#1084;&#1077;&#1085;&#1090;&#1099;\&#1041;&#1086;&#1088;&#1080;&#1089;&#1086;&#1074;&#1072;\&#1057;&#1045;&#1058;&#1045;&#1042;&#1040;&#1071;%20%20&#1050;&#1054;&#1052;&#1055;&#1040;&#1053;&#1048;&#1071;\&#1055;&#1056;&#1048;&#1057;&#1054;&#1045;&#1044;&#1048;&#1053;&#1045;&#1053;&#1048;&#1045;\&#1055;&#1083;&#1072;&#1090;&#1072;%20&#1085;&#1072;%202009&#1075;&#1086;&#1076;\&#1055;&#1083;&#1072;&#1090;&#1072;%20&#1079;&#1072;%20&#1058;&#1055;%202009%20&#1075;\&#1054;&#1089;&#1085;&#1086;&#1074;&#1085;&#1086;&#1081;%20&#1084;&#1072;&#1090;&#1077;&#1088;&#1080;&#1072;&#1083;\&#1055;&#1088;&#1086;&#1077;&#1082;&#1090;\&#1057;&#1077;&#1084;&#1080;&#1085;&#1072;\&#1086;&#1090;11.11.08-&#1085;&#1086;&#1074;&#1099;&#1081;\&#1058;&#1072;&#1073;&#1083;.%2017_06.11.20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63-fs05\Departments\&#1044;&#1086;&#1082;&#1091;&#1084;&#1077;&#1085;&#1090;&#1099;\&#1041;&#1086;&#1088;&#1080;&#1089;&#1086;&#1074;&#1072;\&#1057;&#1045;&#1058;&#1045;&#1042;&#1040;&#1071;%20%20&#1050;&#1054;&#1052;&#1055;&#1040;&#1053;&#1048;&#1071;\&#1058;&#1040;&#1056;&#1048;&#1060;&#1053;&#1067;&#1049;%20&#1054;&#1058;&#1044;&#1045;&#1051;\&#1058;&#1040;&#1056;&#1048;&#1060;%20&#1053;&#1040;%20&#1055;&#1045;&#1056;&#1045;&#1044;&#1040;&#1063;&#1059;\&#1058;&#1072;&#1088;&#1080;&#1092;&#1099;%20&#1085;&#1072;%202007%20&#1075;&#1086;&#1076;\&#1054;&#1088;&#1075;&#1072;&#1085;&#1080;&#1079;&#1072;&#1094;&#1080;&#1086;&#1085;&#1085;&#1099;&#1077;%20&#1076;&#1086;&#1082;&#1091;&#1084;&#1077;&#1085;&#1090;&#1099;%20&#1087;&#1086;%20&#1087;&#1086;&#1076;&#1075;&#1086;&#1090;&#1086;&#1074;&#1082;&#1077;\GR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63-fs05\Departments\DOCUME~1\NKONDA~1.FST\LOCALS~1\Temp\notes6030C8\proverk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63-fs05\Departments\&#1044;&#1086;&#1082;&#1091;&#1084;&#1077;&#1085;&#1090;&#1099;\&#1041;&#1086;&#1088;&#1080;&#1089;&#1086;&#1074;&#1072;\&#1057;&#1045;&#1058;&#1045;&#1042;&#1040;&#1071;%20%20&#1050;&#1054;&#1052;&#1055;&#1040;&#1053;&#1048;&#1071;\&#1058;&#1040;&#1056;&#1048;&#1060;&#1053;&#1067;&#1049;%20&#1054;&#1058;&#1044;&#1045;&#1051;\&#1058;&#1040;&#1056;&#1048;&#1060;%20&#1053;&#1040;%20&#1055;&#1045;&#1056;&#1045;&#1044;&#1040;&#1063;&#1059;\&#1058;&#1072;&#1088;&#1080;&#1092;&#1099;%20&#1085;&#1072;%202009%20&#1075;&#1086;&#1076;\&#1055;&#1088;&#1080;&#1083;&#1086;&#1078;&#1077;&#1085;&#1080;&#1103;%20&#1082;%20&#1087;&#1088;&#1080;&#1082;&#1072;&#1079;&#1091;%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39.200\&#1092;&#1089;&#1090;\&#1044;&#1086;&#1082;&#1091;&#1084;&#1077;&#1085;&#1090;&#1099;\OREP.INV.NE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63-fs05\Departments\Documents%20and%20Settings\san\&#1056;&#1072;&#1073;&#1086;&#1095;&#1080;&#1081;%20&#1089;&#1090;&#1086;&#1083;\&#1091;&#1056;&#1071;&#1044;&#1054;&#1042;\&#1048;&#1055;&#1056;%202008-12(&#1057;&#1072;&#1084;&#1072;&#1088;&#1072;&#1060;2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alobanov\plan-99\P-99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1041;&#1044;&#1056;\2016\&#1047;&#1072;&#1076;&#1072;&#1085;&#1080;&#1103;\&#1050;&#1088;&#1077;&#1084;&#1085;&#1077;&#1074;&#1072;\&#1060;&#1086;&#1088;&#1084;&#1072;&#1090;&#1099;%20&#1058;&#1055;\&#1054;&#1090;%20&#1086;&#1088;&#1075;&#1072;&#1085;&#1080;&#1079;&#1072;&#1094;&#1080;&#1081;\4.&#1069;&#1085;&#1077;&#1088;&#1075;&#1086;&#1089;&#1077;&#1090;&#1100;%20-%20&#1071;&#1085;&#1090;&#1080;&#1082;&#1086;&#1074;&#108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R:\&#1052;&#1056;&#1057;&#1050;%20&#1042;&#1086;&#1083;&#1075;&#1080;\&#1044;&#1077;&#1087;&#1072;&#1088;&#1090;&#1072;&#1084;&#1077;&#1085;&#1090;%20&#1090;&#1072;&#1088;&#1080;&#1092;&#1086;&#1086;&#1073;&#1088;&#1072;&#1079;&#1086;&#1074;&#1072;&#1085;&#1080;&#1103;\&#1058;&#1072;&#1088;&#1080;&#1092;%202017%20&#1075;&#1086;&#1076;\&#1058;&#1077;&#1093;&#1087;&#1088;&#1080;&#1089;&#1086;&#1077;&#1076;&#1080;&#1085;&#1077;&#1085;&#1080;&#1077;\&#1057;&#1072;&#1088;&#1072;&#1090;&#1086;&#1074;\&#1044;&#1050;&#1057;%20&#1080;%20&#1044;&#1058;&#1055;\&#1057;&#1072;&#1084;&#1072;&#1088;&#1072;\&#1056;&#1072;&#1089;&#1095;&#1077;&#109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Aleksey/Desktop/&#1070;&#1047;&#1069;&#1057;&#1050;/&#1044;&#1083;&#1103;%20&#1042;&#1050;&#1057;%20&#1085;&#1072;%2001.09.2025/2025-08-31%20&#1055;&#1088;&#1080;&#1083;&#1086;&#1078;&#1077;&#1085;&#1080;&#1077;%201%20&#1082;%20&#1079;&#1072;&#1103;&#1074;&#1082;&#1077;%20&#1061;&#1077;&#1088;&#1089;&#1086;&#1085;&#1101;&#1085;&#1077;&#1088;&#1075;&#108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63-fs05\Departments\&#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63-fs05\Departments\&#1044;&#1086;&#1082;&#1091;&#1084;&#1077;&#1085;&#1090;&#1099;\&#1041;&#1086;&#1088;&#1080;&#1089;&#1086;&#1074;&#1072;\&#1057;&#1045;&#1058;&#1045;&#1042;&#1040;&#1071;%20%20&#1050;&#1054;&#1052;&#1055;&#1040;&#1053;&#1048;&#1071;\&#1058;&#1040;&#1056;&#1048;&#1060;&#1053;&#1067;&#1049;%20&#1054;&#1058;&#1044;&#1045;&#1051;\&#1058;&#1040;&#1056;&#1048;&#1060;%20&#1053;&#1040;%20&#1055;&#1045;&#1056;&#1045;&#1044;&#1040;&#1063;&#1059;\&#1058;&#1072;&#1088;&#1080;&#1092;&#1099;%20&#1085;&#1072;%202009%20&#1075;&#1086;&#1076;\&#1056;&#1072;&#1089;&#1095;&#1077;&#1090;%20&#1090;&#1072;&#1088;&#1080;&#1092;&#1072;\&#1056;&#1072;&#1089;&#1095;&#1077;&#1090;\&#1054;&#1089;&#1085;&#1086;&#1074;&#1085;&#1086;&#1081;%20&#1088;&#1072;&#1089;&#1095;&#1077;&#1090;\&#1040;&#1056;&#1052;%20&#1086;&#1090;%2021.04.08\&#1040;&#1056;&#1052;.2009-&#1057;&#1072;&#1084;&#1072;&#1088;&#107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52;&#1056;&#1057;&#1050;%20&#1042;&#1086;&#1083;&#1075;&#1080;/&#1044;&#1077;&#1087;&#1072;&#1088;&#1090;&#1072;&#1084;&#1077;&#1085;&#1090;%20&#1090;&#1072;&#1088;&#1080;&#1092;&#1086;&#1086;&#1073;&#1088;&#1072;&#1079;&#1086;&#1074;&#1072;&#1085;&#1080;&#1103;/&#1056;&#1077;&#1096;&#1077;&#1085;&#1080;&#1103;%202015%20&#1075;&#1086;&#1076;/&#1058;&#1077;&#1093;&#1087;&#1088;&#1080;&#1089;&#1086;&#1077;&#1076;&#1080;&#1085;&#1077;&#1085;&#1080;&#1077;/&#1060;&#1086;&#1088;&#1084;&#1072;%20&#8470;6/FORMA.6.2.6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Users\Zotov_EA\AppData\Local\Microsoft\Windows\Temporary%20Internet%20Files\Content.Outlook\QDYE3O1K\&#1058;&#1086;&#1084;&#1089;&#1082;&#1072;&#1103;%20&#1056;&#1050;\&#1055;&#1088;&#1080;&#1083;&#1086;&#1078;&#1077;&#1085;&#1080;&#1077;_&#1060;&#1086;&#1088;&#1084;&#1072;&#1090;_&#1057;&#1090;&#1086;&#1080;&#1084;&#1086;&#1089;&#1090;&#1100;_&#1058;&#1055;_&#1076;&#1083;&#1103;_&#1086;&#1090;&#1087;&#1088;&#1072;&#1074;&#1082;&#108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Users\Zotov_EA\AppData\Local\Microsoft\Windows\Temporary%20Internet%20Files\Content.Outlook\QDYE3O1K\&#1055;&#1088;&#1080;&#1083;&#1086;&#1078;&#1077;&#1085;&#1080;&#1077;_2_&#1082;_&#1055;&#1088;&#1086;&#1090;&#1086;&#1082;&#1086;&#1083;&#109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63-fs05\Departments\DOCUME~1\NKONDA~1.FST\LOCALS~1\Temp\notes6030C8\&#1055;&#1083;&#1072;&#1085;%20&#1085;&#1072;%202008-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63-fs05\Departments\&#1044;&#1086;&#1082;&#1091;&#1084;&#1077;&#1085;&#1090;&#1099;\&#1041;&#1086;&#1088;&#1080;&#1089;&#1086;&#1074;&#1072;\&#1057;&#1045;&#1058;&#1045;&#1042;&#1040;&#1071;%20%20&#1050;&#1054;&#1052;&#1055;&#1040;&#1053;&#1048;&#1071;\&#1058;&#1040;&#1056;&#1048;&#1060;&#1053;&#1067;&#1049;%20&#1054;&#1058;&#1044;&#1045;&#1051;\&#1058;&#1040;&#1056;&#1048;&#1060;%20&#1053;&#1040;%20&#1055;&#1045;&#1056;&#1045;&#1044;&#1040;&#1063;&#1059;\&#1058;&#1072;&#1088;&#1080;&#1092;&#1099;%20&#1085;&#1072;%202009%20&#1075;&#1086;&#1076;\&#1056;&#1072;&#1089;&#1095;&#1077;&#1090;%20&#1090;&#1072;&#1088;&#1080;&#1092;&#1072;\&#1056;&#1072;&#1089;&#1095;&#1077;&#1090;\&#1054;&#1089;&#1085;&#1086;&#1074;&#1085;&#1086;&#1081;%20&#1088;&#1072;&#1089;&#1095;&#1077;&#1090;\&#1054;&#1089;&#1085;&#1086;&#1074;&#1085;&#1072;&#1103;\&#1040;&#1056;&#1052;-&#1074;&#1072;&#1078;&#1085;&#1099;&#1081;\&#1040;&#1056;&#1052;.2009-&#1057;&#1072;&#1084;&#1072;&#1088;&#10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Справочно"/>
      <sheetName val="Инфо"/>
      <sheetName val="СОК накладные (ТК-Бишкек)"/>
      <sheetName val="2013б_п"/>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материалы"/>
      <sheetName val="Лист13"/>
      <sheetName val="КТ 13.1.1"/>
      <sheetName val="Списки"/>
      <sheetName val="Макет"/>
      <sheetName val=""/>
      <sheetName val="перечень ОИК"/>
      <sheetName val="перечень СКО"/>
      <sheetName val="перечень бизнес-систем"/>
      <sheetName val="оргструктура"/>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Огл. Графиков"/>
      <sheetName val="Текущие цены"/>
      <sheetName val="рабочий"/>
      <sheetName val="окраска"/>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Виды проектов для СПП"/>
      <sheetName val="Для формул"/>
      <sheetName val="Рейтинг"/>
      <sheetName val="Данные"/>
      <sheetName val="Регионы"/>
      <sheetName val="[_FES.X濔彗濥挧玟弱26 (3)"/>
      <sheetName val="СВОД форма (всего)"/>
      <sheetName val="3 квартал"/>
      <sheetName val="12.Прогнозный баланс"/>
      <sheetName val="СВОД форма"/>
      <sheetName val="Set"/>
      <sheetName val="Параметры"/>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共機J"/>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ПРОГНОЗ_1"/>
      <sheetName val="справочник"/>
      <sheetName val="Топливо"/>
      <sheetName val="Форэм-тепло"/>
      <sheetName val="на 1 тут"/>
      <sheetName val="на_1_тут"/>
      <sheetName val="T25"/>
      <sheetName val="T31"/>
      <sheetName val="форма-прил к ф№1"/>
      <sheetName val="T0"/>
      <sheetName val="9. Смета затрат"/>
      <sheetName val="11 Прочие_расчет"/>
      <sheetName val="10. БДР"/>
      <sheetName val="1"/>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InputTI"/>
      <sheetName val="Позиция"/>
      <sheetName val="map_nat"/>
      <sheetName val="map_RPG"/>
      <sheetName val="Profit &amp; Loss Total"/>
      <sheetName val="Контроль"/>
      <sheetName val="Отопление"/>
      <sheetName val="постоянные затраты"/>
      <sheetName val="#ССЫЛКА"/>
      <sheetName val="10"/>
      <sheetName val="11"/>
      <sheetName val="14"/>
      <sheetName val="16"/>
      <sheetName val="18"/>
      <sheetName val="19"/>
      <sheetName val="25"/>
      <sheetName val="22"/>
      <sheetName val="27"/>
      <sheetName val="28"/>
      <sheetName val="3"/>
      <sheetName val="4.1"/>
      <sheetName val="4"/>
      <sheetName val="vec"/>
      <sheetName val="Таб1.1"/>
      <sheetName val="календарный план"/>
      <sheetName val="MTL$-INTER"/>
      <sheetName val="合成単価作成・-BLDG"/>
      <sheetName val="Curves"/>
      <sheetName val="Note"/>
      <sheetName val="共機計算"/>
      <sheetName val="Heads"/>
      <sheetName val="Dbase"/>
      <sheetName val="Tables"/>
      <sheetName val="Page 2"/>
      <sheetName val="Закупки центр"/>
      <sheetName val="БФ-2-8-П"/>
      <sheetName val="БФ-2-13-П"/>
      <sheetName val="РБП"/>
      <sheetName val="ПС рек"/>
      <sheetName val="ПВР_9"/>
      <sheetName val="ЛЭП нов"/>
      <sheetName val="расшифровка"/>
      <sheetName val="Пер-Вл"/>
      <sheetName val="Source"/>
      <sheetName val="эл ст"/>
      <sheetName val="ис.смета"/>
      <sheetName val="Гр5(о)"/>
      <sheetName val="См-2 Шатурс сети  проект работы"/>
      <sheetName val="Макро"/>
      <sheetName val="Технический лист"/>
      <sheetName val="Месяцы"/>
      <sheetName val="17СВОД-ПУ"/>
      <sheetName val="Олимпстрой декабрь 2010"/>
      <sheetName val="ПП"/>
      <sheetName val="БФ-2-5-П"/>
      <sheetName val="НП-2-12-П"/>
      <sheetName val="1_из"/>
      <sheetName val="2РЗ"/>
      <sheetName val="3конф"/>
      <sheetName val="3_пр"/>
      <sheetName val="4_РЗ"/>
      <sheetName val="5_конф"/>
      <sheetName val="6_НКУ"/>
      <sheetName val="Таблица А13"/>
      <sheetName val="3оос_новая"/>
      <sheetName val="ТехЭк"/>
      <sheetName val="НВВ утв тарифы"/>
      <sheetName val="ВСПОМОГАТ"/>
      <sheetName val="план 2000"/>
      <sheetName val="SILICATE"/>
      <sheetName val="БДР_классиф-р_чистовой"/>
      <sheetName val="СВОД (с новой москвой)"/>
      <sheetName val="Корр ИП _2016_2017"/>
      <sheetName val="Расчет НВВ по RAB (2011-2017)"/>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правка"/>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Исполнение ИПР скорр"/>
      <sheetName val="Работы "/>
      <sheetName val="Служебная"/>
      <sheetName val="Легенда"/>
      <sheetName val="план-факторный"/>
      <sheetName val="Работы_"/>
      <sheetName val="-Данные для радара.xlsx"/>
      <sheetName val="Объемы и выручка"/>
      <sheetName val="Приложение2"/>
      <sheetName val="Баланс"/>
      <sheetName val="Standard"/>
      <sheetName val="Rombo"/>
      <sheetName val="НАИМЕНОВАНИЯ ЦФО"/>
      <sheetName val="55 Пороховой завод"/>
      <sheetName val="Направления реновации"/>
      <sheetName val="17.1"/>
      <sheetName val="21.3"/>
      <sheetName val="18.2"/>
      <sheetName val="2.3"/>
      <sheetName val="20"/>
      <sheetName val="P2.1"/>
      <sheetName val="СБП_ДохРасх_ВГО"/>
      <sheetName val="СБП_БДДС_ВГО"/>
      <sheetName val="СБП_ПрогнозныйБаланс_ВГО"/>
      <sheetName val="Список ДохРасх"/>
      <sheetName val="Список компаний"/>
      <sheetName val="Ед. измер."/>
      <sheetName val="Свод мвз"/>
      <sheetName val="мвз"/>
      <sheetName val="Вып. списки"/>
      <sheetName val="ПФМ"/>
      <sheetName val="Принадлежность"/>
      <sheetName val="Shflu Calc"/>
      <sheetName val="Анализ"/>
      <sheetName val="Main"/>
      <sheetName val="карточка"/>
      <sheetName val="Journals"/>
      <sheetName val="затраты"/>
      <sheetName val="Assumptions"/>
      <sheetName val="Вспомогат."/>
      <sheetName val="баланс СЗАО"/>
      <sheetName val="МЕНЮ"/>
      <sheetName val="янв"/>
      <sheetName val="фев"/>
      <sheetName val="мар"/>
      <sheetName val="апр"/>
      <sheetName val="май"/>
      <sheetName val="июн"/>
      <sheetName val="1кв"/>
      <sheetName val="2кв"/>
      <sheetName val="@ВрСп"/>
      <sheetName val="sapactivexlhiddensheet"/>
      <sheetName val="Табл. оценки дефицита"/>
      <sheetName val="Лист5"/>
      <sheetName val="БДДС"/>
      <sheetName val="ФЭМ сбыт"/>
      <sheetName val="Слайд 1"/>
      <sheetName val="Лист4"/>
      <sheetName val="Служебный лист"/>
      <sheetName val="Программа"/>
      <sheetName val="НСИ"/>
      <sheetName val="Pr_f_1"/>
      <sheetName val="списки ФП"/>
      <sheetName val="имена"/>
      <sheetName val="Смета прил.№2"/>
      <sheetName val="ид для табл.2"/>
      <sheetName val="март"/>
      <sheetName val="ПОСЭ (январь)"/>
      <sheetName val="рост.зп"/>
      <sheetName val="свод_до_вн_об_2"/>
      <sheetName val="расш_для_РАО2"/>
      <sheetName val="расш_для_РАО_стр_3102"/>
      <sheetName val="Сценарные_условия2"/>
      <sheetName val="Список_ДЗО2"/>
      <sheetName val="3_Программа_реализации2"/>
      <sheetName val="1_1_2"/>
      <sheetName val="1_2_2"/>
      <sheetName val="Графики_Гкал,тыс_руб_2"/>
      <sheetName val="2_1_2"/>
      <sheetName val="2_2_2"/>
      <sheetName val="2_3_2"/>
      <sheetName val="2_4_2"/>
      <sheetName val="3_1_2"/>
      <sheetName val="3_2_2"/>
      <sheetName val="3_3_2"/>
      <sheetName val="4_1_2"/>
      <sheetName val="4_2_2"/>
      <sheetName val="4_3_2"/>
      <sheetName val="4_4_2"/>
      <sheetName val="4_5_2"/>
      <sheetName val="4_6_2"/>
      <sheetName val="4_7_2"/>
      <sheetName val="5_1_2"/>
      <sheetName val="5_1_январь2"/>
      <sheetName val="5_1_февраль2"/>
      <sheetName val="5_1_март2"/>
      <sheetName val="6_1_2"/>
      <sheetName val="18_2-2"/>
      <sheetName val="Э1_14_ОАО2"/>
      <sheetName val="Э1_15ОАО2"/>
      <sheetName val="Э1_14_ЗЭС2"/>
      <sheetName val="Э1_14ЦЭС2"/>
      <sheetName val="Э1_14ВЭС2"/>
      <sheetName val="Э1_14ЮЭС2"/>
      <sheetName val="Э1_15ЗЭС2"/>
      <sheetName val="Э1_15ЦЭС2"/>
      <sheetName val="Э1_15ВЭС2"/>
      <sheetName val="Э1_15ЮЭС2"/>
      <sheetName val="1_кв_2"/>
      <sheetName val="2_кв_2"/>
      <sheetName val="3_кв_2"/>
      <sheetName val="4_кв_2"/>
      <sheetName val="_год2"/>
      <sheetName val="УП_33_свод_2"/>
      <sheetName val="пл__и_факт2"/>
      <sheetName val="П-16_2"/>
      <sheetName val="П-17_2"/>
      <sheetName val="П-18_2"/>
      <sheetName val="П-19_2"/>
      <sheetName val="УЗ-21_2"/>
      <sheetName val="УП-28_2"/>
      <sheetName val="УП-29_2"/>
      <sheetName val="УП-30_2"/>
      <sheetName val="УП-32_2"/>
      <sheetName val="УФ1_2"/>
      <sheetName val="УЗ1_2"/>
      <sheetName val="УЗ-26_(1)2"/>
      <sheetName val="УЗ-26_(2)2"/>
      <sheetName val="УЗ-26_(3)2"/>
      <sheetName val="УЗ-26_(4)2"/>
      <sheetName val="УЗ-27_(1)2"/>
      <sheetName val="УЗ-27_(2)2"/>
      <sheetName val="УЗ-27_(3)2"/>
      <sheetName val="УЗ-27_(4)2"/>
      <sheetName val="Лист1_(2)2"/>
      <sheetName val="УЗ-21_(1полуг_2002)2"/>
      <sheetName val="УЗ-21_(1полуг_2003_план)2"/>
      <sheetName val="УЗ-21_(1полуг_2003_факт)2"/>
      <sheetName val="УЗ-22_(1полуг_2002)факт2"/>
      <sheetName val="УЗ-22_(1полуг_2003)пл2"/>
      <sheetName val="УЗ-22_(1полуг_2003)факт2"/>
      <sheetName val="УЗ-23(1_полуг_2002)2"/>
      <sheetName val="УЗ-23(1_полуг_2003)пл2"/>
      <sheetName val="УЗ-23(1полуг_2003)_факт2"/>
      <sheetName val="УЗ-26_(1полуг_2002__факт)2"/>
      <sheetName val="УЗ-26_(1полуг_2003_план)2"/>
      <sheetName val="УЗ-26_(1полуг_2003_факт)2"/>
      <sheetName val="расходы_-_ТБР2"/>
      <sheetName val="модель_-_RAB_окончат_2"/>
      <sheetName val="НВВ_-_предложение_ок_2"/>
      <sheetName val="Расх__-_предложение_ок_2"/>
      <sheetName val="модель_-_ТБР_2"/>
      <sheetName val="Расчет_расходов_RAB_окончат__2"/>
      <sheetName val="Покупная_энергия_RAB2"/>
      <sheetName val="Расходы_-_индексация2"/>
      <sheetName val="Прил_12"/>
      <sheetName val="Прил__1_1_2"/>
      <sheetName val="пл-ф_01_06г_2"/>
      <sheetName val="Премия_(Бизнес-план)_2"/>
      <sheetName val="Премия_(БДР)_2"/>
      <sheetName val="Объемы_2"/>
      <sheetName val="СКС_2"/>
      <sheetName val="пл-ф_02_06г_2"/>
      <sheetName val="Дотация_за_февраль2"/>
      <sheetName val="Анализ_по_субконто2"/>
      <sheetName val="Объемы_март_2"/>
      <sheetName val="Доходы_март2"/>
      <sheetName val="котельные_22"/>
      <sheetName val="расшифровка_по_прочим2"/>
      <sheetName val="анализ_покупки_ТЭР2"/>
      <sheetName val="обьем_продаж2"/>
      <sheetName val="смета_ахр2"/>
      <sheetName val="приложение_2_2"/>
      <sheetName val="УФ-53_1кв02_скорр2"/>
      <sheetName val="УФ-53_1кв_2002_факт_2"/>
      <sheetName val="УФ-53_2кв02_скорр2"/>
      <sheetName val="УФ-53_3кв02скорр2"/>
      <sheetName val="УФ-53_4кв02_скорр2"/>
      <sheetName val="УФ-53_2002_всего2"/>
      <sheetName val="под_кредитное_плечо_25%2"/>
      <sheetName val="СОК_накладные_(ТК-Бишкек)2"/>
      <sheetName val="ТМЦ_ремонт2"/>
      <sheetName val="ОФ_вне_смет_строек2"/>
      <sheetName val="ОС_до_10_тр2"/>
      <sheetName val="охрана_окр_ср2"/>
      <sheetName val="типографские_бланки2"/>
      <sheetName val="ТМЦ_канц2"/>
      <sheetName val="Данные_для_расчета2"/>
      <sheetName val="Ком_потери2"/>
      <sheetName val="ñâîä_äî_âí_îá_2"/>
      <sheetName val="ðàñø_äëÿ_ÐÀÎ2"/>
      <sheetName val="ðàñø_äëÿ_ÐÀÎ_ñòð_3102"/>
      <sheetName val="Ãðàôèêè_Ãêàë,òûñ_ðóá_2"/>
      <sheetName val="5_1_ÿíâàðü2"/>
      <sheetName val="5_1_ôåâðàëü2"/>
      <sheetName val="5_1_ìàðò2"/>
      <sheetName val="Ý1_14_ÎÀÎ2"/>
      <sheetName val="Ý1_15ÎÀÎ2"/>
      <sheetName val="Ý1_14_ÇÝÑ2"/>
      <sheetName val="Ý1_14ÖÝÑ2"/>
      <sheetName val="Ý1_14ÂÝÑ2"/>
      <sheetName val="Ý1_14ÞÝÑ2"/>
      <sheetName val="Ý1_15ÇÝÑ2"/>
      <sheetName val="Ý1_15ÖÝÑ2"/>
      <sheetName val="Ý1_15ÂÝÑ2"/>
      <sheetName val="Ý1_15ÞÝÑ2"/>
      <sheetName val="1_êâ_2"/>
      <sheetName val="2_êâ_2"/>
      <sheetName val="3_êâ_2"/>
      <sheetName val="4_êâ_2"/>
      <sheetName val="_ãîä2"/>
      <sheetName val="ÓÏ_33_ñâîä_2"/>
      <sheetName val="ïë__è_ôàêò2"/>
      <sheetName val="ÓÔ1_2"/>
      <sheetName val="ÓÇ1_2"/>
      <sheetName val="ИТОГИ__по_Н,Р,Э,Q2"/>
      <sheetName val="КТ_13_1_12"/>
      <sheetName val="перечень_бизнес-систем1"/>
      <sheetName val="перечень_ОИК1"/>
      <sheetName val="перечень_СКО1"/>
      <sheetName val="Виды_проектов_для_СПП1"/>
      <sheetName val="Для_формул1"/>
      <sheetName val="Сравнение_сглаживания1"/>
      <sheetName val="Огл__Графиков1"/>
      <sheetName val="Текущие_цены1"/>
      <sheetName val="СВОД_форма_(всего)1"/>
      <sheetName val="3_квартал1"/>
      <sheetName val="12_Прогнозный_баланс1"/>
      <sheetName val="СВОД_форма1"/>
      <sheetName val="[_FES_X濔彗濥挧玟弱26_(3)1"/>
      <sheetName val="MTO_REV_01"/>
      <sheetName val="Доходы_от_эл__и_теплоэнергии1"/>
      <sheetName val="Dati_Caricati1"/>
      <sheetName val="Поставщики_и_субподрядчики1"/>
      <sheetName val="Производство_электроэнергии1"/>
      <sheetName val="Т19_11"/>
      <sheetName val="Прог_баланс1"/>
      <sheetName val="ДПН_ДЗ_и_КЗ1"/>
      <sheetName val="1_11"/>
      <sheetName val="1_21"/>
      <sheetName val="2_11"/>
      <sheetName val="2_21"/>
      <sheetName val="2_3_и_2_41"/>
      <sheetName val="2_51"/>
      <sheetName val="2_6_11"/>
      <sheetName val="2_6_21"/>
      <sheetName val="2_6_31"/>
      <sheetName val="2_6_41"/>
      <sheetName val="2_6_51"/>
      <sheetName val="2_6_61"/>
      <sheetName val="2_6_71"/>
      <sheetName val="2_6_81"/>
      <sheetName val="2_6_91"/>
      <sheetName val="2_71"/>
      <sheetName val="5_11"/>
      <sheetName val="5_21"/>
      <sheetName val="5_3_и_5_41"/>
      <sheetName val="5_51"/>
      <sheetName val="5_6_11"/>
      <sheetName val="5_6_21"/>
      <sheetName val="5_6_31"/>
      <sheetName val="5_6_41"/>
      <sheetName val="5_6_51"/>
      <sheetName val="5_6_61"/>
      <sheetName val="5_6_71"/>
      <sheetName val="5_6_81"/>
      <sheetName val="5_6_91"/>
      <sheetName val="5_71"/>
      <sheetName val="Расчет_накладных_расходов1"/>
      <sheetName val="Формат_ИПР"/>
      <sheetName val="УТВ_ИПР"/>
      <sheetName val="Ср_мощ_по_ТП_до_150_кВт_"/>
      <sheetName val="Исх_для_рас"/>
      <sheetName val="Исх_для_рас_OLD)"/>
      <sheetName val="Исх_макро"/>
      <sheetName val="ПЕРЕЧЕНЬ_РАБОТ"/>
      <sheetName val="Перечень_ИП_с_утв_ИПР"/>
      <sheetName val="КБК_БДДС"/>
      <sheetName val="Список_компаний_Россети"/>
      <sheetName val="9_с_увязкой_(АРМ)"/>
      <sheetName val="на_1_тут1"/>
      <sheetName val="форма-прил_к_ф№1"/>
      <sheetName val="9__Смета_затрат"/>
      <sheetName val="11_Прочие_расчет"/>
      <sheetName val="10__БДР"/>
      <sheetName val="услуги_непроизводств_"/>
      <sheetName val="другие_затраты_с-ст"/>
      <sheetName val="налоги_в_с-ст"/>
      <sheetName val="%_за_кредит"/>
      <sheetName val="поощрение_(ДВ)"/>
      <sheetName val="другие_из_прибыли"/>
      <sheetName val="Profit_&amp;_Loss_Total"/>
      <sheetName val="постоянные_затраты"/>
      <sheetName val="4_1"/>
      <sheetName val="Таб1_1"/>
      <sheetName val="календарный_план"/>
      <sheetName val="Page_2"/>
      <sheetName val="Закупки_центр"/>
      <sheetName val="ПС_рек"/>
      <sheetName val="ЛЭП_нов"/>
      <sheetName val="эл_ст"/>
      <sheetName val="ис_смета"/>
      <sheetName val="См-2_Шатурс_сети__проект_работы"/>
      <sheetName val="Технический_лист"/>
      <sheetName val="Олимпстрой_декабрь_2010"/>
      <sheetName val="Таблица_А13"/>
      <sheetName val="НВВ_утв_тарифы"/>
      <sheetName val="план_2000"/>
      <sheetName val="СВОД_(с_новой_москвой)"/>
      <sheetName val="Корр_ИП__2016_2017"/>
      <sheetName val="Расчет_НВВ_по_RAB_(2011-2017)"/>
      <sheetName val="2_ГСМ"/>
      <sheetName val="ТЭП_1"/>
      <sheetName val="Исх_"/>
      <sheetName val="3_15"/>
      <sheetName val="ПФВ-0_6"/>
      <sheetName val="ПТ-1_2факт"/>
      <sheetName val="2_Ê"/>
      <sheetName val="ДПН_Приток_денежных_средств"/>
      <sheetName val="ДПН_Отток_денежных_средств"/>
      <sheetName val="ДПН__Баланс_наличности"/>
      <sheetName val="ДПН_Инвестиции_и_кредиты"/>
      <sheetName val="Титульный_лист_"/>
      <sheetName val="Выпадающие_списки"/>
      <sheetName val="Премия_(Бизнес-план)"/>
      <sheetName val="Премия_(БДР)"/>
      <sheetName val="Объемы_март"/>
      <sheetName val="приложение_2"/>
      <sheetName val="Для_выпадающих"/>
      <sheetName val="CMA_Calculations-_R_Factor"/>
      <sheetName val="CMA_Calculations-_Figure_5440_1"/>
      <sheetName val="4_3_Лимит_изм_ДЗ_и_КЗ"/>
      <sheetName val="АртМРО_кВтч1"/>
      <sheetName val="АртМРО_руб1"/>
      <sheetName val="АртМРО_тариф1"/>
      <sheetName val="ВостМРО_кВтч1"/>
      <sheetName val="ВостМРО_руб1"/>
      <sheetName val="ВостМРО_тариф1"/>
      <sheetName val="ЗапМРО_кВтч,_МВт1"/>
      <sheetName val="ЗапМРО_руб1"/>
      <sheetName val="ЗапМРО__тариф1"/>
      <sheetName val="Н-ТагМРО_кВтч1"/>
      <sheetName val="Н-ТагМРО_руб1"/>
      <sheetName val="Н-Тагил_тариф1"/>
      <sheetName val="СерМРО_кВтч1"/>
      <sheetName val="СерМРО_руб1"/>
      <sheetName val="СерМРО_тариф1"/>
      <sheetName val="ТалМРО_кВтч1"/>
      <sheetName val="ТалМРО_руб1"/>
      <sheetName val="ТалМРО_тариф1"/>
      <sheetName val="ЦСбыт_кВтч1"/>
      <sheetName val="ЦСбыт_руб1"/>
      <sheetName val="ЦСбыт_тариф1"/>
      <sheetName val="БЦ_кВтч1"/>
      <sheetName val="БЦ_руб1"/>
      <sheetName val="БЦ_тариф1"/>
      <sheetName val="ПРКЦ_кВтч1"/>
      <sheetName val="ПРКЦ_руб1"/>
      <sheetName val="ПРКЦ_тариф1"/>
      <sheetName val="Сбыт_всего_кВтч1"/>
      <sheetName val="Сбыт_всего_руб1"/>
      <sheetName val="Сбыт_всего_тариф1"/>
      <sheetName val="Калькуляция_кв1"/>
      <sheetName val="Справочник_предприятий1"/>
      <sheetName val="КТЖ_БДР"/>
      <sheetName val="12_месяцев_2010"/>
      <sheetName val="6НК-cт_"/>
      <sheetName val="ЗАО_н_ит"/>
      <sheetName val="Сдача_"/>
      <sheetName val="Ural_med"/>
      <sheetName val="4_000_000_тыс_тг"/>
      <sheetName val="15_000_000_тыс_тг"/>
      <sheetName val="ЦХЛ_2004"/>
      <sheetName val="Фин_обязат_"/>
      <sheetName val="Financial_ratios_А3"/>
      <sheetName val="K_300_RFD_KMG_EP"/>
      <sheetName val="ЦТУ_(касса)"/>
      <sheetName val="ЕБРР_200_млн_$_24_05_12"/>
      <sheetName val="5NK_"/>
      <sheetName val="ЛСЦ_начисленное_на_31_12_08"/>
      <sheetName val="ЛЛизинг_начис__на_31_12_08"/>
      <sheetName val="Доходы_всего"/>
      <sheetName val="Доходы_обороты"/>
      <sheetName val="Доступ_к_МЖС"/>
      <sheetName val="мать_факт_(изм_НДС)"/>
      <sheetName val="прочие_поступления"/>
      <sheetName val="кредитный_бюджет_2014"/>
      <sheetName val="прочие_выб_по_дзо"/>
      <sheetName val="инвест_разбивка"/>
      <sheetName val="оплата_БЗ_и_ОСО_для_БДДС"/>
      <sheetName val="Соц_сфера"/>
      <sheetName val="расходы_КТЖ"/>
      <sheetName val="прочие_выбытия_"/>
      <sheetName val="депозиты_2014"/>
      <sheetName val="УК_и_ФП"/>
      <sheetName val="бюджет_2013_освоение_)"/>
      <sheetName val="Исполнение_ИПР_скорр"/>
      <sheetName val="Работы_1"/>
      <sheetName val="-Данные_для_радара_xlsx"/>
      <sheetName val="Объемы_и_выручка"/>
      <sheetName val="НАИМЕНОВАНИЯ_ЦФО"/>
      <sheetName val="Статьи БДР"/>
      <sheetName val="Перечень компаний"/>
      <sheetName val="смет作Ê_xdd50_Ỽའ"/>
      <sheetName val="смет作Ê_xdd50_Ỽ"/>
      <sheetName val="MAIN GATE HOUSE"/>
      <sheetName val="FST5"/>
      <sheetName val="Смета2 проект. раб."/>
      <sheetName val="ФСК"/>
      <sheetName val="ТСО"/>
      <sheetName val="Пл-гр. выдачи сим на 2024г"/>
      <sheetName val="варианты"/>
      <sheetName val="База"/>
      <sheetName val="свод_до_вн_об_3"/>
      <sheetName val="расш_для_РАО3"/>
      <sheetName val="расш_для_РАО_стр_3103"/>
      <sheetName val="Сценарные_условия3"/>
      <sheetName val="Список_ДЗО3"/>
      <sheetName val="3_Программа_реализации3"/>
      <sheetName val="1_1_3"/>
      <sheetName val="1_2_3"/>
      <sheetName val="Графики_Гкал,тыс_руб_3"/>
      <sheetName val="2_1_3"/>
      <sheetName val="2_2_3"/>
      <sheetName val="2_3_3"/>
      <sheetName val="2_4_3"/>
      <sheetName val="3_1_3"/>
      <sheetName val="3_2_3"/>
      <sheetName val="3_3_3"/>
      <sheetName val="4_1_3"/>
      <sheetName val="4_2_3"/>
      <sheetName val="4_3_3"/>
      <sheetName val="4_4_3"/>
      <sheetName val="4_5_3"/>
      <sheetName val="4_6_3"/>
      <sheetName val="4_7_3"/>
      <sheetName val="5_1_3"/>
      <sheetName val="5_1_январь3"/>
      <sheetName val="5_1_февраль3"/>
      <sheetName val="5_1_март3"/>
      <sheetName val="6_1_3"/>
      <sheetName val="18_2-3"/>
      <sheetName val="Э1_14_ОАО3"/>
      <sheetName val="Э1_15ОАО3"/>
      <sheetName val="Э1_14_ЗЭС3"/>
      <sheetName val="Э1_14ЦЭС3"/>
      <sheetName val="Э1_14ВЭС3"/>
      <sheetName val="Э1_14ЮЭС3"/>
      <sheetName val="Э1_15ЗЭС3"/>
      <sheetName val="Э1_15ЦЭС3"/>
      <sheetName val="Э1_15ВЭС3"/>
      <sheetName val="Э1_15ЮЭС3"/>
      <sheetName val="1_кв_3"/>
      <sheetName val="2_кв_3"/>
      <sheetName val="3_кв_3"/>
      <sheetName val="4_кв_3"/>
      <sheetName val="_год3"/>
      <sheetName val="УП_33_свод_3"/>
      <sheetName val="пл__и_факт3"/>
      <sheetName val="П-16_3"/>
      <sheetName val="П-17_3"/>
      <sheetName val="П-18_3"/>
      <sheetName val="П-19_3"/>
      <sheetName val="УЗ-21_3"/>
      <sheetName val="УП-28_3"/>
      <sheetName val="УП-29_3"/>
      <sheetName val="УП-30_3"/>
      <sheetName val="УП-32_3"/>
      <sheetName val="УФ1_3"/>
      <sheetName val="УЗ1_3"/>
      <sheetName val="УЗ-26_(1)3"/>
      <sheetName val="УЗ-26_(2)3"/>
      <sheetName val="УЗ-26_(3)3"/>
      <sheetName val="УЗ-26_(4)3"/>
      <sheetName val="УЗ-27_(1)3"/>
      <sheetName val="УЗ-27_(2)3"/>
      <sheetName val="УЗ-27_(3)3"/>
      <sheetName val="УЗ-27_(4)3"/>
      <sheetName val="Лист1_(2)3"/>
      <sheetName val="УЗ-21_(1полуг_2002)3"/>
      <sheetName val="УЗ-21_(1полуг_2003_план)3"/>
      <sheetName val="УЗ-21_(1полуг_2003_факт)3"/>
      <sheetName val="УЗ-22_(1полуг_2002)факт3"/>
      <sheetName val="УЗ-22_(1полуг_2003)пл3"/>
      <sheetName val="УЗ-22_(1полуг_2003)факт3"/>
      <sheetName val="УЗ-23(1_полуг_2002)3"/>
      <sheetName val="УЗ-23(1_полуг_2003)пл3"/>
      <sheetName val="УЗ-23(1полуг_2003)_факт3"/>
      <sheetName val="УЗ-26_(1полуг_2002__факт)3"/>
      <sheetName val="УЗ-26_(1полуг_2003_план)3"/>
      <sheetName val="УЗ-26_(1полуг_2003_факт)3"/>
      <sheetName val="расходы_-_ТБР3"/>
      <sheetName val="модель_-_RAB_окончат_3"/>
      <sheetName val="НВВ_-_предложение_ок_3"/>
      <sheetName val="Расх__-_предложение_ок_3"/>
      <sheetName val="модель_-_ТБР_3"/>
      <sheetName val="Расчет_расходов_RAB_окончат__3"/>
      <sheetName val="Покупная_энергия_RAB3"/>
      <sheetName val="Расходы_-_индексация3"/>
      <sheetName val="Прил_13"/>
      <sheetName val="Прил__1_1_3"/>
      <sheetName val="пл-ф_01_06г_3"/>
      <sheetName val="Премия_(Бизнес-план)_3"/>
      <sheetName val="Премия_(БДР)_3"/>
      <sheetName val="Объемы_3"/>
      <sheetName val="СКС_3"/>
      <sheetName val="пл-ф_02_06г_3"/>
      <sheetName val="Дотация_за_февраль3"/>
      <sheetName val="Анализ_по_субконто3"/>
      <sheetName val="Объемы_март_3"/>
      <sheetName val="Доходы_март3"/>
      <sheetName val="котельные_23"/>
      <sheetName val="расшифровка_по_прочим3"/>
      <sheetName val="анализ_покупки_ТЭР3"/>
      <sheetName val="обьем_продаж3"/>
      <sheetName val="смета_ахр3"/>
      <sheetName val="приложение_2_3"/>
      <sheetName val="УФ-53_1кв02_скорр3"/>
      <sheetName val="УФ-53_1кв_2002_факт_3"/>
      <sheetName val="УФ-53_2кв02_скорр3"/>
      <sheetName val="УФ-53_3кв02скорр3"/>
      <sheetName val="УФ-53_4кв02_скорр3"/>
      <sheetName val="УФ-53_2002_всего3"/>
      <sheetName val="под_кредитное_плечо_25%3"/>
      <sheetName val="СОК_накладные_(ТК-Бишкек)3"/>
      <sheetName val="ТМЦ_ремонт3"/>
      <sheetName val="ОФ_вне_смет_строек3"/>
      <sheetName val="ОС_до_10_тр3"/>
      <sheetName val="охрана_окр_ср3"/>
      <sheetName val="типографские_бланки3"/>
      <sheetName val="ТМЦ_канц3"/>
      <sheetName val="Данные_для_расчета3"/>
      <sheetName val="Ком_потери3"/>
      <sheetName val="ñâîä_äî_âí_îá_3"/>
      <sheetName val="ðàñø_äëÿ_ÐÀÎ3"/>
      <sheetName val="ðàñø_äëÿ_ÐÀÎ_ñòð_3103"/>
      <sheetName val="Ãðàôèêè_Ãêàë,òûñ_ðóá_3"/>
      <sheetName val="5_1_ÿíâàðü3"/>
      <sheetName val="5_1_ôåâðàëü3"/>
      <sheetName val="5_1_ìàðò3"/>
      <sheetName val="Ý1_14_ÎÀÎ3"/>
      <sheetName val="Ý1_15ÎÀÎ3"/>
      <sheetName val="Ý1_14_ÇÝÑ3"/>
      <sheetName val="Ý1_14ÖÝÑ3"/>
      <sheetName val="Ý1_14ÂÝÑ3"/>
      <sheetName val="Ý1_14ÞÝÑ3"/>
      <sheetName val="Ý1_15ÇÝÑ3"/>
      <sheetName val="Ý1_15ÖÝÑ3"/>
      <sheetName val="Ý1_15ÂÝÑ3"/>
      <sheetName val="Ý1_15ÞÝÑ3"/>
      <sheetName val="1_êâ_3"/>
      <sheetName val="2_êâ_3"/>
      <sheetName val="3_êâ_3"/>
      <sheetName val="4_êâ_3"/>
      <sheetName val="_ãîä3"/>
      <sheetName val="ÓÏ_33_ñâîä_3"/>
      <sheetName val="ïë__è_ôàêò3"/>
      <sheetName val="ÓÔ1_3"/>
      <sheetName val="ÓÇ1_3"/>
      <sheetName val="ИТОГИ__по_Н,Р,Э,Q3"/>
      <sheetName val="КТ_13_1_13"/>
      <sheetName val="перечень_бизнес-систем2"/>
      <sheetName val="перечень_ОИК2"/>
      <sheetName val="перечень_СКО2"/>
      <sheetName val="Виды_проектов_для_СПП2"/>
      <sheetName val="Для_формул2"/>
      <sheetName val="Сравнение_сглаживания2"/>
      <sheetName val="Огл__Графиков2"/>
      <sheetName val="Текущие_цены2"/>
      <sheetName val="СВОД_форма_(всего)2"/>
      <sheetName val="3_квартал2"/>
      <sheetName val="12_Прогнозный_баланс2"/>
      <sheetName val="СВОД_форма2"/>
      <sheetName val="[_FES_X濔彗濥挧玟弱26_(3)2"/>
      <sheetName val="MTO_REV_02"/>
      <sheetName val="Доходы_от_эл__и_теплоэнергии2"/>
      <sheetName val="Dati_Caricati2"/>
      <sheetName val="Поставщики_и_субподрядчики2"/>
      <sheetName val="Производство_электроэнергии2"/>
      <sheetName val="Т19_12"/>
      <sheetName val="Прог_баланс2"/>
      <sheetName val="ДПН_ДЗ_и_КЗ2"/>
      <sheetName val="1_12"/>
      <sheetName val="1_22"/>
      <sheetName val="2_12"/>
      <sheetName val="2_22"/>
      <sheetName val="2_3_и_2_42"/>
      <sheetName val="2_52"/>
      <sheetName val="2_6_12"/>
      <sheetName val="2_6_22"/>
      <sheetName val="2_6_32"/>
      <sheetName val="2_6_42"/>
      <sheetName val="2_6_52"/>
      <sheetName val="2_6_62"/>
      <sheetName val="2_6_72"/>
      <sheetName val="2_6_82"/>
      <sheetName val="2_6_92"/>
      <sheetName val="2_72"/>
      <sheetName val="5_12"/>
      <sheetName val="5_22"/>
      <sheetName val="5_3_и_5_42"/>
      <sheetName val="5_52"/>
      <sheetName val="5_6_12"/>
      <sheetName val="5_6_22"/>
      <sheetName val="5_6_32"/>
      <sheetName val="5_6_42"/>
      <sheetName val="5_6_52"/>
      <sheetName val="5_6_62"/>
      <sheetName val="5_6_72"/>
      <sheetName val="5_6_82"/>
      <sheetName val="5_6_92"/>
      <sheetName val="5_72"/>
      <sheetName val="Расчет_накладных_расходов2"/>
      <sheetName val="Формат_ИПР1"/>
      <sheetName val="УТВ_ИПР1"/>
      <sheetName val="Ср_мощ_по_ТП_до_150_кВт_1"/>
      <sheetName val="Исх_для_рас1"/>
      <sheetName val="Исх_для_рас_OLD)1"/>
      <sheetName val="Исх_макро1"/>
      <sheetName val="ПЕРЕЧЕНЬ_РАБОТ1"/>
      <sheetName val="Перечень_ИП_с_утв_ИПР1"/>
      <sheetName val="КБК_БДДС1"/>
      <sheetName val="Список_компаний_Россети1"/>
      <sheetName val="9_с_увязкой_(АРМ)1"/>
      <sheetName val="на_1_тут2"/>
      <sheetName val="форма-прил_к_ф№11"/>
      <sheetName val="9__Смета_затрат1"/>
      <sheetName val="11_Прочие_расчет1"/>
      <sheetName val="10__БДР1"/>
      <sheetName val="услуги_непроизводств_1"/>
      <sheetName val="другие_затраты_с-ст1"/>
      <sheetName val="налоги_в_с-ст1"/>
      <sheetName val="%_за_кредит1"/>
      <sheetName val="поощрение_(ДВ)1"/>
      <sheetName val="другие_из_прибыли1"/>
      <sheetName val="Profit_&amp;_Loss_Total1"/>
      <sheetName val="постоянные_затраты1"/>
      <sheetName val="4_11"/>
      <sheetName val="Таб1_11"/>
      <sheetName val="календарный_план1"/>
      <sheetName val="Page_21"/>
      <sheetName val="Закупки_центр1"/>
      <sheetName val="ПС_рек1"/>
      <sheetName val="ЛЭП_нов1"/>
      <sheetName val="эл_ст1"/>
      <sheetName val="ис_смета1"/>
      <sheetName val="См-2_Шатурс_сети__проект_работ1"/>
      <sheetName val="Технический_лист1"/>
      <sheetName val="Олимпстрой_декабрь_20101"/>
      <sheetName val="Таблица_А131"/>
      <sheetName val="НВВ_утв_тарифы1"/>
      <sheetName val="план_20001"/>
      <sheetName val="СВОД_(с_новой_москвой)1"/>
      <sheetName val="Корр_ИП__2016_20171"/>
      <sheetName val="Расчет_НВВ_по_RAB_(2011-2017)1"/>
      <sheetName val="2_ГСМ1"/>
      <sheetName val="ТЭП_11"/>
      <sheetName val="Исх_1"/>
      <sheetName val="3_151"/>
      <sheetName val="ПФВ-0_61"/>
      <sheetName val="ПТ-1_2факт1"/>
      <sheetName val="2_Ê1"/>
      <sheetName val="ДПН_Приток_денежных_средств1"/>
      <sheetName val="ДПН_Отток_денежных_средств1"/>
      <sheetName val="ДПН__Баланс_наличности1"/>
      <sheetName val="ДПН_Инвестиции_и_кредиты1"/>
      <sheetName val="Титульный_лист_1"/>
      <sheetName val="Выпадающие_списки1"/>
      <sheetName val="Премия_(Бизнес-план)1"/>
      <sheetName val="Премия_(БДР)1"/>
      <sheetName val="Объемы_март1"/>
      <sheetName val="приложение_21"/>
      <sheetName val="Для_выпадающих1"/>
      <sheetName val="CMA_Calculations-_R_Factor1"/>
      <sheetName val="CMA_Calculations-_Figure_5440_2"/>
      <sheetName val="4_3_Лимит_изм_ДЗ_и_КЗ1"/>
      <sheetName val="АртМРО_кВтч2"/>
      <sheetName val="АртМРО_руб2"/>
      <sheetName val="АртМРО_тариф2"/>
      <sheetName val="ВостМРО_кВтч2"/>
      <sheetName val="ВостМРО_руб2"/>
      <sheetName val="ВостМРО_тариф2"/>
      <sheetName val="ЗапМРО_кВтч,_МВт2"/>
      <sheetName val="ЗапМРО_руб2"/>
      <sheetName val="ЗапМРО__тариф2"/>
      <sheetName val="Н-ТагМРО_кВтч2"/>
      <sheetName val="Н-ТагМРО_руб2"/>
      <sheetName val="Н-Тагил_тариф2"/>
      <sheetName val="СерМРО_кВтч2"/>
      <sheetName val="СерМРО_руб2"/>
      <sheetName val="СерМРО_тариф2"/>
      <sheetName val="ТалМРО_кВтч2"/>
      <sheetName val="ТалМРО_руб2"/>
      <sheetName val="ТалМРО_тариф2"/>
      <sheetName val="ЦСбыт_кВтч2"/>
      <sheetName val="ЦСбыт_руб2"/>
      <sheetName val="ЦСбыт_тариф2"/>
      <sheetName val="БЦ_кВтч2"/>
      <sheetName val="БЦ_руб2"/>
      <sheetName val="БЦ_тариф2"/>
      <sheetName val="ПРКЦ_кВтч2"/>
      <sheetName val="ПРКЦ_руб2"/>
      <sheetName val="ПРКЦ_тариф2"/>
      <sheetName val="Сбыт_всего_кВтч2"/>
      <sheetName val="Сбыт_всего_руб2"/>
      <sheetName val="Сбыт_всего_тариф2"/>
      <sheetName val="Калькуляция_кв2"/>
      <sheetName val="Справочник_предприятий2"/>
      <sheetName val="КТЖ_БДР1"/>
      <sheetName val="12_месяцев_20101"/>
      <sheetName val="6НК-cт_1"/>
      <sheetName val="ЗАО_н_ит1"/>
      <sheetName val="Сдача_1"/>
      <sheetName val="Ural_med1"/>
      <sheetName val="4_000_000_тыс_тг1"/>
      <sheetName val="15_000_000_тыс_тг1"/>
      <sheetName val="ЦХЛ_20041"/>
      <sheetName val="Фин_обязат_1"/>
      <sheetName val="Financial_ratios_А31"/>
      <sheetName val="K_300_RFD_KMG_EP1"/>
      <sheetName val="ЦТУ_(касса)1"/>
      <sheetName val="ЕБРР_200_млн_$_24_05_121"/>
      <sheetName val="5NK_1"/>
      <sheetName val="ЛСЦ_начисленное_на_31_12_081"/>
      <sheetName val="ЛЛизинг_начис__на_31_12_081"/>
      <sheetName val="Доходы_всего1"/>
      <sheetName val="Доходы_обороты1"/>
      <sheetName val="Доступ_к_МЖС1"/>
      <sheetName val="мать_факт_(изм_НДС)1"/>
      <sheetName val="прочие_поступления1"/>
      <sheetName val="кредитный_бюджет_20141"/>
      <sheetName val="прочие_выб_по_дзо1"/>
      <sheetName val="инвест_разбивка1"/>
      <sheetName val="оплата_БЗ_и_ОСО_для_БДДС1"/>
      <sheetName val="Соц_сфера1"/>
      <sheetName val="расходы_КТЖ1"/>
      <sheetName val="прочие_выбытия_1"/>
      <sheetName val="депозиты_20141"/>
      <sheetName val="УК_и_ФП1"/>
      <sheetName val="бюджет_2013_освоение_)1"/>
      <sheetName val="Исполнение_ИПР_скорр1"/>
      <sheetName val="Работы_2"/>
      <sheetName val="-Данные_для_радара_xlsx1"/>
      <sheetName val="Объемы_и_выручка1"/>
      <sheetName val="НАИМЕНОВАНИЯ_ЦФО1"/>
      <sheetName val="55_Пороховой_завод"/>
      <sheetName val="Направления_реновации"/>
      <sheetName val="17_1"/>
      <sheetName val="21_3"/>
      <sheetName val="18_2"/>
      <sheetName val="2_3"/>
      <sheetName val="P2_1"/>
      <sheetName val="Список_ДохРасх"/>
      <sheetName val="Список_компаний"/>
      <sheetName val="Ед__измер_"/>
      <sheetName val="Свод_мвз"/>
      <sheetName val="Вып__списки"/>
      <sheetName val="Shflu_Calc"/>
      <sheetName val="Вспомогат_"/>
      <sheetName val="баланс_СЗАО"/>
      <sheetName val="Табл__оценки_дефицита"/>
      <sheetName val="ФЭМ_сбыт"/>
      <sheetName val="Слайд_1"/>
      <sheetName val="Служебный_лист"/>
      <sheetName val="списки_ФП"/>
      <sheetName val="Смета_прил_№2"/>
      <sheetName val="ид_для_табл_2"/>
      <sheetName val="ПОСЭ_(январь)"/>
      <sheetName val="рост_зп"/>
      <sheetName val="MAIN_GATE_HOUSE"/>
      <sheetName val="Смета2_проект__раб_"/>
      <sheetName val="Статьи_БДР"/>
      <sheetName val="Перечень_компаний"/>
      <sheetName val="смет作ÊỼའ"/>
      <sheetName val="смет作ÊỼ"/>
      <sheetName val="Пл-гр__выдачи_сим_на_2024г"/>
      <sheetName val="Прил.6 Отчислени соц обесп"/>
      <sheetName val="ДЗО"/>
      <sheetName val="месяц"/>
      <sheetName val="1квартал"/>
      <sheetName val="6мес"/>
      <sheetName val="9мес"/>
      <sheetName val="12мес"/>
      <sheetName val="Tier1"/>
      <sheetName val="расчет НВВ РСК по RAB"/>
      <sheetName val="Список услуг"/>
      <sheetName val="смет砠¢㬄ɻ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sheetData sheetId="1028"/>
      <sheetData sheetId="1029"/>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sheetData sheetId="1060"/>
      <sheetData sheetId="1061"/>
      <sheetData sheetId="1062"/>
      <sheetData sheetId="1063"/>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refreshError="1"/>
      <sheetData sheetId="1417" refreshError="1"/>
      <sheetData sheetId="1418" refreshError="1"/>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refreshError="1"/>
      <sheetData sheetId="1783"/>
      <sheetData sheetId="1784"/>
      <sheetData sheetId="1785"/>
      <sheetData sheetId="1786"/>
      <sheetData sheetId="1787"/>
      <sheetData sheetId="1788"/>
      <sheetData sheetId="1789" refreshError="1"/>
      <sheetData sheetId="1790" refreshError="1"/>
      <sheetData sheetId="1791" refreshError="1"/>
      <sheetData sheetId="179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бочий"/>
      <sheetName val="17 (ТП)"/>
    </sheetNames>
    <sheetDataSet>
      <sheetData sheetId="0">
        <row r="9">
          <cell r="E9">
            <v>429320.48</v>
          </cell>
          <cell r="F9">
            <v>1203238.774</v>
          </cell>
          <cell r="G9">
            <v>500479.35399999999</v>
          </cell>
          <cell r="H9">
            <v>1447251</v>
          </cell>
          <cell r="L9">
            <v>1565613</v>
          </cell>
        </row>
        <row r="10">
          <cell r="E10">
            <v>105489.81299999999</v>
          </cell>
          <cell r="F10">
            <v>61936</v>
          </cell>
          <cell r="G10">
            <v>114955.315</v>
          </cell>
          <cell r="H10">
            <v>586194</v>
          </cell>
          <cell r="L10">
            <v>611483</v>
          </cell>
        </row>
        <row r="11">
          <cell r="G11">
            <v>0</v>
          </cell>
          <cell r="H11">
            <v>3726455</v>
          </cell>
          <cell r="L11">
            <v>4157600</v>
          </cell>
        </row>
        <row r="13">
          <cell r="E13">
            <v>5854777.7247399995</v>
          </cell>
          <cell r="F13">
            <v>5829921</v>
          </cell>
          <cell r="G13">
            <v>6058180.3098499998</v>
          </cell>
          <cell r="H13">
            <v>4856472</v>
          </cell>
          <cell r="L13">
            <v>5744474</v>
          </cell>
        </row>
        <row r="14">
          <cell r="E14">
            <v>54947.050039999995</v>
          </cell>
          <cell r="F14">
            <v>24634.9</v>
          </cell>
          <cell r="G14">
            <v>81840.96789</v>
          </cell>
          <cell r="H14">
            <v>43092</v>
          </cell>
          <cell r="L14">
            <v>48116</v>
          </cell>
        </row>
        <row r="15">
          <cell r="E15">
            <v>67241.504939999999</v>
          </cell>
          <cell r="F15">
            <v>40423.5</v>
          </cell>
          <cell r="G15">
            <v>123577.76702</v>
          </cell>
          <cell r="H15">
            <v>188412</v>
          </cell>
          <cell r="L15">
            <v>211605</v>
          </cell>
        </row>
        <row r="16">
          <cell r="E16">
            <v>32747.272789999999</v>
          </cell>
          <cell r="F16">
            <v>12213.6</v>
          </cell>
          <cell r="G16">
            <v>40381.493710000002</v>
          </cell>
          <cell r="H16">
            <v>31826</v>
          </cell>
          <cell r="L16">
            <v>33288</v>
          </cell>
        </row>
        <row r="17">
          <cell r="E17">
            <v>51021.605860000003</v>
          </cell>
          <cell r="G17">
            <v>36086.425000000003</v>
          </cell>
          <cell r="H17">
            <v>87764</v>
          </cell>
          <cell r="L17">
            <v>92255</v>
          </cell>
        </row>
        <row r="18">
          <cell r="E18">
            <v>64633.875999999997</v>
          </cell>
          <cell r="F18">
            <v>55112.5</v>
          </cell>
          <cell r="G18">
            <v>74088.892999999996</v>
          </cell>
          <cell r="H18">
            <v>72652</v>
          </cell>
          <cell r="L18">
            <v>83408</v>
          </cell>
        </row>
        <row r="19">
          <cell r="G19">
            <v>0</v>
          </cell>
          <cell r="H19">
            <v>2945.3155999999999</v>
          </cell>
          <cell r="L19">
            <v>5523</v>
          </cell>
        </row>
        <row r="20">
          <cell r="F20">
            <v>44735.5</v>
          </cell>
          <cell r="G20">
            <v>0</v>
          </cell>
          <cell r="H20">
            <v>49858</v>
          </cell>
          <cell r="L20">
            <v>53162</v>
          </cell>
        </row>
        <row r="21">
          <cell r="E21">
            <v>70841.157000000007</v>
          </cell>
          <cell r="F21">
            <v>307439.2</v>
          </cell>
          <cell r="G21">
            <v>84157.437999999995</v>
          </cell>
          <cell r="H21">
            <v>5318</v>
          </cell>
          <cell r="L21">
            <v>53534</v>
          </cell>
        </row>
        <row r="24">
          <cell r="E24">
            <v>17321</v>
          </cell>
          <cell r="F24">
            <v>178870.2</v>
          </cell>
          <cell r="G24">
            <v>18206.3</v>
          </cell>
          <cell r="H24">
            <v>64424</v>
          </cell>
          <cell r="O24">
            <v>132823</v>
          </cell>
        </row>
        <row r="25">
          <cell r="E25">
            <v>0</v>
          </cell>
          <cell r="F25">
            <v>30741.8</v>
          </cell>
          <cell r="G25">
            <v>19787.099999999999</v>
          </cell>
          <cell r="O25">
            <v>0</v>
          </cell>
        </row>
        <row r="26">
          <cell r="G26">
            <v>0</v>
          </cell>
          <cell r="H26">
            <v>387941</v>
          </cell>
          <cell r="O26">
            <v>352333</v>
          </cell>
        </row>
        <row r="28">
          <cell r="E28">
            <v>215531</v>
          </cell>
          <cell r="F28">
            <v>553512.60000000009</v>
          </cell>
          <cell r="G28">
            <v>535643.91899999999</v>
          </cell>
          <cell r="H28">
            <v>1051567</v>
          </cell>
          <cell r="O28">
            <v>1031120</v>
          </cell>
        </row>
        <row r="29">
          <cell r="E29">
            <v>5932</v>
          </cell>
          <cell r="F29">
            <v>10415.799999999999</v>
          </cell>
          <cell r="G29">
            <v>86867.556999999986</v>
          </cell>
          <cell r="H29">
            <v>2617</v>
          </cell>
          <cell r="O29">
            <v>0</v>
          </cell>
        </row>
        <row r="30">
          <cell r="E30">
            <v>42929</v>
          </cell>
          <cell r="F30">
            <v>14448.1</v>
          </cell>
          <cell r="G30">
            <v>29108.89</v>
          </cell>
          <cell r="H30">
            <v>4358</v>
          </cell>
          <cell r="O30">
            <v>28206</v>
          </cell>
        </row>
        <row r="31">
          <cell r="E31">
            <v>22000</v>
          </cell>
          <cell r="F31">
            <v>4731.3</v>
          </cell>
          <cell r="G31">
            <v>1372.7</v>
          </cell>
          <cell r="H31">
            <v>6942</v>
          </cell>
          <cell r="O31">
            <v>8388</v>
          </cell>
        </row>
        <row r="32">
          <cell r="E32">
            <v>7871</v>
          </cell>
          <cell r="G32">
            <v>8130.8</v>
          </cell>
          <cell r="O32">
            <v>0</v>
          </cell>
        </row>
        <row r="33">
          <cell r="E33">
            <v>22466</v>
          </cell>
          <cell r="F33">
            <v>23332.9</v>
          </cell>
          <cell r="G33">
            <v>2539.422</v>
          </cell>
          <cell r="H33">
            <v>24637</v>
          </cell>
          <cell r="O33">
            <v>60314</v>
          </cell>
        </row>
        <row r="34">
          <cell r="G34">
            <v>0</v>
          </cell>
          <cell r="H34">
            <v>541.37400000000002</v>
          </cell>
        </row>
        <row r="35">
          <cell r="F35">
            <v>2831.8</v>
          </cell>
          <cell r="G35">
            <v>0</v>
          </cell>
          <cell r="H35">
            <v>3755</v>
          </cell>
          <cell r="O35">
            <v>0</v>
          </cell>
        </row>
        <row r="36">
          <cell r="E36">
            <v>8912</v>
          </cell>
          <cell r="F36">
            <v>92065.600000000006</v>
          </cell>
          <cell r="G36">
            <v>10985.268</v>
          </cell>
          <cell r="H36">
            <v>52085</v>
          </cell>
          <cell r="O36">
            <v>205129</v>
          </cell>
        </row>
        <row r="39">
          <cell r="F39">
            <v>112232.9</v>
          </cell>
          <cell r="G39">
            <v>0</v>
          </cell>
          <cell r="L39">
            <v>0</v>
          </cell>
          <cell r="M39">
            <v>0</v>
          </cell>
          <cell r="N39">
            <v>0</v>
          </cell>
          <cell r="O39">
            <v>0</v>
          </cell>
        </row>
        <row r="40">
          <cell r="F40">
            <v>1210.8</v>
          </cell>
          <cell r="G40">
            <v>0</v>
          </cell>
          <cell r="L40">
            <v>0</v>
          </cell>
          <cell r="M40">
            <v>0</v>
          </cell>
          <cell r="N40">
            <v>0</v>
          </cell>
          <cell r="O40">
            <v>0</v>
          </cell>
        </row>
        <row r="41">
          <cell r="G41">
            <v>0</v>
          </cell>
          <cell r="H41">
            <v>195</v>
          </cell>
          <cell r="L41">
            <v>0</v>
          </cell>
          <cell r="M41">
            <v>0</v>
          </cell>
          <cell r="N41">
            <v>0</v>
          </cell>
          <cell r="O41">
            <v>0</v>
          </cell>
        </row>
        <row r="43">
          <cell r="E43">
            <v>9947</v>
          </cell>
          <cell r="F43">
            <v>32863.1</v>
          </cell>
          <cell r="G43">
            <v>0</v>
          </cell>
          <cell r="L43">
            <v>0</v>
          </cell>
          <cell r="M43">
            <v>0</v>
          </cell>
          <cell r="N43">
            <v>0</v>
          </cell>
          <cell r="O43">
            <v>0</v>
          </cell>
        </row>
        <row r="44">
          <cell r="F44">
            <v>65.2</v>
          </cell>
          <cell r="G44">
            <v>0</v>
          </cell>
          <cell r="H44">
            <v>2974</v>
          </cell>
          <cell r="L44">
            <v>0</v>
          </cell>
          <cell r="M44">
            <v>0</v>
          </cell>
          <cell r="N44">
            <v>0</v>
          </cell>
          <cell r="O44">
            <v>0</v>
          </cell>
        </row>
        <row r="45">
          <cell r="F45">
            <v>66.900000000000006</v>
          </cell>
          <cell r="G45">
            <v>0</v>
          </cell>
          <cell r="L45">
            <v>0</v>
          </cell>
          <cell r="M45">
            <v>0</v>
          </cell>
          <cell r="N45">
            <v>0</v>
          </cell>
          <cell r="O45">
            <v>0</v>
          </cell>
        </row>
        <row r="46">
          <cell r="G46">
            <v>0</v>
          </cell>
          <cell r="L46">
            <v>0</v>
          </cell>
          <cell r="M46">
            <v>0</v>
          </cell>
          <cell r="N46">
            <v>0</v>
          </cell>
          <cell r="O46">
            <v>0</v>
          </cell>
        </row>
        <row r="47">
          <cell r="G47">
            <v>0</v>
          </cell>
          <cell r="L47">
            <v>0</v>
          </cell>
          <cell r="M47">
            <v>0</v>
          </cell>
          <cell r="N47">
            <v>0</v>
          </cell>
          <cell r="O47">
            <v>0</v>
          </cell>
        </row>
        <row r="48">
          <cell r="E48">
            <v>23</v>
          </cell>
          <cell r="F48">
            <v>2320.9</v>
          </cell>
          <cell r="G48">
            <v>0</v>
          </cell>
          <cell r="H48">
            <v>14997</v>
          </cell>
          <cell r="L48">
            <v>0</v>
          </cell>
          <cell r="M48">
            <v>0</v>
          </cell>
          <cell r="N48">
            <v>0</v>
          </cell>
          <cell r="O48">
            <v>0</v>
          </cell>
        </row>
        <row r="49">
          <cell r="G49">
            <v>0</v>
          </cell>
          <cell r="L49">
            <v>0</v>
          </cell>
          <cell r="M49">
            <v>0</v>
          </cell>
          <cell r="N49">
            <v>0</v>
          </cell>
          <cell r="O49">
            <v>0</v>
          </cell>
        </row>
        <row r="50">
          <cell r="F50">
            <v>272.5</v>
          </cell>
          <cell r="G50">
            <v>0</v>
          </cell>
          <cell r="H50">
            <v>3823</v>
          </cell>
          <cell r="L50">
            <v>0</v>
          </cell>
          <cell r="M50">
            <v>0</v>
          </cell>
          <cell r="N50">
            <v>0</v>
          </cell>
          <cell r="O50">
            <v>0</v>
          </cell>
        </row>
        <row r="51">
          <cell r="F51">
            <v>4106.7</v>
          </cell>
          <cell r="G51">
            <v>0</v>
          </cell>
          <cell r="L51">
            <v>0</v>
          </cell>
          <cell r="M51">
            <v>0</v>
          </cell>
          <cell r="N51">
            <v>0</v>
          </cell>
          <cell r="O51">
            <v>0</v>
          </cell>
        </row>
        <row r="54">
          <cell r="E54">
            <v>437980.98</v>
          </cell>
          <cell r="F54">
            <v>1236557.3999999999</v>
          </cell>
          <cell r="G54">
            <v>509582.50400000002</v>
          </cell>
          <cell r="H54">
            <v>1470293</v>
          </cell>
        </row>
        <row r="55">
          <cell r="E55">
            <v>105489.81299999999</v>
          </cell>
          <cell r="F55">
            <v>76701.5</v>
          </cell>
          <cell r="G55">
            <v>124848.86500000001</v>
          </cell>
          <cell r="H55">
            <v>584697</v>
          </cell>
        </row>
        <row r="56">
          <cell r="E56">
            <v>0</v>
          </cell>
          <cell r="G56">
            <v>0</v>
          </cell>
          <cell r="H56">
            <v>3942028</v>
          </cell>
        </row>
        <row r="58">
          <cell r="E58">
            <v>5957569.7247399995</v>
          </cell>
          <cell r="F58">
            <v>6090245.9000000004</v>
          </cell>
          <cell r="G58">
            <v>6326002.2693499997</v>
          </cell>
          <cell r="H58">
            <v>5300473</v>
          </cell>
        </row>
        <row r="59">
          <cell r="E59">
            <v>57913.050039999995</v>
          </cell>
          <cell r="F59">
            <v>29810.2</v>
          </cell>
          <cell r="G59">
            <v>125274.74638999999</v>
          </cell>
          <cell r="H59">
            <v>44495</v>
          </cell>
        </row>
        <row r="60">
          <cell r="E60">
            <v>88706.004939999999</v>
          </cell>
          <cell r="F60">
            <v>47614.1</v>
          </cell>
          <cell r="G60">
            <v>138132.21202000001</v>
          </cell>
          <cell r="H60">
            <v>195133</v>
          </cell>
        </row>
        <row r="61">
          <cell r="E61">
            <v>43747.272790000003</v>
          </cell>
          <cell r="F61">
            <v>14579.2</v>
          </cell>
          <cell r="G61">
            <v>41067.843710000001</v>
          </cell>
          <cell r="H61">
            <v>31787</v>
          </cell>
        </row>
        <row r="62">
          <cell r="E62">
            <v>54957.105860000003</v>
          </cell>
          <cell r="G62">
            <v>40151.825000000004</v>
          </cell>
          <cell r="H62">
            <v>87877</v>
          </cell>
        </row>
        <row r="63">
          <cell r="E63">
            <v>75855.375999999989</v>
          </cell>
          <cell r="F63">
            <v>65618.399999999994</v>
          </cell>
          <cell r="G63">
            <v>75358.603999999992</v>
          </cell>
          <cell r="H63">
            <v>76110</v>
          </cell>
        </row>
        <row r="64">
          <cell r="E64">
            <v>0</v>
          </cell>
          <cell r="G64">
            <v>0</v>
          </cell>
          <cell r="H64">
            <v>4234.1578</v>
          </cell>
        </row>
        <row r="65">
          <cell r="E65">
            <v>0</v>
          </cell>
          <cell r="F65">
            <v>46015.199999999997</v>
          </cell>
          <cell r="G65">
            <v>0</v>
          </cell>
          <cell r="H65">
            <v>50281</v>
          </cell>
        </row>
        <row r="66">
          <cell r="E66">
            <v>75297.157000000007</v>
          </cell>
          <cell r="F66">
            <v>351418.7</v>
          </cell>
          <cell r="G66">
            <v>89650.072</v>
          </cell>
          <cell r="H66">
            <v>28022</v>
          </cell>
        </row>
        <row r="69">
          <cell r="E69">
            <v>5.7560000000000002</v>
          </cell>
          <cell r="F69">
            <v>2.35</v>
          </cell>
          <cell r="G69">
            <v>4.594586745</v>
          </cell>
          <cell r="H69">
            <v>4.6250600000000004</v>
          </cell>
          <cell r="I69">
            <v>4.6250600000000004</v>
          </cell>
          <cell r="J69">
            <v>4.6250600000000004</v>
          </cell>
          <cell r="K69">
            <v>5.4765600000000001</v>
          </cell>
          <cell r="L69">
            <v>1.36914</v>
          </cell>
          <cell r="M69">
            <v>1.36914</v>
          </cell>
          <cell r="N69">
            <v>1.36914</v>
          </cell>
          <cell r="O69">
            <v>1.36914</v>
          </cell>
        </row>
        <row r="70">
          <cell r="E70">
            <v>4.1890000000000001</v>
          </cell>
          <cell r="F70">
            <v>4.2258599999999999</v>
          </cell>
          <cell r="G70">
            <v>4.5944108259999998</v>
          </cell>
          <cell r="H70">
            <v>6.0906799999999999</v>
          </cell>
          <cell r="I70">
            <v>6.0906799999999999</v>
          </cell>
          <cell r="J70">
            <v>6.0906799999999999</v>
          </cell>
          <cell r="K70">
            <v>6.4272</v>
          </cell>
          <cell r="L70">
            <v>1.6068</v>
          </cell>
          <cell r="M70">
            <v>1.6068</v>
          </cell>
          <cell r="N70">
            <v>1.6068</v>
          </cell>
          <cell r="O70">
            <v>1.6068</v>
          </cell>
        </row>
        <row r="71">
          <cell r="H71">
            <v>6.3674600000000003</v>
          </cell>
          <cell r="I71">
            <v>6.3674600000000003</v>
          </cell>
          <cell r="J71">
            <v>6.3674600000000003</v>
          </cell>
          <cell r="K71">
            <v>7.5919600000000003</v>
          </cell>
          <cell r="L71">
            <v>1.8979900000000001</v>
          </cell>
          <cell r="M71">
            <v>1.8979900000000001</v>
          </cell>
          <cell r="N71">
            <v>1.8979900000000001</v>
          </cell>
          <cell r="O71">
            <v>1.8979900000000001</v>
          </cell>
        </row>
        <row r="72">
          <cell r="E72">
            <v>7.0937072199999998</v>
          </cell>
          <cell r="F72">
            <v>7.1</v>
          </cell>
          <cell r="G72">
            <v>6.8189931829999999</v>
          </cell>
          <cell r="H72">
            <v>6.0428199999999999</v>
          </cell>
          <cell r="I72">
            <v>6.0428199999999999</v>
          </cell>
          <cell r="J72">
            <v>6.0428199999999999</v>
          </cell>
          <cell r="K72">
            <v>7.6437999999999997</v>
          </cell>
          <cell r="L72">
            <v>1.9109499999999999</v>
          </cell>
          <cell r="M72">
            <v>1.9109499999999999</v>
          </cell>
          <cell r="N72">
            <v>1.9109499999999999</v>
          </cell>
          <cell r="O72">
            <v>1.9109499999999999</v>
          </cell>
        </row>
        <row r="73">
          <cell r="E73">
            <v>7.39</v>
          </cell>
          <cell r="F73">
            <v>6.58</v>
          </cell>
          <cell r="G73">
            <v>6.5756151439357424</v>
          </cell>
          <cell r="H73">
            <v>5.32118</v>
          </cell>
          <cell r="I73">
            <v>5.32118</v>
          </cell>
          <cell r="J73">
            <v>5.32118</v>
          </cell>
          <cell r="K73">
            <v>6.9036900000000001</v>
          </cell>
          <cell r="L73">
            <v>1.7259225</v>
          </cell>
          <cell r="M73">
            <v>1.7259225</v>
          </cell>
          <cell r="N73">
            <v>1.7259225</v>
          </cell>
          <cell r="O73">
            <v>1.7259225</v>
          </cell>
        </row>
        <row r="74">
          <cell r="E74">
            <v>10.73</v>
          </cell>
          <cell r="F74">
            <v>12.1</v>
          </cell>
          <cell r="G74">
            <v>8.0895072629999998</v>
          </cell>
          <cell r="H74">
            <v>8.07057</v>
          </cell>
          <cell r="I74">
            <v>8.07057</v>
          </cell>
          <cell r="J74">
            <v>8.07057</v>
          </cell>
          <cell r="K74">
            <v>9.7285699999999995</v>
          </cell>
          <cell r="L74">
            <v>2.4321424999999999</v>
          </cell>
          <cell r="M74">
            <v>2.4321424999999999</v>
          </cell>
          <cell r="N74">
            <v>2.4321424999999999</v>
          </cell>
          <cell r="O74">
            <v>2.4321424999999999</v>
          </cell>
        </row>
        <row r="75">
          <cell r="E75">
            <v>15.2</v>
          </cell>
          <cell r="F75">
            <v>15.2</v>
          </cell>
          <cell r="G75">
            <v>7.1964044720006113</v>
          </cell>
          <cell r="H75">
            <v>11.030900000000001</v>
          </cell>
          <cell r="I75">
            <v>11.030900000000001</v>
          </cell>
          <cell r="J75">
            <v>11.030900000000001</v>
          </cell>
          <cell r="K75">
            <v>20.0794</v>
          </cell>
          <cell r="L75">
            <v>5.0198499999999999</v>
          </cell>
          <cell r="M75">
            <v>5.0198499999999999</v>
          </cell>
          <cell r="N75">
            <v>5.0198499999999999</v>
          </cell>
          <cell r="O75">
            <v>5.0198499999999999</v>
          </cell>
        </row>
        <row r="76">
          <cell r="E76">
            <v>14.71</v>
          </cell>
          <cell r="F76">
            <v>20.100000000000001</v>
          </cell>
          <cell r="G76">
            <v>15.597508902000001</v>
          </cell>
          <cell r="H76">
            <v>18.831600000000002</v>
          </cell>
          <cell r="I76">
            <v>18.831600000000002</v>
          </cell>
          <cell r="J76">
            <v>18.831600000000002</v>
          </cell>
          <cell r="K76">
            <v>44.372599999999998</v>
          </cell>
          <cell r="L76">
            <v>11.09315</v>
          </cell>
          <cell r="M76">
            <v>11.09315</v>
          </cell>
          <cell r="N76">
            <v>11.09315</v>
          </cell>
          <cell r="O76">
            <v>11.09315</v>
          </cell>
        </row>
        <row r="77">
          <cell r="E77">
            <v>11.8</v>
          </cell>
          <cell r="G77">
            <v>10.820047000235768</v>
          </cell>
          <cell r="H77">
            <v>32.841360000000002</v>
          </cell>
          <cell r="I77">
            <v>32.841360000000002</v>
          </cell>
          <cell r="J77">
            <v>32.841360000000002</v>
          </cell>
          <cell r="K77">
            <v>11.005000000000001</v>
          </cell>
          <cell r="L77">
            <v>2.7512500000000002</v>
          </cell>
          <cell r="M77">
            <v>2.7512500000000002</v>
          </cell>
          <cell r="N77">
            <v>2.7512500000000002</v>
          </cell>
          <cell r="O77">
            <v>2.7512500000000002</v>
          </cell>
        </row>
        <row r="78">
          <cell r="E78">
            <v>15.1</v>
          </cell>
          <cell r="F78">
            <v>15.1</v>
          </cell>
          <cell r="G78">
            <v>14.808887106999999</v>
          </cell>
          <cell r="H78">
            <v>22.9116</v>
          </cell>
          <cell r="I78">
            <v>22.9116</v>
          </cell>
          <cell r="J78">
            <v>22.9116</v>
          </cell>
          <cell r="K78">
            <v>24.001000000000001</v>
          </cell>
          <cell r="L78">
            <v>6.0002500000000003</v>
          </cell>
          <cell r="M78">
            <v>6.0002500000000003</v>
          </cell>
          <cell r="N78">
            <v>6.0002500000000003</v>
          </cell>
          <cell r="O78">
            <v>6.0002500000000003</v>
          </cell>
        </row>
        <row r="79">
          <cell r="H79">
            <v>7.7224972578962463</v>
          </cell>
          <cell r="I79">
            <v>7.7224972578962463</v>
          </cell>
          <cell r="J79">
            <v>7.7224972578962463</v>
          </cell>
          <cell r="K79">
            <v>10.863661053775123</v>
          </cell>
          <cell r="L79">
            <v>2.7159152634437809</v>
          </cell>
          <cell r="M79">
            <v>2.7159152634437809</v>
          </cell>
          <cell r="N79">
            <v>2.7159152634437809</v>
          </cell>
          <cell r="O79">
            <v>2.7159152634437809</v>
          </cell>
        </row>
        <row r="80">
          <cell r="F80">
            <v>4.0709999999999997</v>
          </cell>
          <cell r="H80">
            <v>14.892300000000001</v>
          </cell>
          <cell r="I80">
            <v>14.892300000000001</v>
          </cell>
          <cell r="J80">
            <v>14.892300000000001</v>
          </cell>
          <cell r="K80">
            <v>16.239039999999999</v>
          </cell>
          <cell r="L80">
            <v>4.0597599999999998</v>
          </cell>
          <cell r="M80">
            <v>4.0597599999999998</v>
          </cell>
          <cell r="N80">
            <v>4.0597599999999998</v>
          </cell>
          <cell r="O80">
            <v>4.0597599999999998</v>
          </cell>
        </row>
        <row r="81">
          <cell r="E81">
            <v>14</v>
          </cell>
          <cell r="F81">
            <v>9.0299999999999994</v>
          </cell>
          <cell r="G81">
            <v>21.695229999999999</v>
          </cell>
          <cell r="H81">
            <v>15.071999999999999</v>
          </cell>
          <cell r="I81">
            <v>15.071999999999999</v>
          </cell>
          <cell r="J81">
            <v>15.071999999999999</v>
          </cell>
          <cell r="K81">
            <v>12.292999999999999</v>
          </cell>
          <cell r="L81">
            <v>3.0732499999999998</v>
          </cell>
          <cell r="M81">
            <v>3.0732499999999998</v>
          </cell>
          <cell r="N81">
            <v>3.0732499999999998</v>
          </cell>
          <cell r="O81">
            <v>3.0732499999999998</v>
          </cell>
        </row>
      </sheetData>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0"/>
      <sheetName val="1"/>
      <sheetName val="2"/>
      <sheetName val="3"/>
      <sheetName val="4"/>
      <sheetName val="4.1"/>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s>
    <sheetDataSet>
      <sheetData sheetId="0"/>
      <sheetData sheetId="1"/>
      <sheetData sheetId="2">
        <row r="8">
          <cell r="D8">
            <v>0</v>
          </cell>
          <cell r="E8">
            <v>0</v>
          </cell>
          <cell r="F8">
            <v>0</v>
          </cell>
          <cell r="G8">
            <v>0</v>
          </cell>
          <cell r="H8">
            <v>0</v>
          </cell>
          <cell r="I8">
            <v>0</v>
          </cell>
          <cell r="J8">
            <v>0</v>
          </cell>
          <cell r="K8">
            <v>0</v>
          </cell>
          <cell r="L8">
            <v>0</v>
          </cell>
        </row>
        <row r="9">
          <cell r="D9">
            <v>0</v>
          </cell>
          <cell r="E9">
            <v>0</v>
          </cell>
          <cell r="F9">
            <v>0</v>
          </cell>
          <cell r="G9">
            <v>0</v>
          </cell>
          <cell r="H9">
            <v>0</v>
          </cell>
          <cell r="I9">
            <v>0</v>
          </cell>
          <cell r="J9">
            <v>0</v>
          </cell>
          <cell r="K9">
            <v>0</v>
          </cell>
          <cell r="L9">
            <v>0</v>
          </cell>
        </row>
        <row r="10">
          <cell r="D10">
            <v>0</v>
          </cell>
          <cell r="E10">
            <v>0</v>
          </cell>
          <cell r="F10">
            <v>0</v>
          </cell>
          <cell r="G10">
            <v>0</v>
          </cell>
          <cell r="H10">
            <v>0</v>
          </cell>
          <cell r="I10">
            <v>0</v>
          </cell>
          <cell r="J10">
            <v>0</v>
          </cell>
          <cell r="K10">
            <v>0</v>
          </cell>
          <cell r="L10">
            <v>0</v>
          </cell>
        </row>
        <row r="11">
          <cell r="D11">
            <v>0</v>
          </cell>
          <cell r="E11">
            <v>0</v>
          </cell>
          <cell r="F11">
            <v>0</v>
          </cell>
          <cell r="G11">
            <v>0</v>
          </cell>
          <cell r="H11">
            <v>0</v>
          </cell>
          <cell r="I11">
            <v>0</v>
          </cell>
          <cell r="J11">
            <v>0</v>
          </cell>
          <cell r="K11">
            <v>0</v>
          </cell>
          <cell r="L11">
            <v>0</v>
          </cell>
        </row>
        <row r="12">
          <cell r="D12">
            <v>0</v>
          </cell>
          <cell r="E12">
            <v>0</v>
          </cell>
          <cell r="F12">
            <v>0</v>
          </cell>
          <cell r="G12">
            <v>0</v>
          </cell>
          <cell r="H12">
            <v>0</v>
          </cell>
          <cell r="I12">
            <v>0</v>
          </cell>
          <cell r="J12">
            <v>0</v>
          </cell>
          <cell r="K12">
            <v>0</v>
          </cell>
          <cell r="L12">
            <v>0</v>
          </cell>
        </row>
        <row r="13">
          <cell r="D13">
            <v>0</v>
          </cell>
          <cell r="E13">
            <v>0</v>
          </cell>
          <cell r="F13">
            <v>0</v>
          </cell>
          <cell r="G13">
            <v>0</v>
          </cell>
          <cell r="H13">
            <v>0</v>
          </cell>
          <cell r="I13">
            <v>0</v>
          </cell>
          <cell r="J13">
            <v>0</v>
          </cell>
          <cell r="K13">
            <v>0</v>
          </cell>
          <cell r="L13">
            <v>0</v>
          </cell>
        </row>
        <row r="14">
          <cell r="D14">
            <v>0</v>
          </cell>
          <cell r="E14">
            <v>0</v>
          </cell>
          <cell r="F14">
            <v>0</v>
          </cell>
          <cell r="G14">
            <v>0</v>
          </cell>
          <cell r="H14">
            <v>0</v>
          </cell>
          <cell r="I14">
            <v>0</v>
          </cell>
          <cell r="J14">
            <v>0</v>
          </cell>
          <cell r="K14">
            <v>0</v>
          </cell>
          <cell r="L14">
            <v>0</v>
          </cell>
        </row>
        <row r="15">
          <cell r="D15">
            <v>0</v>
          </cell>
          <cell r="E15">
            <v>0</v>
          </cell>
          <cell r="F15">
            <v>0</v>
          </cell>
          <cell r="G15">
            <v>0</v>
          </cell>
          <cell r="H15">
            <v>0</v>
          </cell>
          <cell r="I15">
            <v>0</v>
          </cell>
          <cell r="J15">
            <v>0</v>
          </cell>
          <cell r="K15">
            <v>0</v>
          </cell>
          <cell r="L15">
            <v>0</v>
          </cell>
        </row>
        <row r="16">
          <cell r="D16">
            <v>0</v>
          </cell>
          <cell r="E16">
            <v>0</v>
          </cell>
          <cell r="F16">
            <v>0</v>
          </cell>
          <cell r="G16">
            <v>0</v>
          </cell>
          <cell r="H16">
            <v>0</v>
          </cell>
          <cell r="I16">
            <v>0</v>
          </cell>
          <cell r="J16">
            <v>0</v>
          </cell>
          <cell r="K16">
            <v>0</v>
          </cell>
          <cell r="L16">
            <v>0</v>
          </cell>
        </row>
        <row r="17">
          <cell r="D17">
            <v>0</v>
          </cell>
          <cell r="E17">
            <v>0</v>
          </cell>
          <cell r="F17">
            <v>0</v>
          </cell>
          <cell r="G17">
            <v>0</v>
          </cell>
          <cell r="H17">
            <v>0</v>
          </cell>
          <cell r="I17">
            <v>0</v>
          </cell>
          <cell r="J17">
            <v>0</v>
          </cell>
          <cell r="K17">
            <v>0</v>
          </cell>
          <cell r="L17">
            <v>0</v>
          </cell>
        </row>
        <row r="18">
          <cell r="D18">
            <v>0</v>
          </cell>
          <cell r="E18">
            <v>0</v>
          </cell>
          <cell r="F18">
            <v>0</v>
          </cell>
          <cell r="G18">
            <v>0</v>
          </cell>
          <cell r="H18">
            <v>0</v>
          </cell>
          <cell r="I18">
            <v>0</v>
          </cell>
          <cell r="J18">
            <v>0</v>
          </cell>
          <cell r="K18">
            <v>0</v>
          </cell>
          <cell r="L18">
            <v>0</v>
          </cell>
        </row>
        <row r="19">
          <cell r="D19">
            <v>0</v>
          </cell>
          <cell r="E19">
            <v>0</v>
          </cell>
          <cell r="F19">
            <v>0</v>
          </cell>
          <cell r="G19">
            <v>0</v>
          </cell>
          <cell r="H19">
            <v>0</v>
          </cell>
          <cell r="I19">
            <v>0</v>
          </cell>
          <cell r="J19">
            <v>0</v>
          </cell>
          <cell r="K19">
            <v>0</v>
          </cell>
          <cell r="L19">
            <v>0</v>
          </cell>
        </row>
        <row r="20">
          <cell r="D20">
            <v>0</v>
          </cell>
          <cell r="E20">
            <v>0</v>
          </cell>
          <cell r="F20">
            <v>0</v>
          </cell>
          <cell r="G20">
            <v>0</v>
          </cell>
          <cell r="H20">
            <v>0</v>
          </cell>
          <cell r="I20">
            <v>0</v>
          </cell>
          <cell r="J20">
            <v>0</v>
          </cell>
          <cell r="K20">
            <v>0</v>
          </cell>
          <cell r="L20">
            <v>0</v>
          </cell>
        </row>
        <row r="21">
          <cell r="D21">
            <v>0</v>
          </cell>
          <cell r="E21">
            <v>0</v>
          </cell>
          <cell r="F21">
            <v>0</v>
          </cell>
          <cell r="G21">
            <v>0</v>
          </cell>
          <cell r="H21">
            <v>0</v>
          </cell>
          <cell r="I21">
            <v>0</v>
          </cell>
          <cell r="J21">
            <v>0</v>
          </cell>
          <cell r="K21">
            <v>0</v>
          </cell>
          <cell r="L21">
            <v>0</v>
          </cell>
        </row>
        <row r="22">
          <cell r="D22">
            <v>0</v>
          </cell>
          <cell r="E22">
            <v>0</v>
          </cell>
          <cell r="F22">
            <v>0</v>
          </cell>
          <cell r="G22">
            <v>0</v>
          </cell>
          <cell r="H22">
            <v>0</v>
          </cell>
          <cell r="I22">
            <v>0</v>
          </cell>
          <cell r="J22">
            <v>0</v>
          </cell>
          <cell r="K22">
            <v>0</v>
          </cell>
          <cell r="L22">
            <v>0</v>
          </cell>
        </row>
        <row r="23">
          <cell r="D23">
            <v>0</v>
          </cell>
          <cell r="E23">
            <v>0</v>
          </cell>
          <cell r="F23">
            <v>0</v>
          </cell>
          <cell r="G23">
            <v>0</v>
          </cell>
          <cell r="H23">
            <v>0</v>
          </cell>
          <cell r="I23">
            <v>0</v>
          </cell>
          <cell r="J23">
            <v>0</v>
          </cell>
          <cell r="K23">
            <v>0</v>
          </cell>
          <cell r="L23">
            <v>0</v>
          </cell>
        </row>
        <row r="24">
          <cell r="D24">
            <v>0</v>
          </cell>
          <cell r="E24">
            <v>0</v>
          </cell>
          <cell r="F24">
            <v>0</v>
          </cell>
          <cell r="G24">
            <v>0</v>
          </cell>
          <cell r="H24">
            <v>0</v>
          </cell>
          <cell r="I24">
            <v>0</v>
          </cell>
          <cell r="J24">
            <v>0</v>
          </cell>
          <cell r="K24">
            <v>0</v>
          </cell>
          <cell r="L24">
            <v>0</v>
          </cell>
        </row>
        <row r="25">
          <cell r="D25">
            <v>0</v>
          </cell>
          <cell r="E25">
            <v>0</v>
          </cell>
          <cell r="F25">
            <v>0</v>
          </cell>
          <cell r="G25">
            <v>0</v>
          </cell>
          <cell r="H25">
            <v>0</v>
          </cell>
          <cell r="I25">
            <v>0</v>
          </cell>
          <cell r="J25">
            <v>0</v>
          </cell>
          <cell r="K25">
            <v>0</v>
          </cell>
          <cell r="L25">
            <v>0</v>
          </cell>
        </row>
        <row r="26">
          <cell r="D26">
            <v>0</v>
          </cell>
          <cell r="E26">
            <v>0</v>
          </cell>
          <cell r="F26">
            <v>0</v>
          </cell>
          <cell r="G26">
            <v>0</v>
          </cell>
          <cell r="H26">
            <v>0</v>
          </cell>
          <cell r="I26">
            <v>0</v>
          </cell>
          <cell r="J26">
            <v>0</v>
          </cell>
          <cell r="K26">
            <v>0</v>
          </cell>
          <cell r="L26">
            <v>0</v>
          </cell>
        </row>
        <row r="27">
          <cell r="D27">
            <v>0</v>
          </cell>
          <cell r="E27">
            <v>0</v>
          </cell>
          <cell r="F27">
            <v>0</v>
          </cell>
          <cell r="G27">
            <v>0</v>
          </cell>
          <cell r="H27">
            <v>0</v>
          </cell>
          <cell r="I27">
            <v>0</v>
          </cell>
          <cell r="J27">
            <v>0</v>
          </cell>
          <cell r="K27">
            <v>0</v>
          </cell>
          <cell r="L27">
            <v>0</v>
          </cell>
        </row>
        <row r="28">
          <cell r="D28">
            <v>0</v>
          </cell>
          <cell r="E28">
            <v>0</v>
          </cell>
          <cell r="F28">
            <v>0</v>
          </cell>
          <cell r="G28">
            <v>0</v>
          </cell>
          <cell r="H28">
            <v>0</v>
          </cell>
          <cell r="I28">
            <v>0</v>
          </cell>
          <cell r="J28">
            <v>0</v>
          </cell>
          <cell r="K28">
            <v>0</v>
          </cell>
          <cell r="L28">
            <v>0</v>
          </cell>
        </row>
        <row r="29">
          <cell r="I29">
            <v>0</v>
          </cell>
          <cell r="J29">
            <v>0</v>
          </cell>
          <cell r="K29">
            <v>0</v>
          </cell>
          <cell r="L29">
            <v>0</v>
          </cell>
        </row>
        <row r="30">
          <cell r="D30">
            <v>0</v>
          </cell>
          <cell r="E30">
            <v>0</v>
          </cell>
          <cell r="F30">
            <v>0</v>
          </cell>
          <cell r="G30">
            <v>0</v>
          </cell>
          <cell r="H30">
            <v>0</v>
          </cell>
          <cell r="I30">
            <v>0</v>
          </cell>
          <cell r="J30">
            <v>0</v>
          </cell>
          <cell r="K30">
            <v>0</v>
          </cell>
          <cell r="L30">
            <v>0</v>
          </cell>
        </row>
        <row r="31">
          <cell r="D31">
            <v>0</v>
          </cell>
          <cell r="E31">
            <v>0</v>
          </cell>
          <cell r="F31">
            <v>0</v>
          </cell>
          <cell r="G31">
            <v>0</v>
          </cell>
          <cell r="H31">
            <v>0</v>
          </cell>
          <cell r="I31">
            <v>0</v>
          </cell>
          <cell r="J31">
            <v>0</v>
          </cell>
          <cell r="K31">
            <v>0</v>
          </cell>
          <cell r="L31">
            <v>0</v>
          </cell>
        </row>
        <row r="32">
          <cell r="D32">
            <v>0</v>
          </cell>
          <cell r="E32">
            <v>0</v>
          </cell>
          <cell r="F32">
            <v>0</v>
          </cell>
          <cell r="G32">
            <v>0</v>
          </cell>
          <cell r="H32">
            <v>0</v>
          </cell>
          <cell r="I32">
            <v>0</v>
          </cell>
          <cell r="J32">
            <v>0</v>
          </cell>
          <cell r="K32">
            <v>0</v>
          </cell>
          <cell r="L32">
            <v>0</v>
          </cell>
        </row>
        <row r="33">
          <cell r="D33">
            <v>0</v>
          </cell>
          <cell r="E33">
            <v>0</v>
          </cell>
          <cell r="F33">
            <v>0</v>
          </cell>
          <cell r="G33">
            <v>0</v>
          </cell>
          <cell r="H33">
            <v>0</v>
          </cell>
          <cell r="I33">
            <v>0</v>
          </cell>
          <cell r="J33">
            <v>0</v>
          </cell>
          <cell r="K33">
            <v>0</v>
          </cell>
          <cell r="L33">
            <v>0</v>
          </cell>
        </row>
        <row r="34">
          <cell r="D34">
            <v>0</v>
          </cell>
          <cell r="E34">
            <v>0</v>
          </cell>
          <cell r="F34">
            <v>0</v>
          </cell>
          <cell r="G34">
            <v>0</v>
          </cell>
          <cell r="H34">
            <v>0</v>
          </cell>
          <cell r="I34">
            <v>0</v>
          </cell>
          <cell r="J34">
            <v>0</v>
          </cell>
          <cell r="K34">
            <v>0</v>
          </cell>
          <cell r="L34">
            <v>0</v>
          </cell>
        </row>
        <row r="35">
          <cell r="D35">
            <v>0</v>
          </cell>
          <cell r="E35">
            <v>0</v>
          </cell>
          <cell r="F35">
            <v>0</v>
          </cell>
          <cell r="G35">
            <v>0</v>
          </cell>
          <cell r="H35">
            <v>0</v>
          </cell>
          <cell r="I35">
            <v>0</v>
          </cell>
          <cell r="J35">
            <v>0</v>
          </cell>
          <cell r="K35">
            <v>0</v>
          </cell>
          <cell r="L35">
            <v>0</v>
          </cell>
        </row>
        <row r="36">
          <cell r="D36">
            <v>0</v>
          </cell>
          <cell r="E36">
            <v>0</v>
          </cell>
          <cell r="F36">
            <v>0</v>
          </cell>
          <cell r="G36">
            <v>0</v>
          </cell>
          <cell r="H36">
            <v>0</v>
          </cell>
          <cell r="I36">
            <v>0</v>
          </cell>
          <cell r="J36">
            <v>0</v>
          </cell>
          <cell r="K36">
            <v>0</v>
          </cell>
          <cell r="L36">
            <v>0</v>
          </cell>
        </row>
        <row r="37">
          <cell r="D37">
            <v>0</v>
          </cell>
          <cell r="E37">
            <v>0</v>
          </cell>
          <cell r="F37">
            <v>0</v>
          </cell>
          <cell r="G37">
            <v>0</v>
          </cell>
          <cell r="H37">
            <v>0</v>
          </cell>
          <cell r="I37">
            <v>0</v>
          </cell>
          <cell r="J37">
            <v>0</v>
          </cell>
          <cell r="K37">
            <v>0</v>
          </cell>
          <cell r="L37">
            <v>0</v>
          </cell>
        </row>
        <row r="38">
          <cell r="D38">
            <v>0</v>
          </cell>
          <cell r="E38">
            <v>0</v>
          </cell>
          <cell r="F38">
            <v>0</v>
          </cell>
          <cell r="G38">
            <v>0</v>
          </cell>
          <cell r="H38">
            <v>0</v>
          </cell>
          <cell r="I38">
            <v>0</v>
          </cell>
          <cell r="J38">
            <v>0</v>
          </cell>
          <cell r="K38">
            <v>0</v>
          </cell>
          <cell r="L38">
            <v>0</v>
          </cell>
        </row>
        <row r="39">
          <cell r="D39">
            <v>0</v>
          </cell>
          <cell r="E39">
            <v>0</v>
          </cell>
          <cell r="F39">
            <v>0</v>
          </cell>
          <cell r="G39">
            <v>0</v>
          </cell>
          <cell r="H39">
            <v>0</v>
          </cell>
          <cell r="I39">
            <v>0</v>
          </cell>
          <cell r="J39">
            <v>0</v>
          </cell>
          <cell r="K39">
            <v>0</v>
          </cell>
          <cell r="L39">
            <v>0</v>
          </cell>
        </row>
        <row r="40">
          <cell r="D40">
            <v>0</v>
          </cell>
          <cell r="E40">
            <v>0</v>
          </cell>
          <cell r="F40">
            <v>0</v>
          </cell>
          <cell r="G40">
            <v>0</v>
          </cell>
          <cell r="H40">
            <v>0</v>
          </cell>
          <cell r="I40">
            <v>0</v>
          </cell>
          <cell r="J40">
            <v>0</v>
          </cell>
          <cell r="K40">
            <v>0</v>
          </cell>
          <cell r="L40">
            <v>0</v>
          </cell>
        </row>
        <row r="41">
          <cell r="D41">
            <v>0</v>
          </cell>
          <cell r="E41">
            <v>0</v>
          </cell>
          <cell r="F41">
            <v>0</v>
          </cell>
          <cell r="G41">
            <v>0</v>
          </cell>
          <cell r="H41">
            <v>0</v>
          </cell>
          <cell r="I41">
            <v>0</v>
          </cell>
          <cell r="J41">
            <v>0</v>
          </cell>
          <cell r="K41">
            <v>0</v>
          </cell>
          <cell r="L41">
            <v>0</v>
          </cell>
        </row>
        <row r="42">
          <cell r="D42">
            <v>0</v>
          </cell>
          <cell r="E42">
            <v>0</v>
          </cell>
          <cell r="F42">
            <v>0</v>
          </cell>
          <cell r="G42">
            <v>0</v>
          </cell>
          <cell r="H42">
            <v>0</v>
          </cell>
          <cell r="I42">
            <v>0</v>
          </cell>
          <cell r="J42">
            <v>0</v>
          </cell>
          <cell r="K42">
            <v>0</v>
          </cell>
          <cell r="L42">
            <v>0</v>
          </cell>
        </row>
        <row r="43">
          <cell r="D43">
            <v>0</v>
          </cell>
          <cell r="E43">
            <v>0</v>
          </cell>
          <cell r="F43">
            <v>0</v>
          </cell>
          <cell r="G43">
            <v>0</v>
          </cell>
          <cell r="H43">
            <v>0</v>
          </cell>
          <cell r="I43">
            <v>0</v>
          </cell>
          <cell r="J43">
            <v>0</v>
          </cell>
          <cell r="K43">
            <v>0</v>
          </cell>
          <cell r="L43">
            <v>0</v>
          </cell>
        </row>
        <row r="44">
          <cell r="D44">
            <v>0</v>
          </cell>
          <cell r="E44">
            <v>0</v>
          </cell>
          <cell r="F44">
            <v>0</v>
          </cell>
          <cell r="G44">
            <v>0</v>
          </cell>
          <cell r="H44">
            <v>0</v>
          </cell>
          <cell r="I44">
            <v>0</v>
          </cell>
          <cell r="J44">
            <v>0</v>
          </cell>
          <cell r="K44">
            <v>0</v>
          </cell>
          <cell r="L44">
            <v>0</v>
          </cell>
        </row>
        <row r="45">
          <cell r="D45">
            <v>0</v>
          </cell>
          <cell r="E45">
            <v>0</v>
          </cell>
          <cell r="F45">
            <v>0</v>
          </cell>
          <cell r="G45">
            <v>0</v>
          </cell>
          <cell r="H45">
            <v>0</v>
          </cell>
          <cell r="I45">
            <v>0</v>
          </cell>
          <cell r="J45">
            <v>0</v>
          </cell>
          <cell r="K45">
            <v>0</v>
          </cell>
          <cell r="L45">
            <v>0</v>
          </cell>
        </row>
        <row r="46">
          <cell r="D46">
            <v>0</v>
          </cell>
          <cell r="E46">
            <v>0</v>
          </cell>
          <cell r="F46">
            <v>0</v>
          </cell>
          <cell r="G46">
            <v>0</v>
          </cell>
          <cell r="H46">
            <v>0</v>
          </cell>
          <cell r="I46">
            <v>0</v>
          </cell>
          <cell r="J46">
            <v>0</v>
          </cell>
          <cell r="K46">
            <v>0</v>
          </cell>
          <cell r="L46">
            <v>0</v>
          </cell>
        </row>
        <row r="47">
          <cell r="D47">
            <v>0</v>
          </cell>
          <cell r="E47">
            <v>0</v>
          </cell>
          <cell r="F47">
            <v>0</v>
          </cell>
          <cell r="G47">
            <v>0</v>
          </cell>
          <cell r="H47">
            <v>0</v>
          </cell>
          <cell r="I47">
            <v>0</v>
          </cell>
          <cell r="J47">
            <v>0</v>
          </cell>
          <cell r="K47">
            <v>0</v>
          </cell>
          <cell r="L47">
            <v>0</v>
          </cell>
        </row>
        <row r="48">
          <cell r="D48">
            <v>0</v>
          </cell>
          <cell r="E48">
            <v>0</v>
          </cell>
          <cell r="F48">
            <v>0</v>
          </cell>
          <cell r="G48">
            <v>0</v>
          </cell>
          <cell r="H48">
            <v>0</v>
          </cell>
          <cell r="I48">
            <v>0</v>
          </cell>
          <cell r="J48">
            <v>0</v>
          </cell>
          <cell r="K48">
            <v>0</v>
          </cell>
          <cell r="L48">
            <v>0</v>
          </cell>
        </row>
        <row r="49">
          <cell r="D49">
            <v>0</v>
          </cell>
          <cell r="E49">
            <v>0</v>
          </cell>
          <cell r="F49">
            <v>0</v>
          </cell>
          <cell r="G49">
            <v>0</v>
          </cell>
          <cell r="H49">
            <v>0</v>
          </cell>
          <cell r="I49">
            <v>0</v>
          </cell>
          <cell r="J49">
            <v>0</v>
          </cell>
          <cell r="K49">
            <v>0</v>
          </cell>
          <cell r="L49">
            <v>0</v>
          </cell>
        </row>
        <row r="50">
          <cell r="D50">
            <v>0</v>
          </cell>
          <cell r="E50">
            <v>0</v>
          </cell>
          <cell r="F50">
            <v>0</v>
          </cell>
          <cell r="G50">
            <v>0</v>
          </cell>
          <cell r="H50">
            <v>0</v>
          </cell>
          <cell r="I50">
            <v>0</v>
          </cell>
          <cell r="J50">
            <v>0</v>
          </cell>
          <cell r="K50">
            <v>0</v>
          </cell>
          <cell r="L50">
            <v>0</v>
          </cell>
        </row>
        <row r="51">
          <cell r="D51">
            <v>0</v>
          </cell>
          <cell r="E51">
            <v>0</v>
          </cell>
          <cell r="F51">
            <v>0</v>
          </cell>
          <cell r="G51">
            <v>0</v>
          </cell>
          <cell r="H51">
            <v>0</v>
          </cell>
          <cell r="I51">
            <v>0</v>
          </cell>
          <cell r="J51">
            <v>0</v>
          </cell>
          <cell r="K51">
            <v>0</v>
          </cell>
          <cell r="L51">
            <v>0</v>
          </cell>
        </row>
        <row r="52">
          <cell r="D52">
            <v>0</v>
          </cell>
          <cell r="E52">
            <v>0</v>
          </cell>
          <cell r="F52">
            <v>0</v>
          </cell>
          <cell r="G52">
            <v>0</v>
          </cell>
          <cell r="H52">
            <v>0</v>
          </cell>
          <cell r="I52">
            <v>0</v>
          </cell>
          <cell r="J52">
            <v>0</v>
          </cell>
          <cell r="K52">
            <v>0</v>
          </cell>
          <cell r="L52">
            <v>0</v>
          </cell>
        </row>
        <row r="54">
          <cell r="D54">
            <v>0</v>
          </cell>
          <cell r="E54">
            <v>0</v>
          </cell>
          <cell r="F54">
            <v>0</v>
          </cell>
          <cell r="G54">
            <v>0</v>
          </cell>
          <cell r="H54">
            <v>0</v>
          </cell>
          <cell r="I54">
            <v>0</v>
          </cell>
          <cell r="J54">
            <v>0</v>
          </cell>
          <cell r="K54">
            <v>0</v>
          </cell>
          <cell r="L54">
            <v>0</v>
          </cell>
        </row>
        <row r="55">
          <cell r="D55">
            <v>0</v>
          </cell>
          <cell r="E55">
            <v>0</v>
          </cell>
          <cell r="F55">
            <v>0</v>
          </cell>
          <cell r="G55">
            <v>0</v>
          </cell>
          <cell r="H55">
            <v>0</v>
          </cell>
          <cell r="I55">
            <v>0</v>
          </cell>
          <cell r="J55">
            <v>0</v>
          </cell>
          <cell r="K55">
            <v>0</v>
          </cell>
          <cell r="L55">
            <v>0</v>
          </cell>
        </row>
        <row r="56">
          <cell r="D56">
            <v>0</v>
          </cell>
          <cell r="E56">
            <v>0</v>
          </cell>
          <cell r="F56">
            <v>0</v>
          </cell>
          <cell r="G56">
            <v>0</v>
          </cell>
          <cell r="H56">
            <v>0</v>
          </cell>
          <cell r="I56">
            <v>0</v>
          </cell>
          <cell r="J56">
            <v>0</v>
          </cell>
          <cell r="K56">
            <v>0</v>
          </cell>
          <cell r="L56">
            <v>0</v>
          </cell>
        </row>
        <row r="57">
          <cell r="D57">
            <v>0</v>
          </cell>
          <cell r="E57">
            <v>0</v>
          </cell>
          <cell r="F57">
            <v>0</v>
          </cell>
          <cell r="G57">
            <v>0</v>
          </cell>
          <cell r="H57">
            <v>0</v>
          </cell>
          <cell r="I57">
            <v>0</v>
          </cell>
          <cell r="J57">
            <v>0</v>
          </cell>
          <cell r="K57">
            <v>0</v>
          </cell>
          <cell r="L57">
            <v>0</v>
          </cell>
        </row>
        <row r="58">
          <cell r="D58">
            <v>0</v>
          </cell>
          <cell r="E58">
            <v>0</v>
          </cell>
          <cell r="F58">
            <v>0</v>
          </cell>
          <cell r="G58">
            <v>0</v>
          </cell>
          <cell r="H58">
            <v>0</v>
          </cell>
          <cell r="I58">
            <v>0</v>
          </cell>
          <cell r="J58">
            <v>0</v>
          </cell>
          <cell r="K58">
            <v>0</v>
          </cell>
          <cell r="L58">
            <v>0</v>
          </cell>
        </row>
        <row r="59">
          <cell r="D59">
            <v>0</v>
          </cell>
          <cell r="E59">
            <v>0</v>
          </cell>
          <cell r="F59">
            <v>0</v>
          </cell>
          <cell r="G59">
            <v>0</v>
          </cell>
          <cell r="H59">
            <v>0</v>
          </cell>
          <cell r="I59">
            <v>0</v>
          </cell>
          <cell r="J59">
            <v>0</v>
          </cell>
          <cell r="K59">
            <v>0</v>
          </cell>
          <cell r="L59">
            <v>0</v>
          </cell>
        </row>
        <row r="61">
          <cell r="I61">
            <v>0</v>
          </cell>
          <cell r="J61">
            <v>0</v>
          </cell>
          <cell r="K61">
            <v>0</v>
          </cell>
          <cell r="L61">
            <v>0</v>
          </cell>
        </row>
        <row r="63">
          <cell r="D63">
            <v>0</v>
          </cell>
          <cell r="E63">
            <v>0</v>
          </cell>
          <cell r="F63">
            <v>0</v>
          </cell>
          <cell r="G63">
            <v>0</v>
          </cell>
          <cell r="H63">
            <v>0</v>
          </cell>
          <cell r="I63">
            <v>0</v>
          </cell>
          <cell r="J63">
            <v>0</v>
          </cell>
          <cell r="K63">
            <v>0</v>
          </cell>
          <cell r="L63">
            <v>0</v>
          </cell>
        </row>
        <row r="64">
          <cell r="D64">
            <v>0</v>
          </cell>
          <cell r="E64">
            <v>0</v>
          </cell>
          <cell r="F64">
            <v>0</v>
          </cell>
          <cell r="G64">
            <v>0</v>
          </cell>
          <cell r="H64">
            <v>0</v>
          </cell>
          <cell r="I64">
            <v>0</v>
          </cell>
          <cell r="J64">
            <v>0</v>
          </cell>
          <cell r="K64">
            <v>0</v>
          </cell>
          <cell r="L64">
            <v>0</v>
          </cell>
        </row>
        <row r="66">
          <cell r="D66">
            <v>0</v>
          </cell>
          <cell r="E66">
            <v>0</v>
          </cell>
          <cell r="F66">
            <v>0</v>
          </cell>
          <cell r="G66">
            <v>0</v>
          </cell>
          <cell r="I66">
            <v>0</v>
          </cell>
          <cell r="J66">
            <v>0</v>
          </cell>
          <cell r="K66">
            <v>0</v>
          </cell>
          <cell r="L66">
            <v>0</v>
          </cell>
        </row>
        <row r="68">
          <cell r="D68">
            <v>0</v>
          </cell>
          <cell r="E68">
            <v>0</v>
          </cell>
          <cell r="F68">
            <v>0</v>
          </cell>
          <cell r="G68">
            <v>0</v>
          </cell>
          <cell r="H68">
            <v>0</v>
          </cell>
          <cell r="I68">
            <v>0</v>
          </cell>
          <cell r="J68">
            <v>0</v>
          </cell>
          <cell r="K68">
            <v>0</v>
          </cell>
          <cell r="L68">
            <v>0</v>
          </cell>
        </row>
        <row r="69">
          <cell r="D69">
            <v>0</v>
          </cell>
          <cell r="E69">
            <v>0</v>
          </cell>
          <cell r="F69">
            <v>0</v>
          </cell>
          <cell r="G69">
            <v>0</v>
          </cell>
          <cell r="H69">
            <v>0</v>
          </cell>
          <cell r="I69">
            <v>0</v>
          </cell>
          <cell r="J69">
            <v>0</v>
          </cell>
          <cell r="K69">
            <v>0</v>
          </cell>
          <cell r="L69">
            <v>0</v>
          </cell>
        </row>
        <row r="70">
          <cell r="D70">
            <v>0</v>
          </cell>
          <cell r="E70">
            <v>0</v>
          </cell>
          <cell r="F70">
            <v>0</v>
          </cell>
          <cell r="G70">
            <v>0</v>
          </cell>
          <cell r="H70">
            <v>0</v>
          </cell>
          <cell r="I70">
            <v>0</v>
          </cell>
          <cell r="J70">
            <v>0</v>
          </cell>
          <cell r="K70">
            <v>0</v>
          </cell>
          <cell r="L70">
            <v>0</v>
          </cell>
        </row>
        <row r="72">
          <cell r="D72">
            <v>0</v>
          </cell>
          <cell r="E72">
            <v>0</v>
          </cell>
          <cell r="F72">
            <v>0</v>
          </cell>
          <cell r="G72">
            <v>0</v>
          </cell>
          <cell r="H72">
            <v>0</v>
          </cell>
          <cell r="I72">
            <v>0</v>
          </cell>
          <cell r="J72">
            <v>0</v>
          </cell>
          <cell r="K72">
            <v>0</v>
          </cell>
          <cell r="L72">
            <v>0</v>
          </cell>
        </row>
        <row r="73">
          <cell r="D73">
            <v>0</v>
          </cell>
          <cell r="E73">
            <v>0</v>
          </cell>
          <cell r="F73">
            <v>0</v>
          </cell>
          <cell r="G73">
            <v>0</v>
          </cell>
          <cell r="H73">
            <v>0</v>
          </cell>
          <cell r="I73">
            <v>0</v>
          </cell>
          <cell r="J73">
            <v>0</v>
          </cell>
          <cell r="K73">
            <v>0</v>
          </cell>
          <cell r="L73">
            <v>0</v>
          </cell>
        </row>
        <row r="74">
          <cell r="D74">
            <v>0</v>
          </cell>
          <cell r="E74">
            <v>0</v>
          </cell>
          <cell r="F74">
            <v>0</v>
          </cell>
          <cell r="G74">
            <v>0</v>
          </cell>
          <cell r="H74">
            <v>0</v>
          </cell>
          <cell r="I74">
            <v>0</v>
          </cell>
          <cell r="J74">
            <v>0</v>
          </cell>
          <cell r="K74">
            <v>0</v>
          </cell>
          <cell r="L74">
            <v>0</v>
          </cell>
        </row>
        <row r="77">
          <cell r="D77">
            <v>0</v>
          </cell>
          <cell r="E77">
            <v>0</v>
          </cell>
          <cell r="F77">
            <v>0</v>
          </cell>
          <cell r="G77">
            <v>0</v>
          </cell>
          <cell r="H77">
            <v>0</v>
          </cell>
          <cell r="I77">
            <v>0</v>
          </cell>
          <cell r="J77">
            <v>0</v>
          </cell>
          <cell r="K77">
            <v>0</v>
          </cell>
          <cell r="L77">
            <v>0</v>
          </cell>
        </row>
        <row r="78">
          <cell r="D78">
            <v>0</v>
          </cell>
          <cell r="E78">
            <v>0</v>
          </cell>
          <cell r="F78">
            <v>0</v>
          </cell>
          <cell r="G78">
            <v>0</v>
          </cell>
          <cell r="H78">
            <v>0</v>
          </cell>
          <cell r="I78">
            <v>0</v>
          </cell>
          <cell r="J78">
            <v>0</v>
          </cell>
          <cell r="K78">
            <v>0</v>
          </cell>
          <cell r="L78">
            <v>0</v>
          </cell>
        </row>
        <row r="79">
          <cell r="D79">
            <v>0</v>
          </cell>
          <cell r="E79">
            <v>0</v>
          </cell>
          <cell r="F79">
            <v>0</v>
          </cell>
          <cell r="G79">
            <v>0</v>
          </cell>
          <cell r="H79">
            <v>0</v>
          </cell>
          <cell r="I79">
            <v>0</v>
          </cell>
          <cell r="J79">
            <v>0</v>
          </cell>
          <cell r="K79">
            <v>0</v>
          </cell>
          <cell r="L79">
            <v>0</v>
          </cell>
        </row>
        <row r="80">
          <cell r="D80">
            <v>0</v>
          </cell>
          <cell r="E80">
            <v>0</v>
          </cell>
          <cell r="F80">
            <v>0</v>
          </cell>
          <cell r="G80">
            <v>0</v>
          </cell>
          <cell r="H80">
            <v>0</v>
          </cell>
          <cell r="I80">
            <v>0</v>
          </cell>
          <cell r="J80">
            <v>0</v>
          </cell>
          <cell r="K80">
            <v>0</v>
          </cell>
          <cell r="L80">
            <v>0</v>
          </cell>
        </row>
        <row r="81">
          <cell r="D81">
            <v>0</v>
          </cell>
          <cell r="E81">
            <v>0</v>
          </cell>
          <cell r="F81">
            <v>0</v>
          </cell>
          <cell r="G81">
            <v>0</v>
          </cell>
          <cell r="H81">
            <v>0</v>
          </cell>
          <cell r="I81">
            <v>0</v>
          </cell>
          <cell r="J81">
            <v>0</v>
          </cell>
          <cell r="K81">
            <v>0</v>
          </cell>
          <cell r="L81">
            <v>0</v>
          </cell>
        </row>
        <row r="82">
          <cell r="D82">
            <v>0</v>
          </cell>
          <cell r="E82">
            <v>0</v>
          </cell>
          <cell r="F82">
            <v>0</v>
          </cell>
          <cell r="G82">
            <v>0</v>
          </cell>
          <cell r="H82">
            <v>0</v>
          </cell>
          <cell r="I82">
            <v>0</v>
          </cell>
          <cell r="J82">
            <v>0</v>
          </cell>
          <cell r="K82">
            <v>0</v>
          </cell>
          <cell r="L82">
            <v>0</v>
          </cell>
        </row>
        <row r="83">
          <cell r="D83">
            <v>0</v>
          </cell>
          <cell r="E83">
            <v>0</v>
          </cell>
          <cell r="F83">
            <v>0</v>
          </cell>
          <cell r="G83">
            <v>0</v>
          </cell>
          <cell r="H83">
            <v>0</v>
          </cell>
          <cell r="I83">
            <v>0</v>
          </cell>
          <cell r="J83">
            <v>0</v>
          </cell>
          <cell r="K83">
            <v>0</v>
          </cell>
          <cell r="L83">
            <v>0</v>
          </cell>
        </row>
        <row r="84">
          <cell r="D84">
            <v>0</v>
          </cell>
          <cell r="E84">
            <v>0</v>
          </cell>
          <cell r="F84">
            <v>0</v>
          </cell>
          <cell r="G84">
            <v>0</v>
          </cell>
          <cell r="H84">
            <v>0</v>
          </cell>
          <cell r="I84">
            <v>0</v>
          </cell>
          <cell r="J84">
            <v>0</v>
          </cell>
          <cell r="K84">
            <v>0</v>
          </cell>
          <cell r="L84">
            <v>0</v>
          </cell>
        </row>
        <row r="85">
          <cell r="D85">
            <v>0</v>
          </cell>
          <cell r="E85">
            <v>0</v>
          </cell>
          <cell r="F85">
            <v>0</v>
          </cell>
          <cell r="G85">
            <v>0</v>
          </cell>
          <cell r="H85">
            <v>0</v>
          </cell>
          <cell r="I85">
            <v>0</v>
          </cell>
          <cell r="J85">
            <v>0</v>
          </cell>
          <cell r="K85">
            <v>0</v>
          </cell>
          <cell r="L85">
            <v>0</v>
          </cell>
        </row>
        <row r="86">
          <cell r="D86">
            <v>0</v>
          </cell>
          <cell r="E86">
            <v>0</v>
          </cell>
          <cell r="F86">
            <v>0</v>
          </cell>
          <cell r="G86">
            <v>0</v>
          </cell>
          <cell r="H86">
            <v>0</v>
          </cell>
          <cell r="I86">
            <v>0</v>
          </cell>
          <cell r="J86">
            <v>0</v>
          </cell>
          <cell r="K86">
            <v>0</v>
          </cell>
          <cell r="L86">
            <v>0</v>
          </cell>
        </row>
        <row r="87">
          <cell r="D87">
            <v>0</v>
          </cell>
          <cell r="E87">
            <v>0</v>
          </cell>
          <cell r="F87">
            <v>0</v>
          </cell>
          <cell r="G87">
            <v>0</v>
          </cell>
          <cell r="H87">
            <v>0</v>
          </cell>
          <cell r="I87">
            <v>0</v>
          </cell>
          <cell r="J87">
            <v>0</v>
          </cell>
          <cell r="K87">
            <v>0</v>
          </cell>
          <cell r="L87">
            <v>0</v>
          </cell>
        </row>
        <row r="88">
          <cell r="I88">
            <v>0</v>
          </cell>
          <cell r="J88">
            <v>0</v>
          </cell>
          <cell r="K88">
            <v>0</v>
          </cell>
          <cell r="L88">
            <v>0</v>
          </cell>
        </row>
        <row r="89">
          <cell r="D89">
            <v>0</v>
          </cell>
          <cell r="E89">
            <v>0</v>
          </cell>
          <cell r="F89">
            <v>0</v>
          </cell>
          <cell r="G89">
            <v>0</v>
          </cell>
          <cell r="H89">
            <v>0</v>
          </cell>
          <cell r="I89">
            <v>0</v>
          </cell>
          <cell r="J89">
            <v>0</v>
          </cell>
          <cell r="K89">
            <v>0</v>
          </cell>
          <cell r="L89">
            <v>0</v>
          </cell>
        </row>
        <row r="90">
          <cell r="D90">
            <v>0</v>
          </cell>
          <cell r="E90">
            <v>0</v>
          </cell>
          <cell r="F90">
            <v>0</v>
          </cell>
          <cell r="G90">
            <v>0</v>
          </cell>
          <cell r="H90">
            <v>0</v>
          </cell>
          <cell r="I90">
            <v>0</v>
          </cell>
          <cell r="J90">
            <v>0</v>
          </cell>
          <cell r="K90">
            <v>0</v>
          </cell>
          <cell r="L90">
            <v>0</v>
          </cell>
        </row>
        <row r="91">
          <cell r="D91">
            <v>0</v>
          </cell>
          <cell r="E91">
            <v>0</v>
          </cell>
          <cell r="F91">
            <v>0</v>
          </cell>
          <cell r="G91">
            <v>0</v>
          </cell>
          <cell r="H91">
            <v>0</v>
          </cell>
          <cell r="I91">
            <v>0</v>
          </cell>
          <cell r="J91">
            <v>0</v>
          </cell>
          <cell r="K91">
            <v>0</v>
          </cell>
          <cell r="L91">
            <v>0</v>
          </cell>
        </row>
        <row r="92">
          <cell r="D92">
            <v>0</v>
          </cell>
          <cell r="E92">
            <v>0</v>
          </cell>
          <cell r="F92">
            <v>0</v>
          </cell>
          <cell r="G92">
            <v>0</v>
          </cell>
          <cell r="H92">
            <v>0</v>
          </cell>
          <cell r="I92">
            <v>0</v>
          </cell>
          <cell r="J92">
            <v>0</v>
          </cell>
          <cell r="K92">
            <v>0</v>
          </cell>
          <cell r="L92">
            <v>0</v>
          </cell>
        </row>
        <row r="95">
          <cell r="D95">
            <v>0</v>
          </cell>
          <cell r="E95">
            <v>0</v>
          </cell>
          <cell r="F95">
            <v>0</v>
          </cell>
          <cell r="G95">
            <v>0</v>
          </cell>
          <cell r="H95">
            <v>0</v>
          </cell>
          <cell r="I95">
            <v>0</v>
          </cell>
          <cell r="J95">
            <v>0</v>
          </cell>
          <cell r="K95">
            <v>0</v>
          </cell>
          <cell r="L95">
            <v>0</v>
          </cell>
        </row>
        <row r="96">
          <cell r="D96">
            <v>0</v>
          </cell>
          <cell r="E96">
            <v>0</v>
          </cell>
          <cell r="F96">
            <v>0</v>
          </cell>
          <cell r="G96">
            <v>0</v>
          </cell>
          <cell r="H96">
            <v>0</v>
          </cell>
          <cell r="I96">
            <v>0</v>
          </cell>
          <cell r="J96">
            <v>0</v>
          </cell>
          <cell r="K96">
            <v>0</v>
          </cell>
          <cell r="L96">
            <v>0</v>
          </cell>
        </row>
        <row r="97">
          <cell r="D97">
            <v>0</v>
          </cell>
          <cell r="E97">
            <v>0</v>
          </cell>
          <cell r="F97">
            <v>0</v>
          </cell>
          <cell r="G97">
            <v>0</v>
          </cell>
          <cell r="H97">
            <v>0</v>
          </cell>
          <cell r="I97">
            <v>0</v>
          </cell>
          <cell r="J97">
            <v>0</v>
          </cell>
          <cell r="K97">
            <v>0</v>
          </cell>
          <cell r="L97">
            <v>0</v>
          </cell>
        </row>
        <row r="99">
          <cell r="D99">
            <v>0</v>
          </cell>
          <cell r="E99">
            <v>0</v>
          </cell>
          <cell r="F99">
            <v>0</v>
          </cell>
          <cell r="G99">
            <v>0</v>
          </cell>
          <cell r="H99">
            <v>0</v>
          </cell>
          <cell r="I99">
            <v>0</v>
          </cell>
          <cell r="J99">
            <v>0</v>
          </cell>
          <cell r="K99">
            <v>0</v>
          </cell>
          <cell r="L99">
            <v>0</v>
          </cell>
        </row>
        <row r="100">
          <cell r="D100">
            <v>0</v>
          </cell>
          <cell r="E100">
            <v>0</v>
          </cell>
          <cell r="F100">
            <v>0</v>
          </cell>
          <cell r="G100">
            <v>0</v>
          </cell>
          <cell r="H100">
            <v>0</v>
          </cell>
          <cell r="I100">
            <v>0</v>
          </cell>
          <cell r="J100">
            <v>0</v>
          </cell>
          <cell r="K100">
            <v>0</v>
          </cell>
          <cell r="L100">
            <v>0</v>
          </cell>
        </row>
        <row r="101">
          <cell r="I101">
            <v>0</v>
          </cell>
          <cell r="J101">
            <v>0</v>
          </cell>
          <cell r="K101">
            <v>0</v>
          </cell>
          <cell r="L101">
            <v>0</v>
          </cell>
        </row>
        <row r="102">
          <cell r="I102">
            <v>0</v>
          </cell>
          <cell r="J102">
            <v>0</v>
          </cell>
          <cell r="K102">
            <v>0</v>
          </cell>
          <cell r="L102">
            <v>0</v>
          </cell>
        </row>
        <row r="103">
          <cell r="I103">
            <v>0</v>
          </cell>
          <cell r="J103">
            <v>0</v>
          </cell>
          <cell r="K103">
            <v>0</v>
          </cell>
          <cell r="L103">
            <v>0</v>
          </cell>
        </row>
        <row r="104">
          <cell r="I104">
            <v>0</v>
          </cell>
          <cell r="J104">
            <v>0</v>
          </cell>
          <cell r="K104">
            <v>0</v>
          </cell>
          <cell r="L104">
            <v>0</v>
          </cell>
        </row>
        <row r="107">
          <cell r="I107">
            <v>0</v>
          </cell>
          <cell r="J107">
            <v>0</v>
          </cell>
          <cell r="K107">
            <v>0</v>
          </cell>
          <cell r="L107">
            <v>0</v>
          </cell>
        </row>
        <row r="108">
          <cell r="I108">
            <v>0</v>
          </cell>
          <cell r="J108">
            <v>0</v>
          </cell>
          <cell r="K108">
            <v>0</v>
          </cell>
          <cell r="L108">
            <v>0</v>
          </cell>
        </row>
        <row r="111">
          <cell r="I111">
            <v>0</v>
          </cell>
          <cell r="J111">
            <v>0</v>
          </cell>
          <cell r="K111">
            <v>0</v>
          </cell>
          <cell r="L111">
            <v>0</v>
          </cell>
        </row>
        <row r="112">
          <cell r="I112">
            <v>0</v>
          </cell>
          <cell r="J112">
            <v>0</v>
          </cell>
          <cell r="K112">
            <v>0</v>
          </cell>
          <cell r="L112">
            <v>0</v>
          </cell>
        </row>
      </sheetData>
      <sheetData sheetId="3"/>
      <sheetData sheetId="4">
        <row r="6">
          <cell r="I6">
            <v>0</v>
          </cell>
          <cell r="J6">
            <v>0</v>
          </cell>
          <cell r="K6">
            <v>0</v>
          </cell>
          <cell r="L6">
            <v>0</v>
          </cell>
        </row>
        <row r="7">
          <cell r="D7">
            <v>0</v>
          </cell>
          <cell r="E7">
            <v>0</v>
          </cell>
          <cell r="F7">
            <v>0</v>
          </cell>
          <cell r="G7">
            <v>0</v>
          </cell>
          <cell r="H7">
            <v>0</v>
          </cell>
          <cell r="I7">
            <v>0</v>
          </cell>
          <cell r="J7">
            <v>0</v>
          </cell>
          <cell r="K7">
            <v>0</v>
          </cell>
          <cell r="L7">
            <v>0</v>
          </cell>
        </row>
        <row r="8">
          <cell r="I8">
            <v>0</v>
          </cell>
          <cell r="J8">
            <v>0</v>
          </cell>
          <cell r="K8">
            <v>0</v>
          </cell>
          <cell r="L8">
            <v>0</v>
          </cell>
        </row>
        <row r="9">
          <cell r="D9">
            <v>0</v>
          </cell>
          <cell r="E9">
            <v>0</v>
          </cell>
          <cell r="F9">
            <v>0</v>
          </cell>
          <cell r="G9">
            <v>0</v>
          </cell>
          <cell r="H9">
            <v>0</v>
          </cell>
          <cell r="I9">
            <v>0</v>
          </cell>
          <cell r="J9">
            <v>0</v>
          </cell>
          <cell r="K9">
            <v>0</v>
          </cell>
          <cell r="L9">
            <v>0</v>
          </cell>
        </row>
        <row r="10">
          <cell r="I10">
            <v>0</v>
          </cell>
          <cell r="J10">
            <v>0</v>
          </cell>
          <cell r="K10">
            <v>0</v>
          </cell>
          <cell r="L10">
            <v>0</v>
          </cell>
        </row>
        <row r="11">
          <cell r="D11">
            <v>0</v>
          </cell>
          <cell r="E11">
            <v>0</v>
          </cell>
          <cell r="F11">
            <v>0</v>
          </cell>
          <cell r="G11">
            <v>0</v>
          </cell>
          <cell r="I11">
            <v>0</v>
          </cell>
          <cell r="J11">
            <v>0</v>
          </cell>
          <cell r="K11">
            <v>0</v>
          </cell>
          <cell r="L11">
            <v>0</v>
          </cell>
        </row>
        <row r="12">
          <cell r="D12">
            <v>0</v>
          </cell>
          <cell r="E12">
            <v>0</v>
          </cell>
          <cell r="F12">
            <v>0</v>
          </cell>
          <cell r="G12">
            <v>0</v>
          </cell>
          <cell r="H12">
            <v>0</v>
          </cell>
          <cell r="I12">
            <v>0</v>
          </cell>
          <cell r="J12">
            <v>0</v>
          </cell>
          <cell r="K12">
            <v>0</v>
          </cell>
          <cell r="L12">
            <v>0</v>
          </cell>
        </row>
        <row r="13">
          <cell r="I13">
            <v>0</v>
          </cell>
          <cell r="J13">
            <v>0</v>
          </cell>
          <cell r="K13">
            <v>0</v>
          </cell>
          <cell r="L13">
            <v>0</v>
          </cell>
        </row>
        <row r="14">
          <cell r="D14">
            <v>0</v>
          </cell>
          <cell r="E14">
            <v>0</v>
          </cell>
          <cell r="F14">
            <v>0</v>
          </cell>
          <cell r="G14">
            <v>0</v>
          </cell>
          <cell r="H14">
            <v>0</v>
          </cell>
          <cell r="I14">
            <v>0</v>
          </cell>
          <cell r="J14">
            <v>0</v>
          </cell>
          <cell r="K14">
            <v>0</v>
          </cell>
          <cell r="L14">
            <v>0</v>
          </cell>
        </row>
        <row r="15">
          <cell r="D15">
            <v>0</v>
          </cell>
          <cell r="E15">
            <v>0</v>
          </cell>
          <cell r="F15">
            <v>0</v>
          </cell>
          <cell r="G15">
            <v>0</v>
          </cell>
          <cell r="H15">
            <v>0</v>
          </cell>
          <cell r="I15">
            <v>0</v>
          </cell>
          <cell r="J15">
            <v>0</v>
          </cell>
          <cell r="K15">
            <v>0</v>
          </cell>
          <cell r="L15">
            <v>0</v>
          </cell>
        </row>
        <row r="16">
          <cell r="I16">
            <v>0</v>
          </cell>
          <cell r="J16">
            <v>0</v>
          </cell>
          <cell r="K16">
            <v>0</v>
          </cell>
          <cell r="L16">
            <v>0</v>
          </cell>
        </row>
        <row r="17">
          <cell r="I17">
            <v>0</v>
          </cell>
          <cell r="J17">
            <v>0</v>
          </cell>
          <cell r="K17">
            <v>0</v>
          </cell>
          <cell r="L17">
            <v>0</v>
          </cell>
        </row>
        <row r="18">
          <cell r="D18">
            <v>0</v>
          </cell>
          <cell r="E18">
            <v>0</v>
          </cell>
          <cell r="F18">
            <v>0</v>
          </cell>
          <cell r="G18">
            <v>0</v>
          </cell>
          <cell r="H18">
            <v>0</v>
          </cell>
          <cell r="I18">
            <v>0</v>
          </cell>
          <cell r="J18">
            <v>0</v>
          </cell>
          <cell r="K18">
            <v>0</v>
          </cell>
          <cell r="L18">
            <v>0</v>
          </cell>
        </row>
        <row r="19">
          <cell r="D19">
            <v>0</v>
          </cell>
          <cell r="E19">
            <v>0</v>
          </cell>
          <cell r="F19">
            <v>0</v>
          </cell>
          <cell r="G19">
            <v>0</v>
          </cell>
          <cell r="H19">
            <v>0</v>
          </cell>
          <cell r="I19">
            <v>0</v>
          </cell>
          <cell r="J19">
            <v>0</v>
          </cell>
          <cell r="K19">
            <v>0</v>
          </cell>
          <cell r="L19">
            <v>0</v>
          </cell>
        </row>
      </sheetData>
      <sheetData sheetId="5">
        <row r="6">
          <cell r="D6">
            <v>0</v>
          </cell>
          <cell r="E6">
            <v>0</v>
          </cell>
          <cell r="F6">
            <v>0</v>
          </cell>
          <cell r="G6">
            <v>0</v>
          </cell>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D10">
            <v>0</v>
          </cell>
          <cell r="E10">
            <v>0</v>
          </cell>
          <cell r="F10">
            <v>0</v>
          </cell>
          <cell r="G10">
            <v>0</v>
          </cell>
          <cell r="H10">
            <v>0</v>
          </cell>
          <cell r="I10">
            <v>0</v>
          </cell>
          <cell r="J10">
            <v>0</v>
          </cell>
          <cell r="K10">
            <v>0</v>
          </cell>
          <cell r="L10">
            <v>0</v>
          </cell>
        </row>
        <row r="11">
          <cell r="I11">
            <v>0</v>
          </cell>
          <cell r="J11">
            <v>0</v>
          </cell>
          <cell r="K11">
            <v>0</v>
          </cell>
          <cell r="L11">
            <v>0</v>
          </cell>
        </row>
        <row r="12">
          <cell r="D12">
            <v>0</v>
          </cell>
          <cell r="E12">
            <v>0</v>
          </cell>
          <cell r="F12">
            <v>0</v>
          </cell>
          <cell r="G12">
            <v>0</v>
          </cell>
          <cell r="H12">
            <v>0</v>
          </cell>
          <cell r="I12">
            <v>0</v>
          </cell>
          <cell r="J12">
            <v>0</v>
          </cell>
          <cell r="K12">
            <v>0</v>
          </cell>
          <cell r="L12">
            <v>0</v>
          </cell>
        </row>
        <row r="13">
          <cell r="I13">
            <v>0</v>
          </cell>
          <cell r="J13">
            <v>0</v>
          </cell>
          <cell r="K13">
            <v>0</v>
          </cell>
          <cell r="L13">
            <v>0</v>
          </cell>
        </row>
        <row r="14">
          <cell r="D14">
            <v>0</v>
          </cell>
          <cell r="E14">
            <v>0</v>
          </cell>
          <cell r="F14">
            <v>0</v>
          </cell>
          <cell r="G14">
            <v>0</v>
          </cell>
          <cell r="H14">
            <v>0</v>
          </cell>
          <cell r="I14">
            <v>0</v>
          </cell>
          <cell r="J14">
            <v>0</v>
          </cell>
          <cell r="K14">
            <v>0</v>
          </cell>
          <cell r="L14">
            <v>0</v>
          </cell>
        </row>
        <row r="15">
          <cell r="I15">
            <v>0</v>
          </cell>
          <cell r="J15">
            <v>0</v>
          </cell>
          <cell r="K15">
            <v>0</v>
          </cell>
          <cell r="L15">
            <v>0</v>
          </cell>
        </row>
        <row r="16">
          <cell r="I16">
            <v>0</v>
          </cell>
          <cell r="J16">
            <v>0</v>
          </cell>
          <cell r="K16">
            <v>0</v>
          </cell>
          <cell r="L16">
            <v>0</v>
          </cell>
        </row>
        <row r="17">
          <cell r="D17">
            <v>0</v>
          </cell>
          <cell r="E17">
            <v>0</v>
          </cell>
          <cell r="F17">
            <v>0</v>
          </cell>
          <cell r="G17">
            <v>0</v>
          </cell>
          <cell r="H17">
            <v>0</v>
          </cell>
          <cell r="I17">
            <v>0</v>
          </cell>
          <cell r="J17">
            <v>0</v>
          </cell>
          <cell r="K17">
            <v>0</v>
          </cell>
          <cell r="L17">
            <v>0</v>
          </cell>
        </row>
        <row r="18">
          <cell r="D18">
            <v>0</v>
          </cell>
          <cell r="E18">
            <v>0</v>
          </cell>
          <cell r="F18">
            <v>0</v>
          </cell>
          <cell r="G18">
            <v>0</v>
          </cell>
          <cell r="H18">
            <v>0</v>
          </cell>
          <cell r="I18">
            <v>0</v>
          </cell>
          <cell r="J18">
            <v>0</v>
          </cell>
          <cell r="K18">
            <v>0</v>
          </cell>
          <cell r="L18">
            <v>0</v>
          </cell>
        </row>
        <row r="19">
          <cell r="D19">
            <v>0</v>
          </cell>
          <cell r="E19">
            <v>0</v>
          </cell>
          <cell r="F19">
            <v>0</v>
          </cell>
          <cell r="G19">
            <v>0</v>
          </cell>
          <cell r="H19">
            <v>0</v>
          </cell>
          <cell r="I19">
            <v>0</v>
          </cell>
          <cell r="J19">
            <v>0</v>
          </cell>
          <cell r="K19">
            <v>0</v>
          </cell>
          <cell r="L19">
            <v>0</v>
          </cell>
        </row>
        <row r="20">
          <cell r="D20">
            <v>0</v>
          </cell>
          <cell r="E20">
            <v>0</v>
          </cell>
          <cell r="F20">
            <v>0</v>
          </cell>
          <cell r="G20">
            <v>0</v>
          </cell>
          <cell r="H20">
            <v>0</v>
          </cell>
          <cell r="I20">
            <v>0</v>
          </cell>
          <cell r="J20">
            <v>0</v>
          </cell>
          <cell r="K20">
            <v>0</v>
          </cell>
          <cell r="L20">
            <v>0</v>
          </cell>
        </row>
      </sheetData>
      <sheetData sheetId="6">
        <row r="6">
          <cell r="E6">
            <v>0</v>
          </cell>
          <cell r="F6">
            <v>0</v>
          </cell>
          <cell r="G6">
            <v>0</v>
          </cell>
          <cell r="H6">
            <v>0</v>
          </cell>
          <cell r="I6">
            <v>0</v>
          </cell>
          <cell r="J6">
            <v>0</v>
          </cell>
          <cell r="K6">
            <v>0</v>
          </cell>
          <cell r="L6">
            <v>0</v>
          </cell>
          <cell r="M6">
            <v>0</v>
          </cell>
        </row>
        <row r="7">
          <cell r="C7" t="str">
            <v>Уголь</v>
          </cell>
          <cell r="E7">
            <v>0</v>
          </cell>
          <cell r="F7">
            <v>0</v>
          </cell>
          <cell r="G7">
            <v>0</v>
          </cell>
          <cell r="H7">
            <v>0</v>
          </cell>
          <cell r="I7">
            <v>0</v>
          </cell>
          <cell r="J7">
            <v>0</v>
          </cell>
          <cell r="K7">
            <v>0</v>
          </cell>
          <cell r="L7">
            <v>0</v>
          </cell>
          <cell r="M7">
            <v>0</v>
          </cell>
        </row>
        <row r="8">
          <cell r="C8" t="str">
            <v>Мазут</v>
          </cell>
          <cell r="E8">
            <v>0</v>
          </cell>
          <cell r="F8">
            <v>0</v>
          </cell>
          <cell r="G8">
            <v>0</v>
          </cell>
          <cell r="H8">
            <v>0</v>
          </cell>
          <cell r="I8">
            <v>0</v>
          </cell>
          <cell r="J8">
            <v>0</v>
          </cell>
          <cell r="K8">
            <v>0</v>
          </cell>
          <cell r="L8">
            <v>0</v>
          </cell>
          <cell r="M8">
            <v>0</v>
          </cell>
        </row>
        <row r="9">
          <cell r="C9" t="str">
            <v>Газ</v>
          </cell>
          <cell r="E9">
            <v>0</v>
          </cell>
          <cell r="F9">
            <v>0</v>
          </cell>
          <cell r="G9">
            <v>0</v>
          </cell>
          <cell r="H9">
            <v>0</v>
          </cell>
          <cell r="I9">
            <v>0</v>
          </cell>
          <cell r="J9">
            <v>0</v>
          </cell>
          <cell r="K9">
            <v>0</v>
          </cell>
          <cell r="L9">
            <v>0</v>
          </cell>
          <cell r="M9">
            <v>0</v>
          </cell>
        </row>
        <row r="10">
          <cell r="C10" t="str">
            <v>Другие виды топлива</v>
          </cell>
          <cell r="E10">
            <v>0</v>
          </cell>
          <cell r="F10">
            <v>0</v>
          </cell>
          <cell r="G10">
            <v>0</v>
          </cell>
          <cell r="H10">
            <v>0</v>
          </cell>
          <cell r="I10">
            <v>0</v>
          </cell>
          <cell r="J10">
            <v>0</v>
          </cell>
          <cell r="K10">
            <v>0</v>
          </cell>
          <cell r="L10">
            <v>0</v>
          </cell>
          <cell r="M10">
            <v>0</v>
          </cell>
        </row>
        <row r="11">
          <cell r="E11">
            <v>0</v>
          </cell>
          <cell r="F11">
            <v>0</v>
          </cell>
          <cell r="G11">
            <v>0</v>
          </cell>
          <cell r="H11">
            <v>0</v>
          </cell>
          <cell r="I11">
            <v>0</v>
          </cell>
          <cell r="J11">
            <v>0</v>
          </cell>
          <cell r="K11">
            <v>0</v>
          </cell>
          <cell r="L11">
            <v>0</v>
          </cell>
          <cell r="M11">
            <v>0</v>
          </cell>
        </row>
        <row r="13">
          <cell r="E13">
            <v>0</v>
          </cell>
          <cell r="F13">
            <v>0</v>
          </cell>
          <cell r="G13">
            <v>0</v>
          </cell>
          <cell r="H13">
            <v>0</v>
          </cell>
          <cell r="I13">
            <v>0</v>
          </cell>
          <cell r="J13">
            <v>0</v>
          </cell>
          <cell r="K13">
            <v>0</v>
          </cell>
          <cell r="L13">
            <v>0</v>
          </cell>
          <cell r="M13">
            <v>0</v>
          </cell>
        </row>
        <row r="14">
          <cell r="C14" t="str">
            <v>Уголь</v>
          </cell>
          <cell r="J14">
            <v>0</v>
          </cell>
          <cell r="K14">
            <v>0</v>
          </cell>
          <cell r="L14">
            <v>0</v>
          </cell>
          <cell r="M14">
            <v>0</v>
          </cell>
        </row>
        <row r="15">
          <cell r="C15" t="str">
            <v>Мазут</v>
          </cell>
          <cell r="J15">
            <v>0</v>
          </cell>
          <cell r="K15">
            <v>0</v>
          </cell>
          <cell r="L15">
            <v>0</v>
          </cell>
          <cell r="M15">
            <v>0</v>
          </cell>
        </row>
        <row r="16">
          <cell r="C16" t="str">
            <v>Газ</v>
          </cell>
          <cell r="J16">
            <v>0</v>
          </cell>
          <cell r="K16">
            <v>0</v>
          </cell>
          <cell r="L16">
            <v>0</v>
          </cell>
          <cell r="M16">
            <v>0</v>
          </cell>
        </row>
        <row r="17">
          <cell r="C17" t="str">
            <v>Другие виды топлива</v>
          </cell>
          <cell r="J17">
            <v>0</v>
          </cell>
          <cell r="K17">
            <v>0</v>
          </cell>
          <cell r="L17">
            <v>0</v>
          </cell>
          <cell r="M17">
            <v>0</v>
          </cell>
        </row>
        <row r="20">
          <cell r="C20" t="str">
            <v>Уголь</v>
          </cell>
          <cell r="E20">
            <v>0</v>
          </cell>
          <cell r="F20">
            <v>0</v>
          </cell>
          <cell r="G20">
            <v>0</v>
          </cell>
          <cell r="H20">
            <v>0</v>
          </cell>
          <cell r="I20">
            <v>0</v>
          </cell>
          <cell r="J20">
            <v>0</v>
          </cell>
          <cell r="K20">
            <v>0</v>
          </cell>
          <cell r="L20">
            <v>0</v>
          </cell>
          <cell r="M20">
            <v>0</v>
          </cell>
        </row>
        <row r="21">
          <cell r="C21" t="str">
            <v>Мазут</v>
          </cell>
          <cell r="E21">
            <v>0</v>
          </cell>
          <cell r="F21">
            <v>0</v>
          </cell>
          <cell r="G21">
            <v>0</v>
          </cell>
          <cell r="H21">
            <v>0</v>
          </cell>
          <cell r="I21">
            <v>0</v>
          </cell>
          <cell r="J21">
            <v>0</v>
          </cell>
          <cell r="K21">
            <v>0</v>
          </cell>
          <cell r="L21">
            <v>0</v>
          </cell>
          <cell r="M21">
            <v>0</v>
          </cell>
        </row>
        <row r="22">
          <cell r="C22" t="str">
            <v>Газ</v>
          </cell>
          <cell r="E22">
            <v>0</v>
          </cell>
          <cell r="F22">
            <v>0</v>
          </cell>
          <cell r="G22">
            <v>0</v>
          </cell>
          <cell r="H22">
            <v>0</v>
          </cell>
          <cell r="I22">
            <v>0</v>
          </cell>
          <cell r="J22">
            <v>0</v>
          </cell>
          <cell r="K22">
            <v>0</v>
          </cell>
          <cell r="L22">
            <v>0</v>
          </cell>
          <cell r="M22">
            <v>0</v>
          </cell>
        </row>
        <row r="23">
          <cell r="C23" t="str">
            <v>Другие виды топлива</v>
          </cell>
          <cell r="E23">
            <v>0</v>
          </cell>
          <cell r="F23">
            <v>0</v>
          </cell>
          <cell r="G23">
            <v>0</v>
          </cell>
          <cell r="H23">
            <v>0</v>
          </cell>
          <cell r="I23">
            <v>0</v>
          </cell>
          <cell r="J23">
            <v>0</v>
          </cell>
          <cell r="K23">
            <v>0</v>
          </cell>
          <cell r="L23">
            <v>0</v>
          </cell>
          <cell r="M23">
            <v>0</v>
          </cell>
        </row>
        <row r="26">
          <cell r="C26" t="str">
            <v>Уголь</v>
          </cell>
          <cell r="E26">
            <v>0</v>
          </cell>
          <cell r="F26">
            <v>0</v>
          </cell>
          <cell r="G26">
            <v>0</v>
          </cell>
          <cell r="H26">
            <v>0</v>
          </cell>
          <cell r="I26">
            <v>0</v>
          </cell>
          <cell r="J26">
            <v>0</v>
          </cell>
          <cell r="K26">
            <v>0</v>
          </cell>
          <cell r="L26">
            <v>0</v>
          </cell>
          <cell r="M26">
            <v>0</v>
          </cell>
        </row>
        <row r="27">
          <cell r="C27" t="str">
            <v>Мазут</v>
          </cell>
          <cell r="E27">
            <v>0</v>
          </cell>
          <cell r="F27">
            <v>0</v>
          </cell>
          <cell r="G27">
            <v>0</v>
          </cell>
          <cell r="H27">
            <v>0</v>
          </cell>
          <cell r="I27">
            <v>0</v>
          </cell>
          <cell r="J27">
            <v>0</v>
          </cell>
          <cell r="K27">
            <v>0</v>
          </cell>
          <cell r="L27">
            <v>0</v>
          </cell>
          <cell r="M27">
            <v>0</v>
          </cell>
        </row>
        <row r="28">
          <cell r="C28" t="str">
            <v>Газ</v>
          </cell>
          <cell r="E28">
            <v>0</v>
          </cell>
          <cell r="F28">
            <v>0</v>
          </cell>
          <cell r="G28">
            <v>0</v>
          </cell>
          <cell r="H28">
            <v>0</v>
          </cell>
          <cell r="I28">
            <v>0</v>
          </cell>
          <cell r="J28">
            <v>0</v>
          </cell>
          <cell r="K28">
            <v>0</v>
          </cell>
          <cell r="L28">
            <v>0</v>
          </cell>
          <cell r="M28">
            <v>0</v>
          </cell>
        </row>
        <row r="29">
          <cell r="C29" t="str">
            <v>Другие виды топлива</v>
          </cell>
          <cell r="E29">
            <v>0</v>
          </cell>
          <cell r="F29">
            <v>0</v>
          </cell>
          <cell r="G29">
            <v>0</v>
          </cell>
          <cell r="H29">
            <v>0</v>
          </cell>
          <cell r="I29">
            <v>0</v>
          </cell>
          <cell r="J29">
            <v>0</v>
          </cell>
          <cell r="K29">
            <v>0</v>
          </cell>
          <cell r="L29">
            <v>0</v>
          </cell>
          <cell r="M29">
            <v>0</v>
          </cell>
        </row>
        <row r="32">
          <cell r="C32" t="str">
            <v>Уголь</v>
          </cell>
          <cell r="J32">
            <v>0</v>
          </cell>
          <cell r="K32">
            <v>0</v>
          </cell>
          <cell r="L32">
            <v>0</v>
          </cell>
          <cell r="M32">
            <v>0</v>
          </cell>
        </row>
        <row r="33">
          <cell r="C33" t="str">
            <v>Мазут</v>
          </cell>
          <cell r="J33">
            <v>0</v>
          </cell>
          <cell r="K33">
            <v>0</v>
          </cell>
          <cell r="L33">
            <v>0</v>
          </cell>
          <cell r="M33">
            <v>0</v>
          </cell>
        </row>
        <row r="34">
          <cell r="C34" t="str">
            <v>Газ</v>
          </cell>
          <cell r="J34">
            <v>0</v>
          </cell>
          <cell r="K34">
            <v>0</v>
          </cell>
          <cell r="L34">
            <v>0</v>
          </cell>
          <cell r="M34">
            <v>0</v>
          </cell>
        </row>
        <row r="35">
          <cell r="C35" t="str">
            <v>Другие виды топлива</v>
          </cell>
          <cell r="J35">
            <v>0</v>
          </cell>
          <cell r="K35">
            <v>0</v>
          </cell>
          <cell r="L35">
            <v>0</v>
          </cell>
          <cell r="M35">
            <v>0</v>
          </cell>
        </row>
        <row r="37">
          <cell r="E37">
            <v>0</v>
          </cell>
          <cell r="F37">
            <v>0</v>
          </cell>
          <cell r="G37">
            <v>0</v>
          </cell>
          <cell r="H37">
            <v>0</v>
          </cell>
          <cell r="I37">
            <v>0</v>
          </cell>
          <cell r="J37">
            <v>0</v>
          </cell>
          <cell r="K37">
            <v>0</v>
          </cell>
          <cell r="L37">
            <v>0</v>
          </cell>
          <cell r="M37">
            <v>0</v>
          </cell>
        </row>
        <row r="38">
          <cell r="C38" t="str">
            <v>Уголь</v>
          </cell>
          <cell r="E38">
            <v>0</v>
          </cell>
          <cell r="F38">
            <v>0</v>
          </cell>
          <cell r="G38">
            <v>0</v>
          </cell>
          <cell r="H38">
            <v>0</v>
          </cell>
          <cell r="I38">
            <v>0</v>
          </cell>
          <cell r="J38">
            <v>0</v>
          </cell>
          <cell r="K38">
            <v>0</v>
          </cell>
          <cell r="L38">
            <v>0</v>
          </cell>
          <cell r="M38">
            <v>0</v>
          </cell>
        </row>
        <row r="39">
          <cell r="C39" t="str">
            <v>Мазут</v>
          </cell>
          <cell r="E39">
            <v>0</v>
          </cell>
          <cell r="F39">
            <v>0</v>
          </cell>
          <cell r="G39">
            <v>0</v>
          </cell>
          <cell r="H39">
            <v>0</v>
          </cell>
          <cell r="I39">
            <v>0</v>
          </cell>
          <cell r="J39">
            <v>0</v>
          </cell>
          <cell r="K39">
            <v>0</v>
          </cell>
          <cell r="L39">
            <v>0</v>
          </cell>
          <cell r="M39">
            <v>0</v>
          </cell>
        </row>
        <row r="40">
          <cell r="C40" t="str">
            <v>Газ</v>
          </cell>
          <cell r="E40">
            <v>0</v>
          </cell>
          <cell r="F40">
            <v>0</v>
          </cell>
          <cell r="G40">
            <v>0</v>
          </cell>
          <cell r="H40">
            <v>0</v>
          </cell>
          <cell r="I40">
            <v>0</v>
          </cell>
          <cell r="J40">
            <v>0</v>
          </cell>
          <cell r="K40">
            <v>0</v>
          </cell>
          <cell r="L40">
            <v>0</v>
          </cell>
          <cell r="M40">
            <v>0</v>
          </cell>
        </row>
        <row r="41">
          <cell r="C41" t="str">
            <v>Другие виды топлива</v>
          </cell>
          <cell r="E41">
            <v>0</v>
          </cell>
          <cell r="F41">
            <v>0</v>
          </cell>
          <cell r="G41">
            <v>0</v>
          </cell>
          <cell r="H41">
            <v>0</v>
          </cell>
          <cell r="I41">
            <v>0</v>
          </cell>
          <cell r="J41">
            <v>0</v>
          </cell>
          <cell r="K41">
            <v>0</v>
          </cell>
          <cell r="L41">
            <v>0</v>
          </cell>
          <cell r="M41">
            <v>0</v>
          </cell>
        </row>
        <row r="42">
          <cell r="E42" t="e">
            <v>#DIV/0!</v>
          </cell>
          <cell r="F42" t="e">
            <v>#DIV/0!</v>
          </cell>
          <cell r="G42" t="e">
            <v>#DIV/0!</v>
          </cell>
          <cell r="H42" t="e">
            <v>#DIV/0!</v>
          </cell>
          <cell r="I42" t="e">
            <v>#DIV/0!</v>
          </cell>
          <cell r="J42">
            <v>0</v>
          </cell>
          <cell r="K42">
            <v>0</v>
          </cell>
          <cell r="L42">
            <v>0</v>
          </cell>
          <cell r="M42">
            <v>0</v>
          </cell>
        </row>
        <row r="45">
          <cell r="C45" t="str">
            <v>Уголь</v>
          </cell>
          <cell r="J45">
            <v>0</v>
          </cell>
          <cell r="K45">
            <v>0</v>
          </cell>
          <cell r="L45">
            <v>0</v>
          </cell>
          <cell r="M45">
            <v>0</v>
          </cell>
        </row>
        <row r="46">
          <cell r="C46" t="str">
            <v>Мазут</v>
          </cell>
          <cell r="J46">
            <v>0</v>
          </cell>
          <cell r="K46">
            <v>0</v>
          </cell>
          <cell r="L46">
            <v>0</v>
          </cell>
          <cell r="M46">
            <v>0</v>
          </cell>
        </row>
        <row r="47">
          <cell r="C47" t="str">
            <v>Газ</v>
          </cell>
          <cell r="J47">
            <v>0</v>
          </cell>
          <cell r="K47">
            <v>0</v>
          </cell>
          <cell r="L47">
            <v>0</v>
          </cell>
          <cell r="M47">
            <v>0</v>
          </cell>
        </row>
        <row r="48">
          <cell r="C48" t="str">
            <v>Другие виды топлива</v>
          </cell>
          <cell r="J48">
            <v>0</v>
          </cell>
          <cell r="K48">
            <v>0</v>
          </cell>
          <cell r="L48">
            <v>0</v>
          </cell>
          <cell r="M48">
            <v>0</v>
          </cell>
        </row>
        <row r="50">
          <cell r="E50">
            <v>0</v>
          </cell>
          <cell r="F50">
            <v>0</v>
          </cell>
          <cell r="G50">
            <v>0</v>
          </cell>
          <cell r="H50">
            <v>0</v>
          </cell>
          <cell r="I50">
            <v>0</v>
          </cell>
          <cell r="J50">
            <v>0</v>
          </cell>
          <cell r="K50">
            <v>0</v>
          </cell>
          <cell r="L50">
            <v>0</v>
          </cell>
          <cell r="M50">
            <v>0</v>
          </cell>
        </row>
        <row r="51">
          <cell r="C51" t="str">
            <v>Уголь</v>
          </cell>
          <cell r="E51">
            <v>0</v>
          </cell>
          <cell r="F51">
            <v>0</v>
          </cell>
          <cell r="G51">
            <v>0</v>
          </cell>
          <cell r="H51">
            <v>0</v>
          </cell>
          <cell r="I51">
            <v>0</v>
          </cell>
          <cell r="J51">
            <v>0</v>
          </cell>
          <cell r="K51">
            <v>0</v>
          </cell>
          <cell r="L51">
            <v>0</v>
          </cell>
          <cell r="M51">
            <v>0</v>
          </cell>
        </row>
        <row r="52">
          <cell r="C52" t="str">
            <v>Мазут</v>
          </cell>
          <cell r="E52">
            <v>0</v>
          </cell>
          <cell r="F52">
            <v>0</v>
          </cell>
          <cell r="G52">
            <v>0</v>
          </cell>
          <cell r="H52">
            <v>0</v>
          </cell>
          <cell r="I52">
            <v>0</v>
          </cell>
          <cell r="J52">
            <v>0</v>
          </cell>
          <cell r="K52">
            <v>0</v>
          </cell>
          <cell r="L52">
            <v>0</v>
          </cell>
          <cell r="M52">
            <v>0</v>
          </cell>
        </row>
        <row r="53">
          <cell r="C53" t="str">
            <v>Газ</v>
          </cell>
          <cell r="E53">
            <v>0</v>
          </cell>
          <cell r="F53">
            <v>0</v>
          </cell>
          <cell r="G53">
            <v>0</v>
          </cell>
          <cell r="H53">
            <v>0</v>
          </cell>
          <cell r="I53">
            <v>0</v>
          </cell>
          <cell r="J53">
            <v>0</v>
          </cell>
          <cell r="K53">
            <v>0</v>
          </cell>
          <cell r="L53">
            <v>0</v>
          </cell>
          <cell r="M53">
            <v>0</v>
          </cell>
        </row>
        <row r="54">
          <cell r="C54" t="str">
            <v>Другие виды топлива</v>
          </cell>
          <cell r="E54">
            <v>0</v>
          </cell>
          <cell r="F54">
            <v>0</v>
          </cell>
          <cell r="G54">
            <v>0</v>
          </cell>
          <cell r="H54">
            <v>0</v>
          </cell>
          <cell r="I54">
            <v>0</v>
          </cell>
          <cell r="J54">
            <v>0</v>
          </cell>
          <cell r="K54">
            <v>0</v>
          </cell>
          <cell r="L54">
            <v>0</v>
          </cell>
          <cell r="M54">
            <v>0</v>
          </cell>
        </row>
        <row r="55">
          <cell r="E55" t="e">
            <v>#DIV/0!</v>
          </cell>
          <cell r="F55" t="e">
            <v>#DIV/0!</v>
          </cell>
          <cell r="G55" t="e">
            <v>#DIV/0!</v>
          </cell>
          <cell r="H55" t="e">
            <v>#DIV/0!</v>
          </cell>
          <cell r="I55" t="e">
            <v>#DIV/0!</v>
          </cell>
          <cell r="J55">
            <v>0</v>
          </cell>
          <cell r="K55">
            <v>0</v>
          </cell>
          <cell r="L55">
            <v>0</v>
          </cell>
          <cell r="M55">
            <v>0</v>
          </cell>
        </row>
        <row r="57">
          <cell r="E57">
            <v>0</v>
          </cell>
          <cell r="F57">
            <v>0</v>
          </cell>
          <cell r="G57">
            <v>0</v>
          </cell>
          <cell r="H57">
            <v>0</v>
          </cell>
          <cell r="I57">
            <v>0</v>
          </cell>
          <cell r="J57">
            <v>0</v>
          </cell>
          <cell r="K57">
            <v>0</v>
          </cell>
          <cell r="L57">
            <v>0</v>
          </cell>
          <cell r="M57">
            <v>0</v>
          </cell>
        </row>
        <row r="58">
          <cell r="C58" t="str">
            <v>Уголь</v>
          </cell>
          <cell r="E58">
            <v>0</v>
          </cell>
          <cell r="F58">
            <v>0</v>
          </cell>
          <cell r="G58">
            <v>0</v>
          </cell>
          <cell r="H58">
            <v>0</v>
          </cell>
          <cell r="I58">
            <v>0</v>
          </cell>
          <cell r="J58">
            <v>0</v>
          </cell>
          <cell r="K58">
            <v>0</v>
          </cell>
          <cell r="L58">
            <v>0</v>
          </cell>
          <cell r="M58">
            <v>0</v>
          </cell>
        </row>
        <row r="59">
          <cell r="C59" t="str">
            <v>Мазут</v>
          </cell>
          <cell r="E59">
            <v>0</v>
          </cell>
          <cell r="F59">
            <v>0</v>
          </cell>
          <cell r="G59">
            <v>0</v>
          </cell>
          <cell r="H59">
            <v>0</v>
          </cell>
          <cell r="I59">
            <v>0</v>
          </cell>
          <cell r="J59">
            <v>0</v>
          </cell>
          <cell r="K59">
            <v>0</v>
          </cell>
          <cell r="L59">
            <v>0</v>
          </cell>
          <cell r="M59">
            <v>0</v>
          </cell>
        </row>
        <row r="60">
          <cell r="C60" t="str">
            <v>Газ</v>
          </cell>
          <cell r="E60">
            <v>0</v>
          </cell>
          <cell r="F60">
            <v>0</v>
          </cell>
          <cell r="G60">
            <v>0</v>
          </cell>
          <cell r="H60">
            <v>0</v>
          </cell>
          <cell r="I60">
            <v>0</v>
          </cell>
          <cell r="J60">
            <v>0</v>
          </cell>
          <cell r="K60">
            <v>0</v>
          </cell>
          <cell r="L60">
            <v>0</v>
          </cell>
          <cell r="M60">
            <v>0</v>
          </cell>
        </row>
        <row r="61">
          <cell r="C61" t="str">
            <v>Другие виды топлива</v>
          </cell>
          <cell r="E61">
            <v>0</v>
          </cell>
          <cell r="F61">
            <v>0</v>
          </cell>
          <cell r="G61">
            <v>0</v>
          </cell>
          <cell r="H61">
            <v>0</v>
          </cell>
          <cell r="I61">
            <v>0</v>
          </cell>
          <cell r="J61">
            <v>0</v>
          </cell>
          <cell r="K61">
            <v>0</v>
          </cell>
          <cell r="L61">
            <v>0</v>
          </cell>
          <cell r="M61">
            <v>0</v>
          </cell>
        </row>
        <row r="62">
          <cell r="E62" t="e">
            <v>#DIV/0!</v>
          </cell>
          <cell r="F62" t="e">
            <v>#DIV/0!</v>
          </cell>
          <cell r="G62" t="e">
            <v>#DIV/0!</v>
          </cell>
          <cell r="H62" t="e">
            <v>#DIV/0!</v>
          </cell>
          <cell r="I62" t="e">
            <v>#DIV/0!</v>
          </cell>
          <cell r="J62">
            <v>0</v>
          </cell>
          <cell r="K62">
            <v>0</v>
          </cell>
          <cell r="L62">
            <v>0</v>
          </cell>
          <cell r="M62">
            <v>0</v>
          </cell>
        </row>
        <row r="64">
          <cell r="E64">
            <v>0</v>
          </cell>
          <cell r="F64">
            <v>0</v>
          </cell>
          <cell r="G64">
            <v>0</v>
          </cell>
          <cell r="H64">
            <v>0</v>
          </cell>
          <cell r="I64">
            <v>0</v>
          </cell>
          <cell r="J64">
            <v>0</v>
          </cell>
          <cell r="K64">
            <v>0</v>
          </cell>
          <cell r="L64">
            <v>0</v>
          </cell>
          <cell r="M64">
            <v>0</v>
          </cell>
        </row>
        <row r="65">
          <cell r="C65" t="str">
            <v>Уголь</v>
          </cell>
          <cell r="E65">
            <v>0</v>
          </cell>
          <cell r="F65">
            <v>0</v>
          </cell>
          <cell r="G65">
            <v>0</v>
          </cell>
          <cell r="H65">
            <v>0</v>
          </cell>
          <cell r="I65">
            <v>0</v>
          </cell>
          <cell r="J65">
            <v>0</v>
          </cell>
          <cell r="K65">
            <v>0</v>
          </cell>
          <cell r="L65">
            <v>0</v>
          </cell>
          <cell r="M65">
            <v>0</v>
          </cell>
        </row>
        <row r="66">
          <cell r="C66" t="str">
            <v>Мазут</v>
          </cell>
          <cell r="E66">
            <v>0</v>
          </cell>
          <cell r="F66">
            <v>0</v>
          </cell>
          <cell r="G66">
            <v>0</v>
          </cell>
          <cell r="H66">
            <v>0</v>
          </cell>
          <cell r="I66">
            <v>0</v>
          </cell>
          <cell r="J66">
            <v>0</v>
          </cell>
          <cell r="K66">
            <v>0</v>
          </cell>
          <cell r="L66">
            <v>0</v>
          </cell>
          <cell r="M66">
            <v>0</v>
          </cell>
        </row>
        <row r="67">
          <cell r="C67" t="str">
            <v>Газ</v>
          </cell>
          <cell r="E67">
            <v>0</v>
          </cell>
          <cell r="F67">
            <v>0</v>
          </cell>
          <cell r="G67">
            <v>0</v>
          </cell>
          <cell r="H67">
            <v>0</v>
          </cell>
          <cell r="I67">
            <v>0</v>
          </cell>
          <cell r="J67">
            <v>0</v>
          </cell>
          <cell r="K67">
            <v>0</v>
          </cell>
          <cell r="L67">
            <v>0</v>
          </cell>
          <cell r="M67">
            <v>0</v>
          </cell>
        </row>
        <row r="68">
          <cell r="C68" t="str">
            <v>Другие виды топлива</v>
          </cell>
          <cell r="E68">
            <v>0</v>
          </cell>
          <cell r="F68">
            <v>0</v>
          </cell>
          <cell r="G68">
            <v>0</v>
          </cell>
          <cell r="H68">
            <v>0</v>
          </cell>
          <cell r="I68">
            <v>0</v>
          </cell>
          <cell r="J68">
            <v>0</v>
          </cell>
          <cell r="K68">
            <v>0</v>
          </cell>
          <cell r="L68">
            <v>0</v>
          </cell>
          <cell r="M68">
            <v>0</v>
          </cell>
        </row>
        <row r="69">
          <cell r="E69">
            <v>0</v>
          </cell>
          <cell r="F69">
            <v>0</v>
          </cell>
          <cell r="G69">
            <v>0</v>
          </cell>
          <cell r="H69">
            <v>0</v>
          </cell>
          <cell r="I69">
            <v>0</v>
          </cell>
          <cell r="J69">
            <v>0</v>
          </cell>
          <cell r="K69">
            <v>0</v>
          </cell>
          <cell r="L69">
            <v>0</v>
          </cell>
          <cell r="M69">
            <v>0</v>
          </cell>
        </row>
        <row r="72">
          <cell r="C72" t="str">
            <v>Уголь</v>
          </cell>
          <cell r="E72">
            <v>0</v>
          </cell>
          <cell r="F72">
            <v>0</v>
          </cell>
          <cell r="G72">
            <v>0</v>
          </cell>
          <cell r="H72">
            <v>0</v>
          </cell>
          <cell r="I72">
            <v>0</v>
          </cell>
          <cell r="J72">
            <v>0</v>
          </cell>
          <cell r="K72">
            <v>0</v>
          </cell>
          <cell r="L72">
            <v>0</v>
          </cell>
          <cell r="M72">
            <v>0</v>
          </cell>
        </row>
        <row r="73">
          <cell r="C73" t="str">
            <v>Мазут</v>
          </cell>
          <cell r="E73">
            <v>0</v>
          </cell>
          <cell r="F73">
            <v>0</v>
          </cell>
          <cell r="G73">
            <v>0</v>
          </cell>
          <cell r="H73">
            <v>0</v>
          </cell>
          <cell r="I73">
            <v>0</v>
          </cell>
          <cell r="J73">
            <v>0</v>
          </cell>
          <cell r="K73">
            <v>0</v>
          </cell>
          <cell r="L73">
            <v>0</v>
          </cell>
          <cell r="M73">
            <v>0</v>
          </cell>
        </row>
        <row r="74">
          <cell r="C74" t="str">
            <v>Газ</v>
          </cell>
          <cell r="E74">
            <v>0</v>
          </cell>
          <cell r="F74">
            <v>0</v>
          </cell>
          <cell r="G74">
            <v>0</v>
          </cell>
          <cell r="H74">
            <v>0</v>
          </cell>
          <cell r="I74">
            <v>0</v>
          </cell>
          <cell r="J74">
            <v>0</v>
          </cell>
          <cell r="K74">
            <v>0</v>
          </cell>
          <cell r="L74">
            <v>0</v>
          </cell>
          <cell r="M74">
            <v>0</v>
          </cell>
        </row>
        <row r="75">
          <cell r="C75" t="str">
            <v>Другие виды топлива</v>
          </cell>
          <cell r="E75">
            <v>0</v>
          </cell>
          <cell r="F75">
            <v>0</v>
          </cell>
          <cell r="G75">
            <v>0</v>
          </cell>
          <cell r="H75">
            <v>0</v>
          </cell>
          <cell r="I75">
            <v>0</v>
          </cell>
          <cell r="J75">
            <v>0</v>
          </cell>
          <cell r="K75">
            <v>0</v>
          </cell>
          <cell r="L75">
            <v>0</v>
          </cell>
          <cell r="M75">
            <v>0</v>
          </cell>
        </row>
        <row r="77">
          <cell r="E77">
            <v>0</v>
          </cell>
          <cell r="F77">
            <v>0</v>
          </cell>
          <cell r="G77">
            <v>0</v>
          </cell>
          <cell r="H77">
            <v>0</v>
          </cell>
          <cell r="I77">
            <v>0</v>
          </cell>
          <cell r="J77">
            <v>0</v>
          </cell>
          <cell r="K77">
            <v>0</v>
          </cell>
          <cell r="L77">
            <v>0</v>
          </cell>
          <cell r="M77">
            <v>0</v>
          </cell>
        </row>
        <row r="78">
          <cell r="E78">
            <v>0</v>
          </cell>
          <cell r="F78">
            <v>0</v>
          </cell>
          <cell r="G78">
            <v>0</v>
          </cell>
          <cell r="H78">
            <v>0</v>
          </cell>
          <cell r="I78">
            <v>0</v>
          </cell>
          <cell r="J78">
            <v>0</v>
          </cell>
          <cell r="K78">
            <v>0</v>
          </cell>
          <cell r="L78">
            <v>0</v>
          </cell>
          <cell r="M78">
            <v>0</v>
          </cell>
        </row>
        <row r="80">
          <cell r="E80">
            <v>0</v>
          </cell>
          <cell r="F80">
            <v>0</v>
          </cell>
          <cell r="G80">
            <v>0</v>
          </cell>
          <cell r="H80">
            <v>0</v>
          </cell>
          <cell r="I80">
            <v>0</v>
          </cell>
          <cell r="J80">
            <v>0</v>
          </cell>
          <cell r="K80">
            <v>0</v>
          </cell>
          <cell r="L80">
            <v>0</v>
          </cell>
          <cell r="M80">
            <v>0</v>
          </cell>
        </row>
      </sheetData>
      <sheetData sheetId="7">
        <row r="4">
          <cell r="E4">
            <v>0</v>
          </cell>
          <cell r="F4">
            <v>0</v>
          </cell>
          <cell r="G4">
            <v>0</v>
          </cell>
          <cell r="H4">
            <v>0</v>
          </cell>
          <cell r="I4">
            <v>0</v>
          </cell>
        </row>
        <row r="5">
          <cell r="C5" t="str">
            <v>Уголь</v>
          </cell>
          <cell r="H5">
            <v>0</v>
          </cell>
        </row>
        <row r="6">
          <cell r="C6" t="str">
            <v>Мазут</v>
          </cell>
          <cell r="H6">
            <v>0</v>
          </cell>
        </row>
        <row r="7">
          <cell r="C7" t="str">
            <v>Газ</v>
          </cell>
          <cell r="H7">
            <v>0</v>
          </cell>
        </row>
        <row r="8">
          <cell r="C8" t="str">
            <v>Другие виды топлива</v>
          </cell>
          <cell r="H8">
            <v>0</v>
          </cell>
        </row>
        <row r="9">
          <cell r="H9">
            <v>0</v>
          </cell>
        </row>
        <row r="11">
          <cell r="E11">
            <v>0</v>
          </cell>
          <cell r="F11">
            <v>0</v>
          </cell>
          <cell r="G11">
            <v>0</v>
          </cell>
          <cell r="H11">
            <v>0</v>
          </cell>
          <cell r="I11">
            <v>0</v>
          </cell>
        </row>
        <row r="12">
          <cell r="C12" t="str">
            <v>Уголь</v>
          </cell>
          <cell r="E12">
            <v>0</v>
          </cell>
          <cell r="F12">
            <v>0</v>
          </cell>
          <cell r="G12">
            <v>0</v>
          </cell>
          <cell r="H12">
            <v>0</v>
          </cell>
          <cell r="I12">
            <v>0</v>
          </cell>
        </row>
        <row r="13">
          <cell r="C13" t="str">
            <v>Мазут</v>
          </cell>
          <cell r="E13">
            <v>0</v>
          </cell>
          <cell r="F13">
            <v>0</v>
          </cell>
          <cell r="G13">
            <v>0</v>
          </cell>
          <cell r="H13">
            <v>0</v>
          </cell>
          <cell r="I13">
            <v>0</v>
          </cell>
        </row>
        <row r="14">
          <cell r="C14" t="str">
            <v>Газ</v>
          </cell>
          <cell r="E14">
            <v>0</v>
          </cell>
          <cell r="F14">
            <v>0</v>
          </cell>
          <cell r="G14">
            <v>0</v>
          </cell>
          <cell r="H14">
            <v>0</v>
          </cell>
          <cell r="I14">
            <v>0</v>
          </cell>
        </row>
        <row r="15">
          <cell r="C15" t="str">
            <v>Другие виды топлива</v>
          </cell>
          <cell r="E15">
            <v>0</v>
          </cell>
          <cell r="F15">
            <v>0</v>
          </cell>
          <cell r="G15">
            <v>0</v>
          </cell>
          <cell r="H15">
            <v>0</v>
          </cell>
          <cell r="I15">
            <v>0</v>
          </cell>
        </row>
        <row r="18">
          <cell r="C18" t="str">
            <v>Уголь</v>
          </cell>
          <cell r="H18">
            <v>0</v>
          </cell>
        </row>
        <row r="19">
          <cell r="C19" t="str">
            <v>Мазут</v>
          </cell>
          <cell r="H19">
            <v>0</v>
          </cell>
        </row>
        <row r="20">
          <cell r="C20" t="str">
            <v>Газ</v>
          </cell>
          <cell r="H20">
            <v>0</v>
          </cell>
        </row>
        <row r="21">
          <cell r="C21" t="str">
            <v>Другие виды топлива</v>
          </cell>
          <cell r="H21">
            <v>0</v>
          </cell>
        </row>
      </sheetData>
      <sheetData sheetId="8">
        <row r="6">
          <cell r="E6">
            <v>0</v>
          </cell>
          <cell r="F6">
            <v>0</v>
          </cell>
          <cell r="G6">
            <v>0</v>
          </cell>
          <cell r="H6">
            <v>0</v>
          </cell>
          <cell r="I6">
            <v>0</v>
          </cell>
          <cell r="J6">
            <v>0</v>
          </cell>
          <cell r="K6">
            <v>0</v>
          </cell>
          <cell r="L6">
            <v>0</v>
          </cell>
          <cell r="M6">
            <v>0</v>
          </cell>
          <cell r="N6">
            <v>0</v>
          </cell>
          <cell r="O6">
            <v>0</v>
          </cell>
          <cell r="P6">
            <v>0</v>
          </cell>
          <cell r="Q6">
            <v>0</v>
          </cell>
        </row>
        <row r="7">
          <cell r="C7" t="str">
            <v>Здания</v>
          </cell>
          <cell r="I7">
            <v>0</v>
          </cell>
          <cell r="K7">
            <v>0</v>
          </cell>
          <cell r="L7">
            <v>0</v>
          </cell>
          <cell r="M7">
            <v>0</v>
          </cell>
          <cell r="N7">
            <v>0</v>
          </cell>
          <cell r="O7">
            <v>0</v>
          </cell>
          <cell r="P7">
            <v>0</v>
          </cell>
          <cell r="Q7">
            <v>0</v>
          </cell>
        </row>
        <row r="8">
          <cell r="C8" t="str">
            <v>Сооружения</v>
          </cell>
          <cell r="I8">
            <v>0</v>
          </cell>
          <cell r="K8">
            <v>0</v>
          </cell>
          <cell r="L8">
            <v>0</v>
          </cell>
          <cell r="M8">
            <v>0</v>
          </cell>
          <cell r="N8">
            <v>0</v>
          </cell>
          <cell r="O8">
            <v>0</v>
          </cell>
          <cell r="P8">
            <v>0</v>
          </cell>
          <cell r="Q8">
            <v>0</v>
          </cell>
        </row>
        <row r="9">
          <cell r="C9" t="str">
            <v>Передаточные устройства</v>
          </cell>
          <cell r="I9">
            <v>0</v>
          </cell>
          <cell r="K9">
            <v>0</v>
          </cell>
          <cell r="L9">
            <v>0</v>
          </cell>
          <cell r="M9">
            <v>0</v>
          </cell>
          <cell r="N9">
            <v>0</v>
          </cell>
          <cell r="O9">
            <v>0</v>
          </cell>
          <cell r="P9">
            <v>0</v>
          </cell>
          <cell r="Q9">
            <v>0</v>
          </cell>
        </row>
        <row r="10">
          <cell r="C10" t="str">
            <v>Машины и оборудование</v>
          </cell>
          <cell r="E10">
            <v>0</v>
          </cell>
          <cell r="F10">
            <v>0</v>
          </cell>
          <cell r="G10">
            <v>0</v>
          </cell>
          <cell r="H10">
            <v>0</v>
          </cell>
          <cell r="I10">
            <v>0</v>
          </cell>
          <cell r="J10">
            <v>0</v>
          </cell>
          <cell r="K10">
            <v>0</v>
          </cell>
          <cell r="L10">
            <v>0</v>
          </cell>
          <cell r="M10">
            <v>0</v>
          </cell>
          <cell r="N10">
            <v>0</v>
          </cell>
          <cell r="O10">
            <v>0</v>
          </cell>
          <cell r="P10">
            <v>0</v>
          </cell>
          <cell r="Q10">
            <v>0</v>
          </cell>
        </row>
        <row r="11">
          <cell r="C11" t="str">
            <v>Силовые машины</v>
          </cell>
          <cell r="I11">
            <v>0</v>
          </cell>
          <cell r="K11">
            <v>0</v>
          </cell>
          <cell r="L11">
            <v>0</v>
          </cell>
          <cell r="M11">
            <v>0</v>
          </cell>
          <cell r="N11">
            <v>0</v>
          </cell>
          <cell r="O11">
            <v>0</v>
          </cell>
          <cell r="P11">
            <v>0</v>
          </cell>
          <cell r="Q11">
            <v>0</v>
          </cell>
        </row>
        <row r="12">
          <cell r="C12" t="str">
            <v>Рабочие машины</v>
          </cell>
          <cell r="I12">
            <v>0</v>
          </cell>
          <cell r="K12">
            <v>0</v>
          </cell>
          <cell r="L12">
            <v>0</v>
          </cell>
          <cell r="M12">
            <v>0</v>
          </cell>
          <cell r="N12">
            <v>0</v>
          </cell>
          <cell r="O12">
            <v>0</v>
          </cell>
          <cell r="P12">
            <v>0</v>
          </cell>
          <cell r="Q12">
            <v>0</v>
          </cell>
        </row>
        <row r="13">
          <cell r="C13" t="str">
            <v>Приборы и лабораторное оборудование</v>
          </cell>
          <cell r="I13">
            <v>0</v>
          </cell>
          <cell r="K13">
            <v>0</v>
          </cell>
          <cell r="L13">
            <v>0</v>
          </cell>
          <cell r="M13">
            <v>0</v>
          </cell>
          <cell r="N13">
            <v>0</v>
          </cell>
          <cell r="O13">
            <v>0</v>
          </cell>
          <cell r="P13">
            <v>0</v>
          </cell>
          <cell r="Q13">
            <v>0</v>
          </cell>
        </row>
        <row r="14">
          <cell r="C14" t="str">
            <v>Вычислительная техника</v>
          </cell>
          <cell r="I14">
            <v>0</v>
          </cell>
          <cell r="K14">
            <v>0</v>
          </cell>
          <cell r="L14">
            <v>0</v>
          </cell>
          <cell r="M14">
            <v>0</v>
          </cell>
          <cell r="N14">
            <v>0</v>
          </cell>
          <cell r="O14">
            <v>0</v>
          </cell>
          <cell r="P14">
            <v>0</v>
          </cell>
          <cell r="Q14">
            <v>0</v>
          </cell>
        </row>
        <row r="15">
          <cell r="C15" t="str">
            <v>Прочие машины</v>
          </cell>
          <cell r="I15">
            <v>0</v>
          </cell>
          <cell r="K15">
            <v>0</v>
          </cell>
          <cell r="L15">
            <v>0</v>
          </cell>
          <cell r="M15">
            <v>0</v>
          </cell>
          <cell r="N15">
            <v>0</v>
          </cell>
          <cell r="O15">
            <v>0</v>
          </cell>
          <cell r="P15">
            <v>0</v>
          </cell>
          <cell r="Q15">
            <v>0</v>
          </cell>
        </row>
        <row r="16">
          <cell r="C16" t="str">
            <v>Транспортные средства</v>
          </cell>
          <cell r="I16">
            <v>0</v>
          </cell>
          <cell r="K16">
            <v>0</v>
          </cell>
          <cell r="L16">
            <v>0</v>
          </cell>
          <cell r="M16">
            <v>0</v>
          </cell>
          <cell r="N16">
            <v>0</v>
          </cell>
          <cell r="O16">
            <v>0</v>
          </cell>
          <cell r="P16">
            <v>0</v>
          </cell>
          <cell r="Q16">
            <v>0</v>
          </cell>
        </row>
        <row r="17">
          <cell r="C17" t="str">
            <v>Инструмент</v>
          </cell>
          <cell r="I17">
            <v>0</v>
          </cell>
          <cell r="K17">
            <v>0</v>
          </cell>
          <cell r="L17">
            <v>0</v>
          </cell>
          <cell r="M17">
            <v>0</v>
          </cell>
          <cell r="N17">
            <v>0</v>
          </cell>
          <cell r="O17">
            <v>0</v>
          </cell>
          <cell r="P17">
            <v>0</v>
          </cell>
          <cell r="Q17">
            <v>0</v>
          </cell>
        </row>
        <row r="18">
          <cell r="C18" t="str">
            <v>Производственный инвентарь</v>
          </cell>
          <cell r="I18">
            <v>0</v>
          </cell>
          <cell r="K18">
            <v>0</v>
          </cell>
          <cell r="L18">
            <v>0</v>
          </cell>
          <cell r="M18">
            <v>0</v>
          </cell>
          <cell r="N18">
            <v>0</v>
          </cell>
          <cell r="O18">
            <v>0</v>
          </cell>
          <cell r="P18">
            <v>0</v>
          </cell>
          <cell r="Q18">
            <v>0</v>
          </cell>
        </row>
        <row r="20">
          <cell r="E20">
            <v>0</v>
          </cell>
          <cell r="F20">
            <v>0</v>
          </cell>
          <cell r="G20">
            <v>0</v>
          </cell>
          <cell r="H20">
            <v>0</v>
          </cell>
          <cell r="I20">
            <v>0</v>
          </cell>
          <cell r="J20">
            <v>0</v>
          </cell>
          <cell r="K20">
            <v>0</v>
          </cell>
          <cell r="L20">
            <v>0</v>
          </cell>
          <cell r="M20">
            <v>0</v>
          </cell>
          <cell r="N20">
            <v>0</v>
          </cell>
          <cell r="O20">
            <v>0</v>
          </cell>
          <cell r="P20">
            <v>0</v>
          </cell>
          <cell r="Q20">
            <v>0</v>
          </cell>
        </row>
        <row r="21">
          <cell r="C21" t="str">
            <v>Здания</v>
          </cell>
          <cell r="I21">
            <v>0</v>
          </cell>
          <cell r="N21">
            <v>0</v>
          </cell>
          <cell r="O21">
            <v>0</v>
          </cell>
          <cell r="P21">
            <v>0</v>
          </cell>
          <cell r="Q21">
            <v>0</v>
          </cell>
        </row>
        <row r="22">
          <cell r="C22" t="str">
            <v>Сооружения</v>
          </cell>
          <cell r="I22">
            <v>0</v>
          </cell>
          <cell r="N22">
            <v>0</v>
          </cell>
          <cell r="O22">
            <v>0</v>
          </cell>
          <cell r="P22">
            <v>0</v>
          </cell>
          <cell r="Q22">
            <v>0</v>
          </cell>
        </row>
        <row r="23">
          <cell r="C23" t="str">
            <v>Передаточные устройства</v>
          </cell>
          <cell r="I23">
            <v>0</v>
          </cell>
          <cell r="N23">
            <v>0</v>
          </cell>
          <cell r="O23">
            <v>0</v>
          </cell>
          <cell r="P23">
            <v>0</v>
          </cell>
          <cell r="Q23">
            <v>0</v>
          </cell>
        </row>
        <row r="24">
          <cell r="C24" t="str">
            <v>Машины и оборудование</v>
          </cell>
          <cell r="E24">
            <v>0</v>
          </cell>
          <cell r="F24">
            <v>0</v>
          </cell>
          <cell r="G24">
            <v>0</v>
          </cell>
          <cell r="H24">
            <v>0</v>
          </cell>
          <cell r="I24">
            <v>0</v>
          </cell>
          <cell r="J24">
            <v>0</v>
          </cell>
          <cell r="K24">
            <v>0</v>
          </cell>
          <cell r="L24">
            <v>0</v>
          </cell>
          <cell r="M24">
            <v>0</v>
          </cell>
          <cell r="N24">
            <v>0</v>
          </cell>
          <cell r="O24">
            <v>0</v>
          </cell>
          <cell r="P24">
            <v>0</v>
          </cell>
          <cell r="Q24">
            <v>0</v>
          </cell>
        </row>
        <row r="25">
          <cell r="C25" t="str">
            <v>Силовые машины</v>
          </cell>
          <cell r="I25">
            <v>0</v>
          </cell>
          <cell r="N25">
            <v>0</v>
          </cell>
          <cell r="O25">
            <v>0</v>
          </cell>
          <cell r="P25">
            <v>0</v>
          </cell>
          <cell r="Q25">
            <v>0</v>
          </cell>
        </row>
        <row r="26">
          <cell r="C26" t="str">
            <v>Рабочие машины</v>
          </cell>
          <cell r="I26">
            <v>0</v>
          </cell>
          <cell r="N26">
            <v>0</v>
          </cell>
          <cell r="O26">
            <v>0</v>
          </cell>
          <cell r="P26">
            <v>0</v>
          </cell>
          <cell r="Q26">
            <v>0</v>
          </cell>
        </row>
        <row r="27">
          <cell r="C27" t="str">
            <v>Приборы и лабораторное оборудование</v>
          </cell>
          <cell r="I27">
            <v>0</v>
          </cell>
          <cell r="N27">
            <v>0</v>
          </cell>
          <cell r="O27">
            <v>0</v>
          </cell>
          <cell r="P27">
            <v>0</v>
          </cell>
          <cell r="Q27">
            <v>0</v>
          </cell>
        </row>
        <row r="28">
          <cell r="C28" t="str">
            <v>Вычислительная техника</v>
          </cell>
          <cell r="I28">
            <v>0</v>
          </cell>
          <cell r="N28">
            <v>0</v>
          </cell>
          <cell r="O28">
            <v>0</v>
          </cell>
          <cell r="P28">
            <v>0</v>
          </cell>
          <cell r="Q28">
            <v>0</v>
          </cell>
        </row>
        <row r="29">
          <cell r="C29" t="str">
            <v>Прочие машины</v>
          </cell>
          <cell r="I29">
            <v>0</v>
          </cell>
          <cell r="N29">
            <v>0</v>
          </cell>
          <cell r="O29">
            <v>0</v>
          </cell>
          <cell r="P29">
            <v>0</v>
          </cell>
          <cell r="Q29">
            <v>0</v>
          </cell>
        </row>
        <row r="30">
          <cell r="C30" t="str">
            <v>Транспортные средства</v>
          </cell>
          <cell r="I30">
            <v>0</v>
          </cell>
          <cell r="N30">
            <v>0</v>
          </cell>
          <cell r="O30">
            <v>0</v>
          </cell>
          <cell r="P30">
            <v>0</v>
          </cell>
          <cell r="Q30">
            <v>0</v>
          </cell>
        </row>
        <row r="31">
          <cell r="C31" t="str">
            <v>Инструмент</v>
          </cell>
          <cell r="I31">
            <v>0</v>
          </cell>
          <cell r="N31">
            <v>0</v>
          </cell>
          <cell r="O31">
            <v>0</v>
          </cell>
          <cell r="P31">
            <v>0</v>
          </cell>
          <cell r="Q31">
            <v>0</v>
          </cell>
        </row>
        <row r="32">
          <cell r="C32" t="str">
            <v>Производственный инвентарь</v>
          </cell>
          <cell r="I32">
            <v>0</v>
          </cell>
          <cell r="N32">
            <v>0</v>
          </cell>
          <cell r="O32">
            <v>0</v>
          </cell>
          <cell r="P32">
            <v>0</v>
          </cell>
          <cell r="Q32">
            <v>0</v>
          </cell>
        </row>
        <row r="34">
          <cell r="E34">
            <v>0</v>
          </cell>
          <cell r="F34">
            <v>0</v>
          </cell>
          <cell r="G34">
            <v>0</v>
          </cell>
          <cell r="H34">
            <v>0</v>
          </cell>
          <cell r="I34">
            <v>0</v>
          </cell>
          <cell r="J34">
            <v>0</v>
          </cell>
          <cell r="K34">
            <v>0</v>
          </cell>
          <cell r="L34">
            <v>0</v>
          </cell>
          <cell r="M34">
            <v>0</v>
          </cell>
          <cell r="N34">
            <v>0</v>
          </cell>
          <cell r="O34">
            <v>0</v>
          </cell>
          <cell r="P34">
            <v>0</v>
          </cell>
          <cell r="Q34">
            <v>0</v>
          </cell>
        </row>
        <row r="35">
          <cell r="C35" t="str">
            <v>Здания</v>
          </cell>
          <cell r="I35">
            <v>0</v>
          </cell>
          <cell r="N35">
            <v>0</v>
          </cell>
          <cell r="O35">
            <v>0</v>
          </cell>
          <cell r="P35">
            <v>0</v>
          </cell>
          <cell r="Q35">
            <v>0</v>
          </cell>
        </row>
        <row r="36">
          <cell r="C36" t="str">
            <v>Сооружения</v>
          </cell>
          <cell r="I36">
            <v>0</v>
          </cell>
          <cell r="N36">
            <v>0</v>
          </cell>
          <cell r="O36">
            <v>0</v>
          </cell>
          <cell r="P36">
            <v>0</v>
          </cell>
          <cell r="Q36">
            <v>0</v>
          </cell>
        </row>
        <row r="37">
          <cell r="C37" t="str">
            <v>Передаточные устройства</v>
          </cell>
          <cell r="I37">
            <v>0</v>
          </cell>
          <cell r="N37">
            <v>0</v>
          </cell>
          <cell r="O37">
            <v>0</v>
          </cell>
          <cell r="P37">
            <v>0</v>
          </cell>
          <cell r="Q37">
            <v>0</v>
          </cell>
        </row>
        <row r="38">
          <cell r="C38" t="str">
            <v>Машины и оборудование</v>
          </cell>
          <cell r="E38">
            <v>0</v>
          </cell>
          <cell r="F38">
            <v>0</v>
          </cell>
          <cell r="G38">
            <v>0</v>
          </cell>
          <cell r="H38">
            <v>0</v>
          </cell>
          <cell r="I38">
            <v>0</v>
          </cell>
          <cell r="J38">
            <v>0</v>
          </cell>
          <cell r="K38">
            <v>0</v>
          </cell>
          <cell r="L38">
            <v>0</v>
          </cell>
          <cell r="M38">
            <v>0</v>
          </cell>
          <cell r="N38">
            <v>0</v>
          </cell>
          <cell r="O38">
            <v>0</v>
          </cell>
          <cell r="P38">
            <v>0</v>
          </cell>
          <cell r="Q38">
            <v>0</v>
          </cell>
        </row>
        <row r="39">
          <cell r="C39" t="str">
            <v>Силовые машины</v>
          </cell>
          <cell r="I39">
            <v>0</v>
          </cell>
          <cell r="N39">
            <v>0</v>
          </cell>
          <cell r="O39">
            <v>0</v>
          </cell>
          <cell r="P39">
            <v>0</v>
          </cell>
          <cell r="Q39">
            <v>0</v>
          </cell>
        </row>
        <row r="40">
          <cell r="C40" t="str">
            <v>Рабочие машины</v>
          </cell>
          <cell r="I40">
            <v>0</v>
          </cell>
          <cell r="N40">
            <v>0</v>
          </cell>
          <cell r="O40">
            <v>0</v>
          </cell>
          <cell r="P40">
            <v>0</v>
          </cell>
          <cell r="Q40">
            <v>0</v>
          </cell>
        </row>
        <row r="41">
          <cell r="C41" t="str">
            <v>Приборы и лабораторное оборудование</v>
          </cell>
          <cell r="I41">
            <v>0</v>
          </cell>
          <cell r="N41">
            <v>0</v>
          </cell>
          <cell r="O41">
            <v>0</v>
          </cell>
          <cell r="P41">
            <v>0</v>
          </cell>
          <cell r="Q41">
            <v>0</v>
          </cell>
        </row>
        <row r="42">
          <cell r="C42" t="str">
            <v>Вычислительная техника</v>
          </cell>
          <cell r="I42">
            <v>0</v>
          </cell>
          <cell r="N42">
            <v>0</v>
          </cell>
          <cell r="O42">
            <v>0</v>
          </cell>
          <cell r="P42">
            <v>0</v>
          </cell>
          <cell r="Q42">
            <v>0</v>
          </cell>
        </row>
        <row r="43">
          <cell r="C43" t="str">
            <v>Прочие машины</v>
          </cell>
          <cell r="I43">
            <v>0</v>
          </cell>
          <cell r="N43">
            <v>0</v>
          </cell>
          <cell r="O43">
            <v>0</v>
          </cell>
          <cell r="P43">
            <v>0</v>
          </cell>
          <cell r="Q43">
            <v>0</v>
          </cell>
        </row>
        <row r="44">
          <cell r="C44" t="str">
            <v>Транспортные средства</v>
          </cell>
          <cell r="I44">
            <v>0</v>
          </cell>
          <cell r="N44">
            <v>0</v>
          </cell>
          <cell r="O44">
            <v>0</v>
          </cell>
          <cell r="P44">
            <v>0</v>
          </cell>
          <cell r="Q44">
            <v>0</v>
          </cell>
        </row>
        <row r="45">
          <cell r="C45" t="str">
            <v>Инструмент</v>
          </cell>
          <cell r="I45">
            <v>0</v>
          </cell>
          <cell r="N45">
            <v>0</v>
          </cell>
          <cell r="O45">
            <v>0</v>
          </cell>
          <cell r="P45">
            <v>0</v>
          </cell>
          <cell r="Q45">
            <v>0</v>
          </cell>
        </row>
        <row r="46">
          <cell r="C46" t="str">
            <v>Производственный инвентарь</v>
          </cell>
          <cell r="I46">
            <v>0</v>
          </cell>
          <cell r="N46">
            <v>0</v>
          </cell>
          <cell r="O46">
            <v>0</v>
          </cell>
          <cell r="P46">
            <v>0</v>
          </cell>
          <cell r="Q46">
            <v>0</v>
          </cell>
        </row>
        <row r="48">
          <cell r="E48">
            <v>0</v>
          </cell>
          <cell r="F48">
            <v>0</v>
          </cell>
          <cell r="G48">
            <v>0</v>
          </cell>
          <cell r="H48">
            <v>0</v>
          </cell>
          <cell r="I48">
            <v>0</v>
          </cell>
          <cell r="J48">
            <v>0</v>
          </cell>
          <cell r="K48">
            <v>0</v>
          </cell>
          <cell r="L48">
            <v>0</v>
          </cell>
          <cell r="M48">
            <v>0</v>
          </cell>
          <cell r="N48">
            <v>0</v>
          </cell>
          <cell r="O48">
            <v>0</v>
          </cell>
          <cell r="P48">
            <v>0</v>
          </cell>
          <cell r="Q48">
            <v>0</v>
          </cell>
        </row>
        <row r="49">
          <cell r="C49" t="str">
            <v>Здания</v>
          </cell>
          <cell r="I49">
            <v>0</v>
          </cell>
          <cell r="J49">
            <v>0</v>
          </cell>
          <cell r="K49">
            <v>0</v>
          </cell>
          <cell r="L49">
            <v>0</v>
          </cell>
          <cell r="M49">
            <v>0</v>
          </cell>
          <cell r="N49">
            <v>0</v>
          </cell>
          <cell r="O49">
            <v>0</v>
          </cell>
          <cell r="P49">
            <v>0</v>
          </cell>
          <cell r="Q49">
            <v>0</v>
          </cell>
        </row>
        <row r="50">
          <cell r="C50" t="str">
            <v>Сооружения</v>
          </cell>
          <cell r="I50">
            <v>0</v>
          </cell>
          <cell r="J50">
            <v>0</v>
          </cell>
          <cell r="K50">
            <v>0</v>
          </cell>
          <cell r="L50">
            <v>0</v>
          </cell>
          <cell r="M50">
            <v>0</v>
          </cell>
          <cell r="N50">
            <v>0</v>
          </cell>
          <cell r="O50">
            <v>0</v>
          </cell>
          <cell r="P50">
            <v>0</v>
          </cell>
          <cell r="Q50">
            <v>0</v>
          </cell>
        </row>
        <row r="51">
          <cell r="C51" t="str">
            <v>Передаточные устройства</v>
          </cell>
          <cell r="I51">
            <v>0</v>
          </cell>
          <cell r="J51">
            <v>0</v>
          </cell>
          <cell r="K51">
            <v>0</v>
          </cell>
          <cell r="L51">
            <v>0</v>
          </cell>
          <cell r="M51">
            <v>0</v>
          </cell>
          <cell r="N51">
            <v>0</v>
          </cell>
          <cell r="O51">
            <v>0</v>
          </cell>
          <cell r="P51">
            <v>0</v>
          </cell>
          <cell r="Q51">
            <v>0</v>
          </cell>
        </row>
        <row r="52">
          <cell r="C52" t="str">
            <v>Машины и оборудование</v>
          </cell>
          <cell r="E52">
            <v>0</v>
          </cell>
          <cell r="F52">
            <v>0</v>
          </cell>
          <cell r="G52">
            <v>0</v>
          </cell>
          <cell r="H52">
            <v>0</v>
          </cell>
          <cell r="I52">
            <v>0</v>
          </cell>
          <cell r="J52">
            <v>0</v>
          </cell>
          <cell r="K52">
            <v>0</v>
          </cell>
          <cell r="L52">
            <v>0</v>
          </cell>
          <cell r="M52">
            <v>0</v>
          </cell>
          <cell r="N52">
            <v>0</v>
          </cell>
          <cell r="O52">
            <v>0</v>
          </cell>
          <cell r="P52">
            <v>0</v>
          </cell>
          <cell r="Q52">
            <v>0</v>
          </cell>
        </row>
        <row r="53">
          <cell r="C53" t="str">
            <v>Силовые машины</v>
          </cell>
          <cell r="I53">
            <v>0</v>
          </cell>
          <cell r="J53">
            <v>0</v>
          </cell>
          <cell r="K53">
            <v>0</v>
          </cell>
          <cell r="L53">
            <v>0</v>
          </cell>
          <cell r="M53">
            <v>0</v>
          </cell>
          <cell r="N53">
            <v>0</v>
          </cell>
          <cell r="O53">
            <v>0</v>
          </cell>
          <cell r="P53">
            <v>0</v>
          </cell>
          <cell r="Q53">
            <v>0</v>
          </cell>
        </row>
        <row r="54">
          <cell r="C54" t="str">
            <v>Рабочие машины</v>
          </cell>
          <cell r="I54">
            <v>0</v>
          </cell>
          <cell r="J54">
            <v>0</v>
          </cell>
          <cell r="K54">
            <v>0</v>
          </cell>
          <cell r="L54">
            <v>0</v>
          </cell>
          <cell r="M54">
            <v>0</v>
          </cell>
          <cell r="N54">
            <v>0</v>
          </cell>
          <cell r="O54">
            <v>0</v>
          </cell>
          <cell r="P54">
            <v>0</v>
          </cell>
          <cell r="Q54">
            <v>0</v>
          </cell>
        </row>
        <row r="55">
          <cell r="C55" t="str">
            <v>Приборы и лабораторное оборудование</v>
          </cell>
          <cell r="I55">
            <v>0</v>
          </cell>
          <cell r="J55">
            <v>0</v>
          </cell>
          <cell r="K55">
            <v>0</v>
          </cell>
          <cell r="L55">
            <v>0</v>
          </cell>
          <cell r="M55">
            <v>0</v>
          </cell>
          <cell r="N55">
            <v>0</v>
          </cell>
          <cell r="O55">
            <v>0</v>
          </cell>
          <cell r="P55">
            <v>0</v>
          </cell>
          <cell r="Q55">
            <v>0</v>
          </cell>
        </row>
        <row r="56">
          <cell r="C56" t="str">
            <v>Вычислительная техника</v>
          </cell>
          <cell r="I56">
            <v>0</v>
          </cell>
          <cell r="J56">
            <v>0</v>
          </cell>
          <cell r="K56">
            <v>0</v>
          </cell>
          <cell r="L56">
            <v>0</v>
          </cell>
          <cell r="M56">
            <v>0</v>
          </cell>
          <cell r="N56">
            <v>0</v>
          </cell>
          <cell r="O56">
            <v>0</v>
          </cell>
          <cell r="P56">
            <v>0</v>
          </cell>
          <cell r="Q56">
            <v>0</v>
          </cell>
        </row>
        <row r="57">
          <cell r="C57" t="str">
            <v>Прочие машины</v>
          </cell>
          <cell r="I57">
            <v>0</v>
          </cell>
          <cell r="J57">
            <v>0</v>
          </cell>
          <cell r="K57">
            <v>0</v>
          </cell>
          <cell r="L57">
            <v>0</v>
          </cell>
          <cell r="M57">
            <v>0</v>
          </cell>
          <cell r="N57">
            <v>0</v>
          </cell>
          <cell r="O57">
            <v>0</v>
          </cell>
          <cell r="P57">
            <v>0</v>
          </cell>
          <cell r="Q57">
            <v>0</v>
          </cell>
        </row>
        <row r="58">
          <cell r="C58" t="str">
            <v>Транспортные средства</v>
          </cell>
          <cell r="I58">
            <v>0</v>
          </cell>
          <cell r="J58">
            <v>0</v>
          </cell>
          <cell r="K58">
            <v>0</v>
          </cell>
          <cell r="L58">
            <v>0</v>
          </cell>
          <cell r="M58">
            <v>0</v>
          </cell>
          <cell r="N58">
            <v>0</v>
          </cell>
          <cell r="O58">
            <v>0</v>
          </cell>
          <cell r="P58">
            <v>0</v>
          </cell>
          <cell r="Q58">
            <v>0</v>
          </cell>
        </row>
        <row r="59">
          <cell r="C59" t="str">
            <v>Инструмент</v>
          </cell>
          <cell r="I59">
            <v>0</v>
          </cell>
          <cell r="J59">
            <v>0</v>
          </cell>
          <cell r="K59">
            <v>0</v>
          </cell>
          <cell r="L59">
            <v>0</v>
          </cell>
          <cell r="M59">
            <v>0</v>
          </cell>
          <cell r="N59">
            <v>0</v>
          </cell>
          <cell r="O59">
            <v>0</v>
          </cell>
          <cell r="P59">
            <v>0</v>
          </cell>
          <cell r="Q59">
            <v>0</v>
          </cell>
        </row>
        <row r="60">
          <cell r="C60" t="str">
            <v>Производственный инвентарь</v>
          </cell>
          <cell r="I60">
            <v>0</v>
          </cell>
          <cell r="J60">
            <v>0</v>
          </cell>
          <cell r="K60">
            <v>0</v>
          </cell>
          <cell r="L60">
            <v>0</v>
          </cell>
          <cell r="M60">
            <v>0</v>
          </cell>
          <cell r="N60">
            <v>0</v>
          </cell>
          <cell r="O60">
            <v>0</v>
          </cell>
          <cell r="P60">
            <v>0</v>
          </cell>
          <cell r="Q60">
            <v>0</v>
          </cell>
        </row>
        <row r="63">
          <cell r="C63" t="str">
            <v>Здания</v>
          </cell>
          <cell r="N63">
            <v>0</v>
          </cell>
          <cell r="O63">
            <v>0</v>
          </cell>
          <cell r="P63">
            <v>0</v>
          </cell>
          <cell r="Q63">
            <v>0</v>
          </cell>
        </row>
        <row r="64">
          <cell r="C64" t="str">
            <v>Сооружения</v>
          </cell>
          <cell r="N64">
            <v>0</v>
          </cell>
          <cell r="O64">
            <v>0</v>
          </cell>
          <cell r="P64">
            <v>0</v>
          </cell>
          <cell r="Q64">
            <v>0</v>
          </cell>
        </row>
        <row r="65">
          <cell r="C65" t="str">
            <v>Передаточные устройства</v>
          </cell>
          <cell r="N65">
            <v>0</v>
          </cell>
          <cell r="O65">
            <v>0</v>
          </cell>
          <cell r="P65">
            <v>0</v>
          </cell>
          <cell r="Q65">
            <v>0</v>
          </cell>
        </row>
        <row r="66">
          <cell r="C66" t="str">
            <v>Машины и оборудование</v>
          </cell>
          <cell r="N66">
            <v>0</v>
          </cell>
          <cell r="O66">
            <v>0</v>
          </cell>
          <cell r="P66">
            <v>0</v>
          </cell>
          <cell r="Q66">
            <v>0</v>
          </cell>
        </row>
        <row r="67">
          <cell r="C67" t="str">
            <v>Силовые машины</v>
          </cell>
          <cell r="N67">
            <v>0</v>
          </cell>
          <cell r="O67">
            <v>0</v>
          </cell>
          <cell r="P67">
            <v>0</v>
          </cell>
          <cell r="Q67">
            <v>0</v>
          </cell>
        </row>
        <row r="68">
          <cell r="C68" t="str">
            <v>Рабочие машины</v>
          </cell>
          <cell r="N68">
            <v>0</v>
          </cell>
          <cell r="O68">
            <v>0</v>
          </cell>
          <cell r="P68">
            <v>0</v>
          </cell>
          <cell r="Q68">
            <v>0</v>
          </cell>
        </row>
        <row r="69">
          <cell r="C69" t="str">
            <v>Приборы и лабораторное оборудование</v>
          </cell>
          <cell r="N69">
            <v>0</v>
          </cell>
          <cell r="O69">
            <v>0</v>
          </cell>
          <cell r="P69">
            <v>0</v>
          </cell>
          <cell r="Q69">
            <v>0</v>
          </cell>
        </row>
        <row r="70">
          <cell r="C70" t="str">
            <v>Вычислительная техника</v>
          </cell>
          <cell r="N70">
            <v>0</v>
          </cell>
          <cell r="O70">
            <v>0</v>
          </cell>
          <cell r="P70">
            <v>0</v>
          </cell>
          <cell r="Q70">
            <v>0</v>
          </cell>
        </row>
        <row r="71">
          <cell r="C71" t="str">
            <v>Прочие машины</v>
          </cell>
          <cell r="N71">
            <v>0</v>
          </cell>
          <cell r="O71">
            <v>0</v>
          </cell>
          <cell r="P71">
            <v>0</v>
          </cell>
          <cell r="Q71">
            <v>0</v>
          </cell>
        </row>
        <row r="72">
          <cell r="C72" t="str">
            <v>Транспортные средства</v>
          </cell>
          <cell r="N72">
            <v>0</v>
          </cell>
          <cell r="O72">
            <v>0</v>
          </cell>
          <cell r="P72">
            <v>0</v>
          </cell>
          <cell r="Q72">
            <v>0</v>
          </cell>
        </row>
        <row r="73">
          <cell r="C73" t="str">
            <v>Инструмент</v>
          </cell>
          <cell r="N73">
            <v>0</v>
          </cell>
          <cell r="O73">
            <v>0</v>
          </cell>
          <cell r="P73">
            <v>0</v>
          </cell>
          <cell r="Q73">
            <v>0</v>
          </cell>
        </row>
        <row r="74">
          <cell r="C74" t="str">
            <v>Производственный инвентарь</v>
          </cell>
          <cell r="N74">
            <v>0</v>
          </cell>
          <cell r="O74">
            <v>0</v>
          </cell>
          <cell r="P74">
            <v>0</v>
          </cell>
          <cell r="Q74">
            <v>0</v>
          </cell>
        </row>
        <row r="76">
          <cell r="E76">
            <v>0</v>
          </cell>
          <cell r="F76">
            <v>0</v>
          </cell>
          <cell r="G76">
            <v>0</v>
          </cell>
          <cell r="H76">
            <v>0</v>
          </cell>
          <cell r="I76">
            <v>0</v>
          </cell>
          <cell r="J76">
            <v>0</v>
          </cell>
          <cell r="K76">
            <v>0</v>
          </cell>
          <cell r="L76">
            <v>0</v>
          </cell>
          <cell r="M76">
            <v>0</v>
          </cell>
          <cell r="N76">
            <v>0</v>
          </cell>
          <cell r="O76">
            <v>0</v>
          </cell>
          <cell r="P76">
            <v>0</v>
          </cell>
          <cell r="Q76">
            <v>0</v>
          </cell>
        </row>
        <row r="77">
          <cell r="C77" t="str">
            <v>Здания</v>
          </cell>
          <cell r="E77">
            <v>0</v>
          </cell>
          <cell r="F77">
            <v>0</v>
          </cell>
          <cell r="G77">
            <v>0</v>
          </cell>
          <cell r="H77">
            <v>0</v>
          </cell>
          <cell r="I77">
            <v>0</v>
          </cell>
          <cell r="J77">
            <v>0</v>
          </cell>
          <cell r="K77">
            <v>0</v>
          </cell>
          <cell r="L77">
            <v>0</v>
          </cell>
          <cell r="M77">
            <v>0</v>
          </cell>
          <cell r="N77">
            <v>0</v>
          </cell>
          <cell r="O77">
            <v>0</v>
          </cell>
          <cell r="P77">
            <v>0</v>
          </cell>
          <cell r="Q77">
            <v>0</v>
          </cell>
        </row>
        <row r="78">
          <cell r="C78" t="str">
            <v>Сооружения</v>
          </cell>
          <cell r="E78">
            <v>0</v>
          </cell>
          <cell r="F78">
            <v>0</v>
          </cell>
          <cell r="G78">
            <v>0</v>
          </cell>
          <cell r="H78">
            <v>0</v>
          </cell>
          <cell r="I78">
            <v>0</v>
          </cell>
          <cell r="J78">
            <v>0</v>
          </cell>
          <cell r="K78">
            <v>0</v>
          </cell>
          <cell r="L78">
            <v>0</v>
          </cell>
          <cell r="M78">
            <v>0</v>
          </cell>
          <cell r="N78">
            <v>0</v>
          </cell>
          <cell r="O78">
            <v>0</v>
          </cell>
          <cell r="P78">
            <v>0</v>
          </cell>
          <cell r="Q78">
            <v>0</v>
          </cell>
        </row>
        <row r="79">
          <cell r="C79" t="str">
            <v>Передаточные устройства</v>
          </cell>
          <cell r="E79">
            <v>0</v>
          </cell>
          <cell r="F79">
            <v>0</v>
          </cell>
          <cell r="G79">
            <v>0</v>
          </cell>
          <cell r="H79">
            <v>0</v>
          </cell>
          <cell r="I79">
            <v>0</v>
          </cell>
          <cell r="J79">
            <v>0</v>
          </cell>
          <cell r="K79">
            <v>0</v>
          </cell>
          <cell r="L79">
            <v>0</v>
          </cell>
          <cell r="M79">
            <v>0</v>
          </cell>
          <cell r="N79">
            <v>0</v>
          </cell>
          <cell r="O79">
            <v>0</v>
          </cell>
          <cell r="P79">
            <v>0</v>
          </cell>
          <cell r="Q79">
            <v>0</v>
          </cell>
        </row>
        <row r="80">
          <cell r="C80" t="str">
            <v>Машины и оборудование</v>
          </cell>
          <cell r="E80">
            <v>0</v>
          </cell>
          <cell r="F80">
            <v>0</v>
          </cell>
          <cell r="G80">
            <v>0</v>
          </cell>
          <cell r="H80">
            <v>0</v>
          </cell>
          <cell r="I80">
            <v>0</v>
          </cell>
          <cell r="J80">
            <v>0</v>
          </cell>
          <cell r="K80">
            <v>0</v>
          </cell>
          <cell r="L80">
            <v>0</v>
          </cell>
          <cell r="M80">
            <v>0</v>
          </cell>
          <cell r="N80">
            <v>0</v>
          </cell>
          <cell r="O80">
            <v>0</v>
          </cell>
          <cell r="P80">
            <v>0</v>
          </cell>
          <cell r="Q80">
            <v>0</v>
          </cell>
        </row>
        <row r="81">
          <cell r="C81" t="str">
            <v>Силовые машины</v>
          </cell>
          <cell r="E81">
            <v>0</v>
          </cell>
          <cell r="F81">
            <v>0</v>
          </cell>
          <cell r="G81">
            <v>0</v>
          </cell>
          <cell r="H81">
            <v>0</v>
          </cell>
          <cell r="I81">
            <v>0</v>
          </cell>
          <cell r="J81">
            <v>0</v>
          </cell>
          <cell r="K81">
            <v>0</v>
          </cell>
          <cell r="L81">
            <v>0</v>
          </cell>
          <cell r="M81">
            <v>0</v>
          </cell>
          <cell r="N81">
            <v>0</v>
          </cell>
          <cell r="O81">
            <v>0</v>
          </cell>
          <cell r="P81">
            <v>0</v>
          </cell>
          <cell r="Q81">
            <v>0</v>
          </cell>
        </row>
        <row r="82">
          <cell r="C82" t="str">
            <v>Рабочие машины</v>
          </cell>
          <cell r="E82">
            <v>0</v>
          </cell>
          <cell r="F82">
            <v>0</v>
          </cell>
          <cell r="G82">
            <v>0</v>
          </cell>
          <cell r="H82">
            <v>0</v>
          </cell>
          <cell r="I82">
            <v>0</v>
          </cell>
          <cell r="J82">
            <v>0</v>
          </cell>
          <cell r="K82">
            <v>0</v>
          </cell>
          <cell r="L82">
            <v>0</v>
          </cell>
          <cell r="M82">
            <v>0</v>
          </cell>
          <cell r="N82">
            <v>0</v>
          </cell>
          <cell r="O82">
            <v>0</v>
          </cell>
          <cell r="P82">
            <v>0</v>
          </cell>
          <cell r="Q82">
            <v>0</v>
          </cell>
        </row>
        <row r="83">
          <cell r="C83" t="str">
            <v>Приборы и лабораторное оборудование</v>
          </cell>
          <cell r="E83">
            <v>0</v>
          </cell>
          <cell r="F83">
            <v>0</v>
          </cell>
          <cell r="G83">
            <v>0</v>
          </cell>
          <cell r="H83">
            <v>0</v>
          </cell>
          <cell r="I83">
            <v>0</v>
          </cell>
          <cell r="J83">
            <v>0</v>
          </cell>
          <cell r="K83">
            <v>0</v>
          </cell>
          <cell r="L83">
            <v>0</v>
          </cell>
          <cell r="M83">
            <v>0</v>
          </cell>
          <cell r="N83">
            <v>0</v>
          </cell>
          <cell r="O83">
            <v>0</v>
          </cell>
          <cell r="P83">
            <v>0</v>
          </cell>
          <cell r="Q83">
            <v>0</v>
          </cell>
        </row>
        <row r="84">
          <cell r="C84" t="str">
            <v>Вычислительная техника</v>
          </cell>
          <cell r="E84">
            <v>0</v>
          </cell>
          <cell r="F84">
            <v>0</v>
          </cell>
          <cell r="G84">
            <v>0</v>
          </cell>
          <cell r="H84">
            <v>0</v>
          </cell>
          <cell r="I84">
            <v>0</v>
          </cell>
          <cell r="J84">
            <v>0</v>
          </cell>
          <cell r="K84">
            <v>0</v>
          </cell>
          <cell r="L84">
            <v>0</v>
          </cell>
          <cell r="M84">
            <v>0</v>
          </cell>
          <cell r="N84">
            <v>0</v>
          </cell>
          <cell r="O84">
            <v>0</v>
          </cell>
          <cell r="P84">
            <v>0</v>
          </cell>
          <cell r="Q84">
            <v>0</v>
          </cell>
        </row>
        <row r="85">
          <cell r="C85" t="str">
            <v>Прочие машины</v>
          </cell>
          <cell r="E85">
            <v>0</v>
          </cell>
          <cell r="F85">
            <v>0</v>
          </cell>
          <cell r="G85">
            <v>0</v>
          </cell>
          <cell r="H85">
            <v>0</v>
          </cell>
          <cell r="I85">
            <v>0</v>
          </cell>
          <cell r="J85">
            <v>0</v>
          </cell>
          <cell r="K85">
            <v>0</v>
          </cell>
          <cell r="L85">
            <v>0</v>
          </cell>
          <cell r="M85">
            <v>0</v>
          </cell>
          <cell r="N85">
            <v>0</v>
          </cell>
          <cell r="O85">
            <v>0</v>
          </cell>
          <cell r="P85">
            <v>0</v>
          </cell>
          <cell r="Q85">
            <v>0</v>
          </cell>
        </row>
        <row r="86">
          <cell r="C86" t="str">
            <v>Транспортные средства</v>
          </cell>
          <cell r="E86">
            <v>0</v>
          </cell>
          <cell r="F86">
            <v>0</v>
          </cell>
          <cell r="G86">
            <v>0</v>
          </cell>
          <cell r="H86">
            <v>0</v>
          </cell>
          <cell r="I86">
            <v>0</v>
          </cell>
          <cell r="J86">
            <v>0</v>
          </cell>
          <cell r="K86">
            <v>0</v>
          </cell>
          <cell r="L86">
            <v>0</v>
          </cell>
          <cell r="M86">
            <v>0</v>
          </cell>
          <cell r="N86">
            <v>0</v>
          </cell>
          <cell r="O86">
            <v>0</v>
          </cell>
          <cell r="P86">
            <v>0</v>
          </cell>
          <cell r="Q86">
            <v>0</v>
          </cell>
        </row>
        <row r="87">
          <cell r="C87" t="str">
            <v>Инструмент</v>
          </cell>
          <cell r="E87">
            <v>0</v>
          </cell>
          <cell r="F87">
            <v>0</v>
          </cell>
          <cell r="G87">
            <v>0</v>
          </cell>
          <cell r="H87">
            <v>0</v>
          </cell>
          <cell r="I87">
            <v>0</v>
          </cell>
          <cell r="J87">
            <v>0</v>
          </cell>
          <cell r="K87">
            <v>0</v>
          </cell>
          <cell r="L87">
            <v>0</v>
          </cell>
          <cell r="M87">
            <v>0</v>
          </cell>
          <cell r="N87">
            <v>0</v>
          </cell>
          <cell r="O87">
            <v>0</v>
          </cell>
          <cell r="P87">
            <v>0</v>
          </cell>
          <cell r="Q87">
            <v>0</v>
          </cell>
        </row>
        <row r="88">
          <cell r="C88" t="str">
            <v>Производственный инвентарь</v>
          </cell>
          <cell r="E88">
            <v>0</v>
          </cell>
          <cell r="F88">
            <v>0</v>
          </cell>
          <cell r="G88">
            <v>0</v>
          </cell>
          <cell r="H88">
            <v>0</v>
          </cell>
          <cell r="I88">
            <v>0</v>
          </cell>
          <cell r="J88">
            <v>0</v>
          </cell>
          <cell r="K88">
            <v>0</v>
          </cell>
          <cell r="L88">
            <v>0</v>
          </cell>
          <cell r="M88">
            <v>0</v>
          </cell>
          <cell r="N88">
            <v>0</v>
          </cell>
          <cell r="O88">
            <v>0</v>
          </cell>
          <cell r="P88">
            <v>0</v>
          </cell>
          <cell r="Q88">
            <v>0</v>
          </cell>
        </row>
      </sheetData>
      <sheetData sheetId="9">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I11">
            <v>0</v>
          </cell>
          <cell r="J11">
            <v>0</v>
          </cell>
          <cell r="K11">
            <v>0</v>
          </cell>
          <cell r="L11">
            <v>0</v>
          </cell>
        </row>
        <row r="12">
          <cell r="D12">
            <v>0</v>
          </cell>
          <cell r="E12">
            <v>0</v>
          </cell>
          <cell r="F12">
            <v>0</v>
          </cell>
          <cell r="G12">
            <v>0</v>
          </cell>
          <cell r="H12">
            <v>0</v>
          </cell>
          <cell r="I12">
            <v>0</v>
          </cell>
          <cell r="J12">
            <v>0</v>
          </cell>
          <cell r="K12">
            <v>0</v>
          </cell>
          <cell r="L12">
            <v>0</v>
          </cell>
        </row>
        <row r="13">
          <cell r="I13">
            <v>0</v>
          </cell>
          <cell r="J13">
            <v>0</v>
          </cell>
          <cell r="K13">
            <v>0</v>
          </cell>
          <cell r="L13">
            <v>0</v>
          </cell>
        </row>
        <row r="14">
          <cell r="I14">
            <v>0</v>
          </cell>
          <cell r="J14">
            <v>0</v>
          </cell>
          <cell r="K14">
            <v>0</v>
          </cell>
          <cell r="L14">
            <v>0</v>
          </cell>
        </row>
        <row r="16">
          <cell r="I16">
            <v>0</v>
          </cell>
          <cell r="J16">
            <v>0</v>
          </cell>
          <cell r="K16">
            <v>0</v>
          </cell>
          <cell r="L16">
            <v>0</v>
          </cell>
        </row>
        <row r="17">
          <cell r="I17">
            <v>0</v>
          </cell>
          <cell r="J17">
            <v>0</v>
          </cell>
          <cell r="K17">
            <v>0</v>
          </cell>
          <cell r="L17">
            <v>0</v>
          </cell>
        </row>
        <row r="18">
          <cell r="I18">
            <v>0</v>
          </cell>
          <cell r="J18">
            <v>0</v>
          </cell>
          <cell r="K18">
            <v>0</v>
          </cell>
          <cell r="L18">
            <v>0</v>
          </cell>
        </row>
        <row r="19">
          <cell r="D19">
            <v>0</v>
          </cell>
          <cell r="E19">
            <v>0</v>
          </cell>
          <cell r="F19">
            <v>0</v>
          </cell>
          <cell r="G19">
            <v>0</v>
          </cell>
          <cell r="H19">
            <v>0</v>
          </cell>
          <cell r="I19">
            <v>0</v>
          </cell>
          <cell r="J19">
            <v>0</v>
          </cell>
          <cell r="K19">
            <v>0</v>
          </cell>
          <cell r="L19">
            <v>0</v>
          </cell>
        </row>
        <row r="21">
          <cell r="I21">
            <v>0</v>
          </cell>
          <cell r="J21">
            <v>0</v>
          </cell>
          <cell r="K21">
            <v>0</v>
          </cell>
          <cell r="L21">
            <v>0</v>
          </cell>
        </row>
        <row r="22">
          <cell r="D22">
            <v>0</v>
          </cell>
          <cell r="E22">
            <v>0</v>
          </cell>
          <cell r="F22">
            <v>0</v>
          </cell>
          <cell r="G22">
            <v>0</v>
          </cell>
          <cell r="H22">
            <v>0</v>
          </cell>
          <cell r="I22">
            <v>0</v>
          </cell>
          <cell r="J22">
            <v>0</v>
          </cell>
          <cell r="K22">
            <v>0</v>
          </cell>
          <cell r="L22">
            <v>0</v>
          </cell>
        </row>
        <row r="24">
          <cell r="I24">
            <v>0</v>
          </cell>
          <cell r="J24">
            <v>0</v>
          </cell>
          <cell r="K24">
            <v>0</v>
          </cell>
          <cell r="L24">
            <v>0</v>
          </cell>
        </row>
        <row r="25">
          <cell r="D25">
            <v>0</v>
          </cell>
          <cell r="E25">
            <v>0</v>
          </cell>
          <cell r="F25">
            <v>0</v>
          </cell>
          <cell r="G25">
            <v>0</v>
          </cell>
          <cell r="H25">
            <v>0</v>
          </cell>
          <cell r="I25">
            <v>0</v>
          </cell>
          <cell r="J25">
            <v>0</v>
          </cell>
          <cell r="K25">
            <v>0</v>
          </cell>
          <cell r="L25">
            <v>0</v>
          </cell>
        </row>
        <row r="27">
          <cell r="I27">
            <v>0</v>
          </cell>
          <cell r="J27">
            <v>0</v>
          </cell>
          <cell r="K27">
            <v>0</v>
          </cell>
          <cell r="L27">
            <v>0</v>
          </cell>
        </row>
        <row r="28">
          <cell r="D28">
            <v>0</v>
          </cell>
          <cell r="E28">
            <v>0</v>
          </cell>
          <cell r="F28">
            <v>0</v>
          </cell>
          <cell r="G28">
            <v>0</v>
          </cell>
          <cell r="H28">
            <v>0</v>
          </cell>
          <cell r="I28">
            <v>0</v>
          </cell>
          <cell r="J28">
            <v>0</v>
          </cell>
          <cell r="K28">
            <v>0</v>
          </cell>
          <cell r="L28">
            <v>0</v>
          </cell>
        </row>
        <row r="30">
          <cell r="I30">
            <v>0</v>
          </cell>
          <cell r="J30">
            <v>0</v>
          </cell>
          <cell r="K30">
            <v>0</v>
          </cell>
          <cell r="L30">
            <v>0</v>
          </cell>
        </row>
        <row r="31">
          <cell r="D31">
            <v>0</v>
          </cell>
          <cell r="E31">
            <v>0</v>
          </cell>
          <cell r="F31">
            <v>0</v>
          </cell>
          <cell r="G31">
            <v>0</v>
          </cell>
          <cell r="H31">
            <v>0</v>
          </cell>
          <cell r="I31">
            <v>0</v>
          </cell>
          <cell r="J31">
            <v>0</v>
          </cell>
          <cell r="K31">
            <v>0</v>
          </cell>
          <cell r="L31">
            <v>0</v>
          </cell>
        </row>
        <row r="33">
          <cell r="I33">
            <v>0</v>
          </cell>
          <cell r="J33">
            <v>0</v>
          </cell>
          <cell r="K33">
            <v>0</v>
          </cell>
          <cell r="L33">
            <v>0</v>
          </cell>
        </row>
        <row r="34">
          <cell r="D34">
            <v>0</v>
          </cell>
          <cell r="E34">
            <v>0</v>
          </cell>
          <cell r="F34">
            <v>0</v>
          </cell>
          <cell r="G34">
            <v>0</v>
          </cell>
          <cell r="H34">
            <v>0</v>
          </cell>
          <cell r="I34">
            <v>0</v>
          </cell>
          <cell r="J34">
            <v>0</v>
          </cell>
          <cell r="K34">
            <v>0</v>
          </cell>
          <cell r="L34">
            <v>0</v>
          </cell>
        </row>
        <row r="35">
          <cell r="D35">
            <v>0</v>
          </cell>
          <cell r="E35">
            <v>0</v>
          </cell>
          <cell r="F35">
            <v>0</v>
          </cell>
          <cell r="G35">
            <v>0</v>
          </cell>
          <cell r="H35">
            <v>0</v>
          </cell>
          <cell r="I35">
            <v>0</v>
          </cell>
          <cell r="J35">
            <v>0</v>
          </cell>
          <cell r="K35">
            <v>0</v>
          </cell>
          <cell r="L35">
            <v>0</v>
          </cell>
        </row>
        <row r="37">
          <cell r="I37">
            <v>0</v>
          </cell>
          <cell r="J37">
            <v>0</v>
          </cell>
          <cell r="K37">
            <v>0</v>
          </cell>
          <cell r="L37">
            <v>0</v>
          </cell>
        </row>
        <row r="38">
          <cell r="I38">
            <v>0</v>
          </cell>
          <cell r="J38">
            <v>0</v>
          </cell>
          <cell r="K38">
            <v>0</v>
          </cell>
          <cell r="L38">
            <v>0</v>
          </cell>
        </row>
        <row r="39">
          <cell r="D39">
            <v>0</v>
          </cell>
          <cell r="E39">
            <v>0</v>
          </cell>
          <cell r="F39">
            <v>0</v>
          </cell>
          <cell r="G39">
            <v>0</v>
          </cell>
          <cell r="H39">
            <v>0</v>
          </cell>
          <cell r="I39">
            <v>0</v>
          </cell>
          <cell r="J39">
            <v>0</v>
          </cell>
          <cell r="K39">
            <v>0</v>
          </cell>
          <cell r="L39">
            <v>0</v>
          </cell>
        </row>
        <row r="41">
          <cell r="I41">
            <v>0</v>
          </cell>
          <cell r="J41">
            <v>0</v>
          </cell>
          <cell r="K41">
            <v>0</v>
          </cell>
          <cell r="L41">
            <v>0</v>
          </cell>
        </row>
        <row r="42">
          <cell r="I42">
            <v>0</v>
          </cell>
          <cell r="J42">
            <v>0</v>
          </cell>
          <cell r="K42">
            <v>0</v>
          </cell>
          <cell r="L42">
            <v>0</v>
          </cell>
        </row>
        <row r="43">
          <cell r="D43">
            <v>0</v>
          </cell>
          <cell r="E43">
            <v>0</v>
          </cell>
          <cell r="F43">
            <v>0</v>
          </cell>
          <cell r="G43">
            <v>0</v>
          </cell>
          <cell r="H43">
            <v>0</v>
          </cell>
          <cell r="I43">
            <v>0</v>
          </cell>
          <cell r="J43">
            <v>0</v>
          </cell>
          <cell r="K43">
            <v>0</v>
          </cell>
          <cell r="L43">
            <v>0</v>
          </cell>
        </row>
        <row r="44">
          <cell r="I44">
            <v>0</v>
          </cell>
          <cell r="J44">
            <v>0</v>
          </cell>
          <cell r="K44">
            <v>0</v>
          </cell>
          <cell r="L44">
            <v>0</v>
          </cell>
        </row>
        <row r="45">
          <cell r="I45">
            <v>0</v>
          </cell>
          <cell r="J45">
            <v>0</v>
          </cell>
          <cell r="K45">
            <v>0</v>
          </cell>
          <cell r="L45">
            <v>0</v>
          </cell>
        </row>
        <row r="46">
          <cell r="D46">
            <v>0</v>
          </cell>
          <cell r="E46">
            <v>0</v>
          </cell>
          <cell r="F46">
            <v>0</v>
          </cell>
          <cell r="G46">
            <v>0</v>
          </cell>
          <cell r="H46">
            <v>0</v>
          </cell>
          <cell r="I46">
            <v>0</v>
          </cell>
          <cell r="J46">
            <v>0</v>
          </cell>
          <cell r="K46">
            <v>0</v>
          </cell>
          <cell r="L46">
            <v>0</v>
          </cell>
        </row>
        <row r="47">
          <cell r="I47">
            <v>0</v>
          </cell>
          <cell r="J47">
            <v>0</v>
          </cell>
          <cell r="K47">
            <v>0</v>
          </cell>
          <cell r="L47">
            <v>0</v>
          </cell>
        </row>
      </sheetData>
      <sheetData sheetId="10"/>
      <sheetData sheetId="11">
        <row r="6">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I11">
            <v>0</v>
          </cell>
          <cell r="J11">
            <v>0</v>
          </cell>
          <cell r="K11">
            <v>0</v>
          </cell>
          <cell r="L11">
            <v>0</v>
          </cell>
        </row>
        <row r="12">
          <cell r="D12">
            <v>0</v>
          </cell>
          <cell r="E12">
            <v>0</v>
          </cell>
          <cell r="F12">
            <v>0</v>
          </cell>
          <cell r="G12">
            <v>0</v>
          </cell>
          <cell r="I12">
            <v>0</v>
          </cell>
          <cell r="J12">
            <v>0</v>
          </cell>
          <cell r="K12">
            <v>0</v>
          </cell>
          <cell r="L12">
            <v>0</v>
          </cell>
        </row>
      </sheetData>
      <sheetData sheetId="12">
        <row r="6">
          <cell r="D6">
            <v>0</v>
          </cell>
          <cell r="E6">
            <v>0</v>
          </cell>
          <cell r="F6">
            <v>0</v>
          </cell>
          <cell r="G6">
            <v>0</v>
          </cell>
          <cell r="H6">
            <v>0</v>
          </cell>
          <cell r="I6">
            <v>0</v>
          </cell>
          <cell r="J6">
            <v>0</v>
          </cell>
          <cell r="K6">
            <v>0</v>
          </cell>
          <cell r="L6">
            <v>0</v>
          </cell>
        </row>
        <row r="7">
          <cell r="D7">
            <v>0</v>
          </cell>
          <cell r="E7">
            <v>0</v>
          </cell>
          <cell r="F7">
            <v>0</v>
          </cell>
          <cell r="G7">
            <v>0</v>
          </cell>
          <cell r="H7">
            <v>0</v>
          </cell>
          <cell r="I7">
            <v>0</v>
          </cell>
          <cell r="J7">
            <v>0</v>
          </cell>
          <cell r="K7">
            <v>0</v>
          </cell>
          <cell r="L7">
            <v>0</v>
          </cell>
        </row>
        <row r="8">
          <cell r="D8">
            <v>0</v>
          </cell>
          <cell r="E8">
            <v>0</v>
          </cell>
          <cell r="F8">
            <v>0</v>
          </cell>
          <cell r="G8">
            <v>0</v>
          </cell>
          <cell r="H8">
            <v>0</v>
          </cell>
          <cell r="I8">
            <v>0</v>
          </cell>
          <cell r="J8">
            <v>0</v>
          </cell>
          <cell r="K8">
            <v>0</v>
          </cell>
          <cell r="L8">
            <v>0</v>
          </cell>
        </row>
        <row r="10">
          <cell r="D10">
            <v>0</v>
          </cell>
          <cell r="E10">
            <v>0</v>
          </cell>
          <cell r="F10">
            <v>0</v>
          </cell>
          <cell r="G10">
            <v>0</v>
          </cell>
          <cell r="H10">
            <v>0</v>
          </cell>
          <cell r="I10">
            <v>0</v>
          </cell>
          <cell r="J10">
            <v>0</v>
          </cell>
          <cell r="K10">
            <v>0</v>
          </cell>
          <cell r="L10">
            <v>0</v>
          </cell>
        </row>
        <row r="11">
          <cell r="I11">
            <v>0</v>
          </cell>
          <cell r="J11">
            <v>0</v>
          </cell>
          <cell r="K11">
            <v>0</v>
          </cell>
          <cell r="L11">
            <v>0</v>
          </cell>
        </row>
        <row r="12">
          <cell r="I12">
            <v>0</v>
          </cell>
          <cell r="J12">
            <v>0</v>
          </cell>
          <cell r="K12">
            <v>0</v>
          </cell>
          <cell r="L12">
            <v>0</v>
          </cell>
        </row>
        <row r="14">
          <cell r="D14">
            <v>0</v>
          </cell>
          <cell r="E14">
            <v>0</v>
          </cell>
          <cell r="F14">
            <v>0</v>
          </cell>
          <cell r="G14">
            <v>0</v>
          </cell>
          <cell r="H14">
            <v>0</v>
          </cell>
          <cell r="I14">
            <v>0</v>
          </cell>
          <cell r="J14">
            <v>0</v>
          </cell>
          <cell r="K14">
            <v>0</v>
          </cell>
          <cell r="L14">
            <v>0</v>
          </cell>
        </row>
        <row r="15">
          <cell r="I15">
            <v>0</v>
          </cell>
          <cell r="J15">
            <v>0</v>
          </cell>
          <cell r="K15">
            <v>0</v>
          </cell>
          <cell r="L15">
            <v>0</v>
          </cell>
        </row>
        <row r="16">
          <cell r="I16">
            <v>0</v>
          </cell>
          <cell r="J16">
            <v>0</v>
          </cell>
          <cell r="K16">
            <v>0</v>
          </cell>
          <cell r="L16">
            <v>0</v>
          </cell>
        </row>
        <row r="18">
          <cell r="D18">
            <v>0</v>
          </cell>
          <cell r="E18">
            <v>0</v>
          </cell>
          <cell r="F18">
            <v>0</v>
          </cell>
          <cell r="G18">
            <v>0</v>
          </cell>
          <cell r="H18">
            <v>0</v>
          </cell>
          <cell r="I18">
            <v>0</v>
          </cell>
          <cell r="J18">
            <v>0</v>
          </cell>
          <cell r="K18">
            <v>0</v>
          </cell>
          <cell r="L18">
            <v>0</v>
          </cell>
        </row>
        <row r="19">
          <cell r="I19">
            <v>0</v>
          </cell>
          <cell r="J19">
            <v>0</v>
          </cell>
          <cell r="K19">
            <v>0</v>
          </cell>
          <cell r="L19">
            <v>0</v>
          </cell>
        </row>
        <row r="20">
          <cell r="I20">
            <v>0</v>
          </cell>
          <cell r="J20">
            <v>0</v>
          </cell>
          <cell r="K20">
            <v>0</v>
          </cell>
          <cell r="L20">
            <v>0</v>
          </cell>
        </row>
        <row r="22">
          <cell r="D22">
            <v>0</v>
          </cell>
          <cell r="E22">
            <v>0</v>
          </cell>
          <cell r="F22">
            <v>0</v>
          </cell>
          <cell r="G22">
            <v>0</v>
          </cell>
          <cell r="H22">
            <v>0</v>
          </cell>
          <cell r="I22">
            <v>0</v>
          </cell>
          <cell r="J22">
            <v>0</v>
          </cell>
          <cell r="K22">
            <v>0</v>
          </cell>
          <cell r="L22">
            <v>0</v>
          </cell>
        </row>
        <row r="23">
          <cell r="I23">
            <v>0</v>
          </cell>
          <cell r="J23">
            <v>0</v>
          </cell>
          <cell r="K23">
            <v>0</v>
          </cell>
          <cell r="L23">
            <v>0</v>
          </cell>
        </row>
        <row r="24">
          <cell r="I24">
            <v>0</v>
          </cell>
          <cell r="J24">
            <v>0</v>
          </cell>
          <cell r="K24">
            <v>0</v>
          </cell>
          <cell r="L24">
            <v>0</v>
          </cell>
        </row>
        <row r="26">
          <cell r="D26">
            <v>0</v>
          </cell>
          <cell r="E26">
            <v>0</v>
          </cell>
          <cell r="F26">
            <v>0</v>
          </cell>
          <cell r="G26">
            <v>0</v>
          </cell>
          <cell r="H26">
            <v>0</v>
          </cell>
          <cell r="I26">
            <v>0</v>
          </cell>
          <cell r="J26">
            <v>0</v>
          </cell>
          <cell r="K26">
            <v>0</v>
          </cell>
          <cell r="L26">
            <v>0</v>
          </cell>
        </row>
        <row r="27">
          <cell r="I27">
            <v>0</v>
          </cell>
          <cell r="J27">
            <v>0</v>
          </cell>
          <cell r="K27">
            <v>0</v>
          </cell>
          <cell r="L27">
            <v>0</v>
          </cell>
        </row>
        <row r="28">
          <cell r="I28">
            <v>0</v>
          </cell>
          <cell r="J28">
            <v>0</v>
          </cell>
          <cell r="K28">
            <v>0</v>
          </cell>
          <cell r="L28">
            <v>0</v>
          </cell>
        </row>
        <row r="30">
          <cell r="D30">
            <v>0</v>
          </cell>
          <cell r="E30">
            <v>0</v>
          </cell>
          <cell r="F30">
            <v>0</v>
          </cell>
          <cell r="G30">
            <v>0</v>
          </cell>
          <cell r="H30">
            <v>0</v>
          </cell>
          <cell r="I30">
            <v>0</v>
          </cell>
          <cell r="J30">
            <v>0</v>
          </cell>
          <cell r="K30">
            <v>0</v>
          </cell>
          <cell r="L30">
            <v>0</v>
          </cell>
        </row>
        <row r="31">
          <cell r="D31">
            <v>0</v>
          </cell>
          <cell r="E31">
            <v>0</v>
          </cell>
          <cell r="F31">
            <v>0</v>
          </cell>
          <cell r="G31">
            <v>0</v>
          </cell>
          <cell r="H31">
            <v>0</v>
          </cell>
          <cell r="I31">
            <v>0</v>
          </cell>
          <cell r="J31">
            <v>0</v>
          </cell>
          <cell r="K31">
            <v>0</v>
          </cell>
          <cell r="L31">
            <v>0</v>
          </cell>
        </row>
        <row r="32">
          <cell r="D32">
            <v>0</v>
          </cell>
          <cell r="E32">
            <v>0</v>
          </cell>
          <cell r="F32">
            <v>0</v>
          </cell>
          <cell r="G32">
            <v>0</v>
          </cell>
          <cell r="H32">
            <v>0</v>
          </cell>
          <cell r="I32">
            <v>0</v>
          </cell>
          <cell r="J32">
            <v>0</v>
          </cell>
          <cell r="K32">
            <v>0</v>
          </cell>
          <cell r="L32">
            <v>0</v>
          </cell>
        </row>
        <row r="36">
          <cell r="I36">
            <v>0</v>
          </cell>
          <cell r="J36">
            <v>0</v>
          </cell>
          <cell r="K36">
            <v>0</v>
          </cell>
          <cell r="L36">
            <v>0</v>
          </cell>
        </row>
        <row r="37">
          <cell r="I37">
            <v>0</v>
          </cell>
          <cell r="J37">
            <v>0</v>
          </cell>
          <cell r="K37">
            <v>0</v>
          </cell>
          <cell r="L37">
            <v>0</v>
          </cell>
        </row>
        <row r="38">
          <cell r="I38">
            <v>0</v>
          </cell>
          <cell r="J38">
            <v>0</v>
          </cell>
          <cell r="K38">
            <v>0</v>
          </cell>
          <cell r="L38">
            <v>0</v>
          </cell>
        </row>
        <row r="40">
          <cell r="D40">
            <v>0</v>
          </cell>
          <cell r="E40">
            <v>0</v>
          </cell>
          <cell r="F40">
            <v>0</v>
          </cell>
          <cell r="G40">
            <v>0</v>
          </cell>
          <cell r="H40">
            <v>0</v>
          </cell>
          <cell r="I40">
            <v>0</v>
          </cell>
          <cell r="J40">
            <v>0</v>
          </cell>
          <cell r="K40">
            <v>0</v>
          </cell>
          <cell r="L40">
            <v>0</v>
          </cell>
        </row>
        <row r="41">
          <cell r="I41">
            <v>0</v>
          </cell>
          <cell r="J41">
            <v>0</v>
          </cell>
          <cell r="K41">
            <v>0</v>
          </cell>
          <cell r="L41">
            <v>0</v>
          </cell>
        </row>
        <row r="42">
          <cell r="I42">
            <v>0</v>
          </cell>
          <cell r="J42">
            <v>0</v>
          </cell>
          <cell r="K42">
            <v>0</v>
          </cell>
          <cell r="L42">
            <v>0</v>
          </cell>
        </row>
      </sheetData>
      <sheetData sheetId="13">
        <row r="6">
          <cell r="D6">
            <v>0</v>
          </cell>
          <cell r="E6">
            <v>0</v>
          </cell>
          <cell r="F6">
            <v>0</v>
          </cell>
          <cell r="G6">
            <v>0</v>
          </cell>
          <cell r="H6">
            <v>0</v>
          </cell>
          <cell r="I6">
            <v>0</v>
          </cell>
          <cell r="J6">
            <v>0</v>
          </cell>
          <cell r="K6">
            <v>0</v>
          </cell>
          <cell r="L6">
            <v>0</v>
          </cell>
        </row>
        <row r="8">
          <cell r="I8">
            <v>0</v>
          </cell>
          <cell r="J8">
            <v>0</v>
          </cell>
          <cell r="K8">
            <v>0</v>
          </cell>
          <cell r="L8">
            <v>0</v>
          </cell>
        </row>
        <row r="9">
          <cell r="D9">
            <v>0</v>
          </cell>
          <cell r="E9">
            <v>0</v>
          </cell>
          <cell r="F9">
            <v>0</v>
          </cell>
          <cell r="G9">
            <v>0</v>
          </cell>
          <cell r="H9">
            <v>0</v>
          </cell>
          <cell r="I9">
            <v>0</v>
          </cell>
          <cell r="J9">
            <v>0</v>
          </cell>
          <cell r="K9">
            <v>0</v>
          </cell>
          <cell r="L9">
            <v>0</v>
          </cell>
        </row>
        <row r="11">
          <cell r="I11">
            <v>0</v>
          </cell>
          <cell r="J11">
            <v>0</v>
          </cell>
          <cell r="K11">
            <v>0</v>
          </cell>
          <cell r="L11">
            <v>0</v>
          </cell>
        </row>
        <row r="12">
          <cell r="D12">
            <v>0</v>
          </cell>
          <cell r="E12">
            <v>0</v>
          </cell>
          <cell r="F12">
            <v>0</v>
          </cell>
          <cell r="G12">
            <v>0</v>
          </cell>
          <cell r="H12">
            <v>0</v>
          </cell>
          <cell r="I12">
            <v>0</v>
          </cell>
          <cell r="J12">
            <v>0</v>
          </cell>
          <cell r="K12">
            <v>0</v>
          </cell>
          <cell r="L12">
            <v>0</v>
          </cell>
        </row>
        <row r="14">
          <cell r="I14">
            <v>0</v>
          </cell>
          <cell r="J14">
            <v>0</v>
          </cell>
          <cell r="K14">
            <v>0</v>
          </cell>
          <cell r="L14">
            <v>0</v>
          </cell>
        </row>
        <row r="15">
          <cell r="D15">
            <v>0</v>
          </cell>
          <cell r="E15">
            <v>0</v>
          </cell>
          <cell r="F15">
            <v>0</v>
          </cell>
          <cell r="G15">
            <v>0</v>
          </cell>
          <cell r="H15">
            <v>0</v>
          </cell>
          <cell r="I15">
            <v>0</v>
          </cell>
          <cell r="J15">
            <v>0</v>
          </cell>
          <cell r="K15">
            <v>0</v>
          </cell>
          <cell r="L15">
            <v>0</v>
          </cell>
        </row>
        <row r="16">
          <cell r="D16">
            <v>0</v>
          </cell>
          <cell r="E16">
            <v>0</v>
          </cell>
          <cell r="F16">
            <v>0</v>
          </cell>
          <cell r="G16">
            <v>0</v>
          </cell>
          <cell r="H16">
            <v>0</v>
          </cell>
          <cell r="I16">
            <v>0</v>
          </cell>
          <cell r="J16">
            <v>0</v>
          </cell>
          <cell r="K16">
            <v>0</v>
          </cell>
          <cell r="L16">
            <v>0</v>
          </cell>
        </row>
      </sheetData>
      <sheetData sheetId="14">
        <row r="6">
          <cell r="D6">
            <v>0</v>
          </cell>
          <cell r="E6">
            <v>0</v>
          </cell>
          <cell r="F6">
            <v>0</v>
          </cell>
          <cell r="G6">
            <v>0</v>
          </cell>
          <cell r="H6">
            <v>0</v>
          </cell>
          <cell r="I6">
            <v>0</v>
          </cell>
          <cell r="J6">
            <v>0</v>
          </cell>
          <cell r="K6">
            <v>0</v>
          </cell>
          <cell r="L6">
            <v>0</v>
          </cell>
        </row>
        <row r="7">
          <cell r="D7">
            <v>0</v>
          </cell>
          <cell r="E7">
            <v>0</v>
          </cell>
          <cell r="F7">
            <v>0</v>
          </cell>
          <cell r="G7">
            <v>0</v>
          </cell>
          <cell r="H7">
            <v>0</v>
          </cell>
          <cell r="I7">
            <v>0</v>
          </cell>
          <cell r="J7">
            <v>0</v>
          </cell>
          <cell r="K7">
            <v>0</v>
          </cell>
          <cell r="L7">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1">
          <cell r="B11" t="str">
            <v>договор № ___ от ____</v>
          </cell>
          <cell r="I11">
            <v>0</v>
          </cell>
          <cell r="J11">
            <v>0</v>
          </cell>
          <cell r="K11">
            <v>0</v>
          </cell>
          <cell r="L11">
            <v>0</v>
          </cell>
        </row>
        <row r="13">
          <cell r="D13">
            <v>0</v>
          </cell>
          <cell r="E13">
            <v>0</v>
          </cell>
          <cell r="F13">
            <v>0</v>
          </cell>
          <cell r="G13">
            <v>0</v>
          </cell>
          <cell r="H13">
            <v>0</v>
          </cell>
          <cell r="I13">
            <v>0</v>
          </cell>
          <cell r="J13">
            <v>0</v>
          </cell>
          <cell r="K13">
            <v>0</v>
          </cell>
          <cell r="L13">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7">
          <cell r="B17" t="str">
            <v>договор № ___ от ____</v>
          </cell>
          <cell r="I17">
            <v>0</v>
          </cell>
          <cell r="J17">
            <v>0</v>
          </cell>
          <cell r="K17">
            <v>0</v>
          </cell>
          <cell r="L17">
            <v>0</v>
          </cell>
        </row>
        <row r="19">
          <cell r="D19">
            <v>0</v>
          </cell>
          <cell r="E19">
            <v>0</v>
          </cell>
          <cell r="F19">
            <v>0</v>
          </cell>
          <cell r="G19">
            <v>0</v>
          </cell>
          <cell r="H19">
            <v>0</v>
          </cell>
          <cell r="I19">
            <v>0</v>
          </cell>
          <cell r="J19">
            <v>0</v>
          </cell>
          <cell r="K19">
            <v>0</v>
          </cell>
          <cell r="L19">
            <v>0</v>
          </cell>
        </row>
        <row r="21">
          <cell r="B21" t="str">
            <v>договор № ___ от ____</v>
          </cell>
          <cell r="I21">
            <v>0</v>
          </cell>
          <cell r="J21">
            <v>0</v>
          </cell>
          <cell r="K21">
            <v>0</v>
          </cell>
          <cell r="L21">
            <v>0</v>
          </cell>
        </row>
        <row r="22">
          <cell r="B22" t="str">
            <v>договор № ___ от ____</v>
          </cell>
          <cell r="I22">
            <v>0</v>
          </cell>
          <cell r="J22">
            <v>0</v>
          </cell>
          <cell r="K22">
            <v>0</v>
          </cell>
          <cell r="L22">
            <v>0</v>
          </cell>
        </row>
        <row r="23">
          <cell r="B23" t="str">
            <v>договор № ___ от ____</v>
          </cell>
          <cell r="I23">
            <v>0</v>
          </cell>
          <cell r="J23">
            <v>0</v>
          </cell>
          <cell r="K23">
            <v>0</v>
          </cell>
          <cell r="L23">
            <v>0</v>
          </cell>
        </row>
        <row r="25">
          <cell r="D25">
            <v>0</v>
          </cell>
          <cell r="E25">
            <v>0</v>
          </cell>
          <cell r="F25">
            <v>0</v>
          </cell>
          <cell r="G25">
            <v>0</v>
          </cell>
          <cell r="H25">
            <v>0</v>
          </cell>
          <cell r="I25">
            <v>0</v>
          </cell>
          <cell r="J25">
            <v>0</v>
          </cell>
          <cell r="K25">
            <v>0</v>
          </cell>
          <cell r="L25">
            <v>0</v>
          </cell>
        </row>
        <row r="27">
          <cell r="B27" t="str">
            <v>договор № ___ от ____</v>
          </cell>
          <cell r="I27">
            <v>0</v>
          </cell>
          <cell r="J27">
            <v>0</v>
          </cell>
          <cell r="K27">
            <v>0</v>
          </cell>
          <cell r="L27">
            <v>0</v>
          </cell>
        </row>
        <row r="28">
          <cell r="B28" t="str">
            <v>договор № ___ от ____</v>
          </cell>
          <cell r="I28">
            <v>0</v>
          </cell>
          <cell r="J28">
            <v>0</v>
          </cell>
          <cell r="K28">
            <v>0</v>
          </cell>
          <cell r="L28">
            <v>0</v>
          </cell>
        </row>
        <row r="29">
          <cell r="B29" t="str">
            <v>договор № ___ от ____</v>
          </cell>
          <cell r="I29">
            <v>0</v>
          </cell>
          <cell r="J29">
            <v>0</v>
          </cell>
          <cell r="K29">
            <v>0</v>
          </cell>
          <cell r="L29">
            <v>0</v>
          </cell>
        </row>
        <row r="31">
          <cell r="D31">
            <v>0</v>
          </cell>
          <cell r="E31">
            <v>0</v>
          </cell>
          <cell r="F31">
            <v>0</v>
          </cell>
          <cell r="G31">
            <v>0</v>
          </cell>
          <cell r="H31">
            <v>0</v>
          </cell>
          <cell r="I31">
            <v>0</v>
          </cell>
          <cell r="J31">
            <v>0</v>
          </cell>
          <cell r="K31">
            <v>0</v>
          </cell>
          <cell r="L31">
            <v>0</v>
          </cell>
        </row>
      </sheetData>
      <sheetData sheetId="15">
        <row r="6">
          <cell r="D6">
            <v>0</v>
          </cell>
          <cell r="E6">
            <v>0</v>
          </cell>
          <cell r="F6">
            <v>0</v>
          </cell>
          <cell r="G6">
            <v>0</v>
          </cell>
          <cell r="I6">
            <v>0</v>
          </cell>
          <cell r="J6">
            <v>0</v>
          </cell>
          <cell r="K6">
            <v>0</v>
          </cell>
          <cell r="L6">
            <v>0</v>
          </cell>
        </row>
        <row r="8">
          <cell r="B8" t="str">
            <v>договор № ___ от ____</v>
          </cell>
          <cell r="I8">
            <v>0</v>
          </cell>
          <cell r="J8">
            <v>0</v>
          </cell>
          <cell r="K8">
            <v>0</v>
          </cell>
          <cell r="L8">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1">
          <cell r="B11" t="str">
            <v>договор № ___ от ____</v>
          </cell>
          <cell r="I11">
            <v>0</v>
          </cell>
          <cell r="J11">
            <v>0</v>
          </cell>
          <cell r="K11">
            <v>0</v>
          </cell>
          <cell r="L11">
            <v>0</v>
          </cell>
        </row>
        <row r="13">
          <cell r="D13">
            <v>0</v>
          </cell>
          <cell r="E13">
            <v>0</v>
          </cell>
          <cell r="F13">
            <v>0</v>
          </cell>
          <cell r="G13">
            <v>0</v>
          </cell>
          <cell r="I13">
            <v>0</v>
          </cell>
          <cell r="J13">
            <v>0</v>
          </cell>
          <cell r="K13">
            <v>0</v>
          </cell>
          <cell r="L13">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7">
          <cell r="B17" t="str">
            <v>договор № ___ от ____</v>
          </cell>
          <cell r="I17">
            <v>0</v>
          </cell>
          <cell r="J17">
            <v>0</v>
          </cell>
          <cell r="K17">
            <v>0</v>
          </cell>
          <cell r="L17">
            <v>0</v>
          </cell>
        </row>
        <row r="18">
          <cell r="B18" t="str">
            <v>договор № ___ от ____</v>
          </cell>
          <cell r="I18">
            <v>0</v>
          </cell>
          <cell r="J18">
            <v>0</v>
          </cell>
          <cell r="K18">
            <v>0</v>
          </cell>
          <cell r="L18">
            <v>0</v>
          </cell>
        </row>
        <row r="20">
          <cell r="D20">
            <v>0</v>
          </cell>
          <cell r="E20">
            <v>0</v>
          </cell>
          <cell r="F20">
            <v>0</v>
          </cell>
          <cell r="G20">
            <v>0</v>
          </cell>
          <cell r="I20">
            <v>0</v>
          </cell>
          <cell r="J20">
            <v>0</v>
          </cell>
          <cell r="K20">
            <v>0</v>
          </cell>
          <cell r="L20">
            <v>0</v>
          </cell>
        </row>
        <row r="22">
          <cell r="B22" t="str">
            <v>договор № ___ от ____</v>
          </cell>
          <cell r="I22">
            <v>0</v>
          </cell>
          <cell r="J22">
            <v>0</v>
          </cell>
          <cell r="K22">
            <v>0</v>
          </cell>
          <cell r="L22">
            <v>0</v>
          </cell>
        </row>
        <row r="23">
          <cell r="B23" t="str">
            <v>договор № ___ от ____</v>
          </cell>
          <cell r="I23">
            <v>0</v>
          </cell>
          <cell r="J23">
            <v>0</v>
          </cell>
          <cell r="K23">
            <v>0</v>
          </cell>
          <cell r="L23">
            <v>0</v>
          </cell>
        </row>
        <row r="24">
          <cell r="B24" t="str">
            <v>договор № ___ от ____</v>
          </cell>
          <cell r="I24">
            <v>0</v>
          </cell>
          <cell r="J24">
            <v>0</v>
          </cell>
          <cell r="K24">
            <v>0</v>
          </cell>
          <cell r="L24">
            <v>0</v>
          </cell>
        </row>
        <row r="25">
          <cell r="B25" t="str">
            <v>договор № ___ от ____</v>
          </cell>
          <cell r="I25">
            <v>0</v>
          </cell>
          <cell r="J25">
            <v>0</v>
          </cell>
          <cell r="K25">
            <v>0</v>
          </cell>
          <cell r="L25">
            <v>0</v>
          </cell>
        </row>
        <row r="27">
          <cell r="D27">
            <v>0</v>
          </cell>
          <cell r="E27">
            <v>0</v>
          </cell>
          <cell r="F27">
            <v>0</v>
          </cell>
          <cell r="G27">
            <v>0</v>
          </cell>
          <cell r="I27">
            <v>0</v>
          </cell>
          <cell r="J27">
            <v>0</v>
          </cell>
          <cell r="K27">
            <v>0</v>
          </cell>
          <cell r="L27">
            <v>0</v>
          </cell>
        </row>
        <row r="29">
          <cell r="B29" t="str">
            <v>договор № ___ от ____</v>
          </cell>
          <cell r="I29">
            <v>0</v>
          </cell>
          <cell r="J29">
            <v>0</v>
          </cell>
          <cell r="K29">
            <v>0</v>
          </cell>
          <cell r="L29">
            <v>0</v>
          </cell>
        </row>
        <row r="30">
          <cell r="B30" t="str">
            <v>договор № ___ от ____</v>
          </cell>
          <cell r="I30">
            <v>0</v>
          </cell>
          <cell r="J30">
            <v>0</v>
          </cell>
          <cell r="K30">
            <v>0</v>
          </cell>
          <cell r="L30">
            <v>0</v>
          </cell>
        </row>
        <row r="31">
          <cell r="B31" t="str">
            <v>договор № ___ от ____</v>
          </cell>
          <cell r="I31">
            <v>0</v>
          </cell>
          <cell r="J31">
            <v>0</v>
          </cell>
          <cell r="K31">
            <v>0</v>
          </cell>
          <cell r="L31">
            <v>0</v>
          </cell>
        </row>
        <row r="32">
          <cell r="B32" t="str">
            <v>договор № ___ от ____</v>
          </cell>
          <cell r="I32">
            <v>0</v>
          </cell>
          <cell r="J32">
            <v>0</v>
          </cell>
          <cell r="K32">
            <v>0</v>
          </cell>
          <cell r="L32">
            <v>0</v>
          </cell>
        </row>
        <row r="34">
          <cell r="D34">
            <v>0</v>
          </cell>
          <cell r="E34">
            <v>0</v>
          </cell>
          <cell r="F34">
            <v>0</v>
          </cell>
          <cell r="G34">
            <v>0</v>
          </cell>
          <cell r="I34">
            <v>0</v>
          </cell>
          <cell r="J34">
            <v>0</v>
          </cell>
          <cell r="K34">
            <v>0</v>
          </cell>
          <cell r="L34">
            <v>0</v>
          </cell>
        </row>
        <row r="36">
          <cell r="B36" t="str">
            <v>договор № ___ от ____</v>
          </cell>
          <cell r="I36">
            <v>0</v>
          </cell>
          <cell r="J36">
            <v>0</v>
          </cell>
          <cell r="K36">
            <v>0</v>
          </cell>
          <cell r="L36">
            <v>0</v>
          </cell>
        </row>
        <row r="37">
          <cell r="B37" t="str">
            <v>договор № ___ от ____</v>
          </cell>
          <cell r="I37">
            <v>0</v>
          </cell>
          <cell r="J37">
            <v>0</v>
          </cell>
          <cell r="K37">
            <v>0</v>
          </cell>
          <cell r="L37">
            <v>0</v>
          </cell>
        </row>
        <row r="38">
          <cell r="B38" t="str">
            <v>договор № ___ от ____</v>
          </cell>
          <cell r="I38">
            <v>0</v>
          </cell>
          <cell r="J38">
            <v>0</v>
          </cell>
          <cell r="K38">
            <v>0</v>
          </cell>
          <cell r="L38">
            <v>0</v>
          </cell>
        </row>
        <row r="39">
          <cell r="B39" t="str">
            <v>договор № ___ от ____</v>
          </cell>
          <cell r="I39">
            <v>0</v>
          </cell>
          <cell r="J39">
            <v>0</v>
          </cell>
          <cell r="K39">
            <v>0</v>
          </cell>
          <cell r="L39">
            <v>0</v>
          </cell>
        </row>
        <row r="41">
          <cell r="D41">
            <v>0</v>
          </cell>
          <cell r="E41">
            <v>0</v>
          </cell>
          <cell r="F41">
            <v>0</v>
          </cell>
          <cell r="G41">
            <v>0</v>
          </cell>
          <cell r="I41">
            <v>0</v>
          </cell>
          <cell r="J41">
            <v>0</v>
          </cell>
          <cell r="K41">
            <v>0</v>
          </cell>
          <cell r="L41">
            <v>0</v>
          </cell>
        </row>
        <row r="43">
          <cell r="B43" t="str">
            <v>договор № ___ от ____</v>
          </cell>
          <cell r="I43">
            <v>0</v>
          </cell>
          <cell r="J43">
            <v>0</v>
          </cell>
          <cell r="K43">
            <v>0</v>
          </cell>
          <cell r="L43">
            <v>0</v>
          </cell>
        </row>
        <row r="44">
          <cell r="B44" t="str">
            <v>договор № ___ от ____</v>
          </cell>
          <cell r="I44">
            <v>0</v>
          </cell>
          <cell r="J44">
            <v>0</v>
          </cell>
          <cell r="K44">
            <v>0</v>
          </cell>
          <cell r="L44">
            <v>0</v>
          </cell>
        </row>
        <row r="45">
          <cell r="B45" t="str">
            <v>договор № ___ от ____</v>
          </cell>
          <cell r="I45">
            <v>0</v>
          </cell>
          <cell r="J45">
            <v>0</v>
          </cell>
          <cell r="K45">
            <v>0</v>
          </cell>
          <cell r="L45">
            <v>0</v>
          </cell>
        </row>
        <row r="46">
          <cell r="B46" t="str">
            <v>договор № ___ от ____</v>
          </cell>
          <cell r="I46">
            <v>0</v>
          </cell>
          <cell r="J46">
            <v>0</v>
          </cell>
          <cell r="K46">
            <v>0</v>
          </cell>
          <cell r="L46">
            <v>0</v>
          </cell>
        </row>
        <row r="48">
          <cell r="D48">
            <v>0</v>
          </cell>
          <cell r="E48">
            <v>0</v>
          </cell>
          <cell r="F48">
            <v>0</v>
          </cell>
          <cell r="G48">
            <v>0</v>
          </cell>
          <cell r="I48">
            <v>0</v>
          </cell>
          <cell r="J48">
            <v>0</v>
          </cell>
          <cell r="K48">
            <v>0</v>
          </cell>
          <cell r="L48">
            <v>0</v>
          </cell>
        </row>
        <row r="49">
          <cell r="D49">
            <v>0</v>
          </cell>
          <cell r="E49">
            <v>0</v>
          </cell>
          <cell r="F49">
            <v>0</v>
          </cell>
          <cell r="G49">
            <v>0</v>
          </cell>
          <cell r="I49">
            <v>0</v>
          </cell>
          <cell r="J49">
            <v>0</v>
          </cell>
          <cell r="K49">
            <v>0</v>
          </cell>
          <cell r="L49">
            <v>0</v>
          </cell>
        </row>
        <row r="51">
          <cell r="B51" t="str">
            <v>договор № ___ от ____</v>
          </cell>
          <cell r="I51">
            <v>0</v>
          </cell>
          <cell r="J51">
            <v>0</v>
          </cell>
          <cell r="K51">
            <v>0</v>
          </cell>
          <cell r="L51">
            <v>0</v>
          </cell>
        </row>
        <row r="52">
          <cell r="B52" t="str">
            <v>договор № ___ от ____</v>
          </cell>
          <cell r="I52">
            <v>0</v>
          </cell>
          <cell r="J52">
            <v>0</v>
          </cell>
          <cell r="K52">
            <v>0</v>
          </cell>
          <cell r="L52">
            <v>0</v>
          </cell>
        </row>
        <row r="53">
          <cell r="B53" t="str">
            <v>договор № ___ от ____</v>
          </cell>
          <cell r="I53">
            <v>0</v>
          </cell>
          <cell r="J53">
            <v>0</v>
          </cell>
          <cell r="K53">
            <v>0</v>
          </cell>
          <cell r="L53">
            <v>0</v>
          </cell>
        </row>
        <row r="54">
          <cell r="B54" t="str">
            <v>договор № ___ от ____</v>
          </cell>
          <cell r="I54">
            <v>0</v>
          </cell>
          <cell r="J54">
            <v>0</v>
          </cell>
          <cell r="K54">
            <v>0</v>
          </cell>
          <cell r="L54">
            <v>0</v>
          </cell>
        </row>
        <row r="56">
          <cell r="D56">
            <v>0</v>
          </cell>
          <cell r="E56">
            <v>0</v>
          </cell>
          <cell r="F56">
            <v>0</v>
          </cell>
          <cell r="G56">
            <v>0</v>
          </cell>
          <cell r="I56">
            <v>0</v>
          </cell>
          <cell r="J56">
            <v>0</v>
          </cell>
          <cell r="K56">
            <v>0</v>
          </cell>
          <cell r="L56">
            <v>0</v>
          </cell>
        </row>
        <row r="58">
          <cell r="B58" t="str">
            <v>договор № ___ от ____</v>
          </cell>
          <cell r="I58">
            <v>0</v>
          </cell>
          <cell r="J58">
            <v>0</v>
          </cell>
          <cell r="K58">
            <v>0</v>
          </cell>
          <cell r="L58">
            <v>0</v>
          </cell>
        </row>
        <row r="59">
          <cell r="B59" t="str">
            <v>договор № ___ от ____</v>
          </cell>
          <cell r="I59">
            <v>0</v>
          </cell>
          <cell r="J59">
            <v>0</v>
          </cell>
          <cell r="K59">
            <v>0</v>
          </cell>
          <cell r="L59">
            <v>0</v>
          </cell>
        </row>
        <row r="60">
          <cell r="B60" t="str">
            <v>договор № ___ от ____</v>
          </cell>
          <cell r="I60">
            <v>0</v>
          </cell>
          <cell r="J60">
            <v>0</v>
          </cell>
          <cell r="K60">
            <v>0</v>
          </cell>
          <cell r="L60">
            <v>0</v>
          </cell>
        </row>
        <row r="61">
          <cell r="B61" t="str">
            <v>договор № ___ от ____</v>
          </cell>
          <cell r="I61">
            <v>0</v>
          </cell>
          <cell r="J61">
            <v>0</v>
          </cell>
          <cell r="K61">
            <v>0</v>
          </cell>
          <cell r="L61">
            <v>0</v>
          </cell>
        </row>
        <row r="63">
          <cell r="D63">
            <v>0</v>
          </cell>
          <cell r="E63">
            <v>0</v>
          </cell>
          <cell r="F63">
            <v>0</v>
          </cell>
          <cell r="G63">
            <v>0</v>
          </cell>
          <cell r="I63">
            <v>0</v>
          </cell>
          <cell r="J63">
            <v>0</v>
          </cell>
          <cell r="K63">
            <v>0</v>
          </cell>
          <cell r="L63">
            <v>0</v>
          </cell>
        </row>
        <row r="65">
          <cell r="B65" t="str">
            <v>договор № ___ от ____</v>
          </cell>
          <cell r="I65">
            <v>0</v>
          </cell>
          <cell r="J65">
            <v>0</v>
          </cell>
          <cell r="K65">
            <v>0</v>
          </cell>
          <cell r="L65">
            <v>0</v>
          </cell>
        </row>
        <row r="66">
          <cell r="B66" t="str">
            <v>договор № ___ от ____</v>
          </cell>
          <cell r="I66">
            <v>0</v>
          </cell>
          <cell r="J66">
            <v>0</v>
          </cell>
          <cell r="K66">
            <v>0</v>
          </cell>
          <cell r="L66">
            <v>0</v>
          </cell>
        </row>
        <row r="67">
          <cell r="B67" t="str">
            <v>договор № ___ от ____</v>
          </cell>
          <cell r="I67">
            <v>0</v>
          </cell>
          <cell r="J67">
            <v>0</v>
          </cell>
          <cell r="K67">
            <v>0</v>
          </cell>
          <cell r="L67">
            <v>0</v>
          </cell>
        </row>
        <row r="68">
          <cell r="B68" t="str">
            <v>договор № ___ от ____</v>
          </cell>
          <cell r="I68">
            <v>0</v>
          </cell>
          <cell r="J68">
            <v>0</v>
          </cell>
          <cell r="K68">
            <v>0</v>
          </cell>
          <cell r="L68">
            <v>0</v>
          </cell>
        </row>
        <row r="70">
          <cell r="D70">
            <v>0</v>
          </cell>
          <cell r="E70">
            <v>0</v>
          </cell>
          <cell r="F70">
            <v>0</v>
          </cell>
          <cell r="G70">
            <v>0</v>
          </cell>
          <cell r="I70">
            <v>0</v>
          </cell>
          <cell r="J70">
            <v>0</v>
          </cell>
          <cell r="K70">
            <v>0</v>
          </cell>
          <cell r="L70">
            <v>0</v>
          </cell>
        </row>
        <row r="72">
          <cell r="B72" t="str">
            <v>договор № ___ от ____</v>
          </cell>
          <cell r="I72">
            <v>0</v>
          </cell>
          <cell r="J72">
            <v>0</v>
          </cell>
          <cell r="K72">
            <v>0</v>
          </cell>
          <cell r="L72">
            <v>0</v>
          </cell>
        </row>
        <row r="73">
          <cell r="B73" t="str">
            <v>договор № ___ от ____</v>
          </cell>
          <cell r="I73">
            <v>0</v>
          </cell>
          <cell r="J73">
            <v>0</v>
          </cell>
          <cell r="K73">
            <v>0</v>
          </cell>
          <cell r="L73">
            <v>0</v>
          </cell>
        </row>
        <row r="74">
          <cell r="B74" t="str">
            <v>договор № ___ от ____</v>
          </cell>
          <cell r="I74">
            <v>0</v>
          </cell>
          <cell r="J74">
            <v>0</v>
          </cell>
          <cell r="K74">
            <v>0</v>
          </cell>
          <cell r="L74">
            <v>0</v>
          </cell>
        </row>
        <row r="75">
          <cell r="B75" t="str">
            <v>договор № ___ от ____</v>
          </cell>
          <cell r="I75">
            <v>0</v>
          </cell>
          <cell r="J75">
            <v>0</v>
          </cell>
          <cell r="K75">
            <v>0</v>
          </cell>
          <cell r="L75">
            <v>0</v>
          </cell>
        </row>
        <row r="76">
          <cell r="B76" t="str">
            <v>договор № ___ от ____</v>
          </cell>
          <cell r="I76">
            <v>0</v>
          </cell>
          <cell r="J76">
            <v>0</v>
          </cell>
          <cell r="K76">
            <v>0</v>
          </cell>
          <cell r="L76">
            <v>0</v>
          </cell>
        </row>
        <row r="77">
          <cell r="B77" t="str">
            <v>договор № ___ от ____</v>
          </cell>
          <cell r="I77">
            <v>0</v>
          </cell>
          <cell r="J77">
            <v>0</v>
          </cell>
          <cell r="K77">
            <v>0</v>
          </cell>
          <cell r="L77">
            <v>0</v>
          </cell>
        </row>
        <row r="78">
          <cell r="B78" t="str">
            <v>договор № ___ от ____</v>
          </cell>
          <cell r="I78">
            <v>0</v>
          </cell>
          <cell r="J78">
            <v>0</v>
          </cell>
          <cell r="K78">
            <v>0</v>
          </cell>
          <cell r="L78">
            <v>0</v>
          </cell>
        </row>
        <row r="79">
          <cell r="B79" t="str">
            <v>договор № ___ от ____</v>
          </cell>
          <cell r="I79">
            <v>0</v>
          </cell>
          <cell r="J79">
            <v>0</v>
          </cell>
          <cell r="K79">
            <v>0</v>
          </cell>
          <cell r="L79">
            <v>0</v>
          </cell>
        </row>
        <row r="80">
          <cell r="B80" t="str">
            <v>договор № ___ от ____</v>
          </cell>
          <cell r="I80">
            <v>0</v>
          </cell>
          <cell r="J80">
            <v>0</v>
          </cell>
          <cell r="K80">
            <v>0</v>
          </cell>
          <cell r="L80">
            <v>0</v>
          </cell>
        </row>
        <row r="81">
          <cell r="B81" t="str">
            <v>договор № ___ от ____</v>
          </cell>
          <cell r="I81">
            <v>0</v>
          </cell>
          <cell r="J81">
            <v>0</v>
          </cell>
          <cell r="K81">
            <v>0</v>
          </cell>
          <cell r="L81">
            <v>0</v>
          </cell>
        </row>
        <row r="82">
          <cell r="B82" t="str">
            <v>договор № ___ от ____</v>
          </cell>
          <cell r="I82">
            <v>0</v>
          </cell>
          <cell r="J82">
            <v>0</v>
          </cell>
          <cell r="K82">
            <v>0</v>
          </cell>
          <cell r="L82">
            <v>0</v>
          </cell>
        </row>
        <row r="84">
          <cell r="D84">
            <v>0</v>
          </cell>
          <cell r="E84">
            <v>0</v>
          </cell>
          <cell r="F84">
            <v>0</v>
          </cell>
          <cell r="G84">
            <v>0</v>
          </cell>
          <cell r="I84">
            <v>0</v>
          </cell>
          <cell r="J84">
            <v>0</v>
          </cell>
          <cell r="K84">
            <v>0</v>
          </cell>
          <cell r="L84">
            <v>0</v>
          </cell>
        </row>
      </sheetData>
      <sheetData sheetId="16">
        <row r="6">
          <cell r="J6">
            <v>0</v>
          </cell>
          <cell r="K6">
            <v>0</v>
          </cell>
          <cell r="L6">
            <v>0</v>
          </cell>
          <cell r="M6">
            <v>0</v>
          </cell>
        </row>
        <row r="7">
          <cell r="J7">
            <v>0</v>
          </cell>
          <cell r="K7">
            <v>0</v>
          </cell>
          <cell r="L7">
            <v>0</v>
          </cell>
          <cell r="M7">
            <v>0</v>
          </cell>
        </row>
        <row r="8">
          <cell r="E8">
            <v>0</v>
          </cell>
          <cell r="F8">
            <v>0</v>
          </cell>
          <cell r="G8">
            <v>0</v>
          </cell>
          <cell r="H8">
            <v>0</v>
          </cell>
          <cell r="I8">
            <v>0</v>
          </cell>
          <cell r="J8">
            <v>0</v>
          </cell>
          <cell r="K8">
            <v>0</v>
          </cell>
          <cell r="L8">
            <v>0</v>
          </cell>
          <cell r="M8">
            <v>0</v>
          </cell>
        </row>
        <row r="9">
          <cell r="E9">
            <v>0</v>
          </cell>
          <cell r="F9">
            <v>0</v>
          </cell>
          <cell r="G9">
            <v>0</v>
          </cell>
          <cell r="H9">
            <v>0</v>
          </cell>
          <cell r="I9">
            <v>0</v>
          </cell>
          <cell r="J9">
            <v>0</v>
          </cell>
          <cell r="K9">
            <v>0</v>
          </cell>
          <cell r="L9">
            <v>0</v>
          </cell>
          <cell r="M9">
            <v>0</v>
          </cell>
        </row>
        <row r="11">
          <cell r="A11" t="str">
            <v>2.1</v>
          </cell>
          <cell r="B11" t="str">
            <v>договор № ___ от ____</v>
          </cell>
          <cell r="C11" t="str">
            <v>договор № ___ от ____</v>
          </cell>
          <cell r="D11" t="str">
            <v>тыс.руб.</v>
          </cell>
          <cell r="J11">
            <v>0</v>
          </cell>
          <cell r="K11">
            <v>0</v>
          </cell>
          <cell r="L11">
            <v>0</v>
          </cell>
          <cell r="M11">
            <v>0</v>
          </cell>
        </row>
        <row r="12">
          <cell r="B12" t="str">
            <v>площадь земли</v>
          </cell>
          <cell r="C12" t="str">
            <v>договор № ___ от ____</v>
          </cell>
          <cell r="D12" t="str">
            <v>га</v>
          </cell>
          <cell r="J12">
            <v>0</v>
          </cell>
          <cell r="K12">
            <v>0</v>
          </cell>
          <cell r="L12">
            <v>0</v>
          </cell>
          <cell r="M12">
            <v>0</v>
          </cell>
        </row>
        <row r="13">
          <cell r="A13" t="str">
            <v>2.2</v>
          </cell>
          <cell r="B13" t="str">
            <v>договор № ___ от ____</v>
          </cell>
          <cell r="C13" t="str">
            <v>договор № ___ от ____</v>
          </cell>
          <cell r="D13" t="str">
            <v>тыс.руб.</v>
          </cell>
          <cell r="J13">
            <v>0</v>
          </cell>
          <cell r="K13">
            <v>0</v>
          </cell>
          <cell r="L13">
            <v>0</v>
          </cell>
          <cell r="M13">
            <v>0</v>
          </cell>
        </row>
        <row r="14">
          <cell r="B14" t="str">
            <v>площадь земли</v>
          </cell>
          <cell r="C14" t="str">
            <v>договор № ___ от ____</v>
          </cell>
          <cell r="D14" t="str">
            <v>га</v>
          </cell>
          <cell r="J14">
            <v>0</v>
          </cell>
          <cell r="K14">
            <v>0</v>
          </cell>
          <cell r="L14">
            <v>0</v>
          </cell>
          <cell r="M14">
            <v>0</v>
          </cell>
        </row>
        <row r="15">
          <cell r="A15" t="str">
            <v>2.3</v>
          </cell>
          <cell r="B15" t="str">
            <v>договор № ___ от ____</v>
          </cell>
          <cell r="C15" t="str">
            <v>договор № ___ от ____</v>
          </cell>
          <cell r="D15" t="str">
            <v>тыс.руб.</v>
          </cell>
          <cell r="J15">
            <v>0</v>
          </cell>
          <cell r="K15">
            <v>0</v>
          </cell>
          <cell r="L15">
            <v>0</v>
          </cell>
          <cell r="M15">
            <v>0</v>
          </cell>
        </row>
        <row r="16">
          <cell r="B16" t="str">
            <v>площадь земли</v>
          </cell>
          <cell r="C16" t="str">
            <v>договор № ___ от ____</v>
          </cell>
          <cell r="D16" t="str">
            <v>га</v>
          </cell>
          <cell r="J16">
            <v>0</v>
          </cell>
          <cell r="K16">
            <v>0</v>
          </cell>
          <cell r="L16">
            <v>0</v>
          </cell>
          <cell r="M16">
            <v>0</v>
          </cell>
        </row>
        <row r="17">
          <cell r="A17" t="str">
            <v>2.4</v>
          </cell>
          <cell r="B17" t="str">
            <v>договор № ___ от ____</v>
          </cell>
          <cell r="C17" t="str">
            <v>договор № ___ от ____</v>
          </cell>
          <cell r="D17" t="str">
            <v>тыс.руб.</v>
          </cell>
          <cell r="J17">
            <v>0</v>
          </cell>
          <cell r="K17">
            <v>0</v>
          </cell>
          <cell r="L17">
            <v>0</v>
          </cell>
          <cell r="M17">
            <v>0</v>
          </cell>
        </row>
        <row r="18">
          <cell r="B18" t="str">
            <v>площадь земли</v>
          </cell>
          <cell r="C18" t="str">
            <v>договор № ___ от ____</v>
          </cell>
          <cell r="D18" t="str">
            <v>га</v>
          </cell>
          <cell r="J18">
            <v>0</v>
          </cell>
          <cell r="K18">
            <v>0</v>
          </cell>
          <cell r="L18">
            <v>0</v>
          </cell>
          <cell r="M18">
            <v>0</v>
          </cell>
        </row>
        <row r="20">
          <cell r="E20">
            <v>0</v>
          </cell>
          <cell r="F20">
            <v>0</v>
          </cell>
          <cell r="G20">
            <v>0</v>
          </cell>
          <cell r="H20">
            <v>0</v>
          </cell>
          <cell r="I20">
            <v>0</v>
          </cell>
          <cell r="J20">
            <v>0</v>
          </cell>
          <cell r="K20">
            <v>0</v>
          </cell>
          <cell r="L20">
            <v>0</v>
          </cell>
          <cell r="M20">
            <v>0</v>
          </cell>
        </row>
      </sheetData>
      <sheetData sheetId="17">
        <row r="6">
          <cell r="D6">
            <v>0</v>
          </cell>
          <cell r="E6">
            <v>0</v>
          </cell>
          <cell r="F6">
            <v>0</v>
          </cell>
          <cell r="G6">
            <v>0</v>
          </cell>
          <cell r="H6">
            <v>0</v>
          </cell>
          <cell r="I6">
            <v>0</v>
          </cell>
          <cell r="J6">
            <v>0</v>
          </cell>
          <cell r="K6">
            <v>0</v>
          </cell>
          <cell r="L6">
            <v>0</v>
          </cell>
        </row>
        <row r="7">
          <cell r="D7">
            <v>0</v>
          </cell>
          <cell r="E7">
            <v>0</v>
          </cell>
          <cell r="F7">
            <v>0</v>
          </cell>
          <cell r="G7">
            <v>0</v>
          </cell>
          <cell r="H7">
            <v>0</v>
          </cell>
          <cell r="I7">
            <v>0</v>
          </cell>
          <cell r="J7">
            <v>0</v>
          </cell>
          <cell r="K7">
            <v>0</v>
          </cell>
          <cell r="L7">
            <v>0</v>
          </cell>
        </row>
        <row r="8">
          <cell r="D8">
            <v>0</v>
          </cell>
          <cell r="E8">
            <v>0</v>
          </cell>
          <cell r="F8">
            <v>0</v>
          </cell>
          <cell r="G8">
            <v>0</v>
          </cell>
          <cell r="H8">
            <v>0</v>
          </cell>
          <cell r="I8">
            <v>0</v>
          </cell>
          <cell r="J8">
            <v>0</v>
          </cell>
          <cell r="K8">
            <v>0</v>
          </cell>
          <cell r="L8">
            <v>0</v>
          </cell>
        </row>
        <row r="9">
          <cell r="D9">
            <v>0</v>
          </cell>
          <cell r="E9">
            <v>0</v>
          </cell>
          <cell r="F9">
            <v>0</v>
          </cell>
          <cell r="G9">
            <v>0</v>
          </cell>
          <cell r="H9">
            <v>0</v>
          </cell>
          <cell r="I9">
            <v>0</v>
          </cell>
          <cell r="J9">
            <v>0</v>
          </cell>
          <cell r="K9">
            <v>0</v>
          </cell>
          <cell r="L9">
            <v>0</v>
          </cell>
        </row>
        <row r="10">
          <cell r="I10">
            <v>0</v>
          </cell>
          <cell r="J10">
            <v>0</v>
          </cell>
          <cell r="K10">
            <v>0</v>
          </cell>
          <cell r="L10">
            <v>0</v>
          </cell>
        </row>
        <row r="11">
          <cell r="I11">
            <v>0</v>
          </cell>
          <cell r="J11">
            <v>0</v>
          </cell>
          <cell r="K11">
            <v>0</v>
          </cell>
          <cell r="L11">
            <v>0</v>
          </cell>
        </row>
        <row r="12">
          <cell r="D12">
            <v>0</v>
          </cell>
          <cell r="E12">
            <v>0</v>
          </cell>
          <cell r="F12">
            <v>0</v>
          </cell>
          <cell r="G12">
            <v>0</v>
          </cell>
          <cell r="H12">
            <v>0</v>
          </cell>
          <cell r="I12">
            <v>0</v>
          </cell>
          <cell r="J12">
            <v>0</v>
          </cell>
          <cell r="K12">
            <v>0</v>
          </cell>
          <cell r="L12">
            <v>0</v>
          </cell>
        </row>
        <row r="13">
          <cell r="I13">
            <v>0</v>
          </cell>
          <cell r="J13">
            <v>0</v>
          </cell>
          <cell r="K13">
            <v>0</v>
          </cell>
          <cell r="L13">
            <v>0</v>
          </cell>
        </row>
        <row r="14">
          <cell r="I14">
            <v>0</v>
          </cell>
          <cell r="J14">
            <v>0</v>
          </cell>
          <cell r="K14">
            <v>0</v>
          </cell>
          <cell r="L14">
            <v>0</v>
          </cell>
        </row>
        <row r="15">
          <cell r="I15">
            <v>0</v>
          </cell>
          <cell r="J15">
            <v>0</v>
          </cell>
          <cell r="K15">
            <v>0</v>
          </cell>
          <cell r="L15">
            <v>0</v>
          </cell>
        </row>
        <row r="16">
          <cell r="D16">
            <v>0</v>
          </cell>
          <cell r="E16">
            <v>0</v>
          </cell>
          <cell r="F16">
            <v>0</v>
          </cell>
          <cell r="G16">
            <v>0</v>
          </cell>
          <cell r="H16">
            <v>0</v>
          </cell>
          <cell r="I16">
            <v>0</v>
          </cell>
          <cell r="J16">
            <v>0</v>
          </cell>
          <cell r="K16">
            <v>0</v>
          </cell>
          <cell r="L16">
            <v>0</v>
          </cell>
        </row>
      </sheetData>
      <sheetData sheetId="18">
        <row r="7">
          <cell r="A7" t="str">
            <v>1.1</v>
          </cell>
          <cell r="B7" t="str">
            <v>Налог 1</v>
          </cell>
          <cell r="C7" t="str">
            <v>Налог 1</v>
          </cell>
          <cell r="D7" t="str">
            <v>тыс.руб.</v>
          </cell>
          <cell r="E7">
            <v>0</v>
          </cell>
          <cell r="F7">
            <v>0</v>
          </cell>
          <cell r="G7">
            <v>0</v>
          </cell>
          <cell r="H7">
            <v>0</v>
          </cell>
          <cell r="I7">
            <v>0</v>
          </cell>
          <cell r="J7">
            <v>0</v>
          </cell>
          <cell r="K7">
            <v>0</v>
          </cell>
          <cell r="L7">
            <v>0</v>
          </cell>
          <cell r="M7">
            <v>0</v>
          </cell>
        </row>
        <row r="8">
          <cell r="B8" t="str">
            <v>налогооблагаемая база</v>
          </cell>
          <cell r="C8" t="str">
            <v>Налог 1</v>
          </cell>
          <cell r="D8" t="str">
            <v>тыс.руб.</v>
          </cell>
          <cell r="J8">
            <v>0</v>
          </cell>
          <cell r="K8">
            <v>0</v>
          </cell>
          <cell r="L8">
            <v>0</v>
          </cell>
          <cell r="M8">
            <v>0</v>
          </cell>
        </row>
        <row r="9">
          <cell r="B9" t="str">
            <v>ставка налога</v>
          </cell>
          <cell r="C9" t="str">
            <v>Налог 1</v>
          </cell>
          <cell r="D9" t="str">
            <v>%</v>
          </cell>
          <cell r="J9">
            <v>0</v>
          </cell>
          <cell r="K9">
            <v>0</v>
          </cell>
          <cell r="L9">
            <v>0</v>
          </cell>
          <cell r="M9">
            <v>0</v>
          </cell>
        </row>
        <row r="10">
          <cell r="A10" t="str">
            <v>1.2</v>
          </cell>
          <cell r="B10" t="str">
            <v>Налог 2</v>
          </cell>
          <cell r="C10" t="str">
            <v>Налог 2</v>
          </cell>
          <cell r="D10" t="str">
            <v>тыс.руб.</v>
          </cell>
          <cell r="E10">
            <v>0</v>
          </cell>
          <cell r="F10">
            <v>0</v>
          </cell>
          <cell r="G10">
            <v>0</v>
          </cell>
          <cell r="H10">
            <v>0</v>
          </cell>
          <cell r="I10">
            <v>0</v>
          </cell>
          <cell r="J10">
            <v>0</v>
          </cell>
          <cell r="K10">
            <v>0</v>
          </cell>
          <cell r="L10">
            <v>0</v>
          </cell>
          <cell r="M10">
            <v>0</v>
          </cell>
        </row>
        <row r="11">
          <cell r="B11" t="str">
            <v>налогооблагаемая база</v>
          </cell>
          <cell r="C11" t="str">
            <v>Налог 2</v>
          </cell>
          <cell r="D11" t="str">
            <v>тыс.руб.</v>
          </cell>
          <cell r="J11">
            <v>0</v>
          </cell>
          <cell r="K11">
            <v>0</v>
          </cell>
          <cell r="L11">
            <v>0</v>
          </cell>
          <cell r="M11">
            <v>0</v>
          </cell>
        </row>
        <row r="12">
          <cell r="B12" t="str">
            <v>ставка налога</v>
          </cell>
          <cell r="C12" t="str">
            <v>Налог 2</v>
          </cell>
          <cell r="D12" t="str">
            <v>%</v>
          </cell>
          <cell r="J12">
            <v>0</v>
          </cell>
          <cell r="K12">
            <v>0</v>
          </cell>
          <cell r="L12">
            <v>0</v>
          </cell>
          <cell r="M12">
            <v>0</v>
          </cell>
        </row>
        <row r="13">
          <cell r="A13" t="str">
            <v>1.3</v>
          </cell>
          <cell r="B13" t="str">
            <v>Налог</v>
          </cell>
          <cell r="C13" t="str">
            <v>Налог</v>
          </cell>
          <cell r="D13" t="str">
            <v>тыс.руб.</v>
          </cell>
          <cell r="E13">
            <v>0</v>
          </cell>
          <cell r="F13">
            <v>0</v>
          </cell>
          <cell r="G13">
            <v>0</v>
          </cell>
          <cell r="H13">
            <v>0</v>
          </cell>
          <cell r="I13">
            <v>0</v>
          </cell>
          <cell r="J13">
            <v>0</v>
          </cell>
          <cell r="K13">
            <v>0</v>
          </cell>
          <cell r="L13">
            <v>0</v>
          </cell>
          <cell r="M13">
            <v>0</v>
          </cell>
        </row>
        <row r="14">
          <cell r="B14" t="str">
            <v>налогооблагаемая база</v>
          </cell>
          <cell r="C14" t="str">
            <v>Налог</v>
          </cell>
          <cell r="D14" t="str">
            <v>тыс.руб.</v>
          </cell>
          <cell r="J14">
            <v>0</v>
          </cell>
          <cell r="K14">
            <v>0</v>
          </cell>
          <cell r="L14">
            <v>0</v>
          </cell>
          <cell r="M14">
            <v>0</v>
          </cell>
        </row>
        <row r="15">
          <cell r="B15" t="str">
            <v>ставка налога</v>
          </cell>
          <cell r="C15" t="str">
            <v>Налог</v>
          </cell>
          <cell r="D15" t="str">
            <v>%</v>
          </cell>
          <cell r="J15">
            <v>0</v>
          </cell>
          <cell r="K15">
            <v>0</v>
          </cell>
          <cell r="L15">
            <v>0</v>
          </cell>
          <cell r="M15">
            <v>0</v>
          </cell>
        </row>
        <row r="16">
          <cell r="A16" t="str">
            <v>1.4</v>
          </cell>
          <cell r="B16" t="str">
            <v>Налог</v>
          </cell>
          <cell r="C16" t="str">
            <v>Налог</v>
          </cell>
          <cell r="D16" t="str">
            <v>тыс.руб.</v>
          </cell>
          <cell r="E16">
            <v>0</v>
          </cell>
          <cell r="F16">
            <v>0</v>
          </cell>
          <cell r="G16">
            <v>0</v>
          </cell>
          <cell r="H16">
            <v>0</v>
          </cell>
          <cell r="I16">
            <v>0</v>
          </cell>
          <cell r="J16">
            <v>0</v>
          </cell>
          <cell r="K16">
            <v>0</v>
          </cell>
          <cell r="L16">
            <v>0</v>
          </cell>
          <cell r="M16">
            <v>0</v>
          </cell>
        </row>
        <row r="17">
          <cell r="B17" t="str">
            <v>налогооблагаемая база</v>
          </cell>
          <cell r="C17" t="str">
            <v>Налог</v>
          </cell>
          <cell r="D17" t="str">
            <v>тыс.руб.</v>
          </cell>
          <cell r="J17">
            <v>0</v>
          </cell>
          <cell r="K17">
            <v>0</v>
          </cell>
          <cell r="L17">
            <v>0</v>
          </cell>
          <cell r="M17">
            <v>0</v>
          </cell>
        </row>
        <row r="18">
          <cell r="B18" t="str">
            <v>ставка налога</v>
          </cell>
          <cell r="C18" t="str">
            <v>Налог</v>
          </cell>
          <cell r="D18" t="str">
            <v>%</v>
          </cell>
          <cell r="J18">
            <v>0</v>
          </cell>
          <cell r="K18">
            <v>0</v>
          </cell>
          <cell r="L18">
            <v>0</v>
          </cell>
          <cell r="M18">
            <v>0</v>
          </cell>
        </row>
        <row r="20">
          <cell r="E20">
            <v>0</v>
          </cell>
          <cell r="F20">
            <v>0</v>
          </cell>
          <cell r="G20">
            <v>0</v>
          </cell>
          <cell r="H20">
            <v>0</v>
          </cell>
          <cell r="I20">
            <v>0</v>
          </cell>
          <cell r="J20">
            <v>0</v>
          </cell>
          <cell r="K20">
            <v>0</v>
          </cell>
          <cell r="L20">
            <v>0</v>
          </cell>
          <cell r="M20">
            <v>0</v>
          </cell>
        </row>
      </sheetData>
      <sheetData sheetId="19">
        <row r="6">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D11">
            <v>0</v>
          </cell>
          <cell r="E11">
            <v>0</v>
          </cell>
          <cell r="F11">
            <v>0</v>
          </cell>
          <cell r="G11">
            <v>0</v>
          </cell>
          <cell r="I11">
            <v>0</v>
          </cell>
          <cell r="J11">
            <v>0</v>
          </cell>
          <cell r="K11">
            <v>0</v>
          </cell>
          <cell r="L11">
            <v>0</v>
          </cell>
        </row>
      </sheetData>
      <sheetData sheetId="20">
        <row r="6">
          <cell r="A6" t="str">
            <v>&lt;Учебное заведение 1&gt;</v>
          </cell>
          <cell r="B6" t="str">
            <v>тыс.руб.</v>
          </cell>
          <cell r="C6" t="str">
            <v>1</v>
          </cell>
          <cell r="D6" t="str">
            <v>&lt;Учебное заведение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&lt;Учебное заведение 1&gt;</v>
          </cell>
          <cell r="J8">
            <v>0</v>
          </cell>
          <cell r="K8">
            <v>0</v>
          </cell>
          <cell r="L8">
            <v>0</v>
          </cell>
          <cell r="M8">
            <v>0</v>
          </cell>
        </row>
        <row r="10">
          <cell r="A10" t="str">
            <v>&lt;Учебное заведение 2&gt;</v>
          </cell>
          <cell r="B10" t="str">
            <v>тыс.руб.</v>
          </cell>
          <cell r="C10" t="str">
            <v>1</v>
          </cell>
          <cell r="D10" t="str">
            <v>&lt;Учебное заведение 2&gt;</v>
          </cell>
          <cell r="E10">
            <v>0</v>
          </cell>
          <cell r="F10">
            <v>0</v>
          </cell>
          <cell r="G10">
            <v>0</v>
          </cell>
          <cell r="H10">
            <v>0</v>
          </cell>
          <cell r="I10">
            <v>0</v>
          </cell>
          <cell r="J10">
            <v>0</v>
          </cell>
          <cell r="K10">
            <v>0</v>
          </cell>
          <cell r="L10">
            <v>0</v>
          </cell>
          <cell r="M10">
            <v>0</v>
          </cell>
        </row>
        <row r="12">
          <cell r="A12" t="str">
            <v>договор № ___ от ____</v>
          </cell>
          <cell r="B12" t="str">
            <v>тыс.руб.</v>
          </cell>
          <cell r="C12" t="str">
            <v>2</v>
          </cell>
          <cell r="D12" t="str">
            <v>&lt;Учебное заведение 2&gt;</v>
          </cell>
          <cell r="J12">
            <v>0</v>
          </cell>
          <cell r="K12">
            <v>0</v>
          </cell>
          <cell r="L12">
            <v>0</v>
          </cell>
          <cell r="M12">
            <v>0</v>
          </cell>
        </row>
        <row r="14">
          <cell r="A14" t="str">
            <v>&lt;Учебное заведение 3&gt;</v>
          </cell>
          <cell r="B14" t="str">
            <v>тыс.руб.</v>
          </cell>
          <cell r="C14" t="str">
            <v>1</v>
          </cell>
          <cell r="D14" t="str">
            <v>&lt;Учебное заведение 3&gt;</v>
          </cell>
          <cell r="E14">
            <v>0</v>
          </cell>
          <cell r="F14">
            <v>0</v>
          </cell>
          <cell r="G14">
            <v>0</v>
          </cell>
          <cell r="H14">
            <v>0</v>
          </cell>
          <cell r="I14">
            <v>0</v>
          </cell>
          <cell r="J14">
            <v>0</v>
          </cell>
          <cell r="K14">
            <v>0</v>
          </cell>
          <cell r="L14">
            <v>0</v>
          </cell>
          <cell r="M14">
            <v>0</v>
          </cell>
        </row>
        <row r="16">
          <cell r="A16" t="str">
            <v>договор № ___ от ____</v>
          </cell>
          <cell r="B16" t="str">
            <v>тыс.руб.</v>
          </cell>
          <cell r="C16" t="str">
            <v>2</v>
          </cell>
          <cell r="D16" t="str">
            <v>&lt;Учебное заведение 3&gt;</v>
          </cell>
          <cell r="J16">
            <v>0</v>
          </cell>
          <cell r="K16">
            <v>0</v>
          </cell>
          <cell r="L16">
            <v>0</v>
          </cell>
          <cell r="M16">
            <v>0</v>
          </cell>
        </row>
        <row r="18">
          <cell r="A18" t="str">
            <v>&lt;Учебное заведение&gt;</v>
          </cell>
          <cell r="B18" t="str">
            <v>тыс.руб.</v>
          </cell>
          <cell r="C18" t="str">
            <v>1</v>
          </cell>
          <cell r="D18" t="str">
            <v>&lt;Учебное заведение&gt;</v>
          </cell>
          <cell r="E18">
            <v>0</v>
          </cell>
          <cell r="F18">
            <v>0</v>
          </cell>
          <cell r="G18">
            <v>0</v>
          </cell>
          <cell r="H18">
            <v>0</v>
          </cell>
          <cell r="I18">
            <v>0</v>
          </cell>
          <cell r="J18">
            <v>0</v>
          </cell>
          <cell r="K18">
            <v>0</v>
          </cell>
          <cell r="L18">
            <v>0</v>
          </cell>
          <cell r="M18">
            <v>0</v>
          </cell>
        </row>
        <row r="20">
          <cell r="A20" t="str">
            <v>договор № ___ от ____</v>
          </cell>
          <cell r="B20" t="str">
            <v>тыс.руб.</v>
          </cell>
          <cell r="C20" t="str">
            <v>2</v>
          </cell>
          <cell r="D20" t="str">
            <v>&lt;Учебное заведение&gt;</v>
          </cell>
          <cell r="J20">
            <v>0</v>
          </cell>
          <cell r="K20">
            <v>0</v>
          </cell>
          <cell r="L20">
            <v>0</v>
          </cell>
          <cell r="M20">
            <v>0</v>
          </cell>
        </row>
        <row r="22">
          <cell r="A22" t="str">
            <v>&lt;Учебное заведение&gt;</v>
          </cell>
          <cell r="B22" t="str">
            <v>тыс.руб.</v>
          </cell>
          <cell r="C22" t="str">
            <v>1</v>
          </cell>
          <cell r="D22" t="str">
            <v>&lt;Учебное заведение&gt;</v>
          </cell>
          <cell r="E22">
            <v>0</v>
          </cell>
          <cell r="F22">
            <v>0</v>
          </cell>
          <cell r="G22">
            <v>0</v>
          </cell>
          <cell r="H22">
            <v>0</v>
          </cell>
          <cell r="I22">
            <v>0</v>
          </cell>
          <cell r="J22">
            <v>0</v>
          </cell>
          <cell r="K22">
            <v>0</v>
          </cell>
          <cell r="L22">
            <v>0</v>
          </cell>
          <cell r="M22">
            <v>0</v>
          </cell>
        </row>
        <row r="24">
          <cell r="A24" t="str">
            <v>договор № ___ от ____</v>
          </cell>
          <cell r="B24" t="str">
            <v>тыс.руб.</v>
          </cell>
          <cell r="C24" t="str">
            <v>2</v>
          </cell>
          <cell r="D24" t="str">
            <v>&lt;Учебное заведение&gt;</v>
          </cell>
          <cell r="J24">
            <v>0</v>
          </cell>
          <cell r="K24">
            <v>0</v>
          </cell>
          <cell r="L24">
            <v>0</v>
          </cell>
          <cell r="M24">
            <v>0</v>
          </cell>
        </row>
        <row r="26">
          <cell r="A26" t="str">
            <v>&lt;Учебное заведение&gt;</v>
          </cell>
          <cell r="B26" t="str">
            <v>тыс.руб.</v>
          </cell>
          <cell r="C26" t="str">
            <v>1</v>
          </cell>
          <cell r="D26" t="str">
            <v>&lt;Учебное заведение&gt;</v>
          </cell>
          <cell r="E26">
            <v>0</v>
          </cell>
          <cell r="F26">
            <v>0</v>
          </cell>
          <cell r="G26">
            <v>0</v>
          </cell>
          <cell r="H26">
            <v>0</v>
          </cell>
          <cell r="I26">
            <v>0</v>
          </cell>
          <cell r="J26">
            <v>0</v>
          </cell>
          <cell r="K26">
            <v>0</v>
          </cell>
          <cell r="L26">
            <v>0</v>
          </cell>
          <cell r="M26">
            <v>0</v>
          </cell>
        </row>
        <row r="28">
          <cell r="A28" t="str">
            <v>договор № ___ от ____</v>
          </cell>
          <cell r="B28" t="str">
            <v>тыс.руб.</v>
          </cell>
          <cell r="C28" t="str">
            <v>2</v>
          </cell>
          <cell r="D28" t="str">
            <v>&lt;Учебное заведение&gt;</v>
          </cell>
          <cell r="J28">
            <v>0</v>
          </cell>
          <cell r="K28">
            <v>0</v>
          </cell>
          <cell r="L28">
            <v>0</v>
          </cell>
          <cell r="M28">
            <v>0</v>
          </cell>
        </row>
        <row r="30">
          <cell r="A30" t="str">
            <v>&lt;Учебное заведение&gt;</v>
          </cell>
          <cell r="B30" t="str">
            <v>тыс.руб.</v>
          </cell>
          <cell r="C30" t="str">
            <v>1</v>
          </cell>
          <cell r="D30" t="str">
            <v>&lt;Учебное заведение&gt;</v>
          </cell>
          <cell r="E30">
            <v>0</v>
          </cell>
          <cell r="F30">
            <v>0</v>
          </cell>
          <cell r="G30">
            <v>0</v>
          </cell>
          <cell r="H30">
            <v>0</v>
          </cell>
          <cell r="I30">
            <v>0</v>
          </cell>
          <cell r="J30">
            <v>0</v>
          </cell>
          <cell r="K30">
            <v>0</v>
          </cell>
          <cell r="L30">
            <v>0</v>
          </cell>
          <cell r="M30">
            <v>0</v>
          </cell>
        </row>
        <row r="32">
          <cell r="A32" t="str">
            <v>договор № ___ от ____</v>
          </cell>
          <cell r="B32" t="str">
            <v>тыс.руб.</v>
          </cell>
          <cell r="C32" t="str">
            <v>2</v>
          </cell>
          <cell r="D32" t="str">
            <v>&lt;Учебное заведение&gt;</v>
          </cell>
          <cell r="J32">
            <v>0</v>
          </cell>
          <cell r="K32">
            <v>0</v>
          </cell>
          <cell r="L32">
            <v>0</v>
          </cell>
          <cell r="M32">
            <v>0</v>
          </cell>
        </row>
        <row r="34">
          <cell r="A34" t="str">
            <v>&lt;Учебное заведение&gt;</v>
          </cell>
          <cell r="B34" t="str">
            <v>тыс.руб.</v>
          </cell>
          <cell r="C34" t="str">
            <v>1</v>
          </cell>
          <cell r="D34" t="str">
            <v>&lt;Учебное заведение&gt;</v>
          </cell>
          <cell r="E34">
            <v>0</v>
          </cell>
          <cell r="F34">
            <v>0</v>
          </cell>
          <cell r="G34">
            <v>0</v>
          </cell>
          <cell r="H34">
            <v>0</v>
          </cell>
          <cell r="I34">
            <v>0</v>
          </cell>
          <cell r="J34">
            <v>0</v>
          </cell>
          <cell r="K34">
            <v>0</v>
          </cell>
          <cell r="L34">
            <v>0</v>
          </cell>
          <cell r="M34">
            <v>0</v>
          </cell>
        </row>
        <row r="36">
          <cell r="A36" t="str">
            <v>договор № ___ от ____</v>
          </cell>
          <cell r="B36" t="str">
            <v>тыс.руб.</v>
          </cell>
          <cell r="C36" t="str">
            <v>2</v>
          </cell>
          <cell r="D36" t="str">
            <v>&lt;Учебное заведение&gt;</v>
          </cell>
          <cell r="J36">
            <v>0</v>
          </cell>
          <cell r="K36">
            <v>0</v>
          </cell>
          <cell r="L36">
            <v>0</v>
          </cell>
          <cell r="M36">
            <v>0</v>
          </cell>
        </row>
        <row r="38">
          <cell r="A38" t="str">
            <v>&lt;Учебное заведение&gt;</v>
          </cell>
          <cell r="B38" t="str">
            <v>тыс.руб.</v>
          </cell>
          <cell r="C38" t="str">
            <v>1</v>
          </cell>
          <cell r="D38" t="str">
            <v>&lt;Учебное заведение&gt;</v>
          </cell>
          <cell r="E38">
            <v>0</v>
          </cell>
          <cell r="F38">
            <v>0</v>
          </cell>
          <cell r="G38">
            <v>0</v>
          </cell>
          <cell r="H38">
            <v>0</v>
          </cell>
          <cell r="I38">
            <v>0</v>
          </cell>
          <cell r="J38">
            <v>0</v>
          </cell>
          <cell r="K38">
            <v>0</v>
          </cell>
          <cell r="L38">
            <v>0</v>
          </cell>
          <cell r="M38">
            <v>0</v>
          </cell>
        </row>
        <row r="40">
          <cell r="A40" t="str">
            <v>договор № ___ от ____</v>
          </cell>
          <cell r="B40" t="str">
            <v>тыс.руб.</v>
          </cell>
          <cell r="C40" t="str">
            <v>2</v>
          </cell>
          <cell r="D40" t="str">
            <v>&lt;Учебное заведение&gt;</v>
          </cell>
          <cell r="J40">
            <v>0</v>
          </cell>
          <cell r="K40">
            <v>0</v>
          </cell>
          <cell r="L40">
            <v>0</v>
          </cell>
          <cell r="M40">
            <v>0</v>
          </cell>
        </row>
        <row r="42">
          <cell r="A42" t="str">
            <v>&lt;Учебное заведение&gt;</v>
          </cell>
          <cell r="B42" t="str">
            <v>тыс.руб.</v>
          </cell>
          <cell r="C42" t="str">
            <v>1</v>
          </cell>
          <cell r="D42" t="str">
            <v>&lt;Учебное заведение&gt;</v>
          </cell>
          <cell r="E42">
            <v>0</v>
          </cell>
          <cell r="F42">
            <v>0</v>
          </cell>
          <cell r="G42">
            <v>0</v>
          </cell>
          <cell r="H42">
            <v>0</v>
          </cell>
          <cell r="I42">
            <v>0</v>
          </cell>
          <cell r="J42">
            <v>0</v>
          </cell>
          <cell r="K42">
            <v>0</v>
          </cell>
          <cell r="L42">
            <v>0</v>
          </cell>
          <cell r="M42">
            <v>0</v>
          </cell>
        </row>
        <row r="44">
          <cell r="A44" t="str">
            <v>договор № ___ от ____</v>
          </cell>
          <cell r="B44" t="str">
            <v>тыс.руб.</v>
          </cell>
          <cell r="C44" t="str">
            <v>2</v>
          </cell>
          <cell r="D44" t="str">
            <v>&lt;Учебное заведение&gt;</v>
          </cell>
          <cell r="J44">
            <v>0</v>
          </cell>
          <cell r="K44">
            <v>0</v>
          </cell>
          <cell r="L44">
            <v>0</v>
          </cell>
          <cell r="M44">
            <v>0</v>
          </cell>
        </row>
        <row r="46">
          <cell r="A46" t="str">
            <v>&lt;Учебное заведение&gt;</v>
          </cell>
          <cell r="B46" t="str">
            <v>тыс.руб.</v>
          </cell>
          <cell r="C46" t="str">
            <v>1</v>
          </cell>
          <cell r="D46" t="str">
            <v>&lt;Учебное заведение&gt;</v>
          </cell>
          <cell r="E46">
            <v>0</v>
          </cell>
          <cell r="F46">
            <v>0</v>
          </cell>
          <cell r="G46">
            <v>0</v>
          </cell>
          <cell r="H46">
            <v>0</v>
          </cell>
          <cell r="I46">
            <v>0</v>
          </cell>
          <cell r="J46">
            <v>0</v>
          </cell>
          <cell r="K46">
            <v>0</v>
          </cell>
          <cell r="L46">
            <v>0</v>
          </cell>
          <cell r="M46">
            <v>0</v>
          </cell>
        </row>
        <row r="48">
          <cell r="A48" t="str">
            <v>договор № ___ от ____</v>
          </cell>
          <cell r="B48" t="str">
            <v>тыс.руб.</v>
          </cell>
          <cell r="C48" t="str">
            <v>2</v>
          </cell>
          <cell r="D48" t="str">
            <v>&lt;Учебное заведение&gt;</v>
          </cell>
          <cell r="J48">
            <v>0</v>
          </cell>
          <cell r="K48">
            <v>0</v>
          </cell>
          <cell r="L48">
            <v>0</v>
          </cell>
          <cell r="M48">
            <v>0</v>
          </cell>
        </row>
        <row r="50">
          <cell r="A50" t="str">
            <v>&lt;Учебное заведение&gt;</v>
          </cell>
          <cell r="B50" t="str">
            <v>тыс.руб.</v>
          </cell>
          <cell r="C50" t="str">
            <v>1</v>
          </cell>
          <cell r="D50" t="str">
            <v>&lt;Учебное заведение&gt;</v>
          </cell>
          <cell r="E50">
            <v>0</v>
          </cell>
          <cell r="F50">
            <v>0</v>
          </cell>
          <cell r="G50">
            <v>0</v>
          </cell>
          <cell r="H50">
            <v>0</v>
          </cell>
          <cell r="I50">
            <v>0</v>
          </cell>
          <cell r="J50">
            <v>0</v>
          </cell>
          <cell r="K50">
            <v>0</v>
          </cell>
          <cell r="L50">
            <v>0</v>
          </cell>
          <cell r="M50">
            <v>0</v>
          </cell>
        </row>
        <row r="52">
          <cell r="A52" t="str">
            <v>договор № ___ от ____</v>
          </cell>
          <cell r="B52" t="str">
            <v>тыс.руб.</v>
          </cell>
          <cell r="C52" t="str">
            <v>2</v>
          </cell>
          <cell r="D52" t="str">
            <v>&lt;Учебное заведение&gt;</v>
          </cell>
          <cell r="J52">
            <v>0</v>
          </cell>
          <cell r="K52">
            <v>0</v>
          </cell>
          <cell r="L52">
            <v>0</v>
          </cell>
          <cell r="M52">
            <v>0</v>
          </cell>
        </row>
        <row r="54">
          <cell r="A54" t="str">
            <v>&lt;Учебное заведение&gt;</v>
          </cell>
          <cell r="B54" t="str">
            <v>тыс.руб.</v>
          </cell>
          <cell r="C54" t="str">
            <v>1</v>
          </cell>
          <cell r="D54" t="str">
            <v>&lt;Учебное заведение&gt;</v>
          </cell>
          <cell r="E54">
            <v>0</v>
          </cell>
          <cell r="F54">
            <v>0</v>
          </cell>
          <cell r="G54">
            <v>0</v>
          </cell>
          <cell r="H54">
            <v>0</v>
          </cell>
          <cell r="I54">
            <v>0</v>
          </cell>
          <cell r="J54">
            <v>0</v>
          </cell>
          <cell r="K54">
            <v>0</v>
          </cell>
          <cell r="L54">
            <v>0</v>
          </cell>
          <cell r="M54">
            <v>0</v>
          </cell>
        </row>
        <row r="56">
          <cell r="A56" t="str">
            <v>договор № ___ от ____</v>
          </cell>
          <cell r="B56" t="str">
            <v>тыс.руб.</v>
          </cell>
          <cell r="C56" t="str">
            <v>2</v>
          </cell>
          <cell r="D56" t="str">
            <v>&lt;Учебное заведение&gt;</v>
          </cell>
          <cell r="J56">
            <v>0</v>
          </cell>
          <cell r="K56">
            <v>0</v>
          </cell>
          <cell r="L56">
            <v>0</v>
          </cell>
          <cell r="M56">
            <v>0</v>
          </cell>
        </row>
        <row r="58">
          <cell r="A58" t="str">
            <v>&lt;Учебное заведение&gt;</v>
          </cell>
          <cell r="B58" t="str">
            <v>тыс.руб.</v>
          </cell>
          <cell r="C58" t="str">
            <v>1</v>
          </cell>
          <cell r="D58" t="str">
            <v>&lt;Учебное заведение&gt;</v>
          </cell>
          <cell r="E58">
            <v>0</v>
          </cell>
          <cell r="F58">
            <v>0</v>
          </cell>
          <cell r="G58">
            <v>0</v>
          </cell>
          <cell r="H58">
            <v>0</v>
          </cell>
          <cell r="I58">
            <v>0</v>
          </cell>
          <cell r="J58">
            <v>0</v>
          </cell>
          <cell r="K58">
            <v>0</v>
          </cell>
          <cell r="L58">
            <v>0</v>
          </cell>
          <cell r="M58">
            <v>0</v>
          </cell>
        </row>
        <row r="60">
          <cell r="A60" t="str">
            <v>договор № ___ от ____</v>
          </cell>
          <cell r="B60" t="str">
            <v>тыс.руб.</v>
          </cell>
          <cell r="C60" t="str">
            <v>2</v>
          </cell>
          <cell r="D60" t="str">
            <v>&lt;Учебное заведение&gt;</v>
          </cell>
          <cell r="J60">
            <v>0</v>
          </cell>
          <cell r="K60">
            <v>0</v>
          </cell>
          <cell r="L60">
            <v>0</v>
          </cell>
          <cell r="M60">
            <v>0</v>
          </cell>
        </row>
        <row r="62">
          <cell r="A62" t="str">
            <v>&lt;Учебное заведение&gt;</v>
          </cell>
          <cell r="B62" t="str">
            <v>тыс.руб.</v>
          </cell>
          <cell r="C62" t="str">
            <v>1</v>
          </cell>
          <cell r="D62" t="str">
            <v>&lt;Учебное заведение&gt;</v>
          </cell>
          <cell r="E62">
            <v>0</v>
          </cell>
          <cell r="F62">
            <v>0</v>
          </cell>
          <cell r="G62">
            <v>0</v>
          </cell>
          <cell r="H62">
            <v>0</v>
          </cell>
          <cell r="I62">
            <v>0</v>
          </cell>
          <cell r="J62">
            <v>0</v>
          </cell>
          <cell r="K62">
            <v>0</v>
          </cell>
          <cell r="L62">
            <v>0</v>
          </cell>
          <cell r="M62">
            <v>0</v>
          </cell>
        </row>
        <row r="64">
          <cell r="A64" t="str">
            <v>договор № ___ от ____</v>
          </cell>
          <cell r="B64" t="str">
            <v>тыс.руб.</v>
          </cell>
          <cell r="C64" t="str">
            <v>2</v>
          </cell>
          <cell r="D64" t="str">
            <v>&lt;Учебное заведение&gt;</v>
          </cell>
          <cell r="J64">
            <v>0</v>
          </cell>
          <cell r="K64">
            <v>0</v>
          </cell>
          <cell r="L64">
            <v>0</v>
          </cell>
          <cell r="M64">
            <v>0</v>
          </cell>
        </row>
        <row r="66">
          <cell r="A66" t="str">
            <v>&lt;Учебное заведение&gt;</v>
          </cell>
          <cell r="B66" t="str">
            <v>тыс.руб.</v>
          </cell>
          <cell r="C66" t="str">
            <v>1</v>
          </cell>
          <cell r="D66" t="str">
            <v>&lt;Учебное заведение&gt;</v>
          </cell>
          <cell r="E66">
            <v>0</v>
          </cell>
          <cell r="F66">
            <v>0</v>
          </cell>
          <cell r="G66">
            <v>0</v>
          </cell>
          <cell r="H66">
            <v>0</v>
          </cell>
          <cell r="I66">
            <v>0</v>
          </cell>
          <cell r="J66">
            <v>0</v>
          </cell>
          <cell r="K66">
            <v>0</v>
          </cell>
          <cell r="L66">
            <v>0</v>
          </cell>
          <cell r="M66">
            <v>0</v>
          </cell>
        </row>
        <row r="68">
          <cell r="A68" t="str">
            <v>договор № ___ от ____</v>
          </cell>
          <cell r="B68" t="str">
            <v>тыс.руб.</v>
          </cell>
          <cell r="C68" t="str">
            <v>2</v>
          </cell>
          <cell r="D68" t="str">
            <v>&lt;Учебное заведение&gt;</v>
          </cell>
          <cell r="J68">
            <v>0</v>
          </cell>
          <cell r="K68">
            <v>0</v>
          </cell>
          <cell r="L68">
            <v>0</v>
          </cell>
          <cell r="M68">
            <v>0</v>
          </cell>
        </row>
        <row r="70">
          <cell r="A70" t="str">
            <v>&lt;Учебное заведение&gt;</v>
          </cell>
          <cell r="B70" t="str">
            <v>тыс.руб.</v>
          </cell>
          <cell r="C70" t="str">
            <v>1</v>
          </cell>
          <cell r="D70" t="str">
            <v>&lt;Учебное заведение&gt;</v>
          </cell>
          <cell r="E70">
            <v>0</v>
          </cell>
          <cell r="F70">
            <v>0</v>
          </cell>
          <cell r="G70">
            <v>0</v>
          </cell>
          <cell r="H70">
            <v>0</v>
          </cell>
          <cell r="I70">
            <v>0</v>
          </cell>
          <cell r="J70">
            <v>0</v>
          </cell>
          <cell r="K70">
            <v>0</v>
          </cell>
          <cell r="L70">
            <v>0</v>
          </cell>
          <cell r="M70">
            <v>0</v>
          </cell>
        </row>
        <row r="72">
          <cell r="A72" t="str">
            <v>договор № ___ от ____</v>
          </cell>
          <cell r="B72" t="str">
            <v>тыс.руб.</v>
          </cell>
          <cell r="C72" t="str">
            <v>2</v>
          </cell>
          <cell r="D72" t="str">
            <v>&lt;Учебное заведение&gt;</v>
          </cell>
          <cell r="J72">
            <v>0</v>
          </cell>
          <cell r="K72">
            <v>0</v>
          </cell>
          <cell r="L72">
            <v>0</v>
          </cell>
          <cell r="M72">
            <v>0</v>
          </cell>
        </row>
        <row r="74">
          <cell r="A74" t="str">
            <v>&lt;Учебное заведение&gt;</v>
          </cell>
          <cell r="B74" t="str">
            <v>тыс.руб.</v>
          </cell>
          <cell r="C74" t="str">
            <v>1</v>
          </cell>
          <cell r="D74" t="str">
            <v>&lt;Учебное заведение&gt;</v>
          </cell>
          <cell r="E74">
            <v>0</v>
          </cell>
          <cell r="F74">
            <v>0</v>
          </cell>
          <cell r="G74">
            <v>0</v>
          </cell>
          <cell r="H74">
            <v>0</v>
          </cell>
          <cell r="I74">
            <v>0</v>
          </cell>
          <cell r="J74">
            <v>0</v>
          </cell>
          <cell r="K74">
            <v>0</v>
          </cell>
          <cell r="L74">
            <v>0</v>
          </cell>
          <cell r="M74">
            <v>0</v>
          </cell>
        </row>
        <row r="76">
          <cell r="A76" t="str">
            <v>договор № ___ от ____</v>
          </cell>
          <cell r="B76" t="str">
            <v>тыс.руб.</v>
          </cell>
          <cell r="C76" t="str">
            <v>2</v>
          </cell>
          <cell r="D76" t="str">
            <v>&lt;Учебное заведение&gt;</v>
          </cell>
          <cell r="J76">
            <v>0</v>
          </cell>
          <cell r="K76">
            <v>0</v>
          </cell>
          <cell r="L76">
            <v>0</v>
          </cell>
          <cell r="M76">
            <v>0</v>
          </cell>
        </row>
        <row r="78">
          <cell r="A78" t="str">
            <v>&lt;Учебное заведение&gt;</v>
          </cell>
          <cell r="B78" t="str">
            <v>тыс.руб.</v>
          </cell>
          <cell r="C78" t="str">
            <v>1</v>
          </cell>
          <cell r="D78" t="str">
            <v>&lt;Учебное заведение&gt;</v>
          </cell>
          <cell r="E78">
            <v>0</v>
          </cell>
          <cell r="F78">
            <v>0</v>
          </cell>
          <cell r="G78">
            <v>0</v>
          </cell>
          <cell r="H78">
            <v>0</v>
          </cell>
          <cell r="I78">
            <v>0</v>
          </cell>
          <cell r="J78">
            <v>0</v>
          </cell>
          <cell r="K78">
            <v>0</v>
          </cell>
          <cell r="L78">
            <v>0</v>
          </cell>
          <cell r="M78">
            <v>0</v>
          </cell>
        </row>
        <row r="80">
          <cell r="A80" t="str">
            <v>договор № ___ от ____</v>
          </cell>
          <cell r="B80" t="str">
            <v>тыс.руб.</v>
          </cell>
          <cell r="C80" t="str">
            <v>2</v>
          </cell>
          <cell r="D80" t="str">
            <v>&lt;Учебное заведение&gt;</v>
          </cell>
          <cell r="J80">
            <v>0</v>
          </cell>
          <cell r="K80">
            <v>0</v>
          </cell>
          <cell r="L80">
            <v>0</v>
          </cell>
          <cell r="M80">
            <v>0</v>
          </cell>
        </row>
        <row r="82">
          <cell r="A82" t="str">
            <v>Прочие расходы на обучение</v>
          </cell>
          <cell r="B82" t="str">
            <v>тыс.руб.</v>
          </cell>
          <cell r="C82" t="str">
            <v>1</v>
          </cell>
          <cell r="D82" t="str">
            <v>Прочие расходы на обучение</v>
          </cell>
          <cell r="E82">
            <v>0</v>
          </cell>
          <cell r="F82">
            <v>0</v>
          </cell>
          <cell r="G82">
            <v>0</v>
          </cell>
          <cell r="H82">
            <v>0</v>
          </cell>
          <cell r="I82">
            <v>0</v>
          </cell>
          <cell r="J82">
            <v>0</v>
          </cell>
          <cell r="K82">
            <v>0</v>
          </cell>
          <cell r="L82">
            <v>0</v>
          </cell>
          <cell r="M82">
            <v>0</v>
          </cell>
        </row>
        <row r="84">
          <cell r="A84" t="str">
            <v>договор № ___ от ____</v>
          </cell>
          <cell r="B84" t="str">
            <v>тыс.руб.</v>
          </cell>
          <cell r="C84" t="str">
            <v>2</v>
          </cell>
          <cell r="D84" t="str">
            <v>Прочие расходы на обучение</v>
          </cell>
          <cell r="J84">
            <v>0</v>
          </cell>
          <cell r="K84">
            <v>0</v>
          </cell>
          <cell r="L84">
            <v>0</v>
          </cell>
          <cell r="M84">
            <v>0</v>
          </cell>
        </row>
        <row r="85">
          <cell r="A85" t="str">
            <v>договор № ___ от ____</v>
          </cell>
          <cell r="B85" t="str">
            <v>тыс.руб.</v>
          </cell>
          <cell r="C85" t="str">
            <v>2</v>
          </cell>
          <cell r="D85" t="str">
            <v>Прочие расходы на обучение</v>
          </cell>
          <cell r="J85">
            <v>0</v>
          </cell>
          <cell r="K85">
            <v>0</v>
          </cell>
          <cell r="L85">
            <v>0</v>
          </cell>
          <cell r="M85">
            <v>0</v>
          </cell>
        </row>
        <row r="88">
          <cell r="E88">
            <v>0</v>
          </cell>
          <cell r="F88">
            <v>0</v>
          </cell>
          <cell r="G88">
            <v>0</v>
          </cell>
          <cell r="H88">
            <v>0</v>
          </cell>
          <cell r="J88">
            <v>0</v>
          </cell>
          <cell r="K88">
            <v>0</v>
          </cell>
          <cell r="L88">
            <v>0</v>
          </cell>
          <cell r="M88">
            <v>0</v>
          </cell>
        </row>
      </sheetData>
      <sheetData sheetId="21">
        <row r="6">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I11">
            <v>0</v>
          </cell>
          <cell r="J11">
            <v>0</v>
          </cell>
          <cell r="K11">
            <v>0</v>
          </cell>
          <cell r="L11">
            <v>0</v>
          </cell>
        </row>
        <row r="12">
          <cell r="I12">
            <v>0</v>
          </cell>
          <cell r="J12">
            <v>0</v>
          </cell>
          <cell r="K12">
            <v>0</v>
          </cell>
          <cell r="L12">
            <v>0</v>
          </cell>
        </row>
        <row r="13">
          <cell r="D13">
            <v>0</v>
          </cell>
          <cell r="E13">
            <v>0</v>
          </cell>
          <cell r="F13">
            <v>0</v>
          </cell>
          <cell r="G13">
            <v>0</v>
          </cell>
          <cell r="I13">
            <v>0</v>
          </cell>
          <cell r="J13">
            <v>0</v>
          </cell>
          <cell r="K13">
            <v>0</v>
          </cell>
          <cell r="L13">
            <v>0</v>
          </cell>
        </row>
      </sheetData>
      <sheetData sheetId="22">
        <row r="6">
          <cell r="A6" t="str">
            <v>1.</v>
          </cell>
          <cell r="B6" t="str">
            <v>Количество командированных</v>
          </cell>
          <cell r="C6" t="str">
            <v>чел.</v>
          </cell>
          <cell r="N6">
            <v>0</v>
          </cell>
        </row>
        <row r="7">
          <cell r="A7" t="str">
            <v>2.</v>
          </cell>
          <cell r="B7" t="str">
            <v>Количество человеко-дней</v>
          </cell>
          <cell r="C7" t="str">
            <v>чел-дн.</v>
          </cell>
          <cell r="N7">
            <v>0</v>
          </cell>
        </row>
        <row r="8">
          <cell r="A8" t="str">
            <v>3.</v>
          </cell>
          <cell r="B8" t="str">
            <v>Оплата проезда к месту командировки</v>
          </cell>
          <cell r="C8" t="str">
            <v>тыс.руб.</v>
          </cell>
          <cell r="E8">
            <v>0</v>
          </cell>
          <cell r="F8">
            <v>0</v>
          </cell>
          <cell r="G8">
            <v>0</v>
          </cell>
          <cell r="H8">
            <v>0</v>
          </cell>
          <cell r="I8">
            <v>0</v>
          </cell>
          <cell r="J8">
            <v>0</v>
          </cell>
          <cell r="K8">
            <v>0</v>
          </cell>
          <cell r="L8">
            <v>0</v>
          </cell>
          <cell r="N8">
            <v>0</v>
          </cell>
        </row>
        <row r="9">
          <cell r="B9" t="str">
            <v xml:space="preserve"> - стоимость проезда в 1 сторону</v>
          </cell>
          <cell r="C9" t="str">
            <v>руб.</v>
          </cell>
        </row>
        <row r="10">
          <cell r="A10" t="str">
            <v>4.</v>
          </cell>
          <cell r="B10" t="str">
            <v>Наем жилого помещения</v>
          </cell>
          <cell r="C10" t="str">
            <v>тыс.руб.</v>
          </cell>
          <cell r="N10">
            <v>0</v>
          </cell>
        </row>
        <row r="11">
          <cell r="B11" t="str">
            <v xml:space="preserve"> - стоимость 1 суток найма жилого помещения</v>
          </cell>
          <cell r="C11" t="str">
            <v>руб.</v>
          </cell>
        </row>
        <row r="12">
          <cell r="A12" t="str">
            <v>5.</v>
          </cell>
          <cell r="B12" t="str">
            <v>Суточные в пределах норм</v>
          </cell>
          <cell r="C12" t="str">
            <v>тыс.руб.</v>
          </cell>
          <cell r="E12">
            <v>0</v>
          </cell>
          <cell r="F12">
            <v>0</v>
          </cell>
          <cell r="G12">
            <v>0</v>
          </cell>
          <cell r="H12">
            <v>0</v>
          </cell>
          <cell r="I12">
            <v>0</v>
          </cell>
          <cell r="J12">
            <v>0</v>
          </cell>
          <cell r="K12">
            <v>0</v>
          </cell>
          <cell r="L12">
            <v>0</v>
          </cell>
          <cell r="N12">
            <v>0</v>
          </cell>
        </row>
        <row r="13">
          <cell r="B13" t="str">
            <v xml:space="preserve"> - размер суточных</v>
          </cell>
          <cell r="C13" t="str">
            <v>руб.</v>
          </cell>
        </row>
        <row r="14">
          <cell r="A14" t="str">
            <v>6.</v>
          </cell>
          <cell r="B14" t="str">
            <v>Оформление виз, паспортов и т.п.</v>
          </cell>
          <cell r="C14" t="str">
            <v>тыс.руб.</v>
          </cell>
          <cell r="N14">
            <v>0</v>
          </cell>
        </row>
        <row r="15">
          <cell r="A15" t="str">
            <v>7.</v>
          </cell>
          <cell r="B15" t="str">
            <v>Прочие</v>
          </cell>
          <cell r="C15" t="str">
            <v>тыс.руб.</v>
          </cell>
          <cell r="N15">
            <v>0</v>
          </cell>
        </row>
        <row r="16">
          <cell r="A16" t="str">
            <v>8.</v>
          </cell>
          <cell r="B16" t="str">
            <v>Всего расходов</v>
          </cell>
          <cell r="C16" t="str">
            <v>тыс.руб.</v>
          </cell>
          <cell r="E16">
            <v>0</v>
          </cell>
          <cell r="F16">
            <v>0</v>
          </cell>
          <cell r="G16">
            <v>0</v>
          </cell>
          <cell r="H16">
            <v>0</v>
          </cell>
          <cell r="I16">
            <v>0</v>
          </cell>
          <cell r="J16">
            <v>0</v>
          </cell>
          <cell r="K16">
            <v>0</v>
          </cell>
          <cell r="L16">
            <v>0</v>
          </cell>
          <cell r="N16">
            <v>0</v>
          </cell>
        </row>
        <row r="18">
          <cell r="A18" t="str">
            <v>1.</v>
          </cell>
          <cell r="B18" t="str">
            <v>Количество командированных</v>
          </cell>
          <cell r="C18" t="str">
            <v>чел.</v>
          </cell>
          <cell r="N18">
            <v>0</v>
          </cell>
        </row>
        <row r="19">
          <cell r="A19" t="str">
            <v>2.</v>
          </cell>
          <cell r="B19" t="str">
            <v>Количество человеко-дней</v>
          </cell>
          <cell r="C19" t="str">
            <v>чел-дн.</v>
          </cell>
          <cell r="N19">
            <v>0</v>
          </cell>
        </row>
        <row r="20">
          <cell r="A20" t="str">
            <v>3.</v>
          </cell>
          <cell r="B20" t="str">
            <v>Оплата проезда к месту командировки</v>
          </cell>
          <cell r="C20" t="str">
            <v>тыс.руб.</v>
          </cell>
          <cell r="E20">
            <v>0</v>
          </cell>
          <cell r="F20">
            <v>0</v>
          </cell>
          <cell r="G20">
            <v>0</v>
          </cell>
          <cell r="H20">
            <v>0</v>
          </cell>
          <cell r="I20">
            <v>0</v>
          </cell>
          <cell r="J20">
            <v>0</v>
          </cell>
          <cell r="K20">
            <v>0</v>
          </cell>
          <cell r="L20">
            <v>0</v>
          </cell>
          <cell r="N20">
            <v>0</v>
          </cell>
        </row>
        <row r="21">
          <cell r="B21" t="str">
            <v xml:space="preserve"> - стоимость проезда в 1 сторону</v>
          </cell>
          <cell r="C21" t="str">
            <v>руб.</v>
          </cell>
        </row>
        <row r="22">
          <cell r="A22" t="str">
            <v>4.</v>
          </cell>
          <cell r="B22" t="str">
            <v>Наем жилого помещения</v>
          </cell>
          <cell r="C22" t="str">
            <v>тыс.руб.</v>
          </cell>
          <cell r="N22">
            <v>0</v>
          </cell>
        </row>
        <row r="23">
          <cell r="B23" t="str">
            <v xml:space="preserve"> - стоимость 1 суток найма жилого помещения</v>
          </cell>
          <cell r="C23" t="str">
            <v>руб.</v>
          </cell>
        </row>
        <row r="24">
          <cell r="A24" t="str">
            <v>5.</v>
          </cell>
          <cell r="B24" t="str">
            <v>Суточные в пределах норм</v>
          </cell>
          <cell r="C24" t="str">
            <v>тыс.руб.</v>
          </cell>
          <cell r="E24">
            <v>0</v>
          </cell>
          <cell r="F24">
            <v>0</v>
          </cell>
          <cell r="G24">
            <v>0</v>
          </cell>
          <cell r="H24">
            <v>0</v>
          </cell>
          <cell r="I24">
            <v>0</v>
          </cell>
          <cell r="J24">
            <v>0</v>
          </cell>
          <cell r="K24">
            <v>0</v>
          </cell>
          <cell r="L24">
            <v>0</v>
          </cell>
          <cell r="N24">
            <v>0</v>
          </cell>
        </row>
        <row r="25">
          <cell r="B25" t="str">
            <v xml:space="preserve"> - размер суточных</v>
          </cell>
          <cell r="C25" t="str">
            <v>руб.</v>
          </cell>
        </row>
        <row r="26">
          <cell r="A26" t="str">
            <v>6.</v>
          </cell>
          <cell r="B26" t="str">
            <v>Оформление виз, паспортов и т.п.</v>
          </cell>
          <cell r="C26" t="str">
            <v>тыс.руб.</v>
          </cell>
          <cell r="N26">
            <v>0</v>
          </cell>
        </row>
        <row r="27">
          <cell r="A27" t="str">
            <v>7.</v>
          </cell>
          <cell r="B27" t="str">
            <v>Прочие</v>
          </cell>
          <cell r="C27" t="str">
            <v>тыс.руб.</v>
          </cell>
          <cell r="N27">
            <v>0</v>
          </cell>
        </row>
        <row r="28">
          <cell r="A28" t="str">
            <v>8.</v>
          </cell>
          <cell r="B28" t="str">
            <v>Всего расходов</v>
          </cell>
          <cell r="C28" t="str">
            <v>тыс.руб.</v>
          </cell>
          <cell r="E28">
            <v>0</v>
          </cell>
          <cell r="F28">
            <v>0</v>
          </cell>
          <cell r="G28">
            <v>0</v>
          </cell>
          <cell r="H28">
            <v>0</v>
          </cell>
          <cell r="I28">
            <v>0</v>
          </cell>
          <cell r="J28">
            <v>0</v>
          </cell>
          <cell r="K28">
            <v>0</v>
          </cell>
          <cell r="L28">
            <v>0</v>
          </cell>
          <cell r="N28">
            <v>0</v>
          </cell>
        </row>
      </sheetData>
      <sheetData sheetId="23">
        <row r="6">
          <cell r="D6">
            <v>0</v>
          </cell>
          <cell r="E6">
            <v>0</v>
          </cell>
          <cell r="F6">
            <v>0</v>
          </cell>
          <cell r="G6">
            <v>0</v>
          </cell>
          <cell r="I6">
            <v>0</v>
          </cell>
          <cell r="J6">
            <v>0</v>
          </cell>
          <cell r="K6">
            <v>0</v>
          </cell>
          <cell r="L6">
            <v>0</v>
          </cell>
        </row>
        <row r="8">
          <cell r="B8" t="str">
            <v>договор № ___ от ____</v>
          </cell>
          <cell r="I8">
            <v>0</v>
          </cell>
          <cell r="J8">
            <v>0</v>
          </cell>
          <cell r="K8">
            <v>0</v>
          </cell>
          <cell r="L8">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2">
          <cell r="D12">
            <v>0</v>
          </cell>
          <cell r="E12">
            <v>0</v>
          </cell>
          <cell r="F12">
            <v>0</v>
          </cell>
          <cell r="G12">
            <v>0</v>
          </cell>
          <cell r="I12">
            <v>0</v>
          </cell>
          <cell r="J12">
            <v>0</v>
          </cell>
          <cell r="K12">
            <v>0</v>
          </cell>
          <cell r="L12">
            <v>0</v>
          </cell>
        </row>
        <row r="14">
          <cell r="B14" t="str">
            <v>договор № ___ от ____</v>
          </cell>
          <cell r="I14">
            <v>0</v>
          </cell>
          <cell r="J14">
            <v>0</v>
          </cell>
          <cell r="K14">
            <v>0</v>
          </cell>
          <cell r="L14">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8">
          <cell r="D18">
            <v>0</v>
          </cell>
          <cell r="E18">
            <v>0</v>
          </cell>
          <cell r="F18">
            <v>0</v>
          </cell>
          <cell r="G18">
            <v>0</v>
          </cell>
          <cell r="I18">
            <v>0</v>
          </cell>
          <cell r="J18">
            <v>0</v>
          </cell>
          <cell r="K18">
            <v>0</v>
          </cell>
          <cell r="L18">
            <v>0</v>
          </cell>
        </row>
        <row r="20">
          <cell r="B20" t="str">
            <v>договор № ___ от ____</v>
          </cell>
          <cell r="I20">
            <v>0</v>
          </cell>
          <cell r="J20">
            <v>0</v>
          </cell>
          <cell r="K20">
            <v>0</v>
          </cell>
          <cell r="L20">
            <v>0</v>
          </cell>
        </row>
        <row r="21">
          <cell r="B21" t="str">
            <v>договор № ___ от ____</v>
          </cell>
          <cell r="I21">
            <v>0</v>
          </cell>
          <cell r="J21">
            <v>0</v>
          </cell>
          <cell r="K21">
            <v>0</v>
          </cell>
          <cell r="L21">
            <v>0</v>
          </cell>
        </row>
        <row r="22">
          <cell r="B22" t="str">
            <v>договор № ___ от ____</v>
          </cell>
          <cell r="I22">
            <v>0</v>
          </cell>
          <cell r="J22">
            <v>0</v>
          </cell>
          <cell r="K22">
            <v>0</v>
          </cell>
          <cell r="L22">
            <v>0</v>
          </cell>
        </row>
        <row r="24">
          <cell r="D24">
            <v>0</v>
          </cell>
          <cell r="E24">
            <v>0</v>
          </cell>
          <cell r="F24">
            <v>0</v>
          </cell>
          <cell r="G24">
            <v>0</v>
          </cell>
          <cell r="I24">
            <v>0</v>
          </cell>
          <cell r="J24">
            <v>0</v>
          </cell>
          <cell r="K24">
            <v>0</v>
          </cell>
          <cell r="L24">
            <v>0</v>
          </cell>
        </row>
        <row r="26">
          <cell r="B26" t="str">
            <v>договор № ___ от ____</v>
          </cell>
          <cell r="I26">
            <v>0</v>
          </cell>
          <cell r="J26">
            <v>0</v>
          </cell>
          <cell r="K26">
            <v>0</v>
          </cell>
          <cell r="L26">
            <v>0</v>
          </cell>
        </row>
        <row r="27">
          <cell r="B27" t="str">
            <v>договор № ___ от ____</v>
          </cell>
          <cell r="I27">
            <v>0</v>
          </cell>
          <cell r="J27">
            <v>0</v>
          </cell>
          <cell r="K27">
            <v>0</v>
          </cell>
          <cell r="L27">
            <v>0</v>
          </cell>
        </row>
        <row r="28">
          <cell r="B28" t="str">
            <v>договор № ___ от ____</v>
          </cell>
          <cell r="I28">
            <v>0</v>
          </cell>
          <cell r="J28">
            <v>0</v>
          </cell>
          <cell r="K28">
            <v>0</v>
          </cell>
          <cell r="L28">
            <v>0</v>
          </cell>
        </row>
        <row r="30">
          <cell r="D30">
            <v>0</v>
          </cell>
          <cell r="E30">
            <v>0</v>
          </cell>
          <cell r="F30">
            <v>0</v>
          </cell>
          <cell r="G30">
            <v>0</v>
          </cell>
          <cell r="I30">
            <v>0</v>
          </cell>
          <cell r="J30">
            <v>0</v>
          </cell>
          <cell r="K30">
            <v>0</v>
          </cell>
          <cell r="L30">
            <v>0</v>
          </cell>
        </row>
        <row r="32">
          <cell r="B32" t="str">
            <v>договор № ___ от ____</v>
          </cell>
          <cell r="I32">
            <v>0</v>
          </cell>
          <cell r="J32">
            <v>0</v>
          </cell>
          <cell r="K32">
            <v>0</v>
          </cell>
          <cell r="L32">
            <v>0</v>
          </cell>
        </row>
        <row r="33">
          <cell r="B33" t="str">
            <v>договор № ___ от ____</v>
          </cell>
          <cell r="I33">
            <v>0</v>
          </cell>
          <cell r="J33">
            <v>0</v>
          </cell>
          <cell r="K33">
            <v>0</v>
          </cell>
          <cell r="L33">
            <v>0</v>
          </cell>
        </row>
        <row r="34">
          <cell r="B34" t="str">
            <v>договор № ___ от ____</v>
          </cell>
          <cell r="I34">
            <v>0</v>
          </cell>
          <cell r="J34">
            <v>0</v>
          </cell>
          <cell r="K34">
            <v>0</v>
          </cell>
          <cell r="L34">
            <v>0</v>
          </cell>
        </row>
        <row r="36">
          <cell r="D36">
            <v>0</v>
          </cell>
          <cell r="E36">
            <v>0</v>
          </cell>
          <cell r="F36">
            <v>0</v>
          </cell>
          <cell r="G36">
            <v>0</v>
          </cell>
          <cell r="I36">
            <v>0</v>
          </cell>
          <cell r="J36">
            <v>0</v>
          </cell>
          <cell r="K36">
            <v>0</v>
          </cell>
          <cell r="L36">
            <v>0</v>
          </cell>
        </row>
        <row r="38">
          <cell r="B38" t="str">
            <v>договор № ___ от ____</v>
          </cell>
          <cell r="I38">
            <v>0</v>
          </cell>
          <cell r="J38">
            <v>0</v>
          </cell>
          <cell r="K38">
            <v>0</v>
          </cell>
          <cell r="L38">
            <v>0</v>
          </cell>
        </row>
        <row r="39">
          <cell r="B39" t="str">
            <v>договор № ___ от ____</v>
          </cell>
          <cell r="I39">
            <v>0</v>
          </cell>
          <cell r="J39">
            <v>0</v>
          </cell>
          <cell r="K39">
            <v>0</v>
          </cell>
          <cell r="L39">
            <v>0</v>
          </cell>
        </row>
        <row r="40">
          <cell r="B40" t="str">
            <v>договор № ___ от ____</v>
          </cell>
          <cell r="I40">
            <v>0</v>
          </cell>
          <cell r="J40">
            <v>0</v>
          </cell>
          <cell r="K40">
            <v>0</v>
          </cell>
          <cell r="L40">
            <v>0</v>
          </cell>
        </row>
        <row r="42">
          <cell r="D42">
            <v>0</v>
          </cell>
          <cell r="E42">
            <v>0</v>
          </cell>
          <cell r="F42">
            <v>0</v>
          </cell>
          <cell r="G42">
            <v>0</v>
          </cell>
          <cell r="I42">
            <v>0</v>
          </cell>
          <cell r="J42">
            <v>0</v>
          </cell>
          <cell r="K42">
            <v>0</v>
          </cell>
          <cell r="L42">
            <v>0</v>
          </cell>
        </row>
      </sheetData>
      <sheetData sheetId="24">
        <row r="6">
          <cell r="A6" t="str">
            <v>&lt;Наименование работ 1&gt;</v>
          </cell>
          <cell r="B6" t="str">
            <v>тыс.руб.</v>
          </cell>
          <cell r="C6" t="str">
            <v>1</v>
          </cell>
          <cell r="D6" t="str">
            <v>&lt;Наименование работ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&lt;Наименование работ 1&gt;</v>
          </cell>
          <cell r="J8">
            <v>0</v>
          </cell>
          <cell r="K8">
            <v>0</v>
          </cell>
          <cell r="L8">
            <v>0</v>
          </cell>
          <cell r="M8">
            <v>0</v>
          </cell>
        </row>
        <row r="9">
          <cell r="A9" t="str">
            <v>договор № ___ от ____</v>
          </cell>
          <cell r="B9" t="str">
            <v>тыс.руб.</v>
          </cell>
          <cell r="C9" t="str">
            <v>2</v>
          </cell>
          <cell r="D9" t="str">
            <v>&lt;Наименование работ 1&gt;</v>
          </cell>
          <cell r="J9">
            <v>0</v>
          </cell>
          <cell r="K9">
            <v>0</v>
          </cell>
          <cell r="L9">
            <v>0</v>
          </cell>
          <cell r="M9">
            <v>0</v>
          </cell>
        </row>
        <row r="11">
          <cell r="A11" t="str">
            <v>&lt;Наименование работ 2&gt;</v>
          </cell>
          <cell r="B11" t="str">
            <v>тыс.руб.</v>
          </cell>
          <cell r="C11" t="str">
            <v>1</v>
          </cell>
          <cell r="D11" t="str">
            <v>&lt;Наименование работ 2&gt;</v>
          </cell>
          <cell r="E11">
            <v>0</v>
          </cell>
          <cell r="F11">
            <v>0</v>
          </cell>
          <cell r="G11">
            <v>0</v>
          </cell>
          <cell r="H11">
            <v>0</v>
          </cell>
          <cell r="I11">
            <v>0</v>
          </cell>
          <cell r="J11">
            <v>0</v>
          </cell>
          <cell r="K11">
            <v>0</v>
          </cell>
          <cell r="L11">
            <v>0</v>
          </cell>
          <cell r="M11">
            <v>0</v>
          </cell>
        </row>
        <row r="13">
          <cell r="A13" t="str">
            <v>договор № ___ от ____</v>
          </cell>
          <cell r="B13" t="str">
            <v>тыс.руб.</v>
          </cell>
          <cell r="C13" t="str">
            <v>2</v>
          </cell>
          <cell r="D13" t="str">
            <v>&lt;Наименование работ 2&gt;</v>
          </cell>
          <cell r="J13">
            <v>0</v>
          </cell>
          <cell r="K13">
            <v>0</v>
          </cell>
          <cell r="L13">
            <v>0</v>
          </cell>
          <cell r="M13">
            <v>0</v>
          </cell>
        </row>
        <row r="14">
          <cell r="A14" t="str">
            <v>договор № ___ от ____</v>
          </cell>
          <cell r="B14" t="str">
            <v>тыс.руб.</v>
          </cell>
          <cell r="C14" t="str">
            <v>2</v>
          </cell>
          <cell r="D14" t="str">
            <v>&lt;Наименование работ 2&gt;</v>
          </cell>
          <cell r="J14">
            <v>0</v>
          </cell>
          <cell r="K14">
            <v>0</v>
          </cell>
          <cell r="L14">
            <v>0</v>
          </cell>
          <cell r="M14">
            <v>0</v>
          </cell>
        </row>
        <row r="16">
          <cell r="A16" t="str">
            <v>&lt;Наименование работ 3&gt;</v>
          </cell>
          <cell r="B16" t="str">
            <v>тыс.руб.</v>
          </cell>
          <cell r="C16" t="str">
            <v>1</v>
          </cell>
          <cell r="D16" t="str">
            <v>&lt;Наименование работ 3&gt;</v>
          </cell>
          <cell r="E16">
            <v>0</v>
          </cell>
          <cell r="F16">
            <v>0</v>
          </cell>
          <cell r="G16">
            <v>0</v>
          </cell>
          <cell r="H16">
            <v>0</v>
          </cell>
          <cell r="I16">
            <v>0</v>
          </cell>
          <cell r="J16">
            <v>0</v>
          </cell>
          <cell r="K16">
            <v>0</v>
          </cell>
          <cell r="L16">
            <v>0</v>
          </cell>
          <cell r="M16">
            <v>0</v>
          </cell>
        </row>
        <row r="18">
          <cell r="A18" t="str">
            <v>договор № ___ от ____</v>
          </cell>
          <cell r="B18" t="str">
            <v>тыс.руб.</v>
          </cell>
          <cell r="C18" t="str">
            <v>2</v>
          </cell>
          <cell r="D18" t="str">
            <v>&lt;Наименование работ 3&gt;</v>
          </cell>
          <cell r="J18">
            <v>0</v>
          </cell>
          <cell r="K18">
            <v>0</v>
          </cell>
          <cell r="L18">
            <v>0</v>
          </cell>
          <cell r="M18">
            <v>0</v>
          </cell>
        </row>
        <row r="20">
          <cell r="A20" t="str">
            <v>&lt;Наименование работ&gt;</v>
          </cell>
          <cell r="B20" t="str">
            <v>тыс.руб.</v>
          </cell>
          <cell r="C20" t="str">
            <v>1</v>
          </cell>
          <cell r="D20" t="str">
            <v>&lt;Наименование работ&gt;</v>
          </cell>
          <cell r="E20">
            <v>0</v>
          </cell>
          <cell r="F20">
            <v>0</v>
          </cell>
          <cell r="G20">
            <v>0</v>
          </cell>
          <cell r="H20">
            <v>0</v>
          </cell>
          <cell r="I20">
            <v>0</v>
          </cell>
          <cell r="J20">
            <v>0</v>
          </cell>
          <cell r="K20">
            <v>0</v>
          </cell>
          <cell r="L20">
            <v>0</v>
          </cell>
          <cell r="M20">
            <v>0</v>
          </cell>
        </row>
        <row r="22">
          <cell r="A22" t="str">
            <v>договор № ___ от ____</v>
          </cell>
          <cell r="B22" t="str">
            <v>тыс.руб.</v>
          </cell>
          <cell r="C22" t="str">
            <v>2</v>
          </cell>
          <cell r="D22" t="str">
            <v>&lt;Наименование работ&gt;</v>
          </cell>
          <cell r="J22">
            <v>0</v>
          </cell>
          <cell r="K22">
            <v>0</v>
          </cell>
          <cell r="L22">
            <v>0</v>
          </cell>
          <cell r="M22">
            <v>0</v>
          </cell>
        </row>
        <row r="24">
          <cell r="A24" t="str">
            <v>Прочие расходы на НИОКР</v>
          </cell>
          <cell r="B24" t="str">
            <v>тыс.руб.</v>
          </cell>
          <cell r="C24" t="str">
            <v>1</v>
          </cell>
          <cell r="D24" t="str">
            <v>Прочие расходы на НИОКР</v>
          </cell>
          <cell r="E24">
            <v>0</v>
          </cell>
          <cell r="F24">
            <v>0</v>
          </cell>
          <cell r="G24">
            <v>0</v>
          </cell>
          <cell r="H24">
            <v>0</v>
          </cell>
          <cell r="I24">
            <v>0</v>
          </cell>
          <cell r="J24">
            <v>0</v>
          </cell>
          <cell r="K24">
            <v>0</v>
          </cell>
          <cell r="L24">
            <v>0</v>
          </cell>
          <cell r="M24">
            <v>0</v>
          </cell>
        </row>
        <row r="26">
          <cell r="A26" t="str">
            <v>договор № ___ от ____</v>
          </cell>
          <cell r="B26" t="str">
            <v>тыс.руб.</v>
          </cell>
          <cell r="C26" t="str">
            <v>2</v>
          </cell>
          <cell r="D26" t="str">
            <v>Прочие расходы на НИОКР</v>
          </cell>
          <cell r="J26">
            <v>0</v>
          </cell>
          <cell r="K26">
            <v>0</v>
          </cell>
          <cell r="L26">
            <v>0</v>
          </cell>
          <cell r="M26">
            <v>0</v>
          </cell>
        </row>
        <row r="27">
          <cell r="A27" t="str">
            <v>договор № ___ от ____</v>
          </cell>
          <cell r="B27" t="str">
            <v>тыс.руб.</v>
          </cell>
          <cell r="C27" t="str">
            <v>2</v>
          </cell>
          <cell r="D27" t="str">
            <v>Прочие расходы на НИОКР</v>
          </cell>
          <cell r="J27">
            <v>0</v>
          </cell>
          <cell r="K27">
            <v>0</v>
          </cell>
          <cell r="L27">
            <v>0</v>
          </cell>
          <cell r="M27">
            <v>0</v>
          </cell>
        </row>
        <row r="30">
          <cell r="E30">
            <v>0</v>
          </cell>
          <cell r="F30">
            <v>0</v>
          </cell>
          <cell r="G30">
            <v>0</v>
          </cell>
          <cell r="H30">
            <v>0</v>
          </cell>
          <cell r="J30">
            <v>0</v>
          </cell>
          <cell r="K30">
            <v>0</v>
          </cell>
          <cell r="L30">
            <v>0</v>
          </cell>
          <cell r="M30">
            <v>0</v>
          </cell>
        </row>
      </sheetData>
      <sheetData sheetId="25">
        <row r="6">
          <cell r="G6">
            <v>0</v>
          </cell>
          <cell r="H6">
            <v>0</v>
          </cell>
          <cell r="I6">
            <v>0</v>
          </cell>
          <cell r="J6">
            <v>0</v>
          </cell>
          <cell r="K6">
            <v>0</v>
          </cell>
          <cell r="L6">
            <v>0</v>
          </cell>
          <cell r="M6">
            <v>0</v>
          </cell>
          <cell r="N6">
            <v>0</v>
          </cell>
          <cell r="O6">
            <v>0</v>
          </cell>
        </row>
        <row r="8">
          <cell r="A8" t="str">
            <v>1.1</v>
          </cell>
          <cell r="B8" t="str">
            <v>договор № ___ от ____ (объект 1)</v>
          </cell>
          <cell r="C8" t="str">
            <v>1</v>
          </cell>
          <cell r="D8" t="str">
            <v>договор № ___ от ____ (объект 1)</v>
          </cell>
          <cell r="E8" t="str">
            <v>Всего</v>
          </cell>
          <cell r="F8" t="str">
            <v>тыс.руб.</v>
          </cell>
          <cell r="G8">
            <v>0</v>
          </cell>
          <cell r="H8">
            <v>0</v>
          </cell>
          <cell r="I8">
            <v>0</v>
          </cell>
          <cell r="J8">
            <v>0</v>
          </cell>
          <cell r="K8">
            <v>0</v>
          </cell>
          <cell r="L8">
            <v>0</v>
          </cell>
          <cell r="M8">
            <v>0</v>
          </cell>
          <cell r="N8">
            <v>0</v>
          </cell>
          <cell r="O8">
            <v>0</v>
          </cell>
        </row>
        <row r="9">
          <cell r="B9" t="str">
            <v>арендная плата</v>
          </cell>
          <cell r="C9" t="str">
            <v>2</v>
          </cell>
          <cell r="D9" t="str">
            <v>договор № ___ от ____ (объект 1)</v>
          </cell>
          <cell r="E9" t="str">
            <v>Арендная плата</v>
          </cell>
          <cell r="F9" t="str">
            <v>тыс.руб.</v>
          </cell>
          <cell r="L9">
            <v>0</v>
          </cell>
          <cell r="M9">
            <v>0</v>
          </cell>
          <cell r="N9">
            <v>0</v>
          </cell>
          <cell r="O9">
            <v>0</v>
          </cell>
        </row>
        <row r="10">
          <cell r="B10" t="str">
            <v>амортизация*</v>
          </cell>
          <cell r="C10" t="str">
            <v>3</v>
          </cell>
          <cell r="D10" t="str">
            <v>договор № ___ от ____ (объект 1)</v>
          </cell>
          <cell r="E10" t="str">
            <v>Амортизация</v>
          </cell>
          <cell r="F10" t="str">
            <v>тыс.руб.</v>
          </cell>
          <cell r="L10">
            <v>0</v>
          </cell>
          <cell r="M10">
            <v>0</v>
          </cell>
          <cell r="N10">
            <v>0</v>
          </cell>
          <cell r="O10">
            <v>0</v>
          </cell>
        </row>
        <row r="11">
          <cell r="A11" t="str">
            <v>1.2</v>
          </cell>
          <cell r="B11" t="str">
            <v>договор № ___ от ____ (объект 2)</v>
          </cell>
          <cell r="C11" t="str">
            <v>1</v>
          </cell>
          <cell r="D11" t="str">
            <v>договор № ___ от ____ (объект 2)</v>
          </cell>
          <cell r="E11" t="str">
            <v>Всего</v>
          </cell>
          <cell r="F11" t="str">
            <v>тыс.руб.</v>
          </cell>
          <cell r="G11">
            <v>0</v>
          </cell>
          <cell r="H11">
            <v>0</v>
          </cell>
          <cell r="I11">
            <v>0</v>
          </cell>
          <cell r="J11">
            <v>0</v>
          </cell>
          <cell r="K11">
            <v>0</v>
          </cell>
          <cell r="L11">
            <v>0</v>
          </cell>
          <cell r="M11">
            <v>0</v>
          </cell>
          <cell r="N11">
            <v>0</v>
          </cell>
          <cell r="O11">
            <v>0</v>
          </cell>
        </row>
        <row r="12">
          <cell r="B12" t="str">
            <v>арендная плата</v>
          </cell>
          <cell r="C12" t="str">
            <v>2</v>
          </cell>
          <cell r="D12" t="str">
            <v>договор № ___ от ____ (объект 2)</v>
          </cell>
          <cell r="E12" t="str">
            <v>Арендная плата</v>
          </cell>
          <cell r="F12" t="str">
            <v>тыс.руб.</v>
          </cell>
          <cell r="L12">
            <v>0</v>
          </cell>
          <cell r="M12">
            <v>0</v>
          </cell>
          <cell r="N12">
            <v>0</v>
          </cell>
          <cell r="O12">
            <v>0</v>
          </cell>
        </row>
        <row r="13">
          <cell r="B13" t="str">
            <v>амортизация*</v>
          </cell>
          <cell r="C13" t="str">
            <v>3</v>
          </cell>
          <cell r="D13" t="str">
            <v>договор № ___ от ____ (объект 2)</v>
          </cell>
          <cell r="E13" t="str">
            <v>Амортизация</v>
          </cell>
          <cell r="F13" t="str">
            <v>тыс.руб.</v>
          </cell>
          <cell r="L13">
            <v>0</v>
          </cell>
          <cell r="M13">
            <v>0</v>
          </cell>
          <cell r="N13">
            <v>0</v>
          </cell>
          <cell r="O13">
            <v>0</v>
          </cell>
        </row>
        <row r="14">
          <cell r="A14" t="str">
            <v>1.3</v>
          </cell>
          <cell r="B14" t="str">
            <v>договор № ___ от ____ (объект 3)</v>
          </cell>
          <cell r="C14" t="str">
            <v>1</v>
          </cell>
          <cell r="D14" t="str">
            <v>договор № ___ от ____ (объект 3)</v>
          </cell>
          <cell r="E14" t="str">
            <v>Всего</v>
          </cell>
          <cell r="F14" t="str">
            <v>тыс.руб.</v>
          </cell>
          <cell r="G14">
            <v>0</v>
          </cell>
          <cell r="H14">
            <v>0</v>
          </cell>
          <cell r="I14">
            <v>0</v>
          </cell>
          <cell r="J14">
            <v>0</v>
          </cell>
          <cell r="K14">
            <v>0</v>
          </cell>
          <cell r="L14">
            <v>0</v>
          </cell>
          <cell r="M14">
            <v>0</v>
          </cell>
          <cell r="N14">
            <v>0</v>
          </cell>
          <cell r="O14">
            <v>0</v>
          </cell>
        </row>
        <row r="15">
          <cell r="B15" t="str">
            <v>арендная плата</v>
          </cell>
          <cell r="C15" t="str">
            <v>2</v>
          </cell>
          <cell r="D15" t="str">
            <v>договор № ___ от ____ (объект 3)</v>
          </cell>
          <cell r="E15" t="str">
            <v>Арендная плата</v>
          </cell>
          <cell r="F15" t="str">
            <v>тыс.руб.</v>
          </cell>
          <cell r="L15">
            <v>0</v>
          </cell>
          <cell r="M15">
            <v>0</v>
          </cell>
          <cell r="N15">
            <v>0</v>
          </cell>
          <cell r="O15">
            <v>0</v>
          </cell>
        </row>
        <row r="16">
          <cell r="B16" t="str">
            <v>амортизация*</v>
          </cell>
          <cell r="C16" t="str">
            <v>3</v>
          </cell>
          <cell r="D16" t="str">
            <v>договор № ___ от ____ (объект 3)</v>
          </cell>
          <cell r="E16" t="str">
            <v>Амортизация</v>
          </cell>
          <cell r="F16" t="str">
            <v>тыс.руб.</v>
          </cell>
          <cell r="L16">
            <v>0</v>
          </cell>
          <cell r="M16">
            <v>0</v>
          </cell>
          <cell r="N16">
            <v>0</v>
          </cell>
          <cell r="O16">
            <v>0</v>
          </cell>
        </row>
        <row r="17">
          <cell r="A17" t="str">
            <v>1.4</v>
          </cell>
          <cell r="B17" t="str">
            <v>договор № ___ от ____ (объект 2)</v>
          </cell>
          <cell r="C17" t="str">
            <v>1</v>
          </cell>
          <cell r="D17" t="str">
            <v>договор № ___ от ____ (объект 2)</v>
          </cell>
          <cell r="E17" t="str">
            <v>Всего</v>
          </cell>
          <cell r="F17" t="str">
            <v>тыс.руб.</v>
          </cell>
          <cell r="G17">
            <v>0</v>
          </cell>
          <cell r="H17">
            <v>0</v>
          </cell>
          <cell r="I17">
            <v>0</v>
          </cell>
          <cell r="J17">
            <v>0</v>
          </cell>
          <cell r="K17">
            <v>0</v>
          </cell>
          <cell r="L17">
            <v>0</v>
          </cell>
          <cell r="M17">
            <v>0</v>
          </cell>
          <cell r="N17">
            <v>0</v>
          </cell>
          <cell r="O17">
            <v>0</v>
          </cell>
        </row>
        <row r="18">
          <cell r="B18" t="str">
            <v>арендная плата</v>
          </cell>
          <cell r="C18" t="str">
            <v>2</v>
          </cell>
          <cell r="D18" t="str">
            <v>договор № ___ от ____ (объект 2)</v>
          </cell>
          <cell r="E18" t="str">
            <v>Арендная плата</v>
          </cell>
          <cell r="F18" t="str">
            <v>тыс.руб.</v>
          </cell>
          <cell r="L18">
            <v>0</v>
          </cell>
          <cell r="M18">
            <v>0</v>
          </cell>
          <cell r="N18">
            <v>0</v>
          </cell>
          <cell r="O18">
            <v>0</v>
          </cell>
        </row>
        <row r="19">
          <cell r="B19" t="str">
            <v>амортизация*</v>
          </cell>
          <cell r="C19" t="str">
            <v>3</v>
          </cell>
          <cell r="D19" t="str">
            <v>договор № ___ от ____ (объект 2)</v>
          </cell>
          <cell r="E19" t="str">
            <v>Амортизация</v>
          </cell>
          <cell r="F19" t="str">
            <v>тыс.руб.</v>
          </cell>
          <cell r="L19">
            <v>0</v>
          </cell>
          <cell r="M19">
            <v>0</v>
          </cell>
          <cell r="N19">
            <v>0</v>
          </cell>
          <cell r="O19">
            <v>0</v>
          </cell>
        </row>
        <row r="20">
          <cell r="A20" t="str">
            <v>1.5</v>
          </cell>
          <cell r="B20" t="str">
            <v>договор № ___ от ____ (объект 2)</v>
          </cell>
          <cell r="C20" t="str">
            <v>1</v>
          </cell>
          <cell r="D20" t="str">
            <v>договор № ___ от ____ (объект 2)</v>
          </cell>
          <cell r="E20" t="str">
            <v>Всего</v>
          </cell>
          <cell r="F20" t="str">
            <v>тыс.руб.</v>
          </cell>
          <cell r="G20">
            <v>0</v>
          </cell>
          <cell r="H20">
            <v>0</v>
          </cell>
          <cell r="I20">
            <v>0</v>
          </cell>
          <cell r="J20">
            <v>0</v>
          </cell>
          <cell r="K20">
            <v>0</v>
          </cell>
          <cell r="L20">
            <v>0</v>
          </cell>
          <cell r="M20">
            <v>0</v>
          </cell>
          <cell r="N20">
            <v>0</v>
          </cell>
          <cell r="O20">
            <v>0</v>
          </cell>
        </row>
        <row r="21">
          <cell r="B21" t="str">
            <v>арендная плата</v>
          </cell>
          <cell r="C21" t="str">
            <v>2</v>
          </cell>
          <cell r="D21" t="str">
            <v>договор № ___ от ____ (объект 2)</v>
          </cell>
          <cell r="E21" t="str">
            <v>Арендная плата</v>
          </cell>
          <cell r="F21" t="str">
            <v>тыс.руб.</v>
          </cell>
          <cell r="L21">
            <v>0</v>
          </cell>
          <cell r="M21">
            <v>0</v>
          </cell>
          <cell r="N21">
            <v>0</v>
          </cell>
          <cell r="O21">
            <v>0</v>
          </cell>
        </row>
        <row r="22">
          <cell r="B22" t="str">
            <v>амортизация*</v>
          </cell>
          <cell r="C22" t="str">
            <v>3</v>
          </cell>
          <cell r="D22" t="str">
            <v>договор № ___ от ____ (объект 2)</v>
          </cell>
          <cell r="E22" t="str">
            <v>Амортизация</v>
          </cell>
          <cell r="F22" t="str">
            <v>тыс.руб.</v>
          </cell>
          <cell r="L22">
            <v>0</v>
          </cell>
          <cell r="M22">
            <v>0</v>
          </cell>
          <cell r="N22">
            <v>0</v>
          </cell>
          <cell r="O22">
            <v>0</v>
          </cell>
        </row>
        <row r="23">
          <cell r="A23" t="str">
            <v>1.6</v>
          </cell>
          <cell r="B23" t="str">
            <v>договор № ___ от ____ (объект 2)</v>
          </cell>
          <cell r="C23" t="str">
            <v>1</v>
          </cell>
          <cell r="D23" t="str">
            <v>договор № ___ от ____ (объект 2)</v>
          </cell>
          <cell r="E23" t="str">
            <v>Всего</v>
          </cell>
          <cell r="F23" t="str">
            <v>тыс.руб.</v>
          </cell>
          <cell r="G23">
            <v>0</v>
          </cell>
          <cell r="H23">
            <v>0</v>
          </cell>
          <cell r="I23">
            <v>0</v>
          </cell>
          <cell r="J23">
            <v>0</v>
          </cell>
          <cell r="K23">
            <v>0</v>
          </cell>
          <cell r="L23">
            <v>0</v>
          </cell>
          <cell r="M23">
            <v>0</v>
          </cell>
          <cell r="N23">
            <v>0</v>
          </cell>
          <cell r="O23">
            <v>0</v>
          </cell>
        </row>
        <row r="24">
          <cell r="B24" t="str">
            <v>арендная плата</v>
          </cell>
          <cell r="C24" t="str">
            <v>2</v>
          </cell>
          <cell r="D24" t="str">
            <v>договор № ___ от ____ (объект 2)</v>
          </cell>
          <cell r="E24" t="str">
            <v>Арендная плата</v>
          </cell>
          <cell r="F24" t="str">
            <v>тыс.руб.</v>
          </cell>
          <cell r="L24">
            <v>0</v>
          </cell>
          <cell r="M24">
            <v>0</v>
          </cell>
          <cell r="N24">
            <v>0</v>
          </cell>
          <cell r="O24">
            <v>0</v>
          </cell>
        </row>
        <row r="25">
          <cell r="B25" t="str">
            <v>амортизация*</v>
          </cell>
          <cell r="C25" t="str">
            <v>3</v>
          </cell>
          <cell r="D25" t="str">
            <v>договор № ___ от ____ (объект 2)</v>
          </cell>
          <cell r="E25" t="str">
            <v>Амортизация</v>
          </cell>
          <cell r="F25" t="str">
            <v>тыс.руб.</v>
          </cell>
          <cell r="L25">
            <v>0</v>
          </cell>
          <cell r="M25">
            <v>0</v>
          </cell>
          <cell r="N25">
            <v>0</v>
          </cell>
          <cell r="O25">
            <v>0</v>
          </cell>
        </row>
        <row r="27">
          <cell r="G27">
            <v>0</v>
          </cell>
          <cell r="H27">
            <v>0</v>
          </cell>
          <cell r="I27">
            <v>0</v>
          </cell>
          <cell r="J27">
            <v>0</v>
          </cell>
          <cell r="K27">
            <v>0</v>
          </cell>
          <cell r="L27">
            <v>0</v>
          </cell>
          <cell r="M27">
            <v>0</v>
          </cell>
          <cell r="N27">
            <v>0</v>
          </cell>
          <cell r="O27">
            <v>0</v>
          </cell>
        </row>
        <row r="29">
          <cell r="A29" t="str">
            <v>2.1</v>
          </cell>
          <cell r="B29" t="str">
            <v>договор № ___ от ____ (объект 1)</v>
          </cell>
          <cell r="C29" t="str">
            <v>1</v>
          </cell>
          <cell r="D29" t="str">
            <v>договор № ___ от ____ (объект 1)</v>
          </cell>
          <cell r="E29" t="str">
            <v>Всего</v>
          </cell>
          <cell r="F29" t="str">
            <v>тыс.руб.</v>
          </cell>
          <cell r="G29">
            <v>0</v>
          </cell>
          <cell r="H29">
            <v>0</v>
          </cell>
          <cell r="I29">
            <v>0</v>
          </cell>
          <cell r="J29">
            <v>0</v>
          </cell>
          <cell r="K29">
            <v>0</v>
          </cell>
          <cell r="L29">
            <v>0</v>
          </cell>
          <cell r="M29">
            <v>0</v>
          </cell>
          <cell r="N29">
            <v>0</v>
          </cell>
          <cell r="O29">
            <v>0</v>
          </cell>
        </row>
        <row r="30">
          <cell r="B30" t="str">
            <v>арендная плата</v>
          </cell>
          <cell r="C30" t="str">
            <v>2</v>
          </cell>
          <cell r="D30" t="str">
            <v>договор № ___ от ____ (объект 1)</v>
          </cell>
          <cell r="E30" t="str">
            <v>Арендная плата</v>
          </cell>
          <cell r="F30" t="str">
            <v>тыс.руб.</v>
          </cell>
          <cell r="L30">
            <v>0</v>
          </cell>
          <cell r="M30">
            <v>0</v>
          </cell>
          <cell r="N30">
            <v>0</v>
          </cell>
          <cell r="O30">
            <v>0</v>
          </cell>
        </row>
        <row r="31">
          <cell r="B31" t="str">
            <v>амортизация*</v>
          </cell>
          <cell r="C31" t="str">
            <v>3</v>
          </cell>
          <cell r="D31" t="str">
            <v>договор № ___ от ____ (объект 1)</v>
          </cell>
          <cell r="E31" t="str">
            <v>Амортизация</v>
          </cell>
          <cell r="F31" t="str">
            <v>тыс.руб.</v>
          </cell>
          <cell r="L31">
            <v>0</v>
          </cell>
          <cell r="M31">
            <v>0</v>
          </cell>
          <cell r="N31">
            <v>0</v>
          </cell>
          <cell r="O31">
            <v>0</v>
          </cell>
        </row>
        <row r="32">
          <cell r="A32" t="str">
            <v>2.2</v>
          </cell>
          <cell r="B32" t="str">
            <v>договор № ___ от ____ (объект 2)</v>
          </cell>
          <cell r="C32" t="str">
            <v>1</v>
          </cell>
          <cell r="D32" t="str">
            <v>договор № ___ от ____ (объект 2)</v>
          </cell>
          <cell r="E32" t="str">
            <v>Всего</v>
          </cell>
          <cell r="F32" t="str">
            <v>тыс.руб.</v>
          </cell>
          <cell r="G32">
            <v>0</v>
          </cell>
          <cell r="H32">
            <v>0</v>
          </cell>
          <cell r="I32">
            <v>0</v>
          </cell>
          <cell r="J32">
            <v>0</v>
          </cell>
          <cell r="K32">
            <v>0</v>
          </cell>
          <cell r="L32">
            <v>0</v>
          </cell>
          <cell r="M32">
            <v>0</v>
          </cell>
          <cell r="N32">
            <v>0</v>
          </cell>
          <cell r="O32">
            <v>0</v>
          </cell>
        </row>
        <row r="33">
          <cell r="B33" t="str">
            <v>арендная плата</v>
          </cell>
          <cell r="C33" t="str">
            <v>2</v>
          </cell>
          <cell r="D33" t="str">
            <v>договор № ___ от ____ (объект 2)</v>
          </cell>
          <cell r="E33" t="str">
            <v>Арендная плата</v>
          </cell>
          <cell r="F33" t="str">
            <v>тыс.руб.</v>
          </cell>
          <cell r="L33">
            <v>0</v>
          </cell>
          <cell r="M33">
            <v>0</v>
          </cell>
          <cell r="N33">
            <v>0</v>
          </cell>
          <cell r="O33">
            <v>0</v>
          </cell>
        </row>
        <row r="34">
          <cell r="B34" t="str">
            <v>амортизация*</v>
          </cell>
          <cell r="C34" t="str">
            <v>3</v>
          </cell>
          <cell r="D34" t="str">
            <v>договор № ___ от ____ (объект 2)</v>
          </cell>
          <cell r="E34" t="str">
            <v>Амортизация</v>
          </cell>
          <cell r="F34" t="str">
            <v>тыс.руб.</v>
          </cell>
          <cell r="L34">
            <v>0</v>
          </cell>
          <cell r="M34">
            <v>0</v>
          </cell>
          <cell r="N34">
            <v>0</v>
          </cell>
          <cell r="O34">
            <v>0</v>
          </cell>
        </row>
        <row r="35">
          <cell r="A35" t="str">
            <v>2.3</v>
          </cell>
          <cell r="B35" t="str">
            <v>договор № ___ от ____ (объект 3)</v>
          </cell>
          <cell r="C35" t="str">
            <v>1</v>
          </cell>
          <cell r="D35" t="str">
            <v>договор № ___ от ____ (объект 3)</v>
          </cell>
          <cell r="E35" t="str">
            <v>Всего</v>
          </cell>
          <cell r="F35" t="str">
            <v>тыс.руб.</v>
          </cell>
          <cell r="G35">
            <v>0</v>
          </cell>
          <cell r="H35">
            <v>0</v>
          </cell>
          <cell r="I35">
            <v>0</v>
          </cell>
          <cell r="J35">
            <v>0</v>
          </cell>
          <cell r="K35">
            <v>0</v>
          </cell>
          <cell r="L35">
            <v>0</v>
          </cell>
          <cell r="M35">
            <v>0</v>
          </cell>
          <cell r="N35">
            <v>0</v>
          </cell>
          <cell r="O35">
            <v>0</v>
          </cell>
        </row>
        <row r="36">
          <cell r="B36" t="str">
            <v>арендная плата</v>
          </cell>
          <cell r="C36" t="str">
            <v>2</v>
          </cell>
          <cell r="D36" t="str">
            <v>договор № ___ от ____ (объект 3)</v>
          </cell>
          <cell r="E36" t="str">
            <v>Арендная плата</v>
          </cell>
          <cell r="F36" t="str">
            <v>тыс.руб.</v>
          </cell>
          <cell r="L36">
            <v>0</v>
          </cell>
          <cell r="M36">
            <v>0</v>
          </cell>
          <cell r="N36">
            <v>0</v>
          </cell>
          <cell r="O36">
            <v>0</v>
          </cell>
        </row>
        <row r="37">
          <cell r="B37" t="str">
            <v>амортизация*</v>
          </cell>
          <cell r="C37" t="str">
            <v>3</v>
          </cell>
          <cell r="D37" t="str">
            <v>договор № ___ от ____ (объект 3)</v>
          </cell>
          <cell r="E37" t="str">
            <v>Амортизация</v>
          </cell>
          <cell r="F37" t="str">
            <v>тыс.руб.</v>
          </cell>
          <cell r="L37">
            <v>0</v>
          </cell>
          <cell r="M37">
            <v>0</v>
          </cell>
          <cell r="N37">
            <v>0</v>
          </cell>
          <cell r="O37">
            <v>0</v>
          </cell>
        </row>
        <row r="38">
          <cell r="A38" t="str">
            <v>2.4</v>
          </cell>
          <cell r="B38" t="str">
            <v>договор № ___ от ____ (объект 2)</v>
          </cell>
          <cell r="C38" t="str">
            <v>1</v>
          </cell>
          <cell r="D38" t="str">
            <v>договор № ___ от ____ (объект 2)</v>
          </cell>
          <cell r="E38" t="str">
            <v>Всего</v>
          </cell>
          <cell r="F38" t="str">
            <v>тыс.руб.</v>
          </cell>
          <cell r="G38">
            <v>0</v>
          </cell>
          <cell r="H38">
            <v>0</v>
          </cell>
          <cell r="I38">
            <v>0</v>
          </cell>
          <cell r="J38">
            <v>0</v>
          </cell>
          <cell r="K38">
            <v>0</v>
          </cell>
          <cell r="L38">
            <v>0</v>
          </cell>
          <cell r="M38">
            <v>0</v>
          </cell>
          <cell r="N38">
            <v>0</v>
          </cell>
          <cell r="O38">
            <v>0</v>
          </cell>
        </row>
        <row r="39">
          <cell r="B39" t="str">
            <v>арендная плата</v>
          </cell>
          <cell r="C39" t="str">
            <v>2</v>
          </cell>
          <cell r="D39" t="str">
            <v>договор № ___ от ____ (объект 2)</v>
          </cell>
          <cell r="E39" t="str">
            <v>Арендная плата</v>
          </cell>
          <cell r="F39" t="str">
            <v>тыс.руб.</v>
          </cell>
          <cell r="L39">
            <v>0</v>
          </cell>
          <cell r="M39">
            <v>0</v>
          </cell>
          <cell r="N39">
            <v>0</v>
          </cell>
          <cell r="O39">
            <v>0</v>
          </cell>
        </row>
        <row r="40">
          <cell r="B40" t="str">
            <v>амортизация*</v>
          </cell>
          <cell r="C40" t="str">
            <v>3</v>
          </cell>
          <cell r="D40" t="str">
            <v>договор № ___ от ____ (объект 2)</v>
          </cell>
          <cell r="E40" t="str">
            <v>Амортизация</v>
          </cell>
          <cell r="F40" t="str">
            <v>тыс.руб.</v>
          </cell>
          <cell r="L40">
            <v>0</v>
          </cell>
          <cell r="M40">
            <v>0</v>
          </cell>
          <cell r="N40">
            <v>0</v>
          </cell>
          <cell r="O40">
            <v>0</v>
          </cell>
        </row>
        <row r="42">
          <cell r="G42">
            <v>0</v>
          </cell>
          <cell r="H42">
            <v>0</v>
          </cell>
          <cell r="I42">
            <v>0</v>
          </cell>
          <cell r="J42">
            <v>0</v>
          </cell>
          <cell r="K42">
            <v>0</v>
          </cell>
          <cell r="L42">
            <v>0</v>
          </cell>
          <cell r="M42">
            <v>0</v>
          </cell>
          <cell r="N42">
            <v>0</v>
          </cell>
          <cell r="O42">
            <v>0</v>
          </cell>
        </row>
      </sheetData>
      <sheetData sheetId="26">
        <row r="6">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1">
          <cell r="I11">
            <v>0</v>
          </cell>
          <cell r="J11">
            <v>0</v>
          </cell>
          <cell r="K11">
            <v>0</v>
          </cell>
          <cell r="L11">
            <v>0</v>
          </cell>
        </row>
        <row r="12">
          <cell r="I12">
            <v>0</v>
          </cell>
          <cell r="J12">
            <v>0</v>
          </cell>
          <cell r="K12">
            <v>0</v>
          </cell>
          <cell r="L12">
            <v>0</v>
          </cell>
        </row>
        <row r="13">
          <cell r="I13">
            <v>0</v>
          </cell>
          <cell r="J13">
            <v>0</v>
          </cell>
          <cell r="K13">
            <v>0</v>
          </cell>
          <cell r="L13">
            <v>0</v>
          </cell>
        </row>
        <row r="14">
          <cell r="I14">
            <v>0</v>
          </cell>
          <cell r="J14">
            <v>0</v>
          </cell>
          <cell r="K14">
            <v>0</v>
          </cell>
          <cell r="L14">
            <v>0</v>
          </cell>
        </row>
        <row r="16">
          <cell r="I16">
            <v>0</v>
          </cell>
          <cell r="J16">
            <v>0</v>
          </cell>
          <cell r="K16">
            <v>0</v>
          </cell>
          <cell r="L16">
            <v>0</v>
          </cell>
        </row>
        <row r="17">
          <cell r="I17">
            <v>0</v>
          </cell>
          <cell r="J17">
            <v>0</v>
          </cell>
          <cell r="K17">
            <v>0</v>
          </cell>
          <cell r="L17">
            <v>0</v>
          </cell>
        </row>
        <row r="18">
          <cell r="D18">
            <v>0</v>
          </cell>
          <cell r="E18">
            <v>0</v>
          </cell>
          <cell r="F18">
            <v>0</v>
          </cell>
          <cell r="G18">
            <v>0</v>
          </cell>
          <cell r="H18">
            <v>0</v>
          </cell>
          <cell r="I18">
            <v>0</v>
          </cell>
          <cell r="J18">
            <v>0</v>
          </cell>
          <cell r="K18">
            <v>0</v>
          </cell>
          <cell r="L18">
            <v>0</v>
          </cell>
        </row>
      </sheetData>
      <sheetData sheetId="27">
        <row r="6">
          <cell r="A6" t="str">
            <v>&lt;Статья затрат 1&gt;</v>
          </cell>
          <cell r="B6" t="str">
            <v>тыс.руб.</v>
          </cell>
          <cell r="C6" t="str">
            <v>1</v>
          </cell>
          <cell r="D6" t="str">
            <v>&lt;Статья затрат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&lt;Статья затрат 1&gt;</v>
          </cell>
          <cell r="J8">
            <v>0</v>
          </cell>
          <cell r="K8">
            <v>0</v>
          </cell>
          <cell r="L8">
            <v>0</v>
          </cell>
          <cell r="M8">
            <v>0</v>
          </cell>
        </row>
        <row r="9">
          <cell r="A9" t="str">
            <v>договор № ___ от ____</v>
          </cell>
          <cell r="B9" t="str">
            <v>тыс.руб.</v>
          </cell>
          <cell r="C9" t="str">
            <v>2</v>
          </cell>
          <cell r="D9" t="str">
            <v>&lt;Статья затрат 1&gt;</v>
          </cell>
          <cell r="J9">
            <v>0</v>
          </cell>
          <cell r="K9">
            <v>0</v>
          </cell>
          <cell r="L9">
            <v>0</v>
          </cell>
          <cell r="M9">
            <v>0</v>
          </cell>
        </row>
        <row r="11">
          <cell r="A11" t="str">
            <v>&lt;Статья затрат 2&gt;</v>
          </cell>
          <cell r="B11" t="str">
            <v>тыс.руб.</v>
          </cell>
          <cell r="C11" t="str">
            <v>1</v>
          </cell>
          <cell r="D11" t="str">
            <v>&lt;Статья затрат 2&gt;</v>
          </cell>
          <cell r="E11">
            <v>0</v>
          </cell>
          <cell r="F11">
            <v>0</v>
          </cell>
          <cell r="G11">
            <v>0</v>
          </cell>
          <cell r="H11">
            <v>0</v>
          </cell>
          <cell r="I11">
            <v>0</v>
          </cell>
          <cell r="J11">
            <v>0</v>
          </cell>
          <cell r="K11">
            <v>0</v>
          </cell>
          <cell r="L11">
            <v>0</v>
          </cell>
          <cell r="M11">
            <v>0</v>
          </cell>
        </row>
        <row r="13">
          <cell r="A13" t="str">
            <v>договор № ___ от ____</v>
          </cell>
          <cell r="B13" t="str">
            <v>тыс.руб.</v>
          </cell>
          <cell r="C13" t="str">
            <v>2</v>
          </cell>
          <cell r="D13" t="str">
            <v>&lt;Статья затрат 2&gt;</v>
          </cell>
          <cell r="J13">
            <v>0</v>
          </cell>
          <cell r="K13">
            <v>0</v>
          </cell>
          <cell r="L13">
            <v>0</v>
          </cell>
          <cell r="M13">
            <v>0</v>
          </cell>
        </row>
        <row r="14">
          <cell r="A14" t="str">
            <v>договор № ___ от ____</v>
          </cell>
          <cell r="B14" t="str">
            <v>тыс.руб.</v>
          </cell>
          <cell r="C14" t="str">
            <v>2</v>
          </cell>
          <cell r="D14" t="str">
            <v>&lt;Статья затрат 2&gt;</v>
          </cell>
          <cell r="J14">
            <v>0</v>
          </cell>
          <cell r="K14">
            <v>0</v>
          </cell>
          <cell r="L14">
            <v>0</v>
          </cell>
          <cell r="M14">
            <v>0</v>
          </cell>
        </row>
        <row r="16">
          <cell r="A16" t="str">
            <v>&lt;Статья затрат&gt;</v>
          </cell>
          <cell r="B16" t="str">
            <v>тыс.руб.</v>
          </cell>
          <cell r="C16" t="str">
            <v>1</v>
          </cell>
          <cell r="D16" t="str">
            <v>&lt;Статья затрат&gt;</v>
          </cell>
          <cell r="E16">
            <v>0</v>
          </cell>
          <cell r="F16">
            <v>0</v>
          </cell>
          <cell r="G16">
            <v>0</v>
          </cell>
          <cell r="H16">
            <v>0</v>
          </cell>
          <cell r="I16">
            <v>0</v>
          </cell>
          <cell r="J16">
            <v>0</v>
          </cell>
          <cell r="K16">
            <v>0</v>
          </cell>
          <cell r="L16">
            <v>0</v>
          </cell>
          <cell r="M16">
            <v>0</v>
          </cell>
        </row>
        <row r="18">
          <cell r="A18" t="str">
            <v>договор № ___ от ____</v>
          </cell>
          <cell r="B18" t="str">
            <v>тыс.руб.</v>
          </cell>
          <cell r="C18" t="str">
            <v>2</v>
          </cell>
          <cell r="D18" t="str">
            <v>&lt;Статья затрат&gt;</v>
          </cell>
          <cell r="J18">
            <v>0</v>
          </cell>
          <cell r="K18">
            <v>0</v>
          </cell>
          <cell r="L18">
            <v>0</v>
          </cell>
          <cell r="M18">
            <v>0</v>
          </cell>
        </row>
        <row r="20">
          <cell r="A20" t="str">
            <v>Иные прочие расходы</v>
          </cell>
          <cell r="B20" t="str">
            <v>тыс.руб.</v>
          </cell>
          <cell r="C20" t="str">
            <v>1</v>
          </cell>
          <cell r="D20" t="str">
            <v>Иные прочие расходы</v>
          </cell>
          <cell r="E20">
            <v>0</v>
          </cell>
          <cell r="F20">
            <v>0</v>
          </cell>
          <cell r="G20">
            <v>0</v>
          </cell>
          <cell r="H20">
            <v>0</v>
          </cell>
          <cell r="I20">
            <v>0</v>
          </cell>
          <cell r="J20">
            <v>0</v>
          </cell>
          <cell r="K20">
            <v>0</v>
          </cell>
          <cell r="L20">
            <v>0</v>
          </cell>
          <cell r="M20">
            <v>0</v>
          </cell>
        </row>
        <row r="22">
          <cell r="A22" t="str">
            <v>договор № ___ от ____</v>
          </cell>
          <cell r="B22" t="str">
            <v>тыс.руб.</v>
          </cell>
          <cell r="C22" t="str">
            <v>2</v>
          </cell>
          <cell r="D22" t="str">
            <v>Иные прочие расходы</v>
          </cell>
          <cell r="J22">
            <v>0</v>
          </cell>
          <cell r="K22">
            <v>0</v>
          </cell>
          <cell r="L22">
            <v>0</v>
          </cell>
          <cell r="M22">
            <v>0</v>
          </cell>
        </row>
        <row r="23">
          <cell r="A23" t="str">
            <v>договор № ___ от ____</v>
          </cell>
          <cell r="B23" t="str">
            <v>тыс.руб.</v>
          </cell>
          <cell r="C23" t="str">
            <v>2</v>
          </cell>
          <cell r="D23" t="str">
            <v>Иные прочие расходы</v>
          </cell>
          <cell r="J23">
            <v>0</v>
          </cell>
          <cell r="K23">
            <v>0</v>
          </cell>
          <cell r="L23">
            <v>0</v>
          </cell>
          <cell r="M23">
            <v>0</v>
          </cell>
        </row>
        <row r="26">
          <cell r="E26">
            <v>0</v>
          </cell>
          <cell r="F26">
            <v>0</v>
          </cell>
          <cell r="G26">
            <v>0</v>
          </cell>
          <cell r="H26">
            <v>0</v>
          </cell>
          <cell r="J26">
            <v>0</v>
          </cell>
          <cell r="K26">
            <v>0</v>
          </cell>
          <cell r="L26">
            <v>0</v>
          </cell>
          <cell r="M26">
            <v>0</v>
          </cell>
        </row>
      </sheetData>
      <sheetData sheetId="28">
        <row r="6">
          <cell r="D6">
            <v>0</v>
          </cell>
          <cell r="E6">
            <v>0</v>
          </cell>
          <cell r="F6">
            <v>0</v>
          </cell>
          <cell r="G6">
            <v>0</v>
          </cell>
          <cell r="H6">
            <v>0</v>
          </cell>
          <cell r="I6">
            <v>0</v>
          </cell>
          <cell r="J6">
            <v>0</v>
          </cell>
          <cell r="K6">
            <v>0</v>
          </cell>
          <cell r="L6">
            <v>0</v>
          </cell>
        </row>
        <row r="7">
          <cell r="I7">
            <v>0</v>
          </cell>
          <cell r="J7">
            <v>0</v>
          </cell>
          <cell r="K7">
            <v>0</v>
          </cell>
          <cell r="L7">
            <v>0</v>
          </cell>
        </row>
        <row r="9">
          <cell r="I9">
            <v>0</v>
          </cell>
          <cell r="J9">
            <v>0</v>
          </cell>
          <cell r="K9">
            <v>0</v>
          </cell>
          <cell r="L9">
            <v>0</v>
          </cell>
        </row>
        <row r="11">
          <cell r="I11">
            <v>0</v>
          </cell>
          <cell r="J11">
            <v>0</v>
          </cell>
          <cell r="K11">
            <v>0</v>
          </cell>
          <cell r="L11">
            <v>0</v>
          </cell>
        </row>
        <row r="12">
          <cell r="I12">
            <v>0</v>
          </cell>
          <cell r="J12">
            <v>0</v>
          </cell>
          <cell r="K12">
            <v>0</v>
          </cell>
          <cell r="L12">
            <v>0</v>
          </cell>
        </row>
        <row r="13">
          <cell r="I13">
            <v>0</v>
          </cell>
          <cell r="J13">
            <v>0</v>
          </cell>
          <cell r="K13">
            <v>0</v>
          </cell>
          <cell r="L13">
            <v>0</v>
          </cell>
        </row>
      </sheetData>
      <sheetData sheetId="29">
        <row r="6">
          <cell r="D6">
            <v>0</v>
          </cell>
          <cell r="E6">
            <v>0</v>
          </cell>
          <cell r="F6">
            <v>0</v>
          </cell>
          <cell r="G6">
            <v>0</v>
          </cell>
          <cell r="H6">
            <v>0</v>
          </cell>
          <cell r="I6">
            <v>0</v>
          </cell>
          <cell r="J6">
            <v>0</v>
          </cell>
          <cell r="K6">
            <v>0</v>
          </cell>
          <cell r="L6">
            <v>0</v>
          </cell>
        </row>
        <row r="8">
          <cell r="B8" t="str">
            <v>договор № ___ от ____</v>
          </cell>
          <cell r="I8">
            <v>0</v>
          </cell>
          <cell r="J8">
            <v>0</v>
          </cell>
          <cell r="K8">
            <v>0</v>
          </cell>
          <cell r="L8">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1">
          <cell r="B11" t="str">
            <v>договор № ___ от ____</v>
          </cell>
          <cell r="I11">
            <v>0</v>
          </cell>
          <cell r="J11">
            <v>0</v>
          </cell>
          <cell r="K11">
            <v>0</v>
          </cell>
          <cell r="L11">
            <v>0</v>
          </cell>
        </row>
        <row r="12">
          <cell r="B12" t="str">
            <v>договор № ___ от ____</v>
          </cell>
          <cell r="I12">
            <v>0</v>
          </cell>
          <cell r="J12">
            <v>0</v>
          </cell>
          <cell r="K12">
            <v>0</v>
          </cell>
          <cell r="L12">
            <v>0</v>
          </cell>
        </row>
        <row r="13">
          <cell r="B13" t="str">
            <v>договор № ___ от ____</v>
          </cell>
          <cell r="I13">
            <v>0</v>
          </cell>
          <cell r="J13">
            <v>0</v>
          </cell>
          <cell r="K13">
            <v>0</v>
          </cell>
          <cell r="L13">
            <v>0</v>
          </cell>
        </row>
        <row r="14">
          <cell r="B14" t="str">
            <v>договор № ___ от ____</v>
          </cell>
          <cell r="I14">
            <v>0</v>
          </cell>
          <cell r="J14">
            <v>0</v>
          </cell>
          <cell r="K14">
            <v>0</v>
          </cell>
          <cell r="L14">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7">
          <cell r="B17" t="str">
            <v>договор № ___ от ____</v>
          </cell>
          <cell r="I17">
            <v>0</v>
          </cell>
          <cell r="J17">
            <v>0</v>
          </cell>
          <cell r="K17">
            <v>0</v>
          </cell>
          <cell r="L17">
            <v>0</v>
          </cell>
        </row>
        <row r="18">
          <cell r="B18" t="str">
            <v>договор № ___ от ____</v>
          </cell>
          <cell r="I18">
            <v>0</v>
          </cell>
          <cell r="J18">
            <v>0</v>
          </cell>
          <cell r="K18">
            <v>0</v>
          </cell>
          <cell r="L18">
            <v>0</v>
          </cell>
        </row>
        <row r="20">
          <cell r="I20">
            <v>0</v>
          </cell>
          <cell r="J20">
            <v>0</v>
          </cell>
          <cell r="K20">
            <v>0</v>
          </cell>
          <cell r="L20">
            <v>0</v>
          </cell>
        </row>
        <row r="21">
          <cell r="I21">
            <v>0</v>
          </cell>
          <cell r="J21">
            <v>0</v>
          </cell>
          <cell r="K21">
            <v>0</v>
          </cell>
          <cell r="L21">
            <v>0</v>
          </cell>
        </row>
        <row r="22">
          <cell r="I22">
            <v>0</v>
          </cell>
          <cell r="J22">
            <v>0</v>
          </cell>
          <cell r="K22">
            <v>0</v>
          </cell>
          <cell r="L22">
            <v>0</v>
          </cell>
        </row>
        <row r="23">
          <cell r="I23">
            <v>0</v>
          </cell>
          <cell r="J23">
            <v>0</v>
          </cell>
          <cell r="K23">
            <v>0</v>
          </cell>
          <cell r="L23">
            <v>0</v>
          </cell>
        </row>
        <row r="24">
          <cell r="I24">
            <v>0</v>
          </cell>
          <cell r="J24">
            <v>0</v>
          </cell>
          <cell r="K24">
            <v>0</v>
          </cell>
          <cell r="L24">
            <v>0</v>
          </cell>
        </row>
        <row r="25">
          <cell r="D25">
            <v>0</v>
          </cell>
          <cell r="E25">
            <v>0</v>
          </cell>
          <cell r="F25">
            <v>0</v>
          </cell>
          <cell r="G25">
            <v>0</v>
          </cell>
          <cell r="H25">
            <v>0</v>
          </cell>
          <cell r="I25">
            <v>0</v>
          </cell>
          <cell r="J25">
            <v>0</v>
          </cell>
          <cell r="K25">
            <v>0</v>
          </cell>
          <cell r="L25">
            <v>0</v>
          </cell>
        </row>
        <row r="27">
          <cell r="B27" t="str">
            <v>договор № ___ от ____</v>
          </cell>
          <cell r="I27">
            <v>0</v>
          </cell>
          <cell r="J27">
            <v>0</v>
          </cell>
          <cell r="K27">
            <v>0</v>
          </cell>
          <cell r="L27">
            <v>0</v>
          </cell>
        </row>
        <row r="28">
          <cell r="B28" t="str">
            <v>договор № ___ от ____</v>
          </cell>
          <cell r="I28">
            <v>0</v>
          </cell>
          <cell r="J28">
            <v>0</v>
          </cell>
          <cell r="K28">
            <v>0</v>
          </cell>
          <cell r="L28">
            <v>0</v>
          </cell>
        </row>
        <row r="29">
          <cell r="B29" t="str">
            <v>договор № ___ от ____</v>
          </cell>
          <cell r="I29">
            <v>0</v>
          </cell>
          <cell r="J29">
            <v>0</v>
          </cell>
          <cell r="K29">
            <v>0</v>
          </cell>
          <cell r="L29">
            <v>0</v>
          </cell>
        </row>
        <row r="30">
          <cell r="B30" t="str">
            <v>договор № ___ от ____</v>
          </cell>
          <cell r="I30">
            <v>0</v>
          </cell>
          <cell r="J30">
            <v>0</v>
          </cell>
          <cell r="K30">
            <v>0</v>
          </cell>
          <cell r="L30">
            <v>0</v>
          </cell>
        </row>
        <row r="31">
          <cell r="B31" t="str">
            <v>договор № ___ от ____</v>
          </cell>
          <cell r="I31">
            <v>0</v>
          </cell>
          <cell r="J31">
            <v>0</v>
          </cell>
          <cell r="K31">
            <v>0</v>
          </cell>
          <cell r="L31">
            <v>0</v>
          </cell>
        </row>
        <row r="32">
          <cell r="B32" t="str">
            <v>договор № ___ от ____</v>
          </cell>
          <cell r="I32">
            <v>0</v>
          </cell>
          <cell r="J32">
            <v>0</v>
          </cell>
          <cell r="K32">
            <v>0</v>
          </cell>
          <cell r="L32">
            <v>0</v>
          </cell>
        </row>
        <row r="33">
          <cell r="B33" t="str">
            <v>договор № ___ от ____</v>
          </cell>
          <cell r="I33">
            <v>0</v>
          </cell>
          <cell r="J33">
            <v>0</v>
          </cell>
          <cell r="K33">
            <v>0</v>
          </cell>
          <cell r="L33">
            <v>0</v>
          </cell>
        </row>
        <row r="34">
          <cell r="B34" t="str">
            <v>договор № ___ от ____</v>
          </cell>
          <cell r="I34">
            <v>0</v>
          </cell>
          <cell r="J34">
            <v>0</v>
          </cell>
          <cell r="K34">
            <v>0</v>
          </cell>
          <cell r="L34">
            <v>0</v>
          </cell>
        </row>
        <row r="35">
          <cell r="B35" t="str">
            <v>договор № ___ от ____</v>
          </cell>
          <cell r="I35">
            <v>0</v>
          </cell>
          <cell r="J35">
            <v>0</v>
          </cell>
          <cell r="K35">
            <v>0</v>
          </cell>
          <cell r="L35">
            <v>0</v>
          </cell>
        </row>
        <row r="36">
          <cell r="B36" t="str">
            <v>договор № ___ от ____</v>
          </cell>
          <cell r="I36">
            <v>0</v>
          </cell>
          <cell r="J36">
            <v>0</v>
          </cell>
          <cell r="K36">
            <v>0</v>
          </cell>
          <cell r="L36">
            <v>0</v>
          </cell>
        </row>
        <row r="37">
          <cell r="B37" t="str">
            <v>договор № ___ от ____</v>
          </cell>
          <cell r="I37">
            <v>0</v>
          </cell>
          <cell r="J37">
            <v>0</v>
          </cell>
          <cell r="K37">
            <v>0</v>
          </cell>
          <cell r="L37">
            <v>0</v>
          </cell>
        </row>
        <row r="39">
          <cell r="D39">
            <v>0</v>
          </cell>
          <cell r="E39">
            <v>0</v>
          </cell>
          <cell r="F39">
            <v>0</v>
          </cell>
          <cell r="G39">
            <v>0</v>
          </cell>
          <cell r="H39">
            <v>0</v>
          </cell>
          <cell r="I39">
            <v>0</v>
          </cell>
          <cell r="J39">
            <v>0</v>
          </cell>
          <cell r="K39">
            <v>0</v>
          </cell>
          <cell r="L39">
            <v>0</v>
          </cell>
        </row>
      </sheetData>
      <sheetData sheetId="30">
        <row r="5">
          <cell r="E5" t="str">
            <v>Сумма кредита</v>
          </cell>
          <cell r="J5" t="str">
            <v>величина процентов</v>
          </cell>
        </row>
        <row r="6">
          <cell r="J6">
            <v>0</v>
          </cell>
        </row>
        <row r="7">
          <cell r="J7">
            <v>0</v>
          </cell>
        </row>
        <row r="8">
          <cell r="J8">
            <v>0</v>
          </cell>
        </row>
        <row r="9">
          <cell r="J9">
            <v>0</v>
          </cell>
        </row>
        <row r="10">
          <cell r="J10">
            <v>0</v>
          </cell>
        </row>
        <row r="11">
          <cell r="J11">
            <v>0</v>
          </cell>
        </row>
        <row r="12">
          <cell r="J12">
            <v>0</v>
          </cell>
        </row>
        <row r="13">
          <cell r="J13">
            <v>0</v>
          </cell>
        </row>
        <row r="14">
          <cell r="J14">
            <v>0</v>
          </cell>
        </row>
        <row r="15">
          <cell r="J15">
            <v>0</v>
          </cell>
        </row>
        <row r="16">
          <cell r="J16">
            <v>0</v>
          </cell>
        </row>
        <row r="17">
          <cell r="J17">
            <v>0</v>
          </cell>
        </row>
        <row r="18">
          <cell r="J18">
            <v>0</v>
          </cell>
        </row>
        <row r="19">
          <cell r="J19">
            <v>0</v>
          </cell>
        </row>
        <row r="20">
          <cell r="J20">
            <v>0</v>
          </cell>
        </row>
        <row r="21">
          <cell r="H21">
            <v>0</v>
          </cell>
          <cell r="J21">
            <v>0</v>
          </cell>
        </row>
        <row r="23">
          <cell r="E23">
            <v>0</v>
          </cell>
          <cell r="H23">
            <v>0</v>
          </cell>
          <cell r="I23">
            <v>0</v>
          </cell>
          <cell r="J23">
            <v>0</v>
          </cell>
        </row>
        <row r="26">
          <cell r="J26" t="str">
            <v>тыс. руб.</v>
          </cell>
        </row>
        <row r="27">
          <cell r="E27" t="str">
            <v>Сумма кредита</v>
          </cell>
          <cell r="J27" t="str">
            <v>величина процентов</v>
          </cell>
        </row>
        <row r="28">
          <cell r="J28">
            <v>0</v>
          </cell>
        </row>
        <row r="29">
          <cell r="J29">
            <v>0</v>
          </cell>
        </row>
        <row r="30">
          <cell r="J30">
            <v>0</v>
          </cell>
        </row>
        <row r="31">
          <cell r="J31">
            <v>0</v>
          </cell>
        </row>
        <row r="32">
          <cell r="J32">
            <v>0</v>
          </cell>
        </row>
        <row r="33">
          <cell r="J33">
            <v>0</v>
          </cell>
        </row>
        <row r="34">
          <cell r="J34">
            <v>0</v>
          </cell>
        </row>
        <row r="35">
          <cell r="J35">
            <v>0</v>
          </cell>
        </row>
        <row r="36">
          <cell r="J36">
            <v>0</v>
          </cell>
        </row>
        <row r="37">
          <cell r="J37">
            <v>0</v>
          </cell>
        </row>
        <row r="38">
          <cell r="J38">
            <v>0</v>
          </cell>
        </row>
        <row r="39">
          <cell r="J39">
            <v>0</v>
          </cell>
        </row>
        <row r="40">
          <cell r="J40">
            <v>0</v>
          </cell>
        </row>
        <row r="41">
          <cell r="J41">
            <v>0</v>
          </cell>
        </row>
        <row r="42">
          <cell r="H42">
            <v>0</v>
          </cell>
          <cell r="J42">
            <v>0</v>
          </cell>
        </row>
        <row r="44">
          <cell r="E44">
            <v>0</v>
          </cell>
          <cell r="H44">
            <v>0</v>
          </cell>
          <cell r="I44">
            <v>0</v>
          </cell>
          <cell r="J44">
            <v>0</v>
          </cell>
        </row>
      </sheetData>
      <sheetData sheetId="31">
        <row r="7">
          <cell r="A7" t="str">
            <v>1.</v>
          </cell>
          <cell r="B7" t="str">
            <v>&lt;Статья расходов 1&gt;</v>
          </cell>
          <cell r="C7" t="str">
            <v>1</v>
          </cell>
          <cell r="D7" t="str">
            <v>&lt;Статья расходов 1&gt;</v>
          </cell>
          <cell r="F7" t="str">
            <v>тыс.руб.</v>
          </cell>
          <cell r="G7">
            <v>0</v>
          </cell>
          <cell r="H7">
            <v>0</v>
          </cell>
          <cell r="I7">
            <v>0</v>
          </cell>
          <cell r="J7">
            <v>0</v>
          </cell>
          <cell r="K7">
            <v>0</v>
          </cell>
          <cell r="L7">
            <v>0</v>
          </cell>
          <cell r="M7">
            <v>0</v>
          </cell>
          <cell r="N7">
            <v>0</v>
          </cell>
          <cell r="O7">
            <v>0</v>
          </cell>
        </row>
        <row r="9">
          <cell r="B9" t="str">
            <v>договор № ___ от ____</v>
          </cell>
          <cell r="C9" t="str">
            <v>1.1</v>
          </cell>
          <cell r="D9" t="str">
            <v>&lt;Статья расходов 1&gt;</v>
          </cell>
          <cell r="E9" t="str">
            <v>договор № ___ от ____</v>
          </cell>
          <cell r="F9" t="str">
            <v xml:space="preserve">тыс. руб. </v>
          </cell>
          <cell r="L9">
            <v>0</v>
          </cell>
          <cell r="M9">
            <v>0</v>
          </cell>
          <cell r="N9">
            <v>0</v>
          </cell>
          <cell r="O9">
            <v>0</v>
          </cell>
        </row>
        <row r="10">
          <cell r="B10" t="str">
            <v>договор № ___ от ____</v>
          </cell>
          <cell r="C10" t="str">
            <v>1.1</v>
          </cell>
          <cell r="D10" t="str">
            <v>&lt;Статья расходов 1&gt;</v>
          </cell>
          <cell r="E10" t="str">
            <v>договор № ___ от ____</v>
          </cell>
          <cell r="F10" t="str">
            <v xml:space="preserve">тыс. руб. </v>
          </cell>
          <cell r="L10">
            <v>0</v>
          </cell>
          <cell r="M10">
            <v>0</v>
          </cell>
          <cell r="N10">
            <v>0</v>
          </cell>
          <cell r="O10">
            <v>0</v>
          </cell>
        </row>
        <row r="12">
          <cell r="A12" t="str">
            <v xml:space="preserve"> - </v>
          </cell>
          <cell r="B12" t="str">
            <v>&lt;Статья расходов 2&gt;</v>
          </cell>
          <cell r="C12" t="str">
            <v>1</v>
          </cell>
          <cell r="D12" t="str">
            <v>&lt;Статья расходов 2&gt;</v>
          </cell>
          <cell r="F12" t="str">
            <v xml:space="preserve">тыс. руб. </v>
          </cell>
          <cell r="G12">
            <v>0</v>
          </cell>
          <cell r="H12">
            <v>0</v>
          </cell>
          <cell r="I12">
            <v>0</v>
          </cell>
          <cell r="J12">
            <v>0</v>
          </cell>
          <cell r="K12">
            <v>0</v>
          </cell>
          <cell r="L12">
            <v>0</v>
          </cell>
          <cell r="M12">
            <v>0</v>
          </cell>
          <cell r="N12">
            <v>0</v>
          </cell>
          <cell r="O12">
            <v>0</v>
          </cell>
        </row>
        <row r="14">
          <cell r="B14" t="str">
            <v>договор № ___ от ____</v>
          </cell>
          <cell r="C14" t="str">
            <v>1.1</v>
          </cell>
          <cell r="D14" t="str">
            <v>&lt;Статья расходов 2&gt;</v>
          </cell>
          <cell r="E14" t="str">
            <v>договор № ___ от ____</v>
          </cell>
          <cell r="F14" t="str">
            <v xml:space="preserve">тыс. руб. </v>
          </cell>
          <cell r="L14">
            <v>0</v>
          </cell>
          <cell r="M14">
            <v>0</v>
          </cell>
          <cell r="N14">
            <v>0</v>
          </cell>
          <cell r="O14">
            <v>0</v>
          </cell>
        </row>
        <row r="15">
          <cell r="B15" t="str">
            <v>договор № ___ от ____</v>
          </cell>
          <cell r="C15" t="str">
            <v>1.1</v>
          </cell>
          <cell r="D15" t="str">
            <v>&lt;Статья расходов 2&gt;</v>
          </cell>
          <cell r="E15" t="str">
            <v>договор № ___ от ____</v>
          </cell>
          <cell r="F15" t="str">
            <v xml:space="preserve">тыс. руб. </v>
          </cell>
          <cell r="L15">
            <v>0</v>
          </cell>
          <cell r="M15">
            <v>0</v>
          </cell>
          <cell r="N15">
            <v>0</v>
          </cell>
          <cell r="O15">
            <v>0</v>
          </cell>
        </row>
        <row r="17">
          <cell r="A17" t="str">
            <v xml:space="preserve"> - </v>
          </cell>
          <cell r="B17" t="str">
            <v>&lt;Статья расходов 3&gt;</v>
          </cell>
          <cell r="C17" t="str">
            <v>1</v>
          </cell>
          <cell r="D17" t="str">
            <v>&lt;Статья расходов 3&gt;</v>
          </cell>
          <cell r="F17" t="str">
            <v xml:space="preserve">тыс. руб. </v>
          </cell>
          <cell r="G17">
            <v>0</v>
          </cell>
          <cell r="H17">
            <v>0</v>
          </cell>
          <cell r="I17">
            <v>0</v>
          </cell>
          <cell r="J17">
            <v>0</v>
          </cell>
          <cell r="K17">
            <v>0</v>
          </cell>
          <cell r="L17">
            <v>0</v>
          </cell>
          <cell r="M17">
            <v>0</v>
          </cell>
          <cell r="N17">
            <v>0</v>
          </cell>
          <cell r="O17">
            <v>0</v>
          </cell>
        </row>
        <row r="19">
          <cell r="B19" t="str">
            <v>договор № ___ от ____</v>
          </cell>
          <cell r="C19" t="str">
            <v>1.1</v>
          </cell>
          <cell r="D19" t="str">
            <v>&lt;Статья расходов 3&gt;</v>
          </cell>
          <cell r="E19" t="str">
            <v>договор № ___ от ____</v>
          </cell>
          <cell r="F19" t="str">
            <v xml:space="preserve">тыс. руб. </v>
          </cell>
          <cell r="L19">
            <v>0</v>
          </cell>
          <cell r="M19">
            <v>0</v>
          </cell>
          <cell r="N19">
            <v>0</v>
          </cell>
          <cell r="O19">
            <v>0</v>
          </cell>
        </row>
        <row r="20">
          <cell r="B20" t="str">
            <v>договор № ___ от ____</v>
          </cell>
          <cell r="C20" t="str">
            <v>1.1</v>
          </cell>
          <cell r="D20" t="str">
            <v>&lt;Статья расходов 3&gt;</v>
          </cell>
          <cell r="E20" t="str">
            <v>договор № ___ от ____</v>
          </cell>
          <cell r="F20" t="str">
            <v xml:space="preserve">тыс. руб. </v>
          </cell>
          <cell r="L20">
            <v>0</v>
          </cell>
          <cell r="M20">
            <v>0</v>
          </cell>
          <cell r="N20">
            <v>0</v>
          </cell>
          <cell r="O20">
            <v>0</v>
          </cell>
        </row>
        <row r="22">
          <cell r="A22" t="str">
            <v xml:space="preserve"> - </v>
          </cell>
          <cell r="B22" t="str">
            <v>&lt;Статья расходов&gt;</v>
          </cell>
          <cell r="C22" t="str">
            <v>1</v>
          </cell>
          <cell r="D22" t="str">
            <v>&lt;Статья расходов&gt;</v>
          </cell>
          <cell r="F22" t="str">
            <v xml:space="preserve">тыс. руб. </v>
          </cell>
          <cell r="G22">
            <v>0</v>
          </cell>
          <cell r="H22">
            <v>0</v>
          </cell>
          <cell r="I22">
            <v>0</v>
          </cell>
          <cell r="J22">
            <v>0</v>
          </cell>
          <cell r="K22">
            <v>0</v>
          </cell>
          <cell r="L22">
            <v>0</v>
          </cell>
          <cell r="M22">
            <v>0</v>
          </cell>
          <cell r="N22">
            <v>0</v>
          </cell>
          <cell r="O22">
            <v>0</v>
          </cell>
        </row>
        <row r="24">
          <cell r="B24" t="str">
            <v>договор № ___ от ____</v>
          </cell>
          <cell r="C24" t="str">
            <v>1.1</v>
          </cell>
          <cell r="D24" t="str">
            <v>&lt;Статья расходов&gt;</v>
          </cell>
          <cell r="E24" t="str">
            <v>договор № ___ от ____</v>
          </cell>
          <cell r="F24" t="str">
            <v xml:space="preserve">тыс. руб. </v>
          </cell>
          <cell r="L24">
            <v>0</v>
          </cell>
          <cell r="M24">
            <v>0</v>
          </cell>
          <cell r="N24">
            <v>0</v>
          </cell>
          <cell r="O24">
            <v>0</v>
          </cell>
        </row>
        <row r="26">
          <cell r="B26" t="str">
            <v>Выкуп земельных площадей</v>
          </cell>
          <cell r="C26" t="str">
            <v>1</v>
          </cell>
          <cell r="D26" t="str">
            <v>Выкуп земельных площадей</v>
          </cell>
          <cell r="F26" t="str">
            <v>тыс.руб.</v>
          </cell>
          <cell r="G26">
            <v>0</v>
          </cell>
          <cell r="H26">
            <v>0</v>
          </cell>
          <cell r="I26">
            <v>0</v>
          </cell>
          <cell r="J26">
            <v>0</v>
          </cell>
          <cell r="K26">
            <v>0</v>
          </cell>
          <cell r="L26">
            <v>0</v>
          </cell>
          <cell r="M26">
            <v>0</v>
          </cell>
          <cell r="N26">
            <v>0</v>
          </cell>
          <cell r="O26">
            <v>0</v>
          </cell>
        </row>
        <row r="27">
          <cell r="G27">
            <v>0</v>
          </cell>
          <cell r="H27">
            <v>0</v>
          </cell>
          <cell r="I27">
            <v>0</v>
          </cell>
          <cell r="J27">
            <v>0</v>
          </cell>
          <cell r="K27">
            <v>0</v>
          </cell>
          <cell r="L27">
            <v>0</v>
          </cell>
          <cell r="M27">
            <v>0</v>
          </cell>
        </row>
        <row r="29">
          <cell r="B29" t="str">
            <v>договор № ___ от ____</v>
          </cell>
          <cell r="C29" t="str">
            <v>1.1</v>
          </cell>
          <cell r="D29" t="str">
            <v>Выкуп земельных площадей</v>
          </cell>
          <cell r="E29" t="str">
            <v>договор № ___ от ____</v>
          </cell>
          <cell r="F29" t="str">
            <v>тыс.руб.</v>
          </cell>
          <cell r="L29">
            <v>0</v>
          </cell>
          <cell r="M29">
            <v>0</v>
          </cell>
          <cell r="N29">
            <v>0</v>
          </cell>
          <cell r="O29">
            <v>0</v>
          </cell>
        </row>
        <row r="30">
          <cell r="B30" t="str">
            <v xml:space="preserve"> - площадь</v>
          </cell>
          <cell r="C30" t="str">
            <v>1.2</v>
          </cell>
          <cell r="D30" t="str">
            <v>Выкуп земельных площадей</v>
          </cell>
          <cell r="E30" t="str">
            <v>договор № ___ от ____</v>
          </cell>
          <cell r="F30" t="str">
            <v>га</v>
          </cell>
          <cell r="L30">
            <v>0</v>
          </cell>
          <cell r="M30">
            <v>0</v>
          </cell>
          <cell r="N30">
            <v>0</v>
          </cell>
          <cell r="O30">
            <v>0</v>
          </cell>
        </row>
        <row r="31">
          <cell r="B31" t="str">
            <v>договор № ___ от ____</v>
          </cell>
          <cell r="C31" t="str">
            <v>1.1</v>
          </cell>
          <cell r="D31" t="str">
            <v>Выкуп земельных площадей</v>
          </cell>
          <cell r="E31" t="str">
            <v>договор № ___ от ____</v>
          </cell>
          <cell r="F31" t="str">
            <v>тыс.руб.</v>
          </cell>
          <cell r="L31">
            <v>0</v>
          </cell>
          <cell r="M31">
            <v>0</v>
          </cell>
          <cell r="N31">
            <v>0</v>
          </cell>
          <cell r="O31">
            <v>0</v>
          </cell>
        </row>
        <row r="32">
          <cell r="B32" t="str">
            <v xml:space="preserve"> - площадь</v>
          </cell>
          <cell r="C32" t="str">
            <v>1.2</v>
          </cell>
          <cell r="D32" t="str">
            <v>Выкуп земельных площадей</v>
          </cell>
          <cell r="E32" t="str">
            <v>договор № ___ от ____</v>
          </cell>
          <cell r="F32" t="str">
            <v>га</v>
          </cell>
          <cell r="L32">
            <v>0</v>
          </cell>
          <cell r="M32">
            <v>0</v>
          </cell>
          <cell r="N32">
            <v>0</v>
          </cell>
          <cell r="O32">
            <v>0</v>
          </cell>
        </row>
        <row r="33">
          <cell r="B33" t="str">
            <v>договор № ___ от ____</v>
          </cell>
          <cell r="C33" t="str">
            <v>1.1</v>
          </cell>
          <cell r="D33" t="str">
            <v>Выкуп земельных площадей</v>
          </cell>
          <cell r="E33" t="str">
            <v>договор № ___ от ____</v>
          </cell>
          <cell r="F33" t="str">
            <v>тыс.руб.</v>
          </cell>
          <cell r="L33">
            <v>0</v>
          </cell>
          <cell r="M33">
            <v>0</v>
          </cell>
          <cell r="N33">
            <v>0</v>
          </cell>
          <cell r="O33">
            <v>0</v>
          </cell>
        </row>
        <row r="34">
          <cell r="B34" t="str">
            <v xml:space="preserve"> - площадь</v>
          </cell>
          <cell r="C34" t="str">
            <v>1.2</v>
          </cell>
          <cell r="D34" t="str">
            <v>Выкуп земельных площадей</v>
          </cell>
          <cell r="E34" t="str">
            <v>договор № ___ от ____</v>
          </cell>
          <cell r="F34" t="str">
            <v>га</v>
          </cell>
          <cell r="L34">
            <v>0</v>
          </cell>
          <cell r="M34">
            <v>0</v>
          </cell>
          <cell r="N34">
            <v>0</v>
          </cell>
          <cell r="O34">
            <v>0</v>
          </cell>
        </row>
        <row r="36">
          <cell r="B36" t="str">
            <v>Прочие</v>
          </cell>
          <cell r="C36" t="str">
            <v>1</v>
          </cell>
          <cell r="D36" t="str">
            <v>Прочие расходы на капитальные вложения</v>
          </cell>
          <cell r="F36" t="str">
            <v xml:space="preserve">тыс. руб. </v>
          </cell>
          <cell r="G36">
            <v>0</v>
          </cell>
          <cell r="H36">
            <v>0</v>
          </cell>
          <cell r="I36">
            <v>0</v>
          </cell>
          <cell r="J36">
            <v>0</v>
          </cell>
          <cell r="K36">
            <v>0</v>
          </cell>
          <cell r="L36">
            <v>0</v>
          </cell>
          <cell r="M36">
            <v>0</v>
          </cell>
          <cell r="N36">
            <v>0</v>
          </cell>
          <cell r="O36">
            <v>0</v>
          </cell>
        </row>
        <row r="38">
          <cell r="B38" t="str">
            <v>договор № ___ от ____</v>
          </cell>
          <cell r="C38" t="str">
            <v>1.1</v>
          </cell>
          <cell r="D38" t="str">
            <v>Прочие расходы на капитальные вложения</v>
          </cell>
          <cell r="E38" t="str">
            <v>договор № ___ от ____</v>
          </cell>
          <cell r="F38" t="str">
            <v xml:space="preserve">тыс. руб. </v>
          </cell>
          <cell r="L38">
            <v>0</v>
          </cell>
          <cell r="M38">
            <v>0</v>
          </cell>
          <cell r="N38">
            <v>0</v>
          </cell>
          <cell r="O38">
            <v>0</v>
          </cell>
        </row>
        <row r="39">
          <cell r="B39" t="str">
            <v>договор № ___ от ____</v>
          </cell>
          <cell r="C39" t="str">
            <v>1.1</v>
          </cell>
          <cell r="D39" t="str">
            <v>Прочие расходы на капитальные вложения</v>
          </cell>
          <cell r="E39" t="str">
            <v>договор № ___ от ____</v>
          </cell>
          <cell r="F39" t="str">
            <v xml:space="preserve">тыс. руб. </v>
          </cell>
          <cell r="L39">
            <v>0</v>
          </cell>
          <cell r="M39">
            <v>0</v>
          </cell>
          <cell r="N39">
            <v>0</v>
          </cell>
          <cell r="O39">
            <v>0</v>
          </cell>
        </row>
        <row r="40">
          <cell r="B40" t="str">
            <v>договор № ___ от ____</v>
          </cell>
          <cell r="C40" t="str">
            <v>1.1</v>
          </cell>
          <cell r="D40" t="str">
            <v>Прочие расходы на капитальные вложения</v>
          </cell>
          <cell r="E40" t="str">
            <v>договор № ___ от ____</v>
          </cell>
          <cell r="F40" t="str">
            <v xml:space="preserve">тыс. руб. </v>
          </cell>
          <cell r="L40">
            <v>0</v>
          </cell>
          <cell r="M40">
            <v>0</v>
          </cell>
          <cell r="N40">
            <v>0</v>
          </cell>
          <cell r="O40">
            <v>0</v>
          </cell>
        </row>
        <row r="42">
          <cell r="G42">
            <v>0</v>
          </cell>
          <cell r="H42">
            <v>0</v>
          </cell>
          <cell r="I42">
            <v>0</v>
          </cell>
          <cell r="J42">
            <v>0</v>
          </cell>
          <cell r="K42">
            <v>0</v>
          </cell>
          <cell r="L42">
            <v>0</v>
          </cell>
          <cell r="M42">
            <v>0</v>
          </cell>
        </row>
        <row r="44">
          <cell r="G44">
            <v>0</v>
          </cell>
          <cell r="H44">
            <v>0</v>
          </cell>
          <cell r="I44">
            <v>0</v>
          </cell>
          <cell r="J44">
            <v>0</v>
          </cell>
          <cell r="K44">
            <v>0</v>
          </cell>
          <cell r="L44">
            <v>0</v>
          </cell>
          <cell r="M44">
            <v>0</v>
          </cell>
        </row>
        <row r="45">
          <cell r="L45">
            <v>0</v>
          </cell>
          <cell r="M45">
            <v>0</v>
          </cell>
        </row>
        <row r="46">
          <cell r="L46">
            <v>0</v>
          </cell>
          <cell r="M46">
            <v>0</v>
          </cell>
        </row>
        <row r="47">
          <cell r="G47">
            <v>0</v>
          </cell>
          <cell r="H47">
            <v>0</v>
          </cell>
          <cell r="I47">
            <v>0</v>
          </cell>
          <cell r="J47">
            <v>0</v>
          </cell>
          <cell r="K47">
            <v>0</v>
          </cell>
          <cell r="L47">
            <v>0</v>
          </cell>
          <cell r="M47">
            <v>0</v>
          </cell>
        </row>
        <row r="48">
          <cell r="L48">
            <v>0</v>
          </cell>
          <cell r="M48">
            <v>0</v>
          </cell>
        </row>
        <row r="49">
          <cell r="L49">
            <v>0</v>
          </cell>
          <cell r="M49">
            <v>0</v>
          </cell>
        </row>
        <row r="50">
          <cell r="L50">
            <v>0</v>
          </cell>
          <cell r="M50">
            <v>0</v>
          </cell>
        </row>
        <row r="51">
          <cell r="L51">
            <v>0</v>
          </cell>
          <cell r="M51">
            <v>0</v>
          </cell>
        </row>
      </sheetData>
      <sheetData sheetId="32">
        <row r="6">
          <cell r="D6">
            <v>0</v>
          </cell>
          <cell r="E6">
            <v>0</v>
          </cell>
          <cell r="F6">
            <v>0</v>
          </cell>
          <cell r="G6">
            <v>0</v>
          </cell>
          <cell r="H6">
            <v>0</v>
          </cell>
          <cell r="I6">
            <v>0</v>
          </cell>
          <cell r="J6">
            <v>0</v>
          </cell>
          <cell r="K6">
            <v>0</v>
          </cell>
          <cell r="L6">
            <v>0</v>
          </cell>
        </row>
        <row r="7">
          <cell r="I7">
            <v>0</v>
          </cell>
          <cell r="J7">
            <v>0</v>
          </cell>
          <cell r="K7">
            <v>0</v>
          </cell>
          <cell r="L7">
            <v>0</v>
          </cell>
        </row>
        <row r="8">
          <cell r="I8">
            <v>0</v>
          </cell>
          <cell r="J8">
            <v>0</v>
          </cell>
          <cell r="K8">
            <v>0</v>
          </cell>
          <cell r="L8">
            <v>0</v>
          </cell>
        </row>
        <row r="10">
          <cell r="D10">
            <v>0</v>
          </cell>
          <cell r="E10">
            <v>0</v>
          </cell>
          <cell r="F10">
            <v>0</v>
          </cell>
          <cell r="G10">
            <v>0</v>
          </cell>
          <cell r="H10">
            <v>0</v>
          </cell>
          <cell r="I10">
            <v>0</v>
          </cell>
          <cell r="J10">
            <v>0</v>
          </cell>
          <cell r="K10">
            <v>0</v>
          </cell>
          <cell r="L10">
            <v>0</v>
          </cell>
        </row>
        <row r="11">
          <cell r="I11">
            <v>0</v>
          </cell>
          <cell r="J11">
            <v>0</v>
          </cell>
          <cell r="K11">
            <v>0</v>
          </cell>
          <cell r="L11">
            <v>0</v>
          </cell>
        </row>
        <row r="12">
          <cell r="I12">
            <v>0</v>
          </cell>
          <cell r="J12">
            <v>0</v>
          </cell>
          <cell r="K12">
            <v>0</v>
          </cell>
          <cell r="L12">
            <v>0</v>
          </cell>
        </row>
        <row r="13">
          <cell r="I13">
            <v>0</v>
          </cell>
          <cell r="J13">
            <v>0</v>
          </cell>
          <cell r="K13">
            <v>0</v>
          </cell>
          <cell r="L13">
            <v>0</v>
          </cell>
        </row>
        <row r="14">
          <cell r="I14">
            <v>0</v>
          </cell>
          <cell r="J14">
            <v>0</v>
          </cell>
          <cell r="K14">
            <v>0</v>
          </cell>
          <cell r="L14">
            <v>0</v>
          </cell>
        </row>
        <row r="15">
          <cell r="I15">
            <v>0</v>
          </cell>
          <cell r="J15">
            <v>0</v>
          </cell>
          <cell r="K15">
            <v>0</v>
          </cell>
          <cell r="L15">
            <v>0</v>
          </cell>
        </row>
        <row r="16">
          <cell r="I16">
            <v>0</v>
          </cell>
          <cell r="J16">
            <v>0</v>
          </cell>
          <cell r="K16">
            <v>0</v>
          </cell>
          <cell r="L16">
            <v>0</v>
          </cell>
        </row>
        <row r="17">
          <cell r="I17">
            <v>0</v>
          </cell>
          <cell r="J17">
            <v>0</v>
          </cell>
          <cell r="K17">
            <v>0</v>
          </cell>
          <cell r="L17">
            <v>0</v>
          </cell>
        </row>
        <row r="18">
          <cell r="I18">
            <v>0</v>
          </cell>
          <cell r="J18">
            <v>0</v>
          </cell>
          <cell r="K18">
            <v>0</v>
          </cell>
          <cell r="L18">
            <v>0</v>
          </cell>
        </row>
        <row r="19">
          <cell r="I19">
            <v>0</v>
          </cell>
          <cell r="J19">
            <v>0</v>
          </cell>
          <cell r="K19">
            <v>0</v>
          </cell>
          <cell r="L19">
            <v>0</v>
          </cell>
        </row>
        <row r="20">
          <cell r="D20">
            <v>0</v>
          </cell>
          <cell r="E20">
            <v>0</v>
          </cell>
          <cell r="F20">
            <v>0</v>
          </cell>
          <cell r="G20">
            <v>0</v>
          </cell>
          <cell r="H20">
            <v>0</v>
          </cell>
          <cell r="I20">
            <v>0</v>
          </cell>
          <cell r="J20">
            <v>0</v>
          </cell>
          <cell r="K20">
            <v>0</v>
          </cell>
          <cell r="L20">
            <v>0</v>
          </cell>
        </row>
      </sheetData>
      <sheetData sheetId="33">
        <row r="6">
          <cell r="I6">
            <v>0</v>
          </cell>
          <cell r="J6">
            <v>0</v>
          </cell>
          <cell r="K6">
            <v>0</v>
          </cell>
          <cell r="L6">
            <v>0</v>
          </cell>
        </row>
        <row r="7">
          <cell r="I7">
            <v>0</v>
          </cell>
          <cell r="J7">
            <v>0</v>
          </cell>
          <cell r="K7">
            <v>0</v>
          </cell>
          <cell r="L7">
            <v>0</v>
          </cell>
        </row>
        <row r="8">
          <cell r="D8">
            <v>0</v>
          </cell>
          <cell r="E8">
            <v>0</v>
          </cell>
          <cell r="F8">
            <v>0</v>
          </cell>
          <cell r="G8">
            <v>0</v>
          </cell>
          <cell r="H8">
            <v>0</v>
          </cell>
          <cell r="I8">
            <v>0</v>
          </cell>
          <cell r="J8">
            <v>0</v>
          </cell>
          <cell r="K8">
            <v>0</v>
          </cell>
          <cell r="L8">
            <v>0</v>
          </cell>
        </row>
        <row r="9">
          <cell r="I9">
            <v>0</v>
          </cell>
          <cell r="J9">
            <v>0</v>
          </cell>
          <cell r="K9">
            <v>0</v>
          </cell>
          <cell r="L9">
            <v>0</v>
          </cell>
        </row>
        <row r="10">
          <cell r="D10">
            <v>0</v>
          </cell>
          <cell r="E10">
            <v>0</v>
          </cell>
          <cell r="F10">
            <v>0</v>
          </cell>
          <cell r="G10">
            <v>0</v>
          </cell>
          <cell r="H10">
            <v>0</v>
          </cell>
          <cell r="I10">
            <v>0</v>
          </cell>
          <cell r="J10">
            <v>0</v>
          </cell>
          <cell r="K10">
            <v>0</v>
          </cell>
          <cell r="L10">
            <v>0</v>
          </cell>
        </row>
        <row r="11">
          <cell r="I11">
            <v>0</v>
          </cell>
          <cell r="J11">
            <v>0</v>
          </cell>
          <cell r="K11">
            <v>0</v>
          </cell>
          <cell r="L11">
            <v>0</v>
          </cell>
        </row>
      </sheetData>
      <sheetData sheetId="34">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I11">
            <v>0</v>
          </cell>
          <cell r="J11">
            <v>0</v>
          </cell>
          <cell r="K11">
            <v>0</v>
          </cell>
          <cell r="L11">
            <v>0</v>
          </cell>
        </row>
        <row r="12">
          <cell r="I12">
            <v>0</v>
          </cell>
          <cell r="J12">
            <v>0</v>
          </cell>
          <cell r="K12">
            <v>0</v>
          </cell>
          <cell r="L12">
            <v>0</v>
          </cell>
        </row>
        <row r="13">
          <cell r="I13">
            <v>0</v>
          </cell>
          <cell r="J13">
            <v>0</v>
          </cell>
          <cell r="K13">
            <v>0</v>
          </cell>
          <cell r="L13">
            <v>0</v>
          </cell>
        </row>
        <row r="14">
          <cell r="I14">
            <v>0</v>
          </cell>
          <cell r="J14">
            <v>0</v>
          </cell>
          <cell r="K14">
            <v>0</v>
          </cell>
          <cell r="L14">
            <v>0</v>
          </cell>
        </row>
        <row r="15">
          <cell r="I15">
            <v>0</v>
          </cell>
          <cell r="J15">
            <v>0</v>
          </cell>
          <cell r="K15">
            <v>0</v>
          </cell>
          <cell r="L15">
            <v>0</v>
          </cell>
        </row>
        <row r="17">
          <cell r="D17">
            <v>0</v>
          </cell>
          <cell r="E17">
            <v>0</v>
          </cell>
          <cell r="F17">
            <v>0</v>
          </cell>
          <cell r="G17">
            <v>0</v>
          </cell>
          <cell r="H17">
            <v>0</v>
          </cell>
          <cell r="I17">
            <v>0</v>
          </cell>
          <cell r="J17">
            <v>0</v>
          </cell>
          <cell r="K17">
            <v>0</v>
          </cell>
          <cell r="L17">
            <v>0</v>
          </cell>
        </row>
      </sheetData>
      <sheetData sheetId="35">
        <row r="11">
          <cell r="D11">
            <v>0</v>
          </cell>
          <cell r="E11">
            <v>0</v>
          </cell>
          <cell r="F11">
            <v>0</v>
          </cell>
          <cell r="G11">
            <v>0</v>
          </cell>
          <cell r="H11">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s>
    <sheetDataSet>
      <sheetData sheetId="0">
        <row r="25">
          <cell r="J25">
            <v>0</v>
          </cell>
        </row>
        <row r="26">
          <cell r="J26">
            <v>0</v>
          </cell>
        </row>
        <row r="27">
          <cell r="J27">
            <v>0</v>
          </cell>
        </row>
        <row r="28">
          <cell r="J28">
            <v>0</v>
          </cell>
        </row>
        <row r="29">
          <cell r="J29">
            <v>0</v>
          </cell>
        </row>
        <row r="30">
          <cell r="J30">
            <v>0</v>
          </cell>
        </row>
        <row r="31">
          <cell r="J31">
            <v>0</v>
          </cell>
        </row>
        <row r="33">
          <cell r="J33">
            <v>0</v>
          </cell>
        </row>
        <row r="35">
          <cell r="J35">
            <v>0</v>
          </cell>
        </row>
        <row r="36">
          <cell r="J36">
            <v>0</v>
          </cell>
        </row>
        <row r="37">
          <cell r="J37">
            <v>0</v>
          </cell>
        </row>
        <row r="50">
          <cell r="K50">
            <v>0</v>
          </cell>
          <cell r="L50">
            <v>0</v>
          </cell>
        </row>
      </sheetData>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свод"/>
      <sheetName val="16 "/>
      <sheetName val="17 (2)"/>
      <sheetName val="17.1"/>
      <sheetName val="24 (2)"/>
      <sheetName val="25 (2)"/>
      <sheetName val="P2.1"/>
      <sheetName val="P2.2"/>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Прилож.1"/>
      <sheetName val="FES"/>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 val="Таб1.1"/>
      <sheetName val="XLR_NoRangeSheet"/>
      <sheetName val="Списки"/>
      <sheetName val="Pile径1m･27"/>
      <sheetName val="РЧА_новый"/>
      <sheetName val="Прилож_1"/>
      <sheetName val="P2_1"/>
      <sheetName val="P2_2"/>
      <sheetName val="эл_ст"/>
      <sheetName val="услуги_непроизводств_"/>
      <sheetName val="другие_затраты_с-ст"/>
      <sheetName val="налоги_в_с-ст"/>
      <sheetName val="%_за_кредит"/>
      <sheetName val="поощрение_(ДВ)"/>
      <sheetName val="другие_из_прибыли"/>
      <sheetName val="ИТОГИ__по_Н,Р,Э,Q"/>
      <sheetName val="Таб1_1"/>
      <sheetName val="Огл. Графиков"/>
      <sheetName val="рабочий"/>
      <sheetName val="Текущие цены"/>
      <sheetName val="окраска"/>
      <sheetName val=""/>
      <sheetName val="РЧА_новый1"/>
      <sheetName val="Прилож_11"/>
      <sheetName val="P2_11"/>
      <sheetName val="P2_21"/>
      <sheetName val="эл_ст1"/>
      <sheetName val="услуги_непроизводств_1"/>
      <sheetName val="другие_затраты_с-ст1"/>
      <sheetName val="налоги_в_с-ст1"/>
      <sheetName val="%_за_кредит1"/>
      <sheetName val="поощрение_(ДВ)1"/>
      <sheetName val="другие_из_прибыли1"/>
      <sheetName val="ИТОГИ__по_Н,Р,Э,Q1"/>
      <sheetName val="Таб1_11"/>
      <sheetName val="Огл__Графиков"/>
      <sheetName val="Текущие_цены"/>
      <sheetName val="База"/>
      <sheetName val="Лист"/>
      <sheetName val="навигация"/>
      <sheetName val="Т12"/>
      <sheetName val="Т3"/>
      <sheetName val="Main"/>
      <sheetName val="SET"/>
      <sheetName val="гр5(о)"/>
      <sheetName val="Сводка - лизинг"/>
      <sheetName val="Справочники"/>
      <sheetName val="17"/>
      <sheetName val="24"/>
      <sheetName val="25"/>
      <sheetName val="4"/>
      <sheetName val="5"/>
      <sheetName val="Ф_1 _для АО_энерго_"/>
      <sheetName val="Ф_2 _для АО_энерго_"/>
      <sheetName val="баланс квадраты пэс"/>
      <sheetName val="mtl$-inter"/>
      <sheetName val="Организации"/>
      <sheetName val="17 СМУП"/>
      <sheetName val="Предлагаемая новая форма СТРС"/>
      <sheetName val="share price 2002"/>
      <sheetName val="MTO REV.0"/>
      <sheetName val="см_2 шатурс сети  проект работы"/>
      <sheetName val="28"/>
      <sheetName val="29"/>
      <sheetName val="20"/>
      <sheetName val="21"/>
      <sheetName val="23"/>
      <sheetName val="26"/>
      <sheetName val="27"/>
      <sheetName val="19"/>
      <sheetName val="22"/>
      <sheetName val="ИП"/>
      <sheetName val="Применение"/>
      <sheetName val="ставки "/>
      <sheetName val="ЭСО"/>
      <sheetName val="сбыт"/>
      <sheetName val="Ген. не уч. ОРЭМ"/>
      <sheetName val="Свод"/>
      <sheetName val="Контроль"/>
      <sheetName val="РЧА_новый2"/>
      <sheetName val="Прилож_12"/>
      <sheetName val="P2_12"/>
      <sheetName val="P2_22"/>
      <sheetName val="эл_ст2"/>
      <sheetName val="услуги_непроизводств_2"/>
      <sheetName val="другие_затраты_с-ст2"/>
      <sheetName val="налоги_в_с-ст2"/>
      <sheetName val="%_за_кредит2"/>
      <sheetName val="поощрение_(ДВ)2"/>
      <sheetName val="другие_из_прибыли2"/>
      <sheetName val="ИТОГИ__по_Н,Р,Э,Q2"/>
      <sheetName val="Таб1_12"/>
      <sheetName val="Огл__Графиков1"/>
      <sheetName val="Текущие_цены1"/>
      <sheetName val="Сводка_-_лизинг"/>
      <sheetName val="Ф_1__для_АО_энерго_"/>
      <sheetName val="Ф_2__для_АО_энерго_"/>
      <sheetName val="баланс_квадраты_пэс"/>
      <sheetName val="Предлагаемая_новая_форма_СТРС"/>
      <sheetName val="17_СМУП"/>
      <sheetName val="форма 7 (скважины)"/>
      <sheetName val="6 Списки"/>
      <sheetName val="Лист3"/>
      <sheetName val="Лист7"/>
      <sheetName val="Титульный"/>
      <sheetName val="перекрестка"/>
      <sheetName val="16"/>
      <sheetName val="18.2"/>
      <sheetName val="6"/>
      <sheetName val="15"/>
      <sheetName val="17.1"/>
      <sheetName val="2.3"/>
      <sheetName val="ВСПОМОГАТ"/>
      <sheetName val="Производство электроэнергии"/>
      <sheetName val="регионы"/>
      <sheetName val="t_настройки"/>
      <sheetName val="РЧА_новый3"/>
      <sheetName val="Прилож_13"/>
      <sheetName val="P2_13"/>
      <sheetName val="P2_23"/>
      <sheetName val="эл_ст3"/>
      <sheetName val="услуги_непроизводств_3"/>
      <sheetName val="другие_затраты_с-ст3"/>
      <sheetName val="налоги_в_с-ст3"/>
      <sheetName val="%_за_кредит3"/>
      <sheetName val="поощрение_(ДВ)3"/>
      <sheetName val="другие_из_прибыли3"/>
      <sheetName val="ИТОГИ__по_Н,Р,Э,Q3"/>
      <sheetName val="Таб1_13"/>
      <sheetName val="Огл__Графиков2"/>
      <sheetName val="Текущие_цены2"/>
      <sheetName val="Сводка_-_лизинг1"/>
      <sheetName val="Ф_1__для_АО_энерго_1"/>
      <sheetName val="Ф_2__для_АО_энерго_1"/>
      <sheetName val="баланс_квадраты_пэс1"/>
      <sheetName val="Предлагаемая_новая_форма_СТРС1"/>
      <sheetName val="17_СМУП1"/>
      <sheetName val="share_price_2002"/>
      <sheetName val="MTO_REV_0"/>
      <sheetName val="см_2_шатурс_сети__проект_работы"/>
      <sheetName val="ставки_"/>
      <sheetName val="Ген__не_уч__ОРЭМ"/>
      <sheetName val="форма_7_(скважины)"/>
      <sheetName val="6_Списки"/>
      <sheetName val="18_2"/>
      <sheetName val="17_1"/>
      <sheetName val="2_3"/>
      <sheetName val="Производство_электроэнергии"/>
      <sheetName val="HO_hrs"/>
      <sheetName val="GLC_ratios_Jun"/>
      <sheetName val="control"/>
    </sheetNames>
    <sheetDataSet>
      <sheetData sheetId="0" refreshError="1">
        <row r="14">
          <cell r="A14" t="str">
            <v>Показатели деловой активности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Производство электроэнергии"/>
      <sheetName val="Баланс"/>
      <sheetName val="Макро"/>
      <sheetName val="БД 2.3"/>
      <sheetName val="БИ-2-18-П"/>
      <sheetName val="БИ-2-19-П"/>
      <sheetName val="БИ-2-7-П"/>
      <sheetName val="БИ-2-9-П"/>
      <sheetName val="БИ-2-14-П"/>
      <sheetName val="БИ-2-16-П"/>
      <sheetName val="2"/>
      <sheetName val="3"/>
      <sheetName val="4"/>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SHPZ"/>
      <sheetName val="для тарифов"/>
      <sheetName val="Лист1"/>
      <sheetName val="План Газпрома"/>
      <sheetName val="производство"/>
      <sheetName val="См.1"/>
      <sheetName val="4НКУ"/>
      <sheetName val="15.э"/>
      <sheetName val="5"/>
      <sheetName val="6"/>
      <sheetName val="мар 2001"/>
      <sheetName val="Приложение 1"/>
      <sheetName val="Приложение 2"/>
      <sheetName val="Приложение 3"/>
      <sheetName val="Титульный лист"/>
      <sheetName val="~5047955"/>
      <sheetName val="Лист"/>
      <sheetName val="Вспомогат(по месяцам)"/>
      <sheetName val="Вспомогат_по месяцам_"/>
      <sheetName val="форма 2"/>
      <sheetName val="навигация"/>
      <sheetName val="Т12"/>
      <sheetName val="Т3"/>
      <sheetName val="Титульный"/>
      <sheetName val="Сентябрь"/>
      <sheetName val="TECHSHEET"/>
      <sheetName val="Опции"/>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FES"/>
      <sheetName val="Справочно"/>
      <sheetName val="01-02 (БДиР Общества)"/>
      <sheetName val="2007"/>
      <sheetName val="Неделя"/>
      <sheetName val="сети 2007"/>
      <sheetName val="Лист3"/>
      <sheetName val="Шины"/>
      <sheetName val="Дни"/>
      <sheetName val="СЭ"/>
      <sheetName val="Приложение_1"/>
      <sheetName val="Приложение_2"/>
      <sheetName val="Приложение_3"/>
      <sheetName val="форма_2"/>
      <sheetName val="мар_2001"/>
      <sheetName val="тех__нужды"/>
      <sheetName val="соб__нужды"/>
      <sheetName val="не_удалять"/>
      <sheetName val="СДР"/>
      <sheetName val="смета+расш."/>
      <sheetName val="расш.кальк."/>
      <sheetName val="31_08_2004"/>
      <sheetName val="ЧП"/>
      <sheetName val="31.08.2004"/>
      <sheetName val="П921_960"/>
      <sheetName val=" 9.4"/>
      <sheetName val="ИТ-бюджет"/>
      <sheetName val=""/>
      <sheetName val="IBASE"/>
      <sheetName val="t_настройки"/>
      <sheetName val="A"/>
      <sheetName val="УП _2004"/>
      <sheetName val="25"/>
      <sheetName val="26"/>
      <sheetName val="29"/>
      <sheetName val="index"/>
      <sheetName val="ЗАО_мес"/>
      <sheetName val="ЗАО_н.ит"/>
      <sheetName val="Лист5"/>
      <sheetName val="3 квартал"/>
      <sheetName val="Справочник БДР"/>
      <sheetName val="15_э2"/>
      <sheetName val="мар_20011"/>
      <sheetName val="Приложение_11"/>
      <sheetName val="Приложение_21"/>
      <sheetName val="Приложение_31"/>
      <sheetName val="форма_21"/>
      <sheetName val="Производство_электроэнергии4"/>
      <sheetName val="План_Газпрома1"/>
      <sheetName val="Продажи_реальные_и_прогноз_20_1"/>
      <sheetName val="тех__нужды2"/>
      <sheetName val="соб__нужды2"/>
      <sheetName val="подготовка_кадров1"/>
      <sheetName val="9_41"/>
      <sheetName val="содер_зд1"/>
      <sheetName val="9_31"/>
      <sheetName val="расш__6-п1"/>
      <sheetName val="9_1_11"/>
      <sheetName val="тех__нужды3"/>
      <sheetName val="соб__нужды3"/>
      <sheetName val="Програм__обеспеч__и_лиц_1"/>
      <sheetName val="ТУ_51"/>
      <sheetName val="усл_стор_орг__(9_2,_9_4_и_9_5_1"/>
      <sheetName val="Инф_-вычисл__услуги1"/>
      <sheetName val="Матер-лы_для_средств_связи1"/>
      <sheetName val="Баланс_(Ф1)1"/>
      <sheetName val="налог_на_имущество_9_мес_20071"/>
      <sheetName val="2014_(2)1"/>
      <sheetName val="Баланс_ЭЭ4"/>
      <sheetName val="услуги_непроизводств_4"/>
      <sheetName val="другие_затраты_с-ст4"/>
      <sheetName val="налоги_в_с-ст4"/>
      <sheetName val="%_за_кредит4"/>
      <sheetName val="поощрение_(ДВ)4"/>
      <sheetName val="другие_из_прибыли4"/>
      <sheetName val="БД_2_34"/>
      <sheetName val="для_тарифов1"/>
      <sheetName val="15_э1"/>
      <sheetName val="Производство_электроэнергии3"/>
      <sheetName val="План_Газпрома"/>
      <sheetName val="Продажи_реальные_и_прогноз_20_л"/>
      <sheetName val="подготовка_кадров"/>
      <sheetName val="9_4"/>
      <sheetName val="содер_зд"/>
      <sheetName val="9_3"/>
      <sheetName val="расш__6-п"/>
      <sheetName val="9_1_1"/>
      <sheetName val="тех__нужды1"/>
      <sheetName val="соб__нужды1"/>
      <sheetName val="Програм__обеспеч__и_лиц_"/>
      <sheetName val="ТУ_5"/>
      <sheetName val="усл_стор_орг__(9_2,_9_4_и_9_5_)"/>
      <sheetName val="Инф_-вычисл__услуги"/>
      <sheetName val="Матер-лы_для_средств_связи"/>
      <sheetName val="Баланс_(Ф1)"/>
      <sheetName val="налог_на_имущество_9_мес_2007"/>
      <sheetName val="2014_(2)"/>
      <sheetName val="Баланс_ЭЭ3"/>
      <sheetName val="услуги_непроизводств_3"/>
      <sheetName val="другие_затраты_с-ст3"/>
      <sheetName val="налоги_в_с-ст3"/>
      <sheetName val="%_за_кредит3"/>
      <sheetName val="поощрение_(ДВ)3"/>
      <sheetName val="другие_из_прибыли3"/>
      <sheetName val="БД_2_33"/>
      <sheetName val="для_тарифов"/>
      <sheetName val="0"/>
      <sheetName val="Свод"/>
      <sheetName val="Списки"/>
      <sheetName val="ИнвестицииСвод"/>
      <sheetName val="Спр_ мест"/>
      <sheetName val="Электра"/>
      <sheetName val="Спецпитание"/>
      <sheetName val="КИП (эксплуатация и ВДГО)"/>
      <sheetName val="Матер.и компл.для комп.и оргтех"/>
      <sheetName val="мыло, паста"/>
      <sheetName val="электрооб."/>
      <sheetName val="Электротовары"/>
      <sheetName val="Мат-лы для тек.рем.электрооб."/>
      <sheetName val="др. матер ВДГО,СМБ"/>
      <sheetName val="FST5"/>
      <sheetName val="УИС 1"/>
      <sheetName val="к БФ №2"/>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28"/>
      <sheetName val="20"/>
      <sheetName val="21"/>
      <sheetName val="23"/>
      <sheetName val="27"/>
      <sheetName val="19"/>
      <sheetName val="22"/>
      <sheetName val="24"/>
      <sheetName val="Стоимость ЭЭ"/>
      <sheetName val="Рейтинг"/>
      <sheetName val="main gate house"/>
      <sheetName val="Настройка"/>
      <sheetName val="par diff expl "/>
      <sheetName val="group structure"/>
      <sheetName val="Исходные данные"/>
      <sheetName val="16"/>
      <sheetName val="17"/>
      <sheetName val="Ф-1 (для АО-энерго)"/>
      <sheetName val="Ф-2 (для АО-энерго)"/>
      <sheetName val="перекрестка"/>
      <sheetName val="17.1"/>
      <sheetName val="Баланс мощности"/>
      <sheetName val="ЭСО"/>
      <sheetName val="Справочник"/>
      <sheetName val="Рег генер"/>
      <sheetName val="сети"/>
      <sheetName val="прогноз_1"/>
      <sheetName val="Баланс энергии"/>
      <sheetName val="УПХ"/>
      <sheetName val="Транспортн"/>
      <sheetName val="П.1.16. оплата труда ОПР"/>
      <sheetName val="УНПХ"/>
      <sheetName val="Первоначально"/>
      <sheetName val="Bendra"/>
      <sheetName val="10"/>
      <sheetName val="12"/>
      <sheetName val="18.1"/>
      <sheetName val="19.1.1"/>
      <sheetName val="19.1.2"/>
      <sheetName val="19.2"/>
      <sheetName val="2.1"/>
      <sheetName val="21.1"/>
      <sheetName val="21.2.1"/>
      <sheetName val="21.2.2"/>
      <sheetName val="21.4"/>
      <sheetName val="28.3"/>
      <sheetName val="7"/>
      <sheetName val="1.1"/>
      <sheetName val="1.2"/>
      <sheetName val="14"/>
      <sheetName val="18.2"/>
      <sheetName val="18"/>
      <sheetName val="2.2"/>
      <sheetName val="20.1"/>
      <sheetName val="21.3"/>
      <sheetName val="24.1"/>
      <sheetName val="25.1"/>
      <sheetName val="28.1"/>
      <sheetName val="28.2"/>
      <sheetName val="8"/>
      <sheetName val="P2.1"/>
      <sheetName val="P2.2"/>
      <sheetName val="2007 (Min)"/>
      <sheetName val="2007 (Max)"/>
      <sheetName val="2006"/>
      <sheetName val="13"/>
      <sheetName val="15"/>
      <sheetName val="4.1"/>
      <sheetName val="База"/>
      <sheetName val="ESTI."/>
      <sheetName val="DI-ESTI"/>
      <sheetName val="сведения"/>
      <sheetName val="new-panel"/>
      <sheetName val="共機計算"/>
      <sheetName val="共機J"/>
      <sheetName val="BCS APP Slovakia"/>
      <sheetName val="BCS APP CR"/>
      <sheetName val="таб_1"/>
      <sheetName val="Cash flow"/>
      <sheetName val="Калькуляция кв"/>
      <sheetName val="Контроль"/>
      <sheetName val="П 4"/>
      <sheetName val="reestr_start"/>
      <sheetName val="G2TempSheet"/>
      <sheetName val="Баланс_ЭЭ5"/>
      <sheetName val="услуги_непроизводств_5"/>
      <sheetName val="другие_затраты_с-ст5"/>
      <sheetName val="налоги_в_с-ст5"/>
      <sheetName val="%_за_кредит5"/>
      <sheetName val="поощрение_(ДВ)5"/>
      <sheetName val="другие_из_прибыли5"/>
      <sheetName val="Производство_электроэнергии5"/>
      <sheetName val="БД_2_35"/>
      <sheetName val="для_тарифов2"/>
      <sheetName val="План_Газпрома2"/>
      <sheetName val="См_1"/>
      <sheetName val="15_э3"/>
      <sheetName val="мар_20012"/>
      <sheetName val="Приложение_12"/>
      <sheetName val="Приложение_22"/>
      <sheetName val="Приложение_32"/>
      <sheetName val="Титульный_лист"/>
      <sheetName val="Вспомогат(по_месяцам)"/>
      <sheetName val="Вспомогат_по_месяцам_"/>
      <sheetName val="форма_22"/>
      <sheetName val="Продажи_реальные_и_прогноз_20_2"/>
      <sheetName val="тех__нужды4"/>
      <sheetName val="соб__нужды4"/>
      <sheetName val="подготовка_кадров2"/>
      <sheetName val="9_42"/>
      <sheetName val="содер_зд2"/>
      <sheetName val="9_32"/>
      <sheetName val="расш__6-п2"/>
      <sheetName val="9_1_12"/>
      <sheetName val="тех__нужды5"/>
      <sheetName val="соб__нужды5"/>
      <sheetName val="Програм__обеспеч__и_лиц_2"/>
      <sheetName val="ТУ_52"/>
      <sheetName val="усл_стор_орг__(9_2,_9_4_и_9_5_2"/>
      <sheetName val="Инф_-вычисл__услуги2"/>
      <sheetName val="Матер-лы_для_средств_связи2"/>
      <sheetName val="Баланс_(Ф1)2"/>
      <sheetName val="налог_на_имущество_9_мес_20072"/>
      <sheetName val="2014_(2)2"/>
      <sheetName val="01-02_(БДиР_Общества)"/>
      <sheetName val="сети_2007"/>
      <sheetName val="смета+расш_"/>
      <sheetName val="расш_кальк_"/>
      <sheetName val="31_08_20041"/>
      <sheetName val="_9_4"/>
      <sheetName val="УП__2004"/>
      <sheetName val="ЗАО_н_ит"/>
      <sheetName val="3_квартал"/>
      <sheetName val="Справочник_БДР"/>
      <sheetName val="Спр__мест"/>
      <sheetName val="КИП_(эксплуатация_и_ВДГО)"/>
      <sheetName val="Матер_и_компл_для_комп_и_оргтех"/>
      <sheetName val="мыло,_паста"/>
      <sheetName val="электрооб_"/>
      <sheetName val="Мат-лы_для_тек_рем_электрооб_"/>
      <sheetName val="др__матер_ВДГО,СМБ"/>
      <sheetName val="УИС_1"/>
      <sheetName val="к_БФ_№2"/>
      <sheetName val="Стоимость_ЭЭ"/>
      <sheetName val="main_gate_house"/>
      <sheetName val="par_diff_expl_"/>
      <sheetName val="group_structure"/>
      <sheetName val="Исходные_данные"/>
      <sheetName val="Ф-1_(для_АО-энерго)"/>
      <sheetName val="Ф-2_(для_АО-энерго)"/>
      <sheetName val="17_1"/>
      <sheetName val="Баланс_мощности"/>
      <sheetName val="Рег_генер"/>
      <sheetName val="Таб1.1"/>
      <sheetName val="XLR_NoRangeSheet"/>
      <sheetName val="Служебный лист"/>
      <sheetName val="Additions"/>
      <sheetName val="ПС рек"/>
      <sheetName val="ЛЭП нов"/>
      <sheetName val="MAIN"/>
      <sheetName val="осв 2003"/>
      <sheetName val="GLC_ratios_Jun"/>
      <sheetName val="CAPEX"/>
      <sheetName val="CARDS"/>
      <sheetName val="CONTRIBUTION"/>
      <sheetName val="DELTA"/>
      <sheetName val="FIXED ASSETS"/>
      <sheetName val="SALARIES"/>
      <sheetName val="SETTL - RBL"/>
      <sheetName val="SETTL - USD"/>
      <sheetName val="SPARES - BOOTHS"/>
      <sheetName val="SPARES - PAYPHONES"/>
      <sheetName val="STAFF"/>
      <sheetName val="VAT"/>
      <sheetName val="Объекты"/>
      <sheetName val="Организации"/>
      <sheetName val="Баланс_ЭЭ6"/>
      <sheetName val="услуги_непроизводств_6"/>
      <sheetName val="другие_затраты_с-ст6"/>
      <sheetName val="налоги_в_с-ст6"/>
      <sheetName val="%_за_кредит6"/>
      <sheetName val="поощрение_(ДВ)6"/>
      <sheetName val="другие_из_прибыли6"/>
      <sheetName val="Производство_электроэнергии6"/>
      <sheetName val="БД_2_36"/>
      <sheetName val="для_тарифов3"/>
      <sheetName val="План_Газпрома3"/>
      <sheetName val="См_11"/>
      <sheetName val="15_э4"/>
      <sheetName val="мар_20013"/>
      <sheetName val="Приложение_13"/>
      <sheetName val="Приложение_23"/>
      <sheetName val="Приложение_33"/>
      <sheetName val="Титульный_лист1"/>
      <sheetName val="Вспомогат(по_месяцам)1"/>
      <sheetName val="Вспомогат_по_месяцам_1"/>
      <sheetName val="форма_23"/>
      <sheetName val="Продажи_реальные_и_прогноз_20_3"/>
      <sheetName val="тех__нужды6"/>
      <sheetName val="соб__нужды6"/>
      <sheetName val="подготовка_кадров3"/>
      <sheetName val="9_43"/>
      <sheetName val="содер_зд3"/>
      <sheetName val="9_33"/>
      <sheetName val="расш__6-п3"/>
      <sheetName val="9_1_13"/>
      <sheetName val="тех__нужды7"/>
      <sheetName val="соб__нужды7"/>
      <sheetName val="Програм__обеспеч__и_лиц_3"/>
      <sheetName val="ТУ_53"/>
      <sheetName val="усл_стор_орг__(9_2,_9_4_и_9_5_3"/>
      <sheetName val="Инф_-вычисл__услуги3"/>
      <sheetName val="Матер-лы_для_средств_связи3"/>
      <sheetName val="Баланс_(Ф1)3"/>
      <sheetName val="налог_на_имущество_9_мес_20073"/>
      <sheetName val="2014_(2)3"/>
      <sheetName val="01-02_(БДиР_Общества)1"/>
      <sheetName val="сети_20071"/>
      <sheetName val="смета+расш_1"/>
      <sheetName val="расш_кальк_1"/>
      <sheetName val="31_08_20042"/>
      <sheetName val="_9_41"/>
      <sheetName val="УП__20041"/>
      <sheetName val="ЗАО_н_ит1"/>
      <sheetName val="3_квартал1"/>
      <sheetName val="Справочник_БДР1"/>
      <sheetName val="Спр__мест1"/>
      <sheetName val="КИП_(эксплуатация_и_ВДГО)1"/>
      <sheetName val="Матер_и_компл_для_комп_и_оргте1"/>
      <sheetName val="мыло,_паста1"/>
      <sheetName val="электрооб_1"/>
      <sheetName val="Мат-лы_для_тек_рем_электрооб_1"/>
      <sheetName val="др__матер_ВДГО,СМБ1"/>
      <sheetName val="УИС_11"/>
      <sheetName val="к_БФ_№21"/>
      <sheetName val="Стоимость_ЭЭ1"/>
      <sheetName val="main_gate_house1"/>
      <sheetName val="par_diff_expl_1"/>
      <sheetName val="group_structure1"/>
      <sheetName val="Исходные_данные1"/>
      <sheetName val="Ф-1_(для_АО-энерго)1"/>
      <sheetName val="Ф-2_(для_АО-энерго)1"/>
      <sheetName val="17_11"/>
      <sheetName val="Баланс_мощности1"/>
      <sheetName val="Рег_генер1"/>
      <sheetName val="Баланс_энергии"/>
      <sheetName val="П_1_16__оплата_труда_ОПР"/>
      <sheetName val="18_1"/>
      <sheetName val="19_1_1"/>
      <sheetName val="19_1_2"/>
      <sheetName val="19_2"/>
      <sheetName val="2_1"/>
      <sheetName val="21_1"/>
      <sheetName val="21_2_1"/>
      <sheetName val="21_2_2"/>
      <sheetName val="21_4"/>
      <sheetName val="28_3"/>
      <sheetName val="1_1"/>
      <sheetName val="1_2"/>
      <sheetName val="18_2"/>
      <sheetName val="2_2"/>
      <sheetName val="20_1"/>
      <sheetName val="21_3"/>
      <sheetName val="24_1"/>
      <sheetName val="25_1"/>
      <sheetName val="28_1"/>
      <sheetName val="28_2"/>
      <sheetName val="P2_1"/>
      <sheetName val="P2_2"/>
      <sheetName val="2007_(Min)"/>
      <sheetName val="2007_(Max)"/>
      <sheetName val="4_1"/>
      <sheetName val="Cash_flow"/>
      <sheetName val="Калькуляция_кв"/>
      <sheetName val="П_4"/>
      <sheetName val="ESTI_"/>
      <sheetName val="Служебный_лист"/>
      <sheetName val="ПС_рек"/>
      <sheetName val="ЛЭП_нов"/>
      <sheetName val="BCS_APP_Slovakia"/>
      <sheetName val="BCS_APP_CR"/>
      <sheetName val="Таб1_1"/>
      <sheetName val="осв_2003"/>
      <sheetName val="Dati Caricati"/>
      <sheetName val="2.3"/>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refreshError="1"/>
      <sheetData sheetId="287" refreshError="1"/>
      <sheetData sheetId="288" refreshError="1"/>
      <sheetData sheetId="289" refreshError="1"/>
      <sheetData sheetId="290" refreshError="1"/>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sheetData sheetId="319"/>
      <sheetData sheetId="320"/>
      <sheetData sheetId="321"/>
      <sheetData sheetId="322"/>
      <sheetData sheetId="323" refreshError="1"/>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sheetData sheetId="363"/>
      <sheetData sheetId="364" refreshError="1"/>
      <sheetData sheetId="365" refreshError="1"/>
      <sheetData sheetId="366"/>
      <sheetData sheetId="367"/>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refreshError="1"/>
      <sheetData sheetId="57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ланкПриложения1"/>
      <sheetName val="11.08"/>
      <sheetName val="Приложение 1"/>
      <sheetName val="Бланк Приложения1 (Рабочий)"/>
      <sheetName val="форма 24 (4.10.08.) (версия (1)"/>
      <sheetName val="форма 24 (4.10.08.) (версия-1)"/>
      <sheetName val="Форма 24"/>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 ст"/>
      <sheetName val="ýë ñò"/>
      <sheetName val="Лист13"/>
      <sheetName val="расшифровка"/>
      <sheetName val="1997"/>
      <sheetName val="1998"/>
      <sheetName val="СписочнаяЧисленность"/>
      <sheetName val="Справочники"/>
      <sheetName val="Прил_9"/>
      <sheetName val="SHPZ"/>
      <sheetName val="даты"/>
      <sheetName val="Аморт_осн"/>
      <sheetName val="P-99b"/>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1.411.1"/>
      <sheetName val="ИПР ф.24"/>
      <sheetName val="ИП09"/>
      <sheetName val="15.э"/>
      <sheetName val="Детализация"/>
      <sheetName val="Справочник затрат_СБ"/>
      <sheetName val="Заголовок"/>
      <sheetName val="перекрестка"/>
      <sheetName val="16"/>
      <sheetName val="18.2"/>
      <sheetName val="4"/>
      <sheetName val="6"/>
      <sheetName val="27"/>
      <sheetName val="t_Настройки"/>
      <sheetName val="Ввод параметров"/>
      <sheetName val="29"/>
      <sheetName val="20"/>
      <sheetName val="21"/>
      <sheetName val="23"/>
      <sheetName val="25"/>
      <sheetName val="26"/>
      <sheetName val="28"/>
      <sheetName val="19"/>
      <sheetName val="22"/>
      <sheetName val="24"/>
      <sheetName val="УФ-28"/>
      <sheetName val="УЗ-10"/>
      <sheetName val="Лизинг"/>
      <sheetName val="Баланс"/>
      <sheetName val="ОПиУ"/>
      <sheetName val="общие сведения"/>
      <sheetName val="Пер-Вл"/>
      <sheetName val="РБП"/>
      <sheetName val="Source"/>
      <sheetName val="Месяцы"/>
      <sheetName val="Имя"/>
      <sheetName val="Исполнение"/>
      <sheetName val="Исходные"/>
      <sheetName val="01"/>
      <sheetName val="Текущие цены"/>
      <sheetName val="ИТ-бюджет"/>
      <sheetName val="MAIN"/>
      <sheetName val="EKDEB90"/>
      <sheetName val="sapactivexlhiddensheet"/>
      <sheetName val="ПВС с Коэф"/>
      <sheetName val="исходные данные"/>
      <sheetName val="расчетные таблицы"/>
      <sheetName val="ИТОГИ  по Н,Р,Э,Q"/>
      <sheetName val="эл_ст1"/>
      <sheetName val="ýë_ñò1"/>
      <sheetName val="Производство_электроэнергии1"/>
      <sheetName val="Т19_11"/>
      <sheetName val="15_э1"/>
      <sheetName val="Справочник_затрат_СБ1"/>
      <sheetName val="1_411_11"/>
      <sheetName val="ИПР_ф_241"/>
      <sheetName val="18_21"/>
      <sheetName val="Ввод_параметров1"/>
      <sheetName val="общие_сведения1"/>
      <sheetName val="эл_ст"/>
      <sheetName val="ýë_ñò"/>
      <sheetName val="Производство_электроэнергии"/>
      <sheetName val="Т19_1"/>
      <sheetName val="15_э"/>
      <sheetName val="Справочник_затрат_СБ"/>
      <sheetName val="1_411_1"/>
      <sheetName val="ИПР_ф_24"/>
      <sheetName val="18_2"/>
      <sheetName val="Ввод_параметров"/>
      <sheetName val="общие_сведения"/>
      <sheetName val="БИ-2-18-П"/>
      <sheetName val="БИ-2-19-П"/>
      <sheetName val="БИ-2-7-П"/>
      <sheetName val="БИ-2-9-П"/>
      <sheetName val="БИ-2-14-П"/>
      <sheetName val="БИ-2-16-П"/>
      <sheetName val="Закупки центр"/>
      <sheetName val="бф-2-8-п"/>
      <sheetName val="Т12"/>
      <sheetName val="Настр"/>
      <sheetName val="Таб1.1"/>
      <sheetName val="TEHSHEET"/>
      <sheetName val="XLR_NoRangeSheet"/>
      <sheetName val="ээ"/>
      <sheetName val="o10.2_vat on advances"/>
      <sheetName val="o18 pit"/>
      <sheetName val="Sheet1"/>
      <sheetName val="ТС"/>
      <sheetName val="ГРЭС"/>
      <sheetName val="ТЭЦ"/>
      <sheetName val="ТЭЦ_К"/>
      <sheetName val="fes"/>
      <sheetName val="1"/>
      <sheetName val="2"/>
      <sheetName val="3"/>
      <sheetName val="Индексы "/>
      <sheetName val="Списки"/>
      <sheetName val="Расчёт расходов"/>
      <sheetName val="НВВ по уровням"/>
      <sheetName val="Титульный"/>
      <sheetName val="Инструкция"/>
      <sheetName val="эл_ст2"/>
      <sheetName val="ýë_ñò2"/>
      <sheetName val="Производство_электроэнергии2"/>
      <sheetName val="Т19_12"/>
      <sheetName val="15_э2"/>
      <sheetName val="Справочник_затрат_СБ2"/>
      <sheetName val="1_411_12"/>
      <sheetName val="ИПР_ф_242"/>
      <sheetName val="18_22"/>
      <sheetName val="Ввод_параметров2"/>
      <sheetName val="общие_сведения2"/>
      <sheetName val="Текущие_цены"/>
      <sheetName val="ПВС_с_Коэф"/>
      <sheetName val="исходные_данные"/>
      <sheetName val="расчетные_таблицы"/>
      <sheetName val="ИТОГИ__по_Н,Р,Э,Q"/>
      <sheetName val="Закупки_центр"/>
      <sheetName val="эл_ст3"/>
      <sheetName val="ýë_ñò3"/>
      <sheetName val="Производство_электроэнергии3"/>
      <sheetName val="Т19_13"/>
      <sheetName val="1_411_13"/>
      <sheetName val="ИПР_ф_243"/>
      <sheetName val="15_э3"/>
      <sheetName val="Справочник_затрат_СБ3"/>
      <sheetName val="18_23"/>
      <sheetName val="Ввод_параметров3"/>
      <sheetName val="общие_сведения3"/>
      <sheetName val="Текущие_цены1"/>
      <sheetName val="ПВС_с_Коэф1"/>
      <sheetName val="исходные_данные1"/>
      <sheetName val="расчетные_таблицы1"/>
      <sheetName val="ИТОГИ__по_Н,Р,Э,Q1"/>
      <sheetName val="Закупки_центр1"/>
      <sheetName val="эл_ст4"/>
      <sheetName val="ýë_ñò4"/>
      <sheetName val="Производство_электроэнергии4"/>
      <sheetName val="Т19_14"/>
      <sheetName val="1_411_14"/>
      <sheetName val="ИПР_ф_244"/>
      <sheetName val="15_э4"/>
      <sheetName val="Справочник_затрат_СБ4"/>
      <sheetName val="18_24"/>
      <sheetName val="Ввод_параметров4"/>
      <sheetName val="общие_сведения4"/>
      <sheetName val="Текущие_цены2"/>
      <sheetName val="ПВС_с_Коэф2"/>
      <sheetName val="исходные_данные2"/>
      <sheetName val="расчетные_таблицы2"/>
      <sheetName val="ИТОГИ__по_Н,Р,Э,Q2"/>
      <sheetName val="Закупки_центр2"/>
      <sheetName val="эл_ст5"/>
      <sheetName val="ýë_ñò5"/>
      <sheetName val="Производство_электроэнергии5"/>
      <sheetName val="Т19_15"/>
      <sheetName val="1_411_15"/>
      <sheetName val="ИПР_ф_245"/>
      <sheetName val="15_э5"/>
      <sheetName val="Справочник_затрат_СБ5"/>
      <sheetName val="18_25"/>
      <sheetName val="Ввод_параметров5"/>
      <sheetName val="общие_сведения5"/>
      <sheetName val="Текущие_цены3"/>
      <sheetName val="ПВС_с_Коэф3"/>
      <sheetName val="исходные_данные3"/>
      <sheetName val="расчетные_таблицы3"/>
      <sheetName val="ИТОГИ__по_Н,Р,Э,Q3"/>
      <sheetName val="Закупки_центр3"/>
      <sheetName val="эл_ст6"/>
      <sheetName val="ýë_ñò6"/>
      <sheetName val="Производство_электроэнергии6"/>
      <sheetName val="Т19_16"/>
      <sheetName val="1_411_16"/>
      <sheetName val="ИПР_ф_246"/>
      <sheetName val="15_э6"/>
      <sheetName val="Справочник_затрат_СБ6"/>
      <sheetName val="18_26"/>
      <sheetName val="Ввод_параметров6"/>
      <sheetName val="общие_сведения6"/>
      <sheetName val="Текущие_цены4"/>
      <sheetName val="ПВС_с_Коэф4"/>
      <sheetName val="исходные_данные4"/>
      <sheetName val="расчетные_таблицы4"/>
      <sheetName val="ИТОГИ__по_Н,Р,Э,Q4"/>
      <sheetName val="Закупки_центр4"/>
      <sheetName val="регионы"/>
      <sheetName val="Стоимость ЭЭ"/>
      <sheetName val="СВОД"/>
      <sheetName val="на 1 тут"/>
      <sheetName val="Организации"/>
      <sheetName val="Таб1_1"/>
      <sheetName val="o10_2_vat_on_advances"/>
      <sheetName val="o18_pit"/>
      <sheetName val="Индексы_"/>
      <sheetName val="эл_ст7"/>
      <sheetName val="ýë_ñò7"/>
      <sheetName val="Производство_электроэнергии7"/>
      <sheetName val="Т19_17"/>
      <sheetName val="1_411_17"/>
      <sheetName val="ИПР_ф_247"/>
      <sheetName val="15_э7"/>
      <sheetName val="Справочник_затрат_СБ7"/>
      <sheetName val="18_27"/>
      <sheetName val="Ввод_параметров7"/>
      <sheetName val="общие_сведения7"/>
      <sheetName val="Текущие_цены5"/>
      <sheetName val="ПВС_с_Коэф5"/>
      <sheetName val="исходные_данные5"/>
      <sheetName val="расчетные_таблицы5"/>
      <sheetName val="ИТОГИ__по_Н,Р,Э,Q5"/>
      <sheetName val="Закупки_центр5"/>
      <sheetName val="эл_ст8"/>
      <sheetName val="ýë_ñò8"/>
      <sheetName val="Производство_электроэнергии8"/>
      <sheetName val="Т19_18"/>
      <sheetName val="1_411_18"/>
      <sheetName val="ИПР_ф_248"/>
      <sheetName val="15_э8"/>
      <sheetName val="Справочник_затрат_СБ8"/>
      <sheetName val="18_28"/>
      <sheetName val="Ввод_параметров8"/>
      <sheetName val="общие_сведения8"/>
      <sheetName val="Текущие_цены6"/>
      <sheetName val="ПВС_с_Коэф6"/>
      <sheetName val="исходные_данные6"/>
      <sheetName val="расчетные_таблицы6"/>
      <sheetName val="ИТОГИ__по_Н,Р,Э,Q6"/>
      <sheetName val="Закупки_центр6"/>
      <sheetName val="эл_ст9"/>
      <sheetName val="ýë_ñò9"/>
      <sheetName val="Производство_электроэнергии9"/>
      <sheetName val="Т19_19"/>
      <sheetName val="1_411_19"/>
      <sheetName val="ИПР_ф_249"/>
      <sheetName val="15_э9"/>
      <sheetName val="Справочник_затрат_СБ9"/>
      <sheetName val="18_29"/>
      <sheetName val="Ввод_параметров9"/>
      <sheetName val="общие_сведения9"/>
      <sheetName val="Текущие_цены7"/>
      <sheetName val="ПВС_с_Коэф7"/>
      <sheetName val="исходные_данные7"/>
      <sheetName val="расчетные_таблицы7"/>
      <sheetName val="ИТОГИ__по_Н,Р,Э,Q7"/>
      <sheetName val="Закупки_центр7"/>
      <sheetName val="Таб1_11"/>
      <sheetName val="o10_2_vat_on_advances1"/>
      <sheetName val="o18_pit1"/>
      <sheetName val="эл_ст10"/>
      <sheetName val="ýë_ñò10"/>
      <sheetName val="Производство_электроэнергии10"/>
      <sheetName val="Т19_110"/>
      <sheetName val="1_411_110"/>
      <sheetName val="ИПР_ф_2410"/>
      <sheetName val="15_э10"/>
      <sheetName val="Справочник_затрат_СБ10"/>
      <sheetName val="18_210"/>
      <sheetName val="Ввод_параметров10"/>
      <sheetName val="общие_сведения10"/>
      <sheetName val="Текущие_цены8"/>
      <sheetName val="ПВС_с_Коэф8"/>
      <sheetName val="исходные_данные8"/>
      <sheetName val="расчетные_таблицы8"/>
      <sheetName val="ИТОГИ__по_Н,Р,Э,Q8"/>
      <sheetName val="Закупки_центр8"/>
      <sheetName val="Таб1_12"/>
      <sheetName val="o10_2_vat_on_advances2"/>
      <sheetName val="o18_pit2"/>
      <sheetName val="Рейтинг"/>
      <sheetName val="данные"/>
      <sheetName val="Акт вып работ"/>
      <sheetName val="Договор"/>
      <sheetName val="financials"/>
      <sheetName val="БФ-2-13-П"/>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НП-2-12-П"/>
      <sheetName val="эл_ст11"/>
      <sheetName val="ýë_ñò11"/>
      <sheetName val="Производство_электроэнергии11"/>
      <sheetName val="Т19_111"/>
      <sheetName val="1_411_111"/>
      <sheetName val="ИПР_ф_2411"/>
      <sheetName val="15_э11"/>
      <sheetName val="Справочник_затрат_СБ11"/>
      <sheetName val="18_211"/>
      <sheetName val="Ввод_параметров11"/>
      <sheetName val="общие_сведения11"/>
      <sheetName val="Текущие_цены9"/>
      <sheetName val="ПВС_с_Коэф9"/>
      <sheetName val="исходные_данные9"/>
      <sheetName val="расчетные_таблицы9"/>
      <sheetName val="ИТОГИ__по_Н,Р,Э,Q9"/>
      <sheetName val="Закупки_центр9"/>
      <sheetName val="Таб1_13"/>
      <sheetName val="o10_2_vat_on_advances3"/>
      <sheetName val="o18_pit3"/>
      <sheetName val="Индексы_1"/>
      <sheetName val="Расчёт_расходов"/>
      <sheetName val="НВВ_по_уровням"/>
      <sheetName val="Стоимость_ЭЭ"/>
      <sheetName val="на_1_тут"/>
      <sheetName val="услуги_непроизводств_"/>
      <sheetName val="другие_затраты_с-ст"/>
      <sheetName val="налоги_в_с-ст"/>
      <sheetName val="%_за_кредит"/>
      <sheetName val="поощрение_(ДВ)"/>
      <sheetName val="другие_из_прибыли"/>
      <sheetName val="Акт_вып_работ"/>
    </sheetNames>
    <sheetDataSet>
      <sheetData sheetId="0" refreshError="1">
        <row r="360">
          <cell r="A360" t="str">
            <v>ИТОГО по электростанциям:</v>
          </cell>
          <cell r="B360" t="str">
            <v xml:space="preserve"> </v>
          </cell>
          <cell r="D360">
            <v>1677.5819999999999</v>
          </cell>
          <cell r="E360">
            <v>961.71199999999988</v>
          </cell>
          <cell r="F360">
            <v>609.19800000000009</v>
          </cell>
          <cell r="H360">
            <v>137.38199999999998</v>
          </cell>
          <cell r="J360">
            <v>91.50800000000001</v>
          </cell>
          <cell r="K360">
            <v>1632.64</v>
          </cell>
        </row>
        <row r="368">
          <cell r="A368" t="str">
            <v>Тепловые сети</v>
          </cell>
          <cell r="G368" t="str">
            <v>30,0 км</v>
          </cell>
          <cell r="H368">
            <v>56.85</v>
          </cell>
          <cell r="I368" t="str">
            <v xml:space="preserve"> 22,0км</v>
          </cell>
          <cell r="J368">
            <v>40</v>
          </cell>
          <cell r="K368">
            <v>700</v>
          </cell>
          <cell r="L368" t="str">
            <v>Мосинжстрой</v>
          </cell>
        </row>
        <row r="369">
          <cell r="H369">
            <v>51.3</v>
          </cell>
          <cell r="J369">
            <v>37</v>
          </cell>
          <cell r="L369" t="str">
            <v>Спецстрой РФ</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sheetData sheetId="115"/>
      <sheetData sheetId="116"/>
      <sheetData sheetId="117"/>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ow r="360">
          <cell r="A360" t="str">
            <v>ИТОГО по электростанциям:</v>
          </cell>
        </row>
      </sheetData>
      <sheetData sheetId="129"/>
      <sheetData sheetId="130"/>
      <sheetData sheetId="131"/>
      <sheetData sheetId="132">
        <row r="360">
          <cell r="A360" t="str">
            <v>ИТОГО по электростанциям:</v>
          </cell>
        </row>
      </sheetData>
      <sheetData sheetId="133"/>
      <sheetData sheetId="134"/>
      <sheetData sheetId="135"/>
      <sheetData sheetId="136">
        <row r="360">
          <cell r="A360" t="str">
            <v>ИТОГО по электростанциям:</v>
          </cell>
        </row>
      </sheetData>
      <sheetData sheetId="137"/>
      <sheetData sheetId="138"/>
      <sheetData sheetId="139"/>
      <sheetData sheetId="140">
        <row r="360">
          <cell r="A360" t="str">
            <v>ИТОГО по электростанциям:</v>
          </cell>
        </row>
      </sheetData>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efreshError="1"/>
      <sheetData sheetId="214" refreshError="1"/>
      <sheetData sheetId="215" refreshError="1"/>
      <sheetData sheetId="216" refreshError="1"/>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ow r="360">
          <cell r="A360" t="str">
            <v>ИТОГО по электростанциям:</v>
          </cell>
        </row>
      </sheetData>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FST5"/>
      <sheetName val="Исходные"/>
      <sheetName val="Лист13"/>
      <sheetName val="Конст"/>
      <sheetName val="ИТОГИ  по Н,Р,Э,Q"/>
      <sheetName val="2008 -2010"/>
      <sheetName val="Регионы"/>
      <sheetName val="расшифровка"/>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 val="Исход.инф."/>
      <sheetName val="навигация"/>
      <sheetName val="Т19.1"/>
      <sheetName val="Т1.1.1"/>
      <sheetName val="Т1.2.1"/>
      <sheetName val="Т3"/>
      <sheetName val="списки"/>
      <sheetName val="продВ(I)"/>
      <sheetName val="Предприятие"/>
      <sheetName val="Source"/>
      <sheetName val="Месяцы"/>
      <sheetName val="Пер-Вл"/>
      <sheetName val="бф-2-13-п"/>
      <sheetName val="Таб1.1"/>
      <sheetName val="Ф-1 (для АО-энерго)"/>
      <sheetName val="Ф-2 (для АО-энерго)"/>
      <sheetName val="перекрестка"/>
      <sheetName val="TEHSHEET"/>
      <sheetName val="Приложение 2.1"/>
      <sheetName val="Причины"/>
      <sheetName val="Сл7"/>
      <sheetName val="лист"/>
      <sheetName val="Организации"/>
      <sheetName val="Настройка"/>
      <sheetName val="вводные данные систем"/>
      <sheetName val="3"/>
      <sheetName val="4.1"/>
      <sheetName val="свод"/>
      <sheetName val="i"/>
      <sheetName val="fes"/>
      <sheetName val="Баланс"/>
      <sheetName val="Параметры"/>
      <sheetName val="21.3"/>
      <sheetName val="18.2"/>
      <sheetName val="2.3"/>
      <sheetName val="P2.1"/>
      <sheetName val="P2.2"/>
      <sheetName val="tier1"/>
      <sheetName val="СПРАВОЧНИК"/>
      <sheetName val="4 Fin &amp; Publ"/>
      <sheetName val="unadjbs"/>
      <sheetName val="СписочнаяЧисленность"/>
      <sheetName val="Оборудование_стоим"/>
      <sheetName val="9.3"/>
      <sheetName val="расчет"/>
      <sheetName val="Омскэнерго с учетом доп 2010 "/>
      <sheetName val="ММТС"/>
      <sheetName val="ФЗП 2011"/>
      <sheetName val="Анализ"/>
      <sheetName val="Лист12"/>
      <sheetName val="даты"/>
      <sheetName val="EKDEB90"/>
      <sheetName val="% транспортировки"/>
      <sheetName val="1.411.1"/>
      <sheetName val="ОС до 40 т.р."/>
      <sheetName val="regs"/>
      <sheetName val="31.08.2004"/>
      <sheetName val="коммунальные"/>
      <sheetName val="Темников"/>
      <sheetName val="1_411_1"/>
      <sheetName val="ПЕРЕСЧЕТ"/>
      <sheetName val="9_3"/>
      <sheetName val="_ транспортировки"/>
      <sheetName val="ОС до 40 т_р_"/>
      <sheetName val="расш. зарплаты (к 9.1. 9.1.1.) "/>
      <sheetName val="СЗ-процессинг"/>
      <sheetName val="Нормативы"/>
      <sheetName val="СЗ-собственная деятельность"/>
      <sheetName val="Технич.лист"/>
      <sheetName val="VLOOKUP"/>
      <sheetName val="INPUTMASTER"/>
      <sheetName val="#ССЫЛКА"/>
      <sheetName val="31_08_2004"/>
      <sheetName val="тех. нужды"/>
      <sheetName val="соб. нужды"/>
      <sheetName val="Отрадное"/>
      <sheetName val="КП"/>
      <sheetName val="field"/>
      <sheetName val="П"/>
      <sheetName val="CF"/>
      <sheetName val="СЗ_процессинг"/>
      <sheetName val="ОС до 40 т.р. "/>
      <sheetName val="Исполнителям"/>
      <sheetName val=" накладные расходы"/>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Дебет_Кредит"/>
      <sheetName val="фев(ф)"/>
      <sheetName val="Титульный лист С-П"/>
      <sheetName val="Детализация"/>
      <sheetName val="Справочник затрат_СБ"/>
      <sheetName val="Financing"/>
      <sheetName val="Потребность в МТР"/>
      <sheetName val="План Газпрома"/>
      <sheetName val="Лист1"/>
      <sheetName val="Тарифы _ЗН"/>
      <sheetName val="Тарифы _СК"/>
      <sheetName val="гтэс-24"/>
      <sheetName val="гтэс-72"/>
      <sheetName val="рвдс"/>
      <sheetName val="рвдс зм"/>
      <sheetName val="ртвс-1"/>
      <sheetName val="ртвс-2"/>
      <sheetName val="ртвс-3"/>
      <sheetName val="ртвс зм"/>
      <sheetName val="РТиЭС"/>
      <sheetName val="РЭС"/>
      <sheetName val="рэс зм"/>
      <sheetName val="Таз."/>
      <sheetName val="эмц"/>
      <sheetName val="всего"/>
      <sheetName val="П 4"/>
      <sheetName val="П 1"/>
      <sheetName val="П 21-1"/>
      <sheetName val="Ис. данные эк"/>
      <sheetName val="91 форма 2 1 полуг"/>
      <sheetName val="Настройки"/>
      <sheetName val="Общая"/>
      <sheetName val="ПРОГНОЗ_1"/>
      <sheetName val="Производство электроэнергии"/>
      <sheetName val="тар"/>
      <sheetName val="т1.15(смета8а)"/>
      <sheetName val="35998"/>
      <sheetName val="44"/>
      <sheetName val="92"/>
      <sheetName val="94"/>
      <sheetName val="97"/>
      <sheetName val="Отчет"/>
      <sheetName val="Фин план"/>
      <sheetName val="9_32"/>
      <sheetName val="Омскэнерго_с_учетом_доп_2010_1"/>
      <sheetName val="ФЗП_20111"/>
      <sheetName val="_накладные_расходы1"/>
      <sheetName val="Коды_статей1"/>
      <sheetName val="%_транспортировки1"/>
      <sheetName val="ОС_до_40_т_р_2"/>
      <sheetName val="1_411_12"/>
      <sheetName val="31_08_20042"/>
      <sheetName val="расш__зарплаты_(к_9_1__9_1_1_)1"/>
      <sheetName val="СЗ-собственная_деятельность1"/>
      <sheetName val="Технич_лист1"/>
      <sheetName val="__транспортировки1"/>
      <sheetName val="ОС_до_40_т_р_3"/>
      <sheetName val="тех__нужды1"/>
      <sheetName val="соб__нужды1"/>
      <sheetName val="Титульный_лист_С-П1"/>
      <sheetName val="Справочник_затрат_СБ1"/>
      <sheetName val="9_31"/>
      <sheetName val="Омскэнерго_с_учетом_доп_2010_"/>
      <sheetName val="ФЗП_2011"/>
      <sheetName val="_накладные_расходы"/>
      <sheetName val="Коды_статей"/>
      <sheetName val="%_транспортировки"/>
      <sheetName val="ОС_до_40_т_р_"/>
      <sheetName val="1_411_11"/>
      <sheetName val="31_08_20041"/>
      <sheetName val="расш__зарплаты_(к_9_1__9_1_1_)_"/>
      <sheetName val="СЗ-собственная_деятельность"/>
      <sheetName val="Технич_лист"/>
      <sheetName val="__транспортировки"/>
      <sheetName val="ОС_до_40_т_р_1"/>
      <sheetName val="тех__нужды"/>
      <sheetName val="соб__нужды"/>
      <sheetName val="Титульный_лист_С-П"/>
      <sheetName val="Справочник_затрат_СБ"/>
      <sheetName val="Проценты"/>
      <sheetName val="не_удалять"/>
      <sheetName val="подготовка кадров"/>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смета+расш."/>
      <sheetName val="index"/>
      <sheetName val="Лист2"/>
      <sheetName val="1.401.2"/>
      <sheetName val="Справ-к БДР выручка"/>
      <sheetName val="Справочник ЦФО"/>
      <sheetName val="TECHSHEET"/>
      <sheetName val="ОЦСГ"/>
      <sheetName val="Лист3"/>
      <sheetName val="0_13"/>
      <sheetName val="2_13"/>
      <sheetName val="2_23"/>
      <sheetName val="6_13"/>
      <sheetName val="17_13"/>
      <sheetName val="24_13"/>
      <sheetName val="Потребность_в_МТР"/>
      <sheetName val="эл_ст3"/>
      <sheetName val="GRES_2007_53"/>
      <sheetName val="ПС_рек"/>
      <sheetName val="ЛЭП_нов"/>
      <sheetName val="ИТОГИ__по_Н,Р,Э,Q3"/>
      <sheetName val="2008_-20103"/>
      <sheetName val="Общий_свод_(2)3"/>
      <sheetName val="Сценарные_условия3"/>
      <sheetName val="Список_ДЗО3"/>
      <sheetName val="4_Закупка_электроэнергии3"/>
      <sheetName val="5_Производственная_программа3"/>
      <sheetName val="баланс1"/>
      <sheetName val="Титульный"/>
      <sheetName val="ТС.Т"/>
      <sheetName val="TECH_VERTICAL"/>
      <sheetName val="ТС.К"/>
      <sheetName val="ТБО.К"/>
      <sheetName val="ВО.К"/>
      <sheetName val="текущие цены"/>
      <sheetName val="Огл. Графиков"/>
      <sheetName val="рабочий"/>
      <sheetName val="окраска"/>
      <sheetName val="Info"/>
      <sheetName val="Grouplist"/>
      <sheetName val="productlist"/>
      <sheetName val="таблица"/>
      <sheetName val="FGL_BS_data"/>
      <sheetName val="Вариант_XIII_(аренда_ГТУ)"/>
      <sheetName val="Исход_инф_"/>
      <sheetName val="Т19_1"/>
      <sheetName val="Т1_1_1"/>
      <sheetName val="Т1_2_1"/>
      <sheetName val="Таб1_1"/>
      <sheetName val="Ф-1_(для_АО-энерго)"/>
      <sheetName val="Ф-2_(для_АО-энерго)"/>
      <sheetName val="Приложение_2_1"/>
      <sheetName val="вводные_данные_систем"/>
      <sheetName val="4_1"/>
      <sheetName val="Рейтинг"/>
      <sheetName val="XLR_NoRangeSheet"/>
      <sheetName val="MTO REV.0"/>
      <sheetName val="Транспортный"/>
      <sheetName val="35"/>
      <sheetName val="отопл"/>
      <sheetName val="Генер"/>
      <sheetName val="ПС"/>
      <sheetName val="Потребители"/>
      <sheetName val="Сбыты"/>
      <sheetName val="ТСО"/>
      <sheetName val="pile径1m･27"/>
      <sheetName val="Служебный"/>
      <sheetName val="Таблица9"/>
      <sheetName val="Таблица14"/>
      <sheetName val="Таблица1"/>
      <sheetName val="ТехЭк"/>
      <sheetName val="общий"/>
      <sheetName val="Таблица2"/>
      <sheetName val="Таблица5"/>
      <sheetName val="OS01_6OZ"/>
      <sheetName val="КВАНТ"/>
      <sheetName val="Проект"/>
      <sheetName val="Т12"/>
      <sheetName val="REESTR"/>
      <sheetName val="вспомогат(по месяцам)"/>
      <sheetName val="0_14"/>
      <sheetName val="2_14"/>
      <sheetName val="2_24"/>
      <sheetName val="6_14"/>
      <sheetName val="17_14"/>
      <sheetName val="24_14"/>
      <sheetName val="GRES_2007_54"/>
      <sheetName val="эл_ст4"/>
      <sheetName val="Общий_свод_(2)4"/>
      <sheetName val="Т19_11"/>
      <sheetName val="Т1_1_11"/>
      <sheetName val="Т1_2_11"/>
      <sheetName val="ИТОГИ__по_Н,Р,Э,Q4"/>
      <sheetName val="2008_-20104"/>
      <sheetName val="Сценарные_условия4"/>
      <sheetName val="Список_ДЗО4"/>
      <sheetName val="4_Закупка_электроэнергии4"/>
      <sheetName val="5_Производственная_программа4"/>
      <sheetName val="FGL_BS_data1"/>
      <sheetName val="Вариант_XIII_(аренда_ГТУ)1"/>
      <sheetName val="ЛЭП_нов1"/>
      <sheetName val="ПС_рек1"/>
      <sheetName val="Исход_инф_1"/>
      <sheetName val="Приложение_2_11"/>
      <sheetName val="Таб1_11"/>
      <sheetName val="Ф-1_(для_АО-энерго)1"/>
      <sheetName val="Ф-2_(для_АО-энерго)1"/>
      <sheetName val="вводные_данные_систем1"/>
      <sheetName val="4_11"/>
      <sheetName val="0_15"/>
      <sheetName val="2_15"/>
      <sheetName val="2_25"/>
      <sheetName val="6_15"/>
      <sheetName val="17_15"/>
      <sheetName val="24_15"/>
      <sheetName val="GRES_2007_55"/>
      <sheetName val="эл_ст5"/>
      <sheetName val="Общий_свод_(2)5"/>
      <sheetName val="Т19_12"/>
      <sheetName val="Т1_1_12"/>
      <sheetName val="Т1_2_12"/>
      <sheetName val="ИТОГИ__по_Н,Р,Э,Q5"/>
      <sheetName val="2008_-20105"/>
      <sheetName val="Сценарные_условия5"/>
      <sheetName val="Список_ДЗО5"/>
      <sheetName val="4_Закупка_электроэнергии5"/>
      <sheetName val="5_Производственная_программа5"/>
      <sheetName val="FGL_BS_data2"/>
      <sheetName val="Вариант_XIII_(аренда_ГТУ)2"/>
      <sheetName val="ЛЭП_нов2"/>
      <sheetName val="ПС_рек2"/>
      <sheetName val="Исход_инф_2"/>
      <sheetName val="Приложение_2_12"/>
      <sheetName val="Таб1_12"/>
      <sheetName val="Ф-1_(для_АО-энерго)2"/>
      <sheetName val="Ф-2_(для_АО-энерго)2"/>
      <sheetName val="вводные_данные_систем2"/>
      <sheetName val="4_12"/>
      <sheetName val="0_16"/>
      <sheetName val="2_16"/>
      <sheetName val="2_26"/>
      <sheetName val="6_16"/>
      <sheetName val="17_16"/>
      <sheetName val="24_16"/>
      <sheetName val="GRES_2007_56"/>
      <sheetName val="эл_ст6"/>
      <sheetName val="Общий_свод_(2)6"/>
      <sheetName val="Т19_13"/>
      <sheetName val="Т1_1_13"/>
      <sheetName val="Т1_2_13"/>
      <sheetName val="ИТОГИ__по_Н,Р,Э,Q6"/>
      <sheetName val="2008_-20106"/>
      <sheetName val="Сценарные_условия6"/>
      <sheetName val="Список_ДЗО6"/>
      <sheetName val="4_Закупка_электроэнергии6"/>
      <sheetName val="5_Производственная_программа6"/>
      <sheetName val="FGL_BS_data3"/>
      <sheetName val="Вариант_XIII_(аренда_ГТУ)3"/>
      <sheetName val="ЛЭП_нов3"/>
      <sheetName val="ПС_рек3"/>
      <sheetName val="Исход_инф_3"/>
      <sheetName val="Приложение_2_13"/>
      <sheetName val="Таб1_13"/>
      <sheetName val="Ф-1_(для_АО-энерго)3"/>
      <sheetName val="Ф-2_(для_АО-энерго)3"/>
      <sheetName val="вводные_данные_систем3"/>
      <sheetName val="4_13"/>
      <sheetName val="0_17"/>
      <sheetName val="2_17"/>
      <sheetName val="2_27"/>
      <sheetName val="6_17"/>
      <sheetName val="17_17"/>
      <sheetName val="24_17"/>
      <sheetName val="GRES_2007_57"/>
      <sheetName val="эл_ст7"/>
      <sheetName val="Общий_свод_(2)7"/>
      <sheetName val="Т19_14"/>
      <sheetName val="Т1_1_14"/>
      <sheetName val="Т1_2_14"/>
      <sheetName val="ИТОГИ__по_Н,Р,Э,Q7"/>
      <sheetName val="2008_-20107"/>
      <sheetName val="Сценарные_условия7"/>
      <sheetName val="Список_ДЗО7"/>
      <sheetName val="4_Закупка_электроэнергии7"/>
      <sheetName val="5_Производственная_программа7"/>
      <sheetName val="FGL_BS_data4"/>
      <sheetName val="Вариант_XIII_(аренда_ГТУ)4"/>
      <sheetName val="ЛЭП_нов4"/>
      <sheetName val="ПС_рек4"/>
      <sheetName val="Исход_инф_4"/>
      <sheetName val="Приложение_2_14"/>
      <sheetName val="Таб1_14"/>
      <sheetName val="Ф-1_(для_АО-энерго)4"/>
      <sheetName val="Ф-2_(для_АО-энерго)4"/>
      <sheetName val="вводные_данные_систем4"/>
      <sheetName val="4_14"/>
      <sheetName val="0_18"/>
      <sheetName val="2_18"/>
      <sheetName val="2_28"/>
      <sheetName val="6_18"/>
      <sheetName val="17_18"/>
      <sheetName val="24_18"/>
      <sheetName val="GRES_2007_58"/>
      <sheetName val="эл_ст8"/>
      <sheetName val="Общий_свод_(2)8"/>
      <sheetName val="Т19_15"/>
      <sheetName val="Т1_1_15"/>
      <sheetName val="Т1_2_15"/>
      <sheetName val="ИТОГИ__по_Н,Р,Э,Q8"/>
      <sheetName val="2008_-20108"/>
      <sheetName val="Сценарные_условия8"/>
      <sheetName val="Список_ДЗО8"/>
      <sheetName val="4_Закупка_электроэнергии8"/>
      <sheetName val="5_Производственная_программа8"/>
      <sheetName val="FGL_BS_data5"/>
      <sheetName val="Вариант_XIII_(аренда_ГТУ)5"/>
      <sheetName val="ЛЭП_нов5"/>
      <sheetName val="ПС_рек5"/>
      <sheetName val="Исход_инф_5"/>
      <sheetName val="Приложение_2_15"/>
      <sheetName val="Таб1_15"/>
      <sheetName val="Ф-1_(для_АО-энерго)5"/>
      <sheetName val="Ф-2_(для_АО-энерго)5"/>
      <sheetName val="вводные_данные_систем5"/>
      <sheetName val="4_15"/>
      <sheetName val="0_19"/>
      <sheetName val="2_19"/>
      <sheetName val="2_29"/>
      <sheetName val="6_19"/>
      <sheetName val="17_19"/>
      <sheetName val="24_19"/>
      <sheetName val="GRES_2007_59"/>
      <sheetName val="эл_ст9"/>
      <sheetName val="Общий_свод_(2)9"/>
      <sheetName val="Т19_16"/>
      <sheetName val="Т1_1_16"/>
      <sheetName val="Т1_2_16"/>
      <sheetName val="ИТОГИ__по_Н,Р,Э,Q9"/>
      <sheetName val="2008_-20109"/>
      <sheetName val="Сценарные_условия9"/>
      <sheetName val="Список_ДЗО9"/>
      <sheetName val="4_Закупка_электроэнергии9"/>
      <sheetName val="5_Производственная_программа9"/>
      <sheetName val="FGL_BS_data6"/>
      <sheetName val="Вариант_XIII_(аренда_ГТУ)6"/>
      <sheetName val="ЛЭП_нов6"/>
      <sheetName val="ПС_рек6"/>
      <sheetName val="Исход_инф_6"/>
      <sheetName val="Приложение_2_16"/>
      <sheetName val="Таб1_16"/>
      <sheetName val="Ф-1_(для_АО-энерго)6"/>
      <sheetName val="Ф-2_(для_АО-энерго)6"/>
      <sheetName val="вводные_данные_систем6"/>
      <sheetName val="4_16"/>
      <sheetName val="вспомогат(по_месяцам)"/>
      <sheetName val="0_110"/>
      <sheetName val="2_110"/>
      <sheetName val="2_210"/>
      <sheetName val="6_110"/>
      <sheetName val="17_110"/>
      <sheetName val="24_110"/>
      <sheetName val="GRES_2007_510"/>
      <sheetName val="эл_ст10"/>
      <sheetName val="Общий_свод_(2)10"/>
      <sheetName val="Т19_17"/>
      <sheetName val="Т1_1_17"/>
      <sheetName val="Т1_2_17"/>
      <sheetName val="ИТОГИ__по_Н,Р,Э,Q10"/>
      <sheetName val="2008_-201010"/>
      <sheetName val="Сценарные_условия10"/>
      <sheetName val="Список_ДЗО10"/>
      <sheetName val="4_Закупка_электроэнергии10"/>
      <sheetName val="5_Производственная_программа10"/>
      <sheetName val="FGL_BS_data7"/>
      <sheetName val="Вариант_XIII_(аренда_ГТУ)7"/>
      <sheetName val="ЛЭП_нов7"/>
      <sheetName val="ПС_рек7"/>
      <sheetName val="Исход_инф_7"/>
      <sheetName val="Приложение_2_17"/>
      <sheetName val="Таб1_17"/>
      <sheetName val="Ф-1_(для_АО-энерго)7"/>
      <sheetName val="Ф-2_(для_АО-энерго)7"/>
      <sheetName val="вводные_данные_систем7"/>
      <sheetName val="4_17"/>
      <sheetName val="вспомогат(по_месяцам)1"/>
      <sheetName val="0_111"/>
      <sheetName val="2_111"/>
      <sheetName val="2_211"/>
      <sheetName val="6_111"/>
      <sheetName val="17_111"/>
      <sheetName val="24_111"/>
      <sheetName val="GRES_2007_511"/>
      <sheetName val="эл_ст11"/>
      <sheetName val="Общий_свод_(2)11"/>
      <sheetName val="Т19_18"/>
      <sheetName val="Т1_1_18"/>
      <sheetName val="Т1_2_18"/>
      <sheetName val="ИТОГИ__по_Н,Р,Э,Q11"/>
      <sheetName val="2008_-201011"/>
      <sheetName val="Сценарные_условия11"/>
      <sheetName val="Список_ДЗО11"/>
      <sheetName val="4_Закупка_электроэнергии11"/>
      <sheetName val="5_Производственная_программа11"/>
      <sheetName val="FGL_BS_data8"/>
      <sheetName val="Вариант_XIII_(аренда_ГТУ)8"/>
      <sheetName val="ЛЭП_нов8"/>
      <sheetName val="ПС_рек8"/>
      <sheetName val="Исход_инф_8"/>
      <sheetName val="Приложение_2_18"/>
      <sheetName val="Таб1_18"/>
      <sheetName val="Ф-1_(для_АО-энерго)8"/>
      <sheetName val="Ф-2_(для_АО-энерго)8"/>
      <sheetName val="вводные_данные_систем8"/>
      <sheetName val="4_18"/>
      <sheetName val="вспомогат(по_месяцам)2"/>
      <sheetName val="0_112"/>
      <sheetName val="2_112"/>
      <sheetName val="2_212"/>
      <sheetName val="6_112"/>
      <sheetName val="17_112"/>
      <sheetName val="24_112"/>
      <sheetName val="GRES_2007_512"/>
      <sheetName val="эл_ст12"/>
      <sheetName val="Общий_свод_(2)12"/>
      <sheetName val="Т19_19"/>
      <sheetName val="Т1_1_19"/>
      <sheetName val="Т1_2_19"/>
      <sheetName val="ИТОГИ__по_Н,Р,Э,Q12"/>
      <sheetName val="2008_-201012"/>
      <sheetName val="Сценарные_условия12"/>
      <sheetName val="Список_ДЗО12"/>
      <sheetName val="4_Закупка_электроэнергии12"/>
      <sheetName val="5_Производственная_программа12"/>
      <sheetName val="FGL_BS_data9"/>
      <sheetName val="Вариант_XIII_(аренда_ГТУ)9"/>
      <sheetName val="ЛЭП_нов9"/>
      <sheetName val="ПС_рек9"/>
      <sheetName val="Исход_инф_9"/>
      <sheetName val="Приложение_2_19"/>
      <sheetName val="Таб1_19"/>
      <sheetName val="Ф-1_(для_АО-энерго)9"/>
      <sheetName val="Ф-2_(для_АО-энерго)9"/>
      <sheetName val="вводные_данные_систем9"/>
      <sheetName val="4_19"/>
      <sheetName val="вспомогат(по_месяцам)3"/>
      <sheetName val="0_113"/>
      <sheetName val="2_113"/>
      <sheetName val="2_213"/>
      <sheetName val="6_113"/>
      <sheetName val="17_113"/>
      <sheetName val="24_113"/>
      <sheetName val="GRES_2007_513"/>
      <sheetName val="эл_ст13"/>
      <sheetName val="Общий_свод_(2)13"/>
      <sheetName val="Т19_110"/>
      <sheetName val="Т1_1_110"/>
      <sheetName val="Т1_2_110"/>
      <sheetName val="ИТОГИ__по_Н,Р,Э,Q13"/>
      <sheetName val="2008_-201013"/>
      <sheetName val="Сценарные_условия13"/>
      <sheetName val="Список_ДЗО13"/>
      <sheetName val="4_Закупка_электроэнергии13"/>
      <sheetName val="5_Производственная_программа13"/>
      <sheetName val="FGL_BS_data10"/>
      <sheetName val="Вариант_XIII_(аренда_ГТУ)10"/>
      <sheetName val="ЛЭП_нов10"/>
      <sheetName val="ПС_рек10"/>
      <sheetName val="Исход_инф_10"/>
      <sheetName val="Приложение_2_110"/>
      <sheetName val="Таб1_110"/>
      <sheetName val="Ф-1_(для_АО-энерго)10"/>
      <sheetName val="Ф-2_(для_АО-энерго)10"/>
      <sheetName val="вводные_данные_систем10"/>
      <sheetName val="4_110"/>
      <sheetName val="вспомогат(по_месяцам)4"/>
      <sheetName val="0_114"/>
      <sheetName val="2_114"/>
      <sheetName val="2_214"/>
      <sheetName val="6_114"/>
      <sheetName val="17_114"/>
      <sheetName val="24_114"/>
      <sheetName val="GRES_2007_514"/>
      <sheetName val="эл_ст14"/>
      <sheetName val="Общий_свод_(2)14"/>
      <sheetName val="Т19_111"/>
      <sheetName val="Т1_1_111"/>
      <sheetName val="Т1_2_111"/>
      <sheetName val="ИТОГИ__по_Н,Р,Э,Q14"/>
      <sheetName val="2008_-201014"/>
      <sheetName val="Сценарные_условия14"/>
      <sheetName val="Список_ДЗО14"/>
      <sheetName val="4_Закупка_электроэнергии14"/>
      <sheetName val="5_Производственная_программа14"/>
      <sheetName val="FGL_BS_data11"/>
      <sheetName val="Вариант_XIII_(аренда_ГТУ)11"/>
      <sheetName val="ЛЭП_нов11"/>
      <sheetName val="ПС_рек11"/>
      <sheetName val="Исход_инф_11"/>
      <sheetName val="Приложение_2_111"/>
      <sheetName val="Таб1_111"/>
      <sheetName val="Ф-1_(для_АО-энерго)11"/>
      <sheetName val="Ф-2_(для_АО-энерго)11"/>
      <sheetName val="вводные_данные_систем11"/>
      <sheetName val="4_111"/>
      <sheetName val="вспомогат(по_месяцам)5"/>
      <sheetName val="0_115"/>
      <sheetName val="2_115"/>
      <sheetName val="2_215"/>
      <sheetName val="6_115"/>
      <sheetName val="17_115"/>
      <sheetName val="24_115"/>
      <sheetName val="GRES_2007_515"/>
      <sheetName val="эл_ст15"/>
      <sheetName val="Общий_свод_(2)15"/>
      <sheetName val="Т19_112"/>
      <sheetName val="Т1_1_112"/>
      <sheetName val="Т1_2_112"/>
      <sheetName val="ИТОГИ__по_Н,Р,Э,Q15"/>
      <sheetName val="2008_-201015"/>
      <sheetName val="Сценарные_условия15"/>
      <sheetName val="Список_ДЗО15"/>
      <sheetName val="4_Закупка_электроэнергии15"/>
      <sheetName val="5_Производственная_программа15"/>
      <sheetName val="FGL_BS_data12"/>
      <sheetName val="Вариант_XIII_(аренда_ГТУ)12"/>
      <sheetName val="ЛЭП_нов12"/>
      <sheetName val="ПС_рек12"/>
      <sheetName val="Исход_инф_12"/>
      <sheetName val="Приложение_2_112"/>
      <sheetName val="Таб1_112"/>
      <sheetName val="Ф-1_(для_АО-энерго)12"/>
      <sheetName val="Ф-2_(для_АО-энерго)12"/>
      <sheetName val="вводные_данные_систем12"/>
      <sheetName val="4_112"/>
      <sheetName val="вспомогат(по_месяцам)6"/>
      <sheetName val="0_117"/>
      <sheetName val="2_117"/>
      <sheetName val="2_217"/>
      <sheetName val="6_117"/>
      <sheetName val="17_117"/>
      <sheetName val="24_117"/>
      <sheetName val="GRES_2007_517"/>
      <sheetName val="эл_ст17"/>
      <sheetName val="Общий_свод_(2)17"/>
      <sheetName val="Т19_114"/>
      <sheetName val="Т1_1_114"/>
      <sheetName val="Т1_2_114"/>
      <sheetName val="ИТОГИ__по_Н,Р,Э,Q17"/>
      <sheetName val="2008_-201017"/>
      <sheetName val="Сценарные_условия17"/>
      <sheetName val="Список_ДЗО17"/>
      <sheetName val="4_Закупка_электроэнергии17"/>
      <sheetName val="5_Производственная_программа17"/>
      <sheetName val="FGL_BS_data14"/>
      <sheetName val="Вариант_XIII_(аренда_ГТУ)14"/>
      <sheetName val="ЛЭП_нов14"/>
      <sheetName val="ПС_рек14"/>
      <sheetName val="Исход_инф_14"/>
      <sheetName val="Приложение_2_114"/>
      <sheetName val="Таб1_114"/>
      <sheetName val="Ф-1_(для_АО-энерго)14"/>
      <sheetName val="Ф-2_(для_АО-энерго)14"/>
      <sheetName val="вводные_данные_систем14"/>
      <sheetName val="4_114"/>
      <sheetName val="вспомогат(по_месяцам)8"/>
      <sheetName val="0_116"/>
      <sheetName val="2_116"/>
      <sheetName val="2_216"/>
      <sheetName val="6_116"/>
      <sheetName val="17_116"/>
      <sheetName val="24_116"/>
      <sheetName val="GRES_2007_516"/>
      <sheetName val="эл_ст16"/>
      <sheetName val="Общий_свод_(2)16"/>
      <sheetName val="Т19_113"/>
      <sheetName val="Т1_1_113"/>
      <sheetName val="Т1_2_113"/>
      <sheetName val="ИТОГИ__по_Н,Р,Э,Q16"/>
      <sheetName val="2008_-201016"/>
      <sheetName val="Сценарные_условия16"/>
      <sheetName val="Список_ДЗО16"/>
      <sheetName val="4_Закупка_электроэнергии16"/>
      <sheetName val="5_Производственная_программа16"/>
      <sheetName val="FGL_BS_data13"/>
      <sheetName val="Вариант_XIII_(аренда_ГТУ)13"/>
      <sheetName val="ЛЭП_нов13"/>
      <sheetName val="ПС_рек13"/>
      <sheetName val="Исход_инф_13"/>
      <sheetName val="Приложение_2_113"/>
      <sheetName val="Таб1_113"/>
      <sheetName val="Ф-1_(для_АО-энерго)13"/>
      <sheetName val="Ф-2_(для_АО-энерго)13"/>
      <sheetName val="вводные_данные_систем13"/>
      <sheetName val="4_113"/>
      <sheetName val="вспомогат(по_месяцам)7"/>
      <sheetName val="0_118"/>
      <sheetName val="2_118"/>
      <sheetName val="2_218"/>
      <sheetName val="6_118"/>
      <sheetName val="17_118"/>
      <sheetName val="24_118"/>
      <sheetName val="GRES_2007_518"/>
      <sheetName val="эл_ст18"/>
      <sheetName val="Общий_свод_(2)18"/>
      <sheetName val="Т19_115"/>
      <sheetName val="Т1_1_115"/>
      <sheetName val="Т1_2_115"/>
      <sheetName val="ИТОГИ__по_Н,Р,Э,Q18"/>
      <sheetName val="2008_-201018"/>
      <sheetName val="Сценарные_условия18"/>
      <sheetName val="Список_ДЗО18"/>
      <sheetName val="4_Закупка_электроэнергии18"/>
      <sheetName val="5_Производственная_программа18"/>
      <sheetName val="FGL_BS_data15"/>
      <sheetName val="Вариант_XIII_(аренда_ГТУ)15"/>
      <sheetName val="ЛЭП_нов15"/>
      <sheetName val="ПС_рек15"/>
      <sheetName val="Исход_инф_15"/>
      <sheetName val="Приложение_2_115"/>
      <sheetName val="Таб1_115"/>
      <sheetName val="Ф-1_(для_АО-энерго)15"/>
      <sheetName val="Ф-2_(для_АО-энерго)15"/>
      <sheetName val="вводные_данные_систем15"/>
      <sheetName val="4_115"/>
      <sheetName val="вспомогат(по_месяцам)9"/>
      <sheetName val="0 (фст)"/>
      <sheetName val="Закупки центр"/>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Служебный лист"/>
      <sheetName val="ф16"/>
      <sheetName val="ф19"/>
      <sheetName val="ф4"/>
      <sheetName val="ф5"/>
      <sheetName val="ф6"/>
      <sheetName val="ф9(замена)"/>
      <sheetName val="ф7"/>
      <sheetName val="ф8"/>
      <sheetName val="ф9"/>
      <sheetName val="SHPZ"/>
      <sheetName val="БИ-2-18-П"/>
      <sheetName val="БИ-2-19-П"/>
      <sheetName val="БИ-2-7-П"/>
      <sheetName val="БИ-2-9-П"/>
      <sheetName val="БИ-2-14-П"/>
      <sheetName val="БИ-2-16-П"/>
      <sheetName val="A"/>
      <sheetName val="Не удалять"/>
      <sheetName val="0_119"/>
      <sheetName val="2_119"/>
      <sheetName val="2_219"/>
      <sheetName val="6_119"/>
      <sheetName val="17_119"/>
      <sheetName val="24_119"/>
      <sheetName val="GRES_2007_519"/>
      <sheetName val="эл_ст19"/>
      <sheetName val="ИТОГИ__по_Н,Р,Э,Q19"/>
      <sheetName val="2008_-201019"/>
      <sheetName val="Общий_свод_(2)19"/>
      <sheetName val="Сценарные_условия19"/>
      <sheetName val="Список_ДЗО19"/>
      <sheetName val="4_Закупка_электроэнергии19"/>
      <sheetName val="5_Производственная_программа19"/>
      <sheetName val="FGL_BS_data16"/>
      <sheetName val="Вариант_XIII_(аренда_ГТУ)16"/>
      <sheetName val="ЛЭП_нов16"/>
      <sheetName val="ПС_рек16"/>
      <sheetName val="Исход_инф_16"/>
      <sheetName val="Т19_116"/>
      <sheetName val="Т1_1_116"/>
      <sheetName val="Т1_2_116"/>
      <sheetName val="Таб1_116"/>
      <sheetName val="Ф-1_(для_АО-энерго)16"/>
      <sheetName val="Ф-2_(для_АО-энерго)16"/>
      <sheetName val="Приложение_2_116"/>
      <sheetName val="вводные_данные_систем16"/>
      <sheetName val="4_116"/>
      <sheetName val="21_3"/>
      <sheetName val="18_2"/>
      <sheetName val="2_3"/>
      <sheetName val="P2_1"/>
      <sheetName val="P2_2"/>
      <sheetName val="4_Fin_&amp;_Publ"/>
      <sheetName val="9_33"/>
      <sheetName val="Омскэнерго_с_учетом_доп_2010_2"/>
      <sheetName val="ФЗП_20112"/>
      <sheetName val="%_транспортировки2"/>
      <sheetName val="1_411_13"/>
      <sheetName val="ОС_до_40_т_р_4"/>
      <sheetName val="31_08_20043"/>
      <sheetName val="__транспортировки2"/>
      <sheetName val="ОС_до_40_т_р_5"/>
      <sheetName val="расш__зарплаты_(к_9_1__9_1_1_)2"/>
      <sheetName val="СЗ-собственная_деятельность2"/>
      <sheetName val="Технич_лист2"/>
      <sheetName val="тех__нужды2"/>
      <sheetName val="соб__нужды2"/>
      <sheetName val="ОС_до_40_т_р__"/>
      <sheetName val="_накладные_расходы2"/>
      <sheetName val="Коды_статей2"/>
      <sheetName val="Титульный_лист_С-П2"/>
      <sheetName val="Справочник_затрат_СБ2"/>
      <sheetName val="Потребность_в_МТР1"/>
      <sheetName val="План_Газпрома"/>
      <sheetName val="Тарифы__ЗН"/>
      <sheetName val="Тарифы__СК"/>
      <sheetName val="рвдс_зм"/>
      <sheetName val="ртвс_зм"/>
      <sheetName val="рэс_зм"/>
      <sheetName val="Таз_"/>
      <sheetName val="П_4"/>
      <sheetName val="П_1"/>
      <sheetName val="П_21-1"/>
      <sheetName val="Ис__данные_эк"/>
      <sheetName val="91_форма_2_1_полуг"/>
      <sheetName val="Производство_электроэнергии"/>
      <sheetName val="т1_15(смета8а)"/>
      <sheetName val="Фин_план"/>
      <sheetName val="подготовка_кадров"/>
      <sheetName val="смета+расш_"/>
      <sheetName val="1_401_2"/>
      <sheetName val="Справ-к_БДР_выручка"/>
      <sheetName val="Справочник_ЦФО"/>
      <sheetName val="ТС_Т"/>
      <sheetName val="ТС_К"/>
      <sheetName val="ТБО_К"/>
      <sheetName val="ВО_К"/>
      <sheetName val="текущие_цены"/>
      <sheetName val="Огл__Графиков"/>
      <sheetName val="MTO_REV_0"/>
      <sheetName val="Закупки_центр"/>
      <sheetName val="услуги_непроизводств_"/>
      <sheetName val="другие_затраты_с-ст"/>
      <sheetName val="налоги_в_с-ст"/>
      <sheetName val="%_за_кредит"/>
      <sheetName val="поощрение_(дв)"/>
      <sheetName val="другие_из_прибыли"/>
      <sheetName val="Служебный_лист"/>
      <sheetName val="вспомогат(по_месяцам)10"/>
      <sheetName val="0_(фст)"/>
      <sheetName val="共機J"/>
      <sheetName val="ESTI."/>
      <sheetName val="DI-ESTI"/>
      <sheetName val="1. Местоположение"/>
      <sheetName val="8. Общие сведения"/>
    </sheetNames>
    <sheetDataSet>
      <sheetData sheetId="0" refreshError="1"/>
      <sheetData sheetId="1">
        <row r="4">
          <cell r="A4" t="str">
            <v>РГК</v>
          </cell>
        </row>
      </sheetData>
      <sheetData sheetId="2" refreshError="1">
        <row r="4">
          <cell r="A4" t="str">
            <v>РГК</v>
          </cell>
        </row>
        <row r="10">
          <cell r="A10" t="str">
            <v>Станция-1</v>
          </cell>
        </row>
        <row r="11">
          <cell r="A11" t="str">
            <v>Станция-2</v>
          </cell>
        </row>
        <row r="19">
          <cell r="A19" t="str">
            <v>Уголь разреза-1</v>
          </cell>
        </row>
        <row r="20">
          <cell r="A20" t="str">
            <v>Уголь разреза-2</v>
          </cell>
        </row>
        <row r="26">
          <cell r="A26" t="str">
            <v>Торф</v>
          </cell>
        </row>
        <row r="27">
          <cell r="A27" t="str">
            <v>Сланцы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sheetData sheetId="358"/>
      <sheetData sheetId="359"/>
      <sheetData sheetId="360"/>
      <sheetData sheetId="361"/>
      <sheetData sheetId="362"/>
      <sheetData sheetId="363"/>
      <sheetData sheetId="364"/>
      <sheetData sheetId="365"/>
      <sheetData sheetId="366"/>
      <sheetData sheetId="367"/>
      <sheetData sheetId="368"/>
      <sheetData sheetId="369" refreshError="1"/>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refreshError="1"/>
      <sheetData sheetId="967" refreshError="1"/>
      <sheetData sheetId="968" refreshError="1"/>
      <sheetData sheetId="969" refreshError="1"/>
      <sheetData sheetId="9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Check"/>
      <sheetName val="Инструкция"/>
      <sheetName val="Титульный"/>
      <sheetName val="Расходы"/>
      <sheetName val="Доходы"/>
      <sheetName val="Финансовые результаты"/>
      <sheetName val="Комментарии"/>
      <sheetName val="Проверка"/>
      <sheetName val="et_union"/>
      <sheetName val="AllSheetsInThisWorkbook"/>
      <sheetName val="TEHSHEET"/>
      <sheetName val="REESTR_ORG"/>
      <sheetName val="REESTR_FILTERED"/>
      <sheetName val="REESTR_MO"/>
      <sheetName val="modHyp"/>
      <sheetName val="modChange"/>
      <sheetName val="modServiceModule"/>
      <sheetName val="modCommandButton"/>
      <sheetName val="modReestr"/>
      <sheetName val="modClassifierValidate"/>
      <sheetName val="modInfo"/>
      <sheetName val="modfrmReestr"/>
      <sheetName val="modfrmDateChoose"/>
      <sheetName val="modDblClick"/>
    </sheetNames>
    <sheetDataSet>
      <sheetData sheetId="0"/>
      <sheetData sheetId="1"/>
      <sheetData sheetId="2">
        <row r="8">
          <cell r="F8" t="str">
            <v>Факт</v>
          </cell>
        </row>
        <row r="11">
          <cell r="F11">
            <v>2015</v>
          </cell>
        </row>
        <row r="12">
          <cell r="F12" t="str">
            <v>год</v>
          </cell>
        </row>
        <row r="22">
          <cell r="F22" t="str">
            <v>да</v>
          </cell>
        </row>
      </sheetData>
      <sheetData sheetId="3"/>
      <sheetData sheetId="4">
        <row r="20">
          <cell r="I20">
            <v>63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базовый (2)"/>
      <sheetName val="Прейскурант-2009"/>
      <sheetName val="расчет-базовый"/>
      <sheetName val="Прил.1"/>
      <sheetName val="прил.2"/>
      <sheetName val="Прил.3 "/>
      <sheetName val="Расшифровка ИП"/>
      <sheetName val="ИПР 2009"/>
      <sheetName val="ИПР 2010"/>
      <sheetName val="ИПР 2011 "/>
      <sheetName val="Мощность"/>
      <sheetName val="Заявители до 100"/>
      <sheetName val="заявители 100-750"/>
      <sheetName val="Текущие затраты "/>
      <sheetName val="смета на 1 присое-2009"/>
      <sheetName val="смета на 1 присоед-2008"/>
      <sheetName val="Матрица 2009г."/>
      <sheetName val="расшифровка ФОТ"/>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9">
          <cell r="C9" t="str">
            <v>Матрица  сводной   сметы расходов из себестоимости на 2009 год</v>
          </cell>
        </row>
        <row r="10">
          <cell r="L10">
            <v>13854.95</v>
          </cell>
          <cell r="M10">
            <v>14250.099</v>
          </cell>
          <cell r="V10">
            <v>8477.7900000000009</v>
          </cell>
          <cell r="W10">
            <v>10539.536</v>
          </cell>
          <cell r="AF10">
            <v>14494.66</v>
          </cell>
          <cell r="AG10">
            <v>12037.718999999999</v>
          </cell>
          <cell r="AP10">
            <v>36827.4</v>
          </cell>
          <cell r="AQ10">
            <v>36827.353999999999</v>
          </cell>
        </row>
        <row r="11">
          <cell r="C11" t="str">
            <v>Наименование</v>
          </cell>
          <cell r="F11" t="str">
            <v>Подготовка и выдача технических условий</v>
          </cell>
          <cell r="P11" t="str">
            <v>Проверка выполнения ТУ и составление акта о присоединении</v>
          </cell>
          <cell r="Z11" t="str">
            <v>Фактические действия по присоединению и обеспечению работы энергопринимающего устройства</v>
          </cell>
          <cell r="AJ11" t="str">
            <v>Всего на технологическое присоединение 2009г. - 2480 шт.</v>
          </cell>
        </row>
        <row r="12">
          <cell r="F12">
            <v>1</v>
          </cell>
          <cell r="G12">
            <v>0.37642206457999999</v>
          </cell>
          <cell r="H12">
            <v>23352.880841179362</v>
          </cell>
          <cell r="P12">
            <v>4</v>
          </cell>
          <cell r="Q12">
            <v>0.230802651</v>
          </cell>
          <cell r="R12">
            <v>14318.785517116796</v>
          </cell>
          <cell r="Z12">
            <v>6</v>
          </cell>
          <cell r="AA12">
            <v>0.39277488599999999</v>
          </cell>
          <cell r="AB12">
            <v>24367.39493578867</v>
          </cell>
          <cell r="AK12">
            <v>0.99999960158000001</v>
          </cell>
          <cell r="AL12">
            <v>62039.061294084822</v>
          </cell>
        </row>
        <row r="13">
          <cell r="D13" t="str">
            <v>ТП</v>
          </cell>
          <cell r="F13" t="str">
            <v>Свод</v>
          </cell>
          <cell r="G13" t="str">
            <v>Основная оплата труда произв.рабочих</v>
          </cell>
          <cell r="H13" t="str">
            <v>Дополнительная оплата труда произв.рабочих</v>
          </cell>
          <cell r="I13" t="str">
            <v>ЕСН с оплаты труда производственных рабочих</v>
          </cell>
          <cell r="J13" t="str">
            <v>Амортизация производственного оборудования</v>
          </cell>
          <cell r="K13" t="str">
            <v>Расходы по содерж.и экспл.оборудования</v>
          </cell>
          <cell r="L13" t="str">
            <v>Расх.по подг.и осв.произв. (пуск.расходы)</v>
          </cell>
          <cell r="M13" t="str">
            <v>Цеховые расходы</v>
          </cell>
          <cell r="N13" t="str">
            <v>Общепроизводственные расходы</v>
          </cell>
          <cell r="P13" t="str">
            <v>Свод</v>
          </cell>
          <cell r="Q13" t="str">
            <v>Основная оплата труда произв.рабочих</v>
          </cell>
          <cell r="R13" t="str">
            <v>Дополнительная оплата труда произв.рабочих</v>
          </cell>
          <cell r="S13" t="str">
            <v>ЕСН с оплаты труда производственных рабочих</v>
          </cell>
          <cell r="T13" t="str">
            <v>Амортизация производственного оборудования</v>
          </cell>
          <cell r="U13" t="str">
            <v>Расходы по содерж.и экспл.оборудования</v>
          </cell>
          <cell r="V13" t="str">
            <v>Расх.по подг.и осв.произв. (пуск.расходы)</v>
          </cell>
          <cell r="W13" t="str">
            <v>Цеховые расходы</v>
          </cell>
          <cell r="X13" t="str">
            <v>Общепроизводственные расходы</v>
          </cell>
          <cell r="Z13" t="str">
            <v>Свод</v>
          </cell>
          <cell r="AA13" t="str">
            <v>Основная оплата труда произв.рабочих</v>
          </cell>
          <cell r="AB13" t="str">
            <v>Дополнительная оплата труда произв.рабочих</v>
          </cell>
          <cell r="AC13" t="str">
            <v>ЕСН с оплаты труда производственных рабочих</v>
          </cell>
          <cell r="AD13" t="str">
            <v>Амортизация производственного оборудования</v>
          </cell>
          <cell r="AE13" t="str">
            <v>Расходы по содерж.и экспл.оборудования</v>
          </cell>
          <cell r="AF13" t="str">
            <v>Расх.по подг.и осв.произв. (пуск.расходы)</v>
          </cell>
          <cell r="AG13" t="str">
            <v>Цеховые расходы</v>
          </cell>
          <cell r="AH13" t="str">
            <v>Общепроизводственные расходы</v>
          </cell>
          <cell r="AJ13" t="str">
            <v>Свод</v>
          </cell>
          <cell r="AK13" t="str">
            <v>Основная оплата труда произв.рабочих</v>
          </cell>
          <cell r="AL13" t="str">
            <v>Дополнительная оплата труда произв.рабочих</v>
          </cell>
          <cell r="AM13" t="str">
            <v>ЕСН с оплаты труда производственных рабочих</v>
          </cell>
          <cell r="AN13" t="str">
            <v>Амортизация производственного оборудования</v>
          </cell>
          <cell r="AO13" t="str">
            <v>Расходы по содерж.и экспл.оборудования</v>
          </cell>
          <cell r="AP13" t="str">
            <v>Расх.по подг.и осв.произв. (пуск.расходы)</v>
          </cell>
          <cell r="AQ13" t="str">
            <v>Цеховые расходы</v>
          </cell>
          <cell r="AR13" t="str">
            <v>Общепроизводственные расходы</v>
          </cell>
        </row>
        <row r="14">
          <cell r="C14" t="str">
            <v>Затраты на производство и реализацию продукции (услуг), всего</v>
          </cell>
          <cell r="D14">
            <v>62039.08601169748</v>
          </cell>
          <cell r="E14">
            <v>6.6590301423275378E-2</v>
          </cell>
          <cell r="F14">
            <v>23771.178440178075</v>
          </cell>
          <cell r="G14">
            <v>0</v>
          </cell>
          <cell r="H14">
            <v>0</v>
          </cell>
          <cell r="I14">
            <v>0</v>
          </cell>
          <cell r="J14">
            <v>970.64154900282801</v>
          </cell>
          <cell r="K14">
            <v>0</v>
          </cell>
          <cell r="L14">
            <v>0</v>
          </cell>
          <cell r="M14">
            <v>2212.1312579643668</v>
          </cell>
          <cell r="N14">
            <v>20588.405633210881</v>
          </cell>
          <cell r="P14">
            <v>17605.520061210787</v>
          </cell>
          <cell r="Q14">
            <v>0</v>
          </cell>
          <cell r="R14">
            <v>0</v>
          </cell>
          <cell r="S14">
            <v>0</v>
          </cell>
          <cell r="T14">
            <v>595.1474787498471</v>
          </cell>
          <cell r="U14">
            <v>0</v>
          </cell>
          <cell r="V14">
            <v>0</v>
          </cell>
          <cell r="W14">
            <v>2390.5137213921248</v>
          </cell>
          <cell r="X14">
            <v>14619.858861068815</v>
          </cell>
          <cell r="Z14">
            <v>20662.320920007198</v>
          </cell>
          <cell r="AA14">
            <v>154.21431348579407</v>
          </cell>
          <cell r="AB14">
            <v>0</v>
          </cell>
          <cell r="AC14">
            <v>40.095721506306461</v>
          </cell>
          <cell r="AD14">
            <v>1012.8089175161103</v>
          </cell>
          <cell r="AE14">
            <v>0.8</v>
          </cell>
          <cell r="AF14">
            <v>0</v>
          </cell>
          <cell r="AG14">
            <v>2016.7845238087752</v>
          </cell>
          <cell r="AH14">
            <v>17437.617443690211</v>
          </cell>
          <cell r="AJ14">
            <v>62039.019421396057</v>
          </cell>
          <cell r="AK14">
            <v>154.21431348579407</v>
          </cell>
          <cell r="AL14">
            <v>0</v>
          </cell>
          <cell r="AM14">
            <v>40.095721506306461</v>
          </cell>
          <cell r="AN14">
            <v>2578.5979452687852</v>
          </cell>
          <cell r="AO14">
            <v>0.8</v>
          </cell>
          <cell r="AP14">
            <v>0</v>
          </cell>
          <cell r="AQ14">
            <v>6619.4295031652673</v>
          </cell>
          <cell r="AR14">
            <v>52645.881937969905</v>
          </cell>
        </row>
        <row r="15">
          <cell r="C15" t="str">
            <v xml:space="preserve">Материальные затраты </v>
          </cell>
          <cell r="D15">
            <v>3644.99</v>
          </cell>
          <cell r="E15">
            <v>0</v>
          </cell>
          <cell r="F15">
            <v>1266.57</v>
          </cell>
          <cell r="G15">
            <v>0</v>
          </cell>
          <cell r="H15">
            <v>0</v>
          </cell>
          <cell r="I15">
            <v>0</v>
          </cell>
          <cell r="J15">
            <v>0</v>
          </cell>
          <cell r="K15">
            <v>0</v>
          </cell>
          <cell r="L15">
            <v>0</v>
          </cell>
          <cell r="M15">
            <v>1078.5999999999999</v>
          </cell>
          <cell r="N15">
            <v>187.97</v>
          </cell>
          <cell r="P15">
            <v>1266.57</v>
          </cell>
          <cell r="Q15">
            <v>0</v>
          </cell>
          <cell r="R15">
            <v>0</v>
          </cell>
          <cell r="S15">
            <v>0</v>
          </cell>
          <cell r="T15">
            <v>0</v>
          </cell>
          <cell r="U15">
            <v>0</v>
          </cell>
          <cell r="V15">
            <v>0</v>
          </cell>
          <cell r="W15">
            <v>1078.5899999999999</v>
          </cell>
          <cell r="X15">
            <v>187.98000000000002</v>
          </cell>
          <cell r="Z15">
            <v>1111.8499999999999</v>
          </cell>
          <cell r="AA15">
            <v>0</v>
          </cell>
          <cell r="AB15">
            <v>0</v>
          </cell>
          <cell r="AC15">
            <v>0</v>
          </cell>
          <cell r="AD15">
            <v>0</v>
          </cell>
          <cell r="AE15">
            <v>0</v>
          </cell>
          <cell r="AF15">
            <v>0</v>
          </cell>
          <cell r="AG15">
            <v>1078.58</v>
          </cell>
          <cell r="AH15">
            <v>33.270000000000003</v>
          </cell>
          <cell r="AJ15">
            <v>3644.99</v>
          </cell>
          <cell r="AK15">
            <v>0</v>
          </cell>
          <cell r="AL15">
            <v>0</v>
          </cell>
          <cell r="AM15">
            <v>0</v>
          </cell>
          <cell r="AN15">
            <v>0</v>
          </cell>
          <cell r="AO15">
            <v>0</v>
          </cell>
          <cell r="AP15">
            <v>0</v>
          </cell>
          <cell r="AQ15">
            <v>3235.77</v>
          </cell>
          <cell r="AR15">
            <v>409.22</v>
          </cell>
        </row>
        <row r="16">
          <cell r="C16" t="str">
            <v>Энергия на   хоз.  нужды</v>
          </cell>
          <cell r="D16">
            <v>99.8</v>
          </cell>
          <cell r="E16">
            <v>0</v>
          </cell>
          <cell r="F16">
            <v>33.26</v>
          </cell>
          <cell r="N16">
            <v>33.26</v>
          </cell>
          <cell r="P16">
            <v>33.270000000000003</v>
          </cell>
          <cell r="X16">
            <v>33.270000000000003</v>
          </cell>
          <cell r="Z16">
            <v>33.270000000000003</v>
          </cell>
          <cell r="AH16">
            <v>33.270000000000003</v>
          </cell>
          <cell r="AJ16">
            <v>99.800000000000011</v>
          </cell>
          <cell r="AK16">
            <v>0</v>
          </cell>
          <cell r="AL16">
            <v>0</v>
          </cell>
          <cell r="AM16">
            <v>0</v>
          </cell>
          <cell r="AN16">
            <v>0</v>
          </cell>
          <cell r="AO16">
            <v>0</v>
          </cell>
          <cell r="AP16">
            <v>0</v>
          </cell>
          <cell r="AQ16">
            <v>0</v>
          </cell>
          <cell r="AR16">
            <v>99.800000000000011</v>
          </cell>
        </row>
        <row r="17">
          <cell r="C17" t="str">
            <v>Cырье и материалы</v>
          </cell>
          <cell r="D17">
            <v>3545.19</v>
          </cell>
          <cell r="E17">
            <v>0</v>
          </cell>
          <cell r="F17">
            <v>1233.31</v>
          </cell>
          <cell r="G17">
            <v>0</v>
          </cell>
          <cell r="H17">
            <v>0</v>
          </cell>
          <cell r="I17">
            <v>0</v>
          </cell>
          <cell r="J17">
            <v>0</v>
          </cell>
          <cell r="K17">
            <v>0</v>
          </cell>
          <cell r="L17">
            <v>0</v>
          </cell>
          <cell r="M17">
            <v>1078.5999999999999</v>
          </cell>
          <cell r="N17">
            <v>154.71</v>
          </cell>
          <cell r="P17">
            <v>1233.3</v>
          </cell>
          <cell r="Q17">
            <v>0</v>
          </cell>
          <cell r="R17">
            <v>0</v>
          </cell>
          <cell r="S17">
            <v>0</v>
          </cell>
          <cell r="T17">
            <v>0</v>
          </cell>
          <cell r="U17">
            <v>0</v>
          </cell>
          <cell r="V17">
            <v>0</v>
          </cell>
          <cell r="W17">
            <v>1078.5899999999999</v>
          </cell>
          <cell r="X17">
            <v>154.71</v>
          </cell>
          <cell r="Z17">
            <v>1078.58</v>
          </cell>
          <cell r="AA17">
            <v>0</v>
          </cell>
          <cell r="AB17">
            <v>0</v>
          </cell>
          <cell r="AC17">
            <v>0</v>
          </cell>
          <cell r="AD17">
            <v>0</v>
          </cell>
          <cell r="AE17">
            <v>0</v>
          </cell>
          <cell r="AF17">
            <v>0</v>
          </cell>
          <cell r="AG17">
            <v>1078.58</v>
          </cell>
          <cell r="AH17">
            <v>0</v>
          </cell>
          <cell r="AJ17">
            <v>3545.19</v>
          </cell>
          <cell r="AK17">
            <v>0</v>
          </cell>
          <cell r="AL17">
            <v>0</v>
          </cell>
          <cell r="AM17">
            <v>0</v>
          </cell>
          <cell r="AN17">
            <v>0</v>
          </cell>
          <cell r="AO17">
            <v>0</v>
          </cell>
          <cell r="AP17">
            <v>0</v>
          </cell>
          <cell r="AQ17">
            <v>3235.77</v>
          </cell>
          <cell r="AR17">
            <v>309.42</v>
          </cell>
        </row>
        <row r="18">
          <cell r="C18" t="str">
            <v>в т.ч.  Материалы</v>
          </cell>
          <cell r="D18">
            <v>1898.52</v>
          </cell>
          <cell r="E18">
            <v>0</v>
          </cell>
          <cell r="F18">
            <v>684.41000000000008</v>
          </cell>
          <cell r="G18">
            <v>0</v>
          </cell>
          <cell r="H18">
            <v>0</v>
          </cell>
          <cell r="I18">
            <v>0</v>
          </cell>
          <cell r="J18">
            <v>0</v>
          </cell>
          <cell r="K18">
            <v>0</v>
          </cell>
          <cell r="L18">
            <v>0</v>
          </cell>
          <cell r="M18">
            <v>529.70000000000005</v>
          </cell>
          <cell r="N18">
            <v>154.71</v>
          </cell>
          <cell r="P18">
            <v>684.41000000000008</v>
          </cell>
          <cell r="Q18">
            <v>0</v>
          </cell>
          <cell r="R18">
            <v>0</v>
          </cell>
          <cell r="S18">
            <v>0</v>
          </cell>
          <cell r="T18">
            <v>0</v>
          </cell>
          <cell r="U18">
            <v>0</v>
          </cell>
          <cell r="V18">
            <v>0</v>
          </cell>
          <cell r="W18">
            <v>529.70000000000005</v>
          </cell>
          <cell r="X18">
            <v>154.71</v>
          </cell>
          <cell r="Z18">
            <v>529.70000000000005</v>
          </cell>
          <cell r="AA18">
            <v>0</v>
          </cell>
          <cell r="AB18">
            <v>0</v>
          </cell>
          <cell r="AC18">
            <v>0</v>
          </cell>
          <cell r="AD18">
            <v>0</v>
          </cell>
          <cell r="AE18">
            <v>0</v>
          </cell>
          <cell r="AF18">
            <v>0</v>
          </cell>
          <cell r="AG18">
            <v>529.70000000000005</v>
          </cell>
          <cell r="AH18">
            <v>0</v>
          </cell>
          <cell r="AJ18">
            <v>1898.5200000000002</v>
          </cell>
          <cell r="AK18">
            <v>0</v>
          </cell>
          <cell r="AL18">
            <v>0</v>
          </cell>
          <cell r="AM18">
            <v>0</v>
          </cell>
          <cell r="AN18">
            <v>0</v>
          </cell>
          <cell r="AO18">
            <v>0</v>
          </cell>
          <cell r="AP18">
            <v>0</v>
          </cell>
          <cell r="AQ18">
            <v>1589.1000000000001</v>
          </cell>
          <cell r="AR18">
            <v>309.42</v>
          </cell>
        </row>
        <row r="19">
          <cell r="C19" t="str">
            <v>материалы на ремонт</v>
          </cell>
          <cell r="D19">
            <v>0</v>
          </cell>
          <cell r="E19">
            <v>0</v>
          </cell>
          <cell r="F19">
            <v>0</v>
          </cell>
          <cell r="P19">
            <v>0</v>
          </cell>
          <cell r="Z19">
            <v>0</v>
          </cell>
          <cell r="AJ19">
            <v>0</v>
          </cell>
          <cell r="AK19">
            <v>0</v>
          </cell>
          <cell r="AL19">
            <v>0</v>
          </cell>
          <cell r="AM19">
            <v>0</v>
          </cell>
          <cell r="AN19">
            <v>0</v>
          </cell>
          <cell r="AO19">
            <v>0</v>
          </cell>
          <cell r="AP19">
            <v>0</v>
          </cell>
          <cell r="AQ19">
            <v>0</v>
          </cell>
          <cell r="AR19">
            <v>0</v>
          </cell>
        </row>
        <row r="20">
          <cell r="C20" t="str">
            <v>материалы АСУ</v>
          </cell>
          <cell r="D20">
            <v>96.48</v>
          </cell>
          <cell r="E20">
            <v>0</v>
          </cell>
          <cell r="F20">
            <v>48.240000000000009</v>
          </cell>
          <cell r="N20">
            <v>48.240000000000009</v>
          </cell>
          <cell r="P20">
            <v>48.240000000000009</v>
          </cell>
          <cell r="X20">
            <v>48.240000000000009</v>
          </cell>
          <cell r="Z20">
            <v>0</v>
          </cell>
          <cell r="AJ20">
            <v>96.480000000000018</v>
          </cell>
          <cell r="AK20">
            <v>0</v>
          </cell>
          <cell r="AL20">
            <v>0</v>
          </cell>
          <cell r="AM20">
            <v>0</v>
          </cell>
          <cell r="AN20">
            <v>0</v>
          </cell>
          <cell r="AO20">
            <v>0</v>
          </cell>
          <cell r="AP20">
            <v>0</v>
          </cell>
          <cell r="AQ20">
            <v>0</v>
          </cell>
          <cell r="AR20">
            <v>96.480000000000018</v>
          </cell>
        </row>
        <row r="21">
          <cell r="C21" t="str">
            <v>материалы РЗА</v>
          </cell>
          <cell r="D21">
            <v>0</v>
          </cell>
          <cell r="E21">
            <v>0</v>
          </cell>
          <cell r="F21">
            <v>0</v>
          </cell>
          <cell r="P21">
            <v>0</v>
          </cell>
          <cell r="Z21">
            <v>0</v>
          </cell>
          <cell r="AJ21">
            <v>0</v>
          </cell>
          <cell r="AK21">
            <v>0</v>
          </cell>
          <cell r="AL21">
            <v>0</v>
          </cell>
          <cell r="AM21">
            <v>0</v>
          </cell>
          <cell r="AN21">
            <v>0</v>
          </cell>
          <cell r="AO21">
            <v>0</v>
          </cell>
          <cell r="AP21">
            <v>0</v>
          </cell>
          <cell r="AQ21">
            <v>0</v>
          </cell>
          <cell r="AR21">
            <v>0</v>
          </cell>
        </row>
        <row r="22">
          <cell r="C22" t="str">
            <v>материалы на технич.эксплуатацию</v>
          </cell>
          <cell r="D22">
            <v>0</v>
          </cell>
          <cell r="E22">
            <v>0</v>
          </cell>
          <cell r="F22">
            <v>0</v>
          </cell>
          <cell r="P22">
            <v>0</v>
          </cell>
          <cell r="Z22">
            <v>0</v>
          </cell>
          <cell r="AJ22">
            <v>0</v>
          </cell>
          <cell r="AK22">
            <v>0</v>
          </cell>
          <cell r="AL22">
            <v>0</v>
          </cell>
          <cell r="AM22">
            <v>0</v>
          </cell>
          <cell r="AN22">
            <v>0</v>
          </cell>
          <cell r="AO22">
            <v>0</v>
          </cell>
          <cell r="AP22">
            <v>0</v>
          </cell>
          <cell r="AQ22">
            <v>0</v>
          </cell>
          <cell r="AR22">
            <v>0</v>
          </cell>
        </row>
        <row r="23">
          <cell r="C23" t="str">
            <v>материалы СДТУ</v>
          </cell>
          <cell r="D23">
            <v>0</v>
          </cell>
          <cell r="E23">
            <v>0</v>
          </cell>
          <cell r="F23">
            <v>0</v>
          </cell>
          <cell r="P23">
            <v>0</v>
          </cell>
          <cell r="Z23">
            <v>0</v>
          </cell>
          <cell r="AJ23">
            <v>0</v>
          </cell>
          <cell r="AK23">
            <v>0</v>
          </cell>
          <cell r="AL23">
            <v>0</v>
          </cell>
          <cell r="AM23">
            <v>0</v>
          </cell>
          <cell r="AN23">
            <v>0</v>
          </cell>
          <cell r="AO23">
            <v>0</v>
          </cell>
          <cell r="AP23">
            <v>0</v>
          </cell>
          <cell r="AQ23">
            <v>0</v>
          </cell>
          <cell r="AR23">
            <v>0</v>
          </cell>
        </row>
        <row r="24">
          <cell r="C24" t="str">
            <v>материалы по ОТ и ТБ</v>
          </cell>
          <cell r="D24">
            <v>1381.68</v>
          </cell>
          <cell r="E24">
            <v>0</v>
          </cell>
          <cell r="F24">
            <v>460.56</v>
          </cell>
          <cell r="M24">
            <v>460.56</v>
          </cell>
          <cell r="P24">
            <v>460.56</v>
          </cell>
          <cell r="W24">
            <v>460.56</v>
          </cell>
          <cell r="Z24">
            <v>460.56</v>
          </cell>
          <cell r="AG24">
            <v>460.56</v>
          </cell>
          <cell r="AJ24">
            <v>1381.68</v>
          </cell>
          <cell r="AK24">
            <v>0</v>
          </cell>
          <cell r="AL24">
            <v>0</v>
          </cell>
          <cell r="AM24">
            <v>0</v>
          </cell>
          <cell r="AN24">
            <v>0</v>
          </cell>
          <cell r="AO24">
            <v>0</v>
          </cell>
          <cell r="AP24">
            <v>0</v>
          </cell>
          <cell r="AQ24">
            <v>1381.68</v>
          </cell>
          <cell r="AR24">
            <v>0</v>
          </cell>
        </row>
        <row r="25">
          <cell r="C25" t="str">
            <v>материалы ОГО, ЧС и МР</v>
          </cell>
          <cell r="D25">
            <v>0</v>
          </cell>
          <cell r="E25">
            <v>0</v>
          </cell>
          <cell r="F25">
            <v>0</v>
          </cell>
          <cell r="P25">
            <v>0</v>
          </cell>
          <cell r="Z25">
            <v>0</v>
          </cell>
          <cell r="AJ25">
            <v>0</v>
          </cell>
          <cell r="AK25">
            <v>0</v>
          </cell>
          <cell r="AL25">
            <v>0</v>
          </cell>
          <cell r="AM25">
            <v>0</v>
          </cell>
          <cell r="AN25">
            <v>0</v>
          </cell>
          <cell r="AO25">
            <v>0</v>
          </cell>
          <cell r="AP25">
            <v>0</v>
          </cell>
          <cell r="AQ25">
            <v>0</v>
          </cell>
          <cell r="AR25">
            <v>0</v>
          </cell>
        </row>
        <row r="26">
          <cell r="C26" t="str">
            <v>прочие материалы</v>
          </cell>
          <cell r="D26">
            <v>420.36</v>
          </cell>
          <cell r="E26">
            <v>0</v>
          </cell>
          <cell r="F26">
            <v>175.61</v>
          </cell>
          <cell r="M26">
            <v>69.14</v>
          </cell>
          <cell r="N26">
            <v>106.47</v>
          </cell>
          <cell r="P26">
            <v>175.61</v>
          </cell>
          <cell r="W26">
            <v>69.14</v>
          </cell>
          <cell r="X26">
            <v>106.47</v>
          </cell>
          <cell r="Z26">
            <v>69.14</v>
          </cell>
          <cell r="AG26">
            <v>69.14</v>
          </cell>
          <cell r="AJ26">
            <v>420.36</v>
          </cell>
          <cell r="AK26">
            <v>0</v>
          </cell>
          <cell r="AL26">
            <v>0</v>
          </cell>
          <cell r="AM26">
            <v>0</v>
          </cell>
          <cell r="AN26">
            <v>0</v>
          </cell>
          <cell r="AO26">
            <v>0</v>
          </cell>
          <cell r="AP26">
            <v>0</v>
          </cell>
          <cell r="AQ26">
            <v>207.42000000000002</v>
          </cell>
          <cell r="AR26">
            <v>212.94</v>
          </cell>
        </row>
        <row r="27">
          <cell r="C27" t="str">
            <v>в т.ч.  ГСМ</v>
          </cell>
          <cell r="D27">
            <v>1646.67</v>
          </cell>
          <cell r="E27">
            <v>0</v>
          </cell>
          <cell r="F27">
            <v>548.89999999999986</v>
          </cell>
          <cell r="G27">
            <v>0</v>
          </cell>
          <cell r="H27">
            <v>0</v>
          </cell>
          <cell r="I27">
            <v>0</v>
          </cell>
          <cell r="J27">
            <v>0</v>
          </cell>
          <cell r="K27">
            <v>0</v>
          </cell>
          <cell r="L27">
            <v>0</v>
          </cell>
          <cell r="M27">
            <v>548.89999999999986</v>
          </cell>
          <cell r="N27">
            <v>0</v>
          </cell>
          <cell r="P27">
            <v>548.88999999999987</v>
          </cell>
          <cell r="Q27">
            <v>0</v>
          </cell>
          <cell r="R27">
            <v>0</v>
          </cell>
          <cell r="S27">
            <v>0</v>
          </cell>
          <cell r="T27">
            <v>0</v>
          </cell>
          <cell r="U27">
            <v>0</v>
          </cell>
          <cell r="V27">
            <v>0</v>
          </cell>
          <cell r="W27">
            <v>548.88999999999987</v>
          </cell>
          <cell r="X27">
            <v>0</v>
          </cell>
          <cell r="Z27">
            <v>548.87999999999988</v>
          </cell>
          <cell r="AA27">
            <v>0</v>
          </cell>
          <cell r="AB27">
            <v>0</v>
          </cell>
          <cell r="AC27">
            <v>0</v>
          </cell>
          <cell r="AD27">
            <v>0</v>
          </cell>
          <cell r="AE27">
            <v>0</v>
          </cell>
          <cell r="AF27">
            <v>0</v>
          </cell>
          <cell r="AG27">
            <v>548.87999999999988</v>
          </cell>
          <cell r="AH27">
            <v>0</v>
          </cell>
          <cell r="AJ27">
            <v>1646.6699999999998</v>
          </cell>
          <cell r="AK27">
            <v>0</v>
          </cell>
          <cell r="AL27">
            <v>0</v>
          </cell>
          <cell r="AM27">
            <v>0</v>
          </cell>
          <cell r="AN27">
            <v>0</v>
          </cell>
          <cell r="AO27">
            <v>0</v>
          </cell>
          <cell r="AP27">
            <v>0</v>
          </cell>
          <cell r="AQ27">
            <v>1646.6699999999998</v>
          </cell>
          <cell r="AR27">
            <v>0</v>
          </cell>
        </row>
        <row r="28">
          <cell r="C28" t="str">
            <v>бензин</v>
          </cell>
          <cell r="D28">
            <v>1334.99</v>
          </cell>
          <cell r="E28">
            <v>0</v>
          </cell>
          <cell r="F28">
            <v>444.99999999999989</v>
          </cell>
          <cell r="M28">
            <v>444.99999999999989</v>
          </cell>
          <cell r="P28">
            <v>444.99999999999989</v>
          </cell>
          <cell r="W28">
            <v>444.99999999999989</v>
          </cell>
          <cell r="Z28">
            <v>444.9899999999999</v>
          </cell>
          <cell r="AG28">
            <v>444.9899999999999</v>
          </cell>
          <cell r="AJ28">
            <v>1334.9899999999998</v>
          </cell>
          <cell r="AK28">
            <v>0</v>
          </cell>
          <cell r="AL28">
            <v>0</v>
          </cell>
          <cell r="AM28">
            <v>0</v>
          </cell>
          <cell r="AN28">
            <v>0</v>
          </cell>
          <cell r="AO28">
            <v>0</v>
          </cell>
          <cell r="AP28">
            <v>0</v>
          </cell>
          <cell r="AQ28">
            <v>1334.9899999999998</v>
          </cell>
          <cell r="AR28">
            <v>0</v>
          </cell>
        </row>
        <row r="29">
          <cell r="C29" t="str">
            <v>дизтопливо</v>
          </cell>
          <cell r="D29">
            <v>224.68</v>
          </cell>
          <cell r="E29">
            <v>0</v>
          </cell>
          <cell r="F29">
            <v>74.900000000000006</v>
          </cell>
          <cell r="M29">
            <v>74.900000000000006</v>
          </cell>
          <cell r="P29">
            <v>74.89</v>
          </cell>
          <cell r="W29">
            <v>74.89</v>
          </cell>
          <cell r="Z29">
            <v>74.89</v>
          </cell>
          <cell r="AG29">
            <v>74.89</v>
          </cell>
          <cell r="AJ29">
            <v>224.68</v>
          </cell>
          <cell r="AK29">
            <v>0</v>
          </cell>
          <cell r="AL29">
            <v>0</v>
          </cell>
          <cell r="AM29">
            <v>0</v>
          </cell>
          <cell r="AN29">
            <v>0</v>
          </cell>
          <cell r="AO29">
            <v>0</v>
          </cell>
          <cell r="AP29">
            <v>0</v>
          </cell>
          <cell r="AQ29">
            <v>224.68</v>
          </cell>
          <cell r="AR29">
            <v>0</v>
          </cell>
        </row>
        <row r="30">
          <cell r="C30" t="str">
            <v>масла</v>
          </cell>
          <cell r="D30">
            <v>87</v>
          </cell>
          <cell r="E30">
            <v>0</v>
          </cell>
          <cell r="F30">
            <v>29</v>
          </cell>
          <cell r="M30">
            <v>29</v>
          </cell>
          <cell r="P30">
            <v>29</v>
          </cell>
          <cell r="W30">
            <v>29</v>
          </cell>
          <cell r="Z30">
            <v>29</v>
          </cell>
          <cell r="AG30">
            <v>29</v>
          </cell>
          <cell r="AJ30">
            <v>87</v>
          </cell>
          <cell r="AK30">
            <v>0</v>
          </cell>
          <cell r="AL30">
            <v>0</v>
          </cell>
          <cell r="AM30">
            <v>0</v>
          </cell>
          <cell r="AN30">
            <v>0</v>
          </cell>
          <cell r="AO30">
            <v>0</v>
          </cell>
          <cell r="AP30">
            <v>0</v>
          </cell>
          <cell r="AQ30">
            <v>87</v>
          </cell>
          <cell r="AR30">
            <v>0</v>
          </cell>
        </row>
        <row r="31">
          <cell r="C31" t="str">
            <v>прочее</v>
          </cell>
          <cell r="D31">
            <v>0</v>
          </cell>
          <cell r="E31">
            <v>0</v>
          </cell>
          <cell r="F31">
            <v>0</v>
          </cell>
          <cell r="P31">
            <v>0</v>
          </cell>
          <cell r="Z31">
            <v>0</v>
          </cell>
          <cell r="AJ31">
            <v>0</v>
          </cell>
          <cell r="AK31">
            <v>0</v>
          </cell>
          <cell r="AL31">
            <v>0</v>
          </cell>
          <cell r="AM31">
            <v>0</v>
          </cell>
          <cell r="AN31">
            <v>0</v>
          </cell>
          <cell r="AO31">
            <v>0</v>
          </cell>
          <cell r="AP31">
            <v>0</v>
          </cell>
          <cell r="AQ31">
            <v>0</v>
          </cell>
          <cell r="AR31">
            <v>0</v>
          </cell>
        </row>
        <row r="32">
          <cell r="C32" t="str">
            <v xml:space="preserve">Работы и услуги производственного характера  </v>
          </cell>
          <cell r="D32">
            <v>0</v>
          </cell>
          <cell r="E32">
            <v>0</v>
          </cell>
          <cell r="F32">
            <v>0</v>
          </cell>
          <cell r="G32">
            <v>0</v>
          </cell>
          <cell r="H32">
            <v>0</v>
          </cell>
          <cell r="I32">
            <v>0</v>
          </cell>
          <cell r="J32">
            <v>0</v>
          </cell>
          <cell r="K32">
            <v>0</v>
          </cell>
          <cell r="L32">
            <v>0</v>
          </cell>
          <cell r="M32">
            <v>0</v>
          </cell>
          <cell r="N32">
            <v>0</v>
          </cell>
          <cell r="P32">
            <v>0</v>
          </cell>
          <cell r="Q32">
            <v>0</v>
          </cell>
          <cell r="R32">
            <v>0</v>
          </cell>
          <cell r="S32">
            <v>0</v>
          </cell>
          <cell r="T32">
            <v>0</v>
          </cell>
          <cell r="U32">
            <v>0</v>
          </cell>
          <cell r="V32">
            <v>0</v>
          </cell>
          <cell r="W32">
            <v>0</v>
          </cell>
          <cell r="X32">
            <v>0</v>
          </cell>
          <cell r="Z32">
            <v>0</v>
          </cell>
          <cell r="AA32">
            <v>0</v>
          </cell>
          <cell r="AB32">
            <v>0</v>
          </cell>
          <cell r="AC32">
            <v>0</v>
          </cell>
          <cell r="AD32">
            <v>0</v>
          </cell>
          <cell r="AE32">
            <v>0</v>
          </cell>
          <cell r="AF32">
            <v>0</v>
          </cell>
          <cell r="AG32">
            <v>0</v>
          </cell>
          <cell r="AH32">
            <v>0</v>
          </cell>
          <cell r="AJ32">
            <v>0</v>
          </cell>
          <cell r="AK32">
            <v>0</v>
          </cell>
          <cell r="AL32">
            <v>0</v>
          </cell>
          <cell r="AM32">
            <v>0</v>
          </cell>
          <cell r="AN32">
            <v>0</v>
          </cell>
          <cell r="AO32">
            <v>0</v>
          </cell>
          <cell r="AP32">
            <v>0</v>
          </cell>
          <cell r="AQ32">
            <v>0</v>
          </cell>
          <cell r="AR32">
            <v>0</v>
          </cell>
        </row>
        <row r="33">
          <cell r="C33" t="str">
            <v>Услуги подрядных организаций по ремонту ОС</v>
          </cell>
          <cell r="D33">
            <v>0</v>
          </cell>
          <cell r="E33">
            <v>0</v>
          </cell>
          <cell r="F33">
            <v>0</v>
          </cell>
          <cell r="P33">
            <v>0</v>
          </cell>
          <cell r="Z33">
            <v>0</v>
          </cell>
          <cell r="AJ33">
            <v>0</v>
          </cell>
          <cell r="AK33">
            <v>0</v>
          </cell>
          <cell r="AL33">
            <v>0</v>
          </cell>
          <cell r="AM33">
            <v>0</v>
          </cell>
          <cell r="AN33">
            <v>0</v>
          </cell>
          <cell r="AO33">
            <v>0</v>
          </cell>
          <cell r="AP33">
            <v>0</v>
          </cell>
          <cell r="AQ33">
            <v>0</v>
          </cell>
          <cell r="AR33">
            <v>0</v>
          </cell>
        </row>
        <row r="34">
          <cell r="C34" t="str">
            <v>Транспортные услуги</v>
          </cell>
          <cell r="D34">
            <v>0</v>
          </cell>
          <cell r="E34">
            <v>0</v>
          </cell>
          <cell r="F34">
            <v>0</v>
          </cell>
          <cell r="G34">
            <v>0</v>
          </cell>
          <cell r="H34">
            <v>0</v>
          </cell>
          <cell r="I34">
            <v>0</v>
          </cell>
          <cell r="J34">
            <v>0</v>
          </cell>
          <cell r="K34">
            <v>0</v>
          </cell>
          <cell r="L34">
            <v>0</v>
          </cell>
          <cell r="M34">
            <v>0</v>
          </cell>
          <cell r="N34">
            <v>0</v>
          </cell>
          <cell r="P34">
            <v>0</v>
          </cell>
          <cell r="Q34">
            <v>0</v>
          </cell>
          <cell r="R34">
            <v>0</v>
          </cell>
          <cell r="S34">
            <v>0</v>
          </cell>
          <cell r="T34">
            <v>0</v>
          </cell>
          <cell r="U34">
            <v>0</v>
          </cell>
          <cell r="V34">
            <v>0</v>
          </cell>
          <cell r="W34">
            <v>0</v>
          </cell>
          <cell r="X34">
            <v>0</v>
          </cell>
          <cell r="Z34">
            <v>0</v>
          </cell>
          <cell r="AA34">
            <v>0</v>
          </cell>
          <cell r="AB34">
            <v>0</v>
          </cell>
          <cell r="AC34">
            <v>0</v>
          </cell>
          <cell r="AD34">
            <v>0</v>
          </cell>
          <cell r="AE34">
            <v>0</v>
          </cell>
          <cell r="AF34">
            <v>0</v>
          </cell>
          <cell r="AG34">
            <v>0</v>
          </cell>
          <cell r="AH34">
            <v>0</v>
          </cell>
          <cell r="AJ34">
            <v>0</v>
          </cell>
          <cell r="AK34">
            <v>0</v>
          </cell>
          <cell r="AL34">
            <v>0</v>
          </cell>
          <cell r="AM34">
            <v>0</v>
          </cell>
          <cell r="AN34">
            <v>0</v>
          </cell>
          <cell r="AO34">
            <v>0</v>
          </cell>
          <cell r="AP34">
            <v>0</v>
          </cell>
          <cell r="AQ34">
            <v>0</v>
          </cell>
          <cell r="AR34">
            <v>0</v>
          </cell>
        </row>
        <row r="35">
          <cell r="C35" t="str">
            <v>Автоуслуги по перевозке грузов</v>
          </cell>
          <cell r="D35">
            <v>0</v>
          </cell>
          <cell r="E35">
            <v>0</v>
          </cell>
          <cell r="F35">
            <v>0</v>
          </cell>
          <cell r="P35">
            <v>0</v>
          </cell>
          <cell r="Z35">
            <v>0</v>
          </cell>
          <cell r="AJ35">
            <v>0</v>
          </cell>
          <cell r="AK35">
            <v>0</v>
          </cell>
          <cell r="AL35">
            <v>0</v>
          </cell>
          <cell r="AM35">
            <v>0</v>
          </cell>
          <cell r="AN35">
            <v>0</v>
          </cell>
          <cell r="AO35">
            <v>0</v>
          </cell>
          <cell r="AP35">
            <v>0</v>
          </cell>
          <cell r="AQ35">
            <v>0</v>
          </cell>
          <cell r="AR35">
            <v>0</v>
          </cell>
        </row>
        <row r="36">
          <cell r="C36" t="str">
            <v>Ж/Д услуги по перевозке грузов</v>
          </cell>
          <cell r="D36">
            <v>0</v>
          </cell>
          <cell r="E36">
            <v>0</v>
          </cell>
          <cell r="F36">
            <v>0</v>
          </cell>
          <cell r="P36">
            <v>0</v>
          </cell>
          <cell r="Z36">
            <v>0</v>
          </cell>
          <cell r="AJ36">
            <v>0</v>
          </cell>
          <cell r="AK36">
            <v>0</v>
          </cell>
          <cell r="AL36">
            <v>0</v>
          </cell>
          <cell r="AM36">
            <v>0</v>
          </cell>
          <cell r="AN36">
            <v>0</v>
          </cell>
          <cell r="AO36">
            <v>0</v>
          </cell>
          <cell r="AP36">
            <v>0</v>
          </cell>
          <cell r="AQ36">
            <v>0</v>
          </cell>
          <cell r="AR36">
            <v>0</v>
          </cell>
        </row>
        <row r="37">
          <cell r="C37" t="str">
            <v>Услуги распределительных сетевых компаний</v>
          </cell>
          <cell r="D37">
            <v>0</v>
          </cell>
          <cell r="E37">
            <v>0</v>
          </cell>
          <cell r="F37">
            <v>0</v>
          </cell>
          <cell r="G37">
            <v>0</v>
          </cell>
          <cell r="H37">
            <v>0</v>
          </cell>
          <cell r="I37">
            <v>0</v>
          </cell>
          <cell r="J37">
            <v>0</v>
          </cell>
          <cell r="K37">
            <v>0</v>
          </cell>
          <cell r="L37">
            <v>0</v>
          </cell>
          <cell r="M37">
            <v>0</v>
          </cell>
          <cell r="N37">
            <v>0</v>
          </cell>
          <cell r="P37">
            <v>0</v>
          </cell>
          <cell r="Q37">
            <v>0</v>
          </cell>
          <cell r="R37">
            <v>0</v>
          </cell>
          <cell r="S37">
            <v>0</v>
          </cell>
          <cell r="T37">
            <v>0</v>
          </cell>
          <cell r="U37">
            <v>0</v>
          </cell>
          <cell r="V37">
            <v>0</v>
          </cell>
          <cell r="W37">
            <v>0</v>
          </cell>
          <cell r="X37">
            <v>0</v>
          </cell>
          <cell r="Z37">
            <v>0</v>
          </cell>
          <cell r="AA37">
            <v>0</v>
          </cell>
          <cell r="AB37">
            <v>0</v>
          </cell>
          <cell r="AC37">
            <v>0</v>
          </cell>
          <cell r="AD37">
            <v>0</v>
          </cell>
          <cell r="AE37">
            <v>0</v>
          </cell>
          <cell r="AF37">
            <v>0</v>
          </cell>
          <cell r="AG37">
            <v>0</v>
          </cell>
          <cell r="AH37">
            <v>0</v>
          </cell>
          <cell r="AJ37">
            <v>0</v>
          </cell>
          <cell r="AK37">
            <v>0</v>
          </cell>
          <cell r="AL37">
            <v>0</v>
          </cell>
          <cell r="AM37">
            <v>0</v>
          </cell>
          <cell r="AN37">
            <v>0</v>
          </cell>
          <cell r="AO37">
            <v>0</v>
          </cell>
          <cell r="AP37">
            <v>0</v>
          </cell>
          <cell r="AQ37">
            <v>0</v>
          </cell>
          <cell r="AR37">
            <v>0</v>
          </cell>
        </row>
        <row r="38">
          <cell r="C38" t="str">
            <v>Услуги ФСК</v>
          </cell>
          <cell r="D38">
            <v>0</v>
          </cell>
          <cell r="E38">
            <v>0</v>
          </cell>
          <cell r="F38">
            <v>0</v>
          </cell>
          <cell r="P38">
            <v>0</v>
          </cell>
          <cell r="Z38">
            <v>0</v>
          </cell>
          <cell r="AJ38">
            <v>0</v>
          </cell>
          <cell r="AK38">
            <v>0</v>
          </cell>
          <cell r="AL38">
            <v>0</v>
          </cell>
          <cell r="AM38">
            <v>0</v>
          </cell>
          <cell r="AN38">
            <v>0</v>
          </cell>
          <cell r="AO38">
            <v>0</v>
          </cell>
          <cell r="AP38">
            <v>0</v>
          </cell>
          <cell r="AQ38">
            <v>0</v>
          </cell>
          <cell r="AR38">
            <v>0</v>
          </cell>
        </row>
        <row r="39">
          <cell r="C39" t="str">
            <v>прочих сетевых компаний</v>
          </cell>
          <cell r="D39">
            <v>0</v>
          </cell>
          <cell r="E39">
            <v>0</v>
          </cell>
          <cell r="F39">
            <v>0</v>
          </cell>
          <cell r="P39">
            <v>0</v>
          </cell>
          <cell r="Z39">
            <v>0</v>
          </cell>
          <cell r="AJ39">
            <v>0</v>
          </cell>
          <cell r="AK39">
            <v>0</v>
          </cell>
          <cell r="AL39">
            <v>0</v>
          </cell>
          <cell r="AM39">
            <v>0</v>
          </cell>
          <cell r="AN39">
            <v>0</v>
          </cell>
          <cell r="AO39">
            <v>0</v>
          </cell>
          <cell r="AP39">
            <v>0</v>
          </cell>
          <cell r="AQ39">
            <v>0</v>
          </cell>
          <cell r="AR39">
            <v>0</v>
          </cell>
        </row>
        <row r="40">
          <cell r="C40" t="str">
            <v>Услуги по испытанию и поверке приборов</v>
          </cell>
          <cell r="D40">
            <v>0</v>
          </cell>
          <cell r="E40">
            <v>0</v>
          </cell>
          <cell r="F40">
            <v>0</v>
          </cell>
          <cell r="P40">
            <v>0</v>
          </cell>
          <cell r="Z40">
            <v>0</v>
          </cell>
          <cell r="AJ40">
            <v>0</v>
          </cell>
          <cell r="AK40">
            <v>0</v>
          </cell>
          <cell r="AL40">
            <v>0</v>
          </cell>
          <cell r="AM40">
            <v>0</v>
          </cell>
          <cell r="AN40">
            <v>0</v>
          </cell>
          <cell r="AO40">
            <v>0</v>
          </cell>
          <cell r="AP40">
            <v>0</v>
          </cell>
          <cell r="AQ40">
            <v>0</v>
          </cell>
          <cell r="AR40">
            <v>0</v>
          </cell>
        </row>
        <row r="41">
          <cell r="C41" t="str">
            <v>Услуги коммерческого учета электроэнергии</v>
          </cell>
          <cell r="D41">
            <v>0</v>
          </cell>
          <cell r="E41">
            <v>0</v>
          </cell>
          <cell r="F41">
            <v>0</v>
          </cell>
          <cell r="P41">
            <v>0</v>
          </cell>
          <cell r="Z41">
            <v>0</v>
          </cell>
          <cell r="AJ41">
            <v>0</v>
          </cell>
          <cell r="AK41">
            <v>0</v>
          </cell>
          <cell r="AL41">
            <v>0</v>
          </cell>
          <cell r="AM41">
            <v>0</v>
          </cell>
          <cell r="AN41">
            <v>0</v>
          </cell>
          <cell r="AO41">
            <v>0</v>
          </cell>
          <cell r="AP41">
            <v>0</v>
          </cell>
          <cell r="AQ41">
            <v>0</v>
          </cell>
          <cell r="AR41">
            <v>0</v>
          </cell>
        </row>
        <row r="42">
          <cell r="C42" t="str">
            <v>Прочие услуги производственного характера (расшифровать)</v>
          </cell>
          <cell r="D42">
            <v>0</v>
          </cell>
          <cell r="E42">
            <v>0</v>
          </cell>
          <cell r="F42">
            <v>0</v>
          </cell>
          <cell r="P42">
            <v>0</v>
          </cell>
          <cell r="Z42">
            <v>0</v>
          </cell>
          <cell r="AJ42">
            <v>0</v>
          </cell>
          <cell r="AK42">
            <v>0</v>
          </cell>
          <cell r="AL42">
            <v>0</v>
          </cell>
          <cell r="AM42">
            <v>0</v>
          </cell>
          <cell r="AN42">
            <v>0</v>
          </cell>
          <cell r="AO42">
            <v>0</v>
          </cell>
          <cell r="AP42">
            <v>0</v>
          </cell>
          <cell r="AQ42">
            <v>0</v>
          </cell>
          <cell r="AR42">
            <v>0</v>
          </cell>
        </row>
        <row r="43">
          <cell r="C43" t="str">
            <v>Затраты на оплату труда</v>
          </cell>
          <cell r="D43">
            <v>36827.4</v>
          </cell>
          <cell r="E43">
            <v>4.6000000002095476E-2</v>
          </cell>
          <cell r="F43">
            <v>14250.099</v>
          </cell>
          <cell r="M43">
            <v>818.97995523116288</v>
          </cell>
          <cell r="N43">
            <v>13431.119044768837</v>
          </cell>
          <cell r="P43">
            <v>10539.536</v>
          </cell>
          <cell r="W43">
            <v>989.91793034741352</v>
          </cell>
          <cell r="X43">
            <v>9549.6180696525862</v>
          </cell>
          <cell r="Z43">
            <v>12037.719000000001</v>
          </cell>
          <cell r="AA43">
            <v>154.21431348579407</v>
          </cell>
          <cell r="AG43">
            <v>661.29695405963298</v>
          </cell>
          <cell r="AH43">
            <v>11222.207732454573</v>
          </cell>
          <cell r="AJ43">
            <v>36827.353999999999</v>
          </cell>
          <cell r="AK43">
            <v>154.21431348579407</v>
          </cell>
          <cell r="AL43">
            <v>0</v>
          </cell>
          <cell r="AM43">
            <v>0</v>
          </cell>
          <cell r="AN43">
            <v>0</v>
          </cell>
          <cell r="AO43">
            <v>0</v>
          </cell>
          <cell r="AP43">
            <v>0</v>
          </cell>
          <cell r="AQ43">
            <v>2470.1948396382095</v>
          </cell>
          <cell r="AR43">
            <v>34202.944846875995</v>
          </cell>
        </row>
        <row r="44">
          <cell r="C44" t="str">
            <v>ЕСН</v>
          </cell>
          <cell r="D44">
            <v>9575.1040000000012</v>
          </cell>
          <cell r="E44">
            <v>1.1959999999817228E-2</v>
          </cell>
          <cell r="F44">
            <v>3705.0057400000001</v>
          </cell>
          <cell r="M44">
            <v>212.93478836010235</v>
          </cell>
          <cell r="N44">
            <v>3492.0709516398979</v>
          </cell>
          <cell r="P44">
            <v>2740.2793600000005</v>
          </cell>
          <cell r="W44">
            <v>257.37866189032752</v>
          </cell>
          <cell r="X44">
            <v>2482.9006981096727</v>
          </cell>
          <cell r="Z44">
            <v>3129.8069400000004</v>
          </cell>
          <cell r="AC44">
            <v>40.095721506306461</v>
          </cell>
          <cell r="AG44">
            <v>171.93720805550458</v>
          </cell>
          <cell r="AH44">
            <v>2917.7740104381892</v>
          </cell>
          <cell r="AJ44">
            <v>9575.0920400000014</v>
          </cell>
          <cell r="AK44">
            <v>0</v>
          </cell>
          <cell r="AL44">
            <v>0</v>
          </cell>
          <cell r="AM44">
            <v>40.095721506306461</v>
          </cell>
          <cell r="AN44">
            <v>0</v>
          </cell>
          <cell r="AO44">
            <v>0</v>
          </cell>
          <cell r="AP44">
            <v>0</v>
          </cell>
          <cell r="AQ44">
            <v>642.25065830593439</v>
          </cell>
          <cell r="AR44">
            <v>8892.7456601877602</v>
          </cell>
        </row>
        <row r="45">
          <cell r="C45" t="str">
            <v>НПФ Энергетики</v>
          </cell>
          <cell r="D45">
            <v>4681.2998000000007</v>
          </cell>
          <cell r="E45">
            <v>5.8420000004844042E-3</v>
          </cell>
          <cell r="F45">
            <v>1811.182573</v>
          </cell>
          <cell r="N45">
            <v>1811.182573</v>
          </cell>
          <cell r="P45">
            <v>1339.9210720000001</v>
          </cell>
          <cell r="X45">
            <v>1339.9210720000001</v>
          </cell>
          <cell r="Z45">
            <v>1530.1903130000003</v>
          </cell>
          <cell r="AH45">
            <v>1530.1903130000003</v>
          </cell>
          <cell r="AJ45">
            <v>4681.2939580000002</v>
          </cell>
          <cell r="AK45">
            <v>0</v>
          </cell>
          <cell r="AL45">
            <v>0</v>
          </cell>
          <cell r="AM45">
            <v>0</v>
          </cell>
          <cell r="AN45">
            <v>0</v>
          </cell>
          <cell r="AO45">
            <v>0</v>
          </cell>
          <cell r="AP45">
            <v>0</v>
          </cell>
          <cell r="AQ45">
            <v>0</v>
          </cell>
          <cell r="AR45">
            <v>4681.2939580000002</v>
          </cell>
        </row>
        <row r="46">
          <cell r="C46" t="str">
            <v>Амортизация основных средств и НМА</v>
          </cell>
          <cell r="D46">
            <v>2578.5989726341882</v>
          </cell>
          <cell r="E46">
            <v>1.0273654029333557E-3</v>
          </cell>
          <cell r="F46">
            <v>970.64154900282801</v>
          </cell>
          <cell r="J46">
            <v>970.64154900282801</v>
          </cell>
          <cell r="P46">
            <v>595.1474787498471</v>
          </cell>
          <cell r="T46">
            <v>595.1474787498471</v>
          </cell>
          <cell r="Z46">
            <v>1012.8089175161103</v>
          </cell>
          <cell r="AD46">
            <v>1012.8089175161103</v>
          </cell>
          <cell r="AJ46">
            <v>2578.5979452687852</v>
          </cell>
          <cell r="AK46">
            <v>0</v>
          </cell>
          <cell r="AL46">
            <v>0</v>
          </cell>
          <cell r="AM46">
            <v>0</v>
          </cell>
          <cell r="AN46">
            <v>2578.5979452687852</v>
          </cell>
          <cell r="AO46">
            <v>0</v>
          </cell>
          <cell r="AP46">
            <v>0</v>
          </cell>
          <cell r="AQ46">
            <v>0</v>
          </cell>
          <cell r="AR46">
            <v>0</v>
          </cell>
        </row>
        <row r="47">
          <cell r="C47" t="str">
            <v>в том числе амортизация основных средств</v>
          </cell>
          <cell r="D47">
            <v>0</v>
          </cell>
          <cell r="E47">
            <v>0</v>
          </cell>
          <cell r="F47">
            <v>0</v>
          </cell>
          <cell r="P47">
            <v>0</v>
          </cell>
          <cell r="Z47">
            <v>0</v>
          </cell>
          <cell r="AJ47">
            <v>0</v>
          </cell>
          <cell r="AK47">
            <v>0</v>
          </cell>
          <cell r="AL47">
            <v>0</v>
          </cell>
          <cell r="AM47">
            <v>0</v>
          </cell>
          <cell r="AN47">
            <v>0</v>
          </cell>
          <cell r="AO47">
            <v>0</v>
          </cell>
          <cell r="AP47">
            <v>0</v>
          </cell>
          <cell r="AQ47">
            <v>0</v>
          </cell>
          <cell r="AR47">
            <v>0</v>
          </cell>
        </row>
        <row r="48">
          <cell r="C48" t="str">
            <v>Прочие затраты</v>
          </cell>
          <cell r="D48">
            <v>4731.6932390632828</v>
          </cell>
          <cell r="E48">
            <v>1.7609360129426932E-3</v>
          </cell>
          <cell r="F48">
            <v>1767.6795781752496</v>
          </cell>
          <cell r="G48">
            <v>0</v>
          </cell>
          <cell r="H48">
            <v>0</v>
          </cell>
          <cell r="I48">
            <v>0</v>
          </cell>
          <cell r="J48">
            <v>0</v>
          </cell>
          <cell r="K48">
            <v>0</v>
          </cell>
          <cell r="L48">
            <v>0</v>
          </cell>
          <cell r="M48">
            <v>101.61651437310177</v>
          </cell>
          <cell r="N48">
            <v>1666.0630638021478</v>
          </cell>
          <cell r="P48">
            <v>1124.0661504609379</v>
          </cell>
          <cell r="Q48">
            <v>0</v>
          </cell>
          <cell r="R48">
            <v>0</v>
          </cell>
          <cell r="S48">
            <v>0</v>
          </cell>
          <cell r="T48">
            <v>0</v>
          </cell>
          <cell r="U48">
            <v>0</v>
          </cell>
          <cell r="V48">
            <v>0</v>
          </cell>
          <cell r="W48">
            <v>64.627129154383866</v>
          </cell>
          <cell r="X48">
            <v>1059.439021306554</v>
          </cell>
          <cell r="Z48">
            <v>1839.9457494910821</v>
          </cell>
          <cell r="AA48">
            <v>0</v>
          </cell>
          <cell r="AB48">
            <v>0</v>
          </cell>
          <cell r="AC48">
            <v>0</v>
          </cell>
          <cell r="AD48">
            <v>0</v>
          </cell>
          <cell r="AE48">
            <v>0.8</v>
          </cell>
          <cell r="AF48">
            <v>0</v>
          </cell>
          <cell r="AG48">
            <v>104.97036169363756</v>
          </cell>
          <cell r="AH48">
            <v>1734.1753877974445</v>
          </cell>
          <cell r="AJ48">
            <v>4731.6914781272699</v>
          </cell>
          <cell r="AK48">
            <v>0</v>
          </cell>
          <cell r="AL48">
            <v>0</v>
          </cell>
          <cell r="AM48">
            <v>0</v>
          </cell>
          <cell r="AN48">
            <v>0</v>
          </cell>
          <cell r="AO48">
            <v>0.8</v>
          </cell>
          <cell r="AP48">
            <v>0</v>
          </cell>
          <cell r="AQ48">
            <v>271.21400522112316</v>
          </cell>
          <cell r="AR48">
            <v>4459.6774729061462</v>
          </cell>
        </row>
        <row r="49">
          <cell r="C49" t="str">
            <v>Оплата работ и услуг сторонних организаций, в т.ч.</v>
          </cell>
          <cell r="D49">
            <v>2544.0989863796776</v>
          </cell>
          <cell r="E49">
            <v>1.0136199184671568E-3</v>
          </cell>
          <cell r="F49">
            <v>957.65499294892356</v>
          </cell>
          <cell r="G49">
            <v>0</v>
          </cell>
          <cell r="H49">
            <v>0</v>
          </cell>
          <cell r="I49">
            <v>0</v>
          </cell>
          <cell r="J49">
            <v>0</v>
          </cell>
          <cell r="K49">
            <v>0</v>
          </cell>
          <cell r="L49">
            <v>0</v>
          </cell>
          <cell r="M49">
            <v>55.038231190689217</v>
          </cell>
          <cell r="N49">
            <v>902.61676175823436</v>
          </cell>
          <cell r="P49">
            <v>587.18479046284267</v>
          </cell>
          <cell r="Q49">
            <v>0</v>
          </cell>
          <cell r="R49">
            <v>0</v>
          </cell>
          <cell r="S49">
            <v>0</v>
          </cell>
          <cell r="T49">
            <v>0</v>
          </cell>
          <cell r="U49">
            <v>0</v>
          </cell>
          <cell r="V49">
            <v>0</v>
          </cell>
          <cell r="W49">
            <v>33.746612806386715</v>
          </cell>
          <cell r="X49">
            <v>553.43817765645599</v>
          </cell>
          <cell r="Z49">
            <v>999.25818934799338</v>
          </cell>
          <cell r="AA49">
            <v>0</v>
          </cell>
          <cell r="AB49">
            <v>0</v>
          </cell>
          <cell r="AC49">
            <v>0</v>
          </cell>
          <cell r="AD49">
            <v>0</v>
          </cell>
          <cell r="AE49">
            <v>0</v>
          </cell>
          <cell r="AF49">
            <v>0</v>
          </cell>
          <cell r="AG49">
            <v>57.429245030269094</v>
          </cell>
          <cell r="AH49">
            <v>941.82894431772434</v>
          </cell>
          <cell r="AJ49">
            <v>2544.0979727597592</v>
          </cell>
          <cell r="AK49">
            <v>0</v>
          </cell>
          <cell r="AL49">
            <v>0</v>
          </cell>
          <cell r="AM49">
            <v>0</v>
          </cell>
          <cell r="AN49">
            <v>0</v>
          </cell>
          <cell r="AO49">
            <v>0</v>
          </cell>
          <cell r="AP49">
            <v>0</v>
          </cell>
          <cell r="AQ49">
            <v>146.21408902734501</v>
          </cell>
          <cell r="AR49">
            <v>2397.8838837324142</v>
          </cell>
        </row>
        <row r="50">
          <cell r="C50" t="str">
            <v xml:space="preserve">  - услуги связи и передачи данных</v>
          </cell>
          <cell r="D50">
            <v>99.199960476735995</v>
          </cell>
          <cell r="E50">
            <v>3.9523248261730259E-5</v>
          </cell>
          <cell r="F50">
            <v>37.341053928907357</v>
          </cell>
          <cell r="M50">
            <v>2.1460605063151483</v>
          </cell>
          <cell r="N50">
            <v>35.194993422592212</v>
          </cell>
          <cell r="P50">
            <v>22.895613857125891</v>
          </cell>
          <cell r="W50">
            <v>1.3158539327831305</v>
          </cell>
          <cell r="X50">
            <v>21.57975992434276</v>
          </cell>
          <cell r="Z50">
            <v>38.963253167454482</v>
          </cell>
          <cell r="AG50">
            <v>2.2392913435017077</v>
          </cell>
          <cell r="AH50">
            <v>36.723961823952777</v>
          </cell>
          <cell r="AJ50">
            <v>99.199920953487734</v>
          </cell>
          <cell r="AK50">
            <v>0</v>
          </cell>
          <cell r="AL50">
            <v>0</v>
          </cell>
          <cell r="AM50">
            <v>0</v>
          </cell>
          <cell r="AN50">
            <v>0</v>
          </cell>
          <cell r="AO50">
            <v>0</v>
          </cell>
          <cell r="AP50">
            <v>0</v>
          </cell>
          <cell r="AQ50">
            <v>5.7012057825999864</v>
          </cell>
          <cell r="AR50">
            <v>93.498715170887749</v>
          </cell>
        </row>
        <row r="51">
          <cell r="C51" t="str">
            <v xml:space="preserve"> - коммунальные услуги</v>
          </cell>
          <cell r="D51">
            <v>23.399990676971996</v>
          </cell>
          <cell r="E51">
            <v>9.3230242868003188E-6</v>
          </cell>
          <cell r="F51">
            <v>8.8082728017785499</v>
          </cell>
          <cell r="M51">
            <v>0.50622798233643618</v>
          </cell>
          <cell r="N51">
            <v>8.3020448194421128</v>
          </cell>
          <cell r="P51">
            <v>5.4007798816204211</v>
          </cell>
          <cell r="W51">
            <v>0.31039296398311744</v>
          </cell>
          <cell r="X51">
            <v>5.0903869176373036</v>
          </cell>
          <cell r="Z51">
            <v>9.1909286705487379</v>
          </cell>
          <cell r="AG51">
            <v>0.52821993385020116</v>
          </cell>
          <cell r="AH51">
            <v>8.6627087366985371</v>
          </cell>
          <cell r="AJ51">
            <v>23.399981353947709</v>
          </cell>
          <cell r="AK51">
            <v>0</v>
          </cell>
          <cell r="AL51">
            <v>0</v>
          </cell>
          <cell r="AM51">
            <v>0</v>
          </cell>
          <cell r="AN51">
            <v>0</v>
          </cell>
          <cell r="AO51">
            <v>0</v>
          </cell>
          <cell r="AP51">
            <v>0</v>
          </cell>
          <cell r="AQ51">
            <v>1.3448408801697549</v>
          </cell>
          <cell r="AR51">
            <v>22.055140473777954</v>
          </cell>
        </row>
        <row r="52">
          <cell r="C52" t="str">
            <v>в том числе  плата за воду</v>
          </cell>
          <cell r="D52">
            <v>11.999995218959999</v>
          </cell>
          <cell r="E52">
            <v>4.7810380969792732E-6</v>
          </cell>
          <cell r="F52">
            <v>4.5170629752710516</v>
          </cell>
          <cell r="M52">
            <v>0.25960409350586466</v>
          </cell>
          <cell r="N52">
            <v>4.2574588817651868</v>
          </cell>
          <cell r="P52">
            <v>2.7696307085232932</v>
          </cell>
          <cell r="W52">
            <v>0.15917587896570126</v>
          </cell>
          <cell r="X52">
            <v>2.6104548295575918</v>
          </cell>
          <cell r="Z52">
            <v>4.7132967541275583</v>
          </cell>
          <cell r="AG52">
            <v>0.27088201735907752</v>
          </cell>
          <cell r="AH52">
            <v>4.4424147367684812</v>
          </cell>
          <cell r="AJ52">
            <v>11.999990437921902</v>
          </cell>
          <cell r="AK52">
            <v>0</v>
          </cell>
          <cell r="AL52">
            <v>0</v>
          </cell>
          <cell r="AM52">
            <v>0</v>
          </cell>
          <cell r="AN52">
            <v>0</v>
          </cell>
          <cell r="AO52">
            <v>0</v>
          </cell>
          <cell r="AP52">
            <v>0</v>
          </cell>
          <cell r="AQ52">
            <v>0.68966198983064353</v>
          </cell>
          <cell r="AR52">
            <v>11.310328448091258</v>
          </cell>
        </row>
        <row r="53">
          <cell r="C53" t="str">
            <v xml:space="preserve"> - повышение квалификации и проф.переподготовка</v>
          </cell>
          <cell r="D53">
            <v>368.299853261914</v>
          </cell>
          <cell r="E53">
            <v>1.4673802752440679E-4</v>
          </cell>
          <cell r="F53">
            <v>138.63619114936071</v>
          </cell>
          <cell r="M53">
            <v>7.9676823031841657</v>
          </cell>
          <cell r="N53">
            <v>130.66850884617654</v>
          </cell>
          <cell r="P53">
            <v>85.004582495760744</v>
          </cell>
          <cell r="W53">
            <v>4.8853730185889814</v>
          </cell>
          <cell r="X53">
            <v>80.119209477171765</v>
          </cell>
          <cell r="Z53">
            <v>144.65893287876497</v>
          </cell>
          <cell r="AG53">
            <v>8.3138205827790213</v>
          </cell>
          <cell r="AH53">
            <v>136.34511229598596</v>
          </cell>
          <cell r="AJ53">
            <v>368.29970652388647</v>
          </cell>
          <cell r="AK53">
            <v>0</v>
          </cell>
          <cell r="AL53">
            <v>0</v>
          </cell>
          <cell r="AM53">
            <v>0</v>
          </cell>
          <cell r="AN53">
            <v>0</v>
          </cell>
          <cell r="AO53">
            <v>0</v>
          </cell>
          <cell r="AP53">
            <v>0</v>
          </cell>
          <cell r="AQ53">
            <v>21.166875904552171</v>
          </cell>
          <cell r="AR53">
            <v>347.1328306193343</v>
          </cell>
        </row>
        <row r="54">
          <cell r="C54" t="str">
            <v xml:space="preserve"> - IT-услуги</v>
          </cell>
          <cell r="D54">
            <v>104.39995840495199</v>
          </cell>
          <cell r="E54">
            <v>4.1595031433416807E-5</v>
          </cell>
          <cell r="F54">
            <v>39.298447884858149</v>
          </cell>
          <cell r="M54">
            <v>2.2585556135010227</v>
          </cell>
          <cell r="N54">
            <v>37.039892271357125</v>
          </cell>
          <cell r="P54">
            <v>24.09578716415265</v>
          </cell>
          <cell r="W54">
            <v>1.3848301470016009</v>
          </cell>
          <cell r="X54">
            <v>22.710957017151049</v>
          </cell>
          <cell r="Z54">
            <v>41.005681760909752</v>
          </cell>
          <cell r="AG54">
            <v>2.3566735510239742</v>
          </cell>
          <cell r="AH54">
            <v>38.649008209885778</v>
          </cell>
          <cell r="AJ54">
            <v>104.39991680992055</v>
          </cell>
          <cell r="AK54">
            <v>0</v>
          </cell>
          <cell r="AL54">
            <v>0</v>
          </cell>
          <cell r="AM54">
            <v>0</v>
          </cell>
          <cell r="AN54">
            <v>0</v>
          </cell>
          <cell r="AO54">
            <v>0</v>
          </cell>
          <cell r="AP54">
            <v>0</v>
          </cell>
          <cell r="AQ54">
            <v>6.0000593115265985</v>
          </cell>
          <cell r="AR54">
            <v>98.399857498393956</v>
          </cell>
        </row>
        <row r="55">
          <cell r="C55" t="str">
            <v xml:space="preserve"> - аудиторские услуги</v>
          </cell>
          <cell r="D55">
            <v>0</v>
          </cell>
          <cell r="E55">
            <v>0</v>
          </cell>
          <cell r="F55">
            <v>0</v>
          </cell>
          <cell r="M55">
            <v>0</v>
          </cell>
          <cell r="N55">
            <v>0</v>
          </cell>
          <cell r="P55">
            <v>0</v>
          </cell>
          <cell r="W55">
            <v>0</v>
          </cell>
          <cell r="X55">
            <v>0</v>
          </cell>
          <cell r="Z55">
            <v>0</v>
          </cell>
          <cell r="AG55">
            <v>0</v>
          </cell>
          <cell r="AH55">
            <v>0</v>
          </cell>
          <cell r="AJ55">
            <v>0</v>
          </cell>
          <cell r="AK55">
            <v>0</v>
          </cell>
          <cell r="AL55">
            <v>0</v>
          </cell>
          <cell r="AM55">
            <v>0</v>
          </cell>
          <cell r="AN55">
            <v>0</v>
          </cell>
          <cell r="AO55">
            <v>0</v>
          </cell>
          <cell r="AP55">
            <v>0</v>
          </cell>
          <cell r="AQ55">
            <v>0</v>
          </cell>
          <cell r="AR55">
            <v>0</v>
          </cell>
        </row>
        <row r="56">
          <cell r="C56" t="str">
            <v xml:space="preserve"> - юридические и нотариальные услуги</v>
          </cell>
          <cell r="D56">
            <v>3.6999985258460004</v>
          </cell>
          <cell r="E56">
            <v>1.4741534131168521E-6</v>
          </cell>
          <cell r="F56">
            <v>1.392761084041908</v>
          </cell>
          <cell r="M56">
            <v>8.0044595497641646E-2</v>
          </cell>
          <cell r="N56">
            <v>1.3127164885442664</v>
          </cell>
          <cell r="P56">
            <v>0.8539694684613488</v>
          </cell>
          <cell r="W56">
            <v>4.9079229347757894E-2</v>
          </cell>
          <cell r="X56">
            <v>0.80489023911359092</v>
          </cell>
          <cell r="Z56">
            <v>1.4532664991893307</v>
          </cell>
          <cell r="AG56">
            <v>8.3521955352382257E-2</v>
          </cell>
          <cell r="AH56">
            <v>1.3697445438369484</v>
          </cell>
          <cell r="AJ56">
            <v>3.6999970516925873</v>
          </cell>
          <cell r="AK56">
            <v>0</v>
          </cell>
          <cell r="AL56">
            <v>0</v>
          </cell>
          <cell r="AM56">
            <v>0</v>
          </cell>
          <cell r="AN56">
            <v>0</v>
          </cell>
          <cell r="AO56">
            <v>0</v>
          </cell>
          <cell r="AP56">
            <v>0</v>
          </cell>
          <cell r="AQ56">
            <v>0.2126457801977818</v>
          </cell>
          <cell r="AR56">
            <v>3.4873512714948056</v>
          </cell>
        </row>
        <row r="57">
          <cell r="C57" t="str">
            <v xml:space="preserve">  - консультационные услуги</v>
          </cell>
          <cell r="D57">
            <v>67.899972947281995</v>
          </cell>
          <cell r="E57">
            <v>2.7052707224584083E-5</v>
          </cell>
          <cell r="F57">
            <v>25.559048001742035</v>
          </cell>
          <cell r="M57">
            <v>1.4689264957540178</v>
          </cell>
          <cell r="N57">
            <v>24.090121505988016</v>
          </cell>
          <cell r="P57">
            <v>15.671493759060965</v>
          </cell>
          <cell r="W57">
            <v>0.90067018181425962</v>
          </cell>
          <cell r="X57">
            <v>14.770823577246706</v>
          </cell>
          <cell r="Z57">
            <v>26.669404133771767</v>
          </cell>
          <cell r="AG57">
            <v>1.532740748223447</v>
          </cell>
          <cell r="AH57">
            <v>25.136663385548321</v>
          </cell>
          <cell r="AJ57">
            <v>67.89994589457477</v>
          </cell>
          <cell r="AK57">
            <v>0</v>
          </cell>
          <cell r="AL57">
            <v>0</v>
          </cell>
          <cell r="AM57">
            <v>0</v>
          </cell>
          <cell r="AN57">
            <v>0</v>
          </cell>
          <cell r="AO57">
            <v>0</v>
          </cell>
          <cell r="AP57">
            <v>0</v>
          </cell>
          <cell r="AQ57">
            <v>3.9023374257917247</v>
          </cell>
          <cell r="AR57">
            <v>63.997608468783042</v>
          </cell>
        </row>
        <row r="58">
          <cell r="C58" t="str">
            <v xml:space="preserve"> - услуги пожарной, вневедомственной и сторожевой охраны</v>
          </cell>
          <cell r="D58">
            <v>279.79988852208402</v>
          </cell>
          <cell r="E58">
            <v>1.1147787159870859E-4</v>
          </cell>
          <cell r="F58">
            <v>105.32285170673671</v>
          </cell>
          <cell r="M58">
            <v>6.0531021135784133</v>
          </cell>
          <cell r="N58">
            <v>99.269749593158295</v>
          </cell>
          <cell r="P58">
            <v>64.578556020401464</v>
          </cell>
          <cell r="W58">
            <v>3.7114509112169354</v>
          </cell>
          <cell r="X58">
            <v>60.867105109184529</v>
          </cell>
          <cell r="Z58">
            <v>109.89836931707426</v>
          </cell>
          <cell r="AG58">
            <v>6.3160657047558253</v>
          </cell>
          <cell r="AH58">
            <v>103.58230361231843</v>
          </cell>
          <cell r="AJ58">
            <v>279.79977704421242</v>
          </cell>
          <cell r="AK58">
            <v>0</v>
          </cell>
          <cell r="AL58">
            <v>0</v>
          </cell>
          <cell r="AM58">
            <v>0</v>
          </cell>
          <cell r="AN58">
            <v>0</v>
          </cell>
          <cell r="AO58">
            <v>0</v>
          </cell>
          <cell r="AP58">
            <v>0</v>
          </cell>
          <cell r="AQ58">
            <v>16.080618729551176</v>
          </cell>
          <cell r="AR58">
            <v>263.71915831466123</v>
          </cell>
        </row>
        <row r="59">
          <cell r="C59" t="str">
            <v xml:space="preserve">    - услуги по управлению</v>
          </cell>
          <cell r="D59">
            <v>0</v>
          </cell>
          <cell r="E59">
            <v>0</v>
          </cell>
          <cell r="F59">
            <v>0</v>
          </cell>
          <cell r="M59">
            <v>0</v>
          </cell>
          <cell r="N59">
            <v>0</v>
          </cell>
          <cell r="P59">
            <v>0</v>
          </cell>
          <cell r="W59">
            <v>0</v>
          </cell>
          <cell r="X59">
            <v>0</v>
          </cell>
          <cell r="Z59">
            <v>0</v>
          </cell>
          <cell r="AG59">
            <v>0</v>
          </cell>
          <cell r="AH59">
            <v>0</v>
          </cell>
          <cell r="AJ59">
            <v>0</v>
          </cell>
          <cell r="AK59">
            <v>0</v>
          </cell>
          <cell r="AL59">
            <v>0</v>
          </cell>
          <cell r="AM59">
            <v>0</v>
          </cell>
          <cell r="AN59">
            <v>0</v>
          </cell>
          <cell r="AO59">
            <v>0</v>
          </cell>
          <cell r="AP59">
            <v>0</v>
          </cell>
          <cell r="AQ59">
            <v>0</v>
          </cell>
          <cell r="AR59">
            <v>0</v>
          </cell>
        </row>
        <row r="60">
          <cell r="C60" t="str">
            <v xml:space="preserve"> - услуги PR (публикации в СМИ, реклама) </v>
          </cell>
          <cell r="D60">
            <v>25.599989800448</v>
          </cell>
          <cell r="E60">
            <v>1.0199547936906583E-5</v>
          </cell>
          <cell r="F60">
            <v>9.636401013911577</v>
          </cell>
          <cell r="M60">
            <v>0.55382206614584484</v>
          </cell>
          <cell r="N60">
            <v>9.0825789477657324</v>
          </cell>
          <cell r="P60">
            <v>5.9085455115163592</v>
          </cell>
          <cell r="W60">
            <v>0.3395752084601627</v>
          </cell>
          <cell r="X60">
            <v>5.5689703030561963</v>
          </cell>
          <cell r="Z60">
            <v>10.055033075472126</v>
          </cell>
          <cell r="AG60">
            <v>0.57788163703269879</v>
          </cell>
          <cell r="AH60">
            <v>9.477151438439428</v>
          </cell>
          <cell r="AJ60">
            <v>25.599979600900063</v>
          </cell>
          <cell r="AK60">
            <v>0</v>
          </cell>
          <cell r="AL60">
            <v>0</v>
          </cell>
          <cell r="AM60">
            <v>0</v>
          </cell>
          <cell r="AN60">
            <v>0</v>
          </cell>
          <cell r="AO60">
            <v>0</v>
          </cell>
          <cell r="AP60">
            <v>0</v>
          </cell>
          <cell r="AQ60">
            <v>1.4712789116387062</v>
          </cell>
          <cell r="AR60">
            <v>24.128700689261358</v>
          </cell>
        </row>
        <row r="61">
          <cell r="C61" t="str">
            <v xml:space="preserve"> - прочие работы и услуги сторонних организаций (расшифровать)</v>
          </cell>
          <cell r="D61">
            <v>1571.7993737634436</v>
          </cell>
          <cell r="E61">
            <v>6.2623630651614803E-4</v>
          </cell>
          <cell r="F61">
            <v>591.65996537758656</v>
          </cell>
          <cell r="G61">
            <v>0</v>
          </cell>
          <cell r="H61">
            <v>0</v>
          </cell>
          <cell r="I61">
            <v>0</v>
          </cell>
          <cell r="J61">
            <v>0</v>
          </cell>
          <cell r="K61">
            <v>0</v>
          </cell>
          <cell r="L61">
            <v>0</v>
          </cell>
          <cell r="M61">
            <v>34.00380951437652</v>
          </cell>
          <cell r="N61">
            <v>557.65615586321007</v>
          </cell>
          <cell r="P61">
            <v>362.77546230474275</v>
          </cell>
          <cell r="Q61">
            <v>0</v>
          </cell>
          <cell r="R61">
            <v>0</v>
          </cell>
          <cell r="S61">
            <v>0</v>
          </cell>
          <cell r="T61">
            <v>0</v>
          </cell>
          <cell r="U61">
            <v>0</v>
          </cell>
          <cell r="V61">
            <v>0</v>
          </cell>
          <cell r="W61">
            <v>20.84938721319077</v>
          </cell>
          <cell r="X61">
            <v>341.92607509155198</v>
          </cell>
          <cell r="Z61">
            <v>617.36331984480796</v>
          </cell>
          <cell r="AA61">
            <v>0</v>
          </cell>
          <cell r="AB61">
            <v>0</v>
          </cell>
          <cell r="AC61">
            <v>0</v>
          </cell>
          <cell r="AD61">
            <v>0</v>
          </cell>
          <cell r="AE61">
            <v>0</v>
          </cell>
          <cell r="AF61">
            <v>0</v>
          </cell>
          <cell r="AG61">
            <v>35.481029573749836</v>
          </cell>
          <cell r="AH61">
            <v>581.88229027105808</v>
          </cell>
          <cell r="AJ61">
            <v>1571.798747527137</v>
          </cell>
          <cell r="AK61">
            <v>0</v>
          </cell>
          <cell r="AL61">
            <v>0</v>
          </cell>
          <cell r="AM61">
            <v>0</v>
          </cell>
          <cell r="AN61">
            <v>0</v>
          </cell>
          <cell r="AO61">
            <v>0</v>
          </cell>
          <cell r="AP61">
            <v>0</v>
          </cell>
          <cell r="AQ61">
            <v>90.334226301317116</v>
          </cell>
          <cell r="AR61">
            <v>1481.4645212258199</v>
          </cell>
        </row>
        <row r="62">
          <cell r="C62" t="str">
            <v>Санитарная обработка</v>
          </cell>
          <cell r="D62">
            <v>9.0999963743779997</v>
          </cell>
          <cell r="E62">
            <v>3.6256205575568856E-6</v>
          </cell>
          <cell r="F62">
            <v>3.4254394229138811</v>
          </cell>
          <cell r="M62">
            <v>0.19686643757528074</v>
          </cell>
          <cell r="N62">
            <v>3.2285729853386003</v>
          </cell>
          <cell r="P62">
            <v>2.1003032872968301</v>
          </cell>
          <cell r="W62">
            <v>0.12070837488232344</v>
          </cell>
          <cell r="X62">
            <v>1.9795949124145069</v>
          </cell>
          <cell r="Z62">
            <v>3.5742500385467322</v>
          </cell>
          <cell r="AG62">
            <v>0.20541886316396715</v>
          </cell>
          <cell r="AH62">
            <v>3.3688311753827649</v>
          </cell>
          <cell r="AJ62">
            <v>9.0999927487574421</v>
          </cell>
          <cell r="AK62">
            <v>0</v>
          </cell>
          <cell r="AL62">
            <v>0</v>
          </cell>
          <cell r="AM62">
            <v>0</v>
          </cell>
          <cell r="AN62">
            <v>0</v>
          </cell>
          <cell r="AO62">
            <v>0</v>
          </cell>
          <cell r="AP62">
            <v>0</v>
          </cell>
          <cell r="AQ62">
            <v>0.5229936756215714</v>
          </cell>
          <cell r="AR62">
            <v>8.5769990731358714</v>
          </cell>
        </row>
        <row r="63">
          <cell r="C63" t="str">
            <v>Госсанэпиднадзор</v>
          </cell>
          <cell r="D63">
            <v>0</v>
          </cell>
          <cell r="E63">
            <v>0</v>
          </cell>
          <cell r="F63">
            <v>0</v>
          </cell>
          <cell r="M63">
            <v>0</v>
          </cell>
          <cell r="N63">
            <v>0</v>
          </cell>
          <cell r="P63">
            <v>0</v>
          </cell>
          <cell r="W63">
            <v>0</v>
          </cell>
          <cell r="X63">
            <v>0</v>
          </cell>
          <cell r="Z63">
            <v>0</v>
          </cell>
          <cell r="AG63">
            <v>0</v>
          </cell>
          <cell r="AH63">
            <v>0</v>
          </cell>
          <cell r="AJ63">
            <v>0</v>
          </cell>
          <cell r="AK63">
            <v>0</v>
          </cell>
          <cell r="AL63">
            <v>0</v>
          </cell>
          <cell r="AM63">
            <v>0</v>
          </cell>
          <cell r="AN63">
            <v>0</v>
          </cell>
          <cell r="AO63">
            <v>0</v>
          </cell>
          <cell r="AP63">
            <v>0</v>
          </cell>
          <cell r="AQ63">
            <v>0</v>
          </cell>
          <cell r="AR63">
            <v>0</v>
          </cell>
        </row>
        <row r="64">
          <cell r="C64" t="str">
            <v>Обслуживание  кассовых аппаратов</v>
          </cell>
          <cell r="D64">
            <v>0</v>
          </cell>
          <cell r="E64">
            <v>0</v>
          </cell>
          <cell r="F64">
            <v>0</v>
          </cell>
          <cell r="M64">
            <v>0</v>
          </cell>
          <cell r="N64">
            <v>0</v>
          </cell>
          <cell r="P64">
            <v>0</v>
          </cell>
          <cell r="W64">
            <v>0</v>
          </cell>
          <cell r="X64">
            <v>0</v>
          </cell>
          <cell r="Z64">
            <v>0</v>
          </cell>
          <cell r="AG64">
            <v>0</v>
          </cell>
          <cell r="AH64">
            <v>0</v>
          </cell>
          <cell r="AJ64">
            <v>0</v>
          </cell>
          <cell r="AK64">
            <v>0</v>
          </cell>
          <cell r="AL64">
            <v>0</v>
          </cell>
          <cell r="AM64">
            <v>0</v>
          </cell>
          <cell r="AN64">
            <v>0</v>
          </cell>
          <cell r="AO64">
            <v>0</v>
          </cell>
          <cell r="AP64">
            <v>0</v>
          </cell>
          <cell r="AQ64">
            <v>0</v>
          </cell>
          <cell r="AR64">
            <v>0</v>
          </cell>
        </row>
        <row r="65">
          <cell r="C65" t="str">
            <v>Обслуживание компьютеров и оргтехники</v>
          </cell>
          <cell r="D65">
            <v>0</v>
          </cell>
          <cell r="E65">
            <v>0</v>
          </cell>
          <cell r="F65">
            <v>0</v>
          </cell>
          <cell r="M65">
            <v>0</v>
          </cell>
          <cell r="N65">
            <v>0</v>
          </cell>
          <cell r="P65">
            <v>0</v>
          </cell>
          <cell r="W65">
            <v>0</v>
          </cell>
          <cell r="X65">
            <v>0</v>
          </cell>
          <cell r="Z65">
            <v>0</v>
          </cell>
          <cell r="AG65">
            <v>0</v>
          </cell>
          <cell r="AH65">
            <v>0</v>
          </cell>
          <cell r="AJ65">
            <v>0</v>
          </cell>
          <cell r="AK65">
            <v>0</v>
          </cell>
          <cell r="AL65">
            <v>0</v>
          </cell>
          <cell r="AM65">
            <v>0</v>
          </cell>
          <cell r="AN65">
            <v>0</v>
          </cell>
          <cell r="AO65">
            <v>0</v>
          </cell>
          <cell r="AP65">
            <v>0</v>
          </cell>
          <cell r="AQ65">
            <v>0</v>
          </cell>
          <cell r="AR65">
            <v>0</v>
          </cell>
        </row>
        <row r="66">
          <cell r="C66" t="str">
            <v xml:space="preserve">Обслуживание средств связи </v>
          </cell>
          <cell r="D66">
            <v>23.999990437919998</v>
          </cell>
          <cell r="E66">
            <v>9.5620761939585464E-6</v>
          </cell>
          <cell r="F66">
            <v>9.0341259505421032</v>
          </cell>
          <cell r="M66">
            <v>0.51920818701172933</v>
          </cell>
          <cell r="N66">
            <v>8.5149177635303737</v>
          </cell>
          <cell r="P66">
            <v>5.5392614170465864</v>
          </cell>
          <cell r="W66">
            <v>0.31835175793140252</v>
          </cell>
          <cell r="X66">
            <v>5.2209096591151836</v>
          </cell>
          <cell r="Z66">
            <v>9.4265935082551167</v>
          </cell>
          <cell r="AG66">
            <v>0.54176403471815504</v>
          </cell>
          <cell r="AH66">
            <v>8.8848294735369624</v>
          </cell>
          <cell r="AJ66">
            <v>23.999980875843804</v>
          </cell>
          <cell r="AK66">
            <v>0</v>
          </cell>
          <cell r="AL66">
            <v>0</v>
          </cell>
          <cell r="AM66">
            <v>0</v>
          </cell>
          <cell r="AN66">
            <v>0</v>
          </cell>
          <cell r="AO66">
            <v>0</v>
          </cell>
          <cell r="AP66">
            <v>0</v>
          </cell>
          <cell r="AQ66">
            <v>1.3793239796612871</v>
          </cell>
          <cell r="AR66">
            <v>22.620656896182517</v>
          </cell>
        </row>
        <row r="67">
          <cell r="C67" t="str">
            <v>Обслуживание бытовой техники</v>
          </cell>
          <cell r="D67">
            <v>2.399999043792</v>
          </cell>
          <cell r="E67">
            <v>9.5620761930703679E-7</v>
          </cell>
          <cell r="F67">
            <v>0.90341259505421034</v>
          </cell>
          <cell r="M67">
            <v>5.1920818701172947E-2</v>
          </cell>
          <cell r="N67">
            <v>0.85149177635303741</v>
          </cell>
          <cell r="P67">
            <v>0.55392614170465859</v>
          </cell>
          <cell r="W67">
            <v>3.1835175793140255E-2</v>
          </cell>
          <cell r="X67">
            <v>0.52209096591151838</v>
          </cell>
          <cell r="Z67">
            <v>0.94265935082551178</v>
          </cell>
          <cell r="AG67">
            <v>5.4176403471815508E-2</v>
          </cell>
          <cell r="AH67">
            <v>0.88848294735369626</v>
          </cell>
          <cell r="AJ67">
            <v>2.3999980875843807</v>
          </cell>
          <cell r="AK67">
            <v>0</v>
          </cell>
          <cell r="AL67">
            <v>0</v>
          </cell>
          <cell r="AM67">
            <v>0</v>
          </cell>
          <cell r="AN67">
            <v>0</v>
          </cell>
          <cell r="AO67">
            <v>0</v>
          </cell>
          <cell r="AP67">
            <v>0</v>
          </cell>
          <cell r="AQ67">
            <v>0.13793239796612872</v>
          </cell>
          <cell r="AR67">
            <v>2.2620656896182521</v>
          </cell>
        </row>
        <row r="68">
          <cell r="C68" t="str">
            <v>Обслуживание автотранспорта, техосмотр</v>
          </cell>
          <cell r="D68">
            <v>31.599987409927998</v>
          </cell>
          <cell r="E68">
            <v>1.2590066987172577E-5</v>
          </cell>
          <cell r="F68">
            <v>11.894932501547101</v>
          </cell>
          <cell r="M68">
            <v>0.68362411289877711</v>
          </cell>
          <cell r="N68">
            <v>11.211308388648325</v>
          </cell>
          <cell r="P68">
            <v>7.2933608657780056</v>
          </cell>
          <cell r="W68">
            <v>0.41916314794301329</v>
          </cell>
          <cell r="X68">
            <v>6.874197717834992</v>
          </cell>
          <cell r="Z68">
            <v>12.411681452535904</v>
          </cell>
          <cell r="AG68">
            <v>0.71332264571223747</v>
          </cell>
          <cell r="AH68">
            <v>11.698358806823666</v>
          </cell>
          <cell r="AJ68">
            <v>31.599974819861011</v>
          </cell>
          <cell r="AK68">
            <v>0</v>
          </cell>
          <cell r="AL68">
            <v>0</v>
          </cell>
          <cell r="AM68">
            <v>0</v>
          </cell>
          <cell r="AN68">
            <v>0</v>
          </cell>
          <cell r="AO68">
            <v>0</v>
          </cell>
          <cell r="AP68">
            <v>0</v>
          </cell>
          <cell r="AQ68">
            <v>1.8161099065540278</v>
          </cell>
          <cell r="AR68">
            <v>29.783864913306981</v>
          </cell>
        </row>
        <row r="69">
          <cell r="C69" t="str">
            <v>Услуги по вывозу мусора</v>
          </cell>
          <cell r="D69">
            <v>0</v>
          </cell>
          <cell r="E69">
            <v>0</v>
          </cell>
          <cell r="F69">
            <v>0</v>
          </cell>
          <cell r="M69">
            <v>0</v>
          </cell>
          <cell r="N69">
            <v>0</v>
          </cell>
          <cell r="P69">
            <v>0</v>
          </cell>
          <cell r="W69">
            <v>0</v>
          </cell>
          <cell r="X69">
            <v>0</v>
          </cell>
          <cell r="Z69">
            <v>0</v>
          </cell>
          <cell r="AG69">
            <v>0</v>
          </cell>
          <cell r="AH69">
            <v>0</v>
          </cell>
          <cell r="AJ69">
            <v>0</v>
          </cell>
          <cell r="AK69">
            <v>0</v>
          </cell>
          <cell r="AL69">
            <v>0</v>
          </cell>
          <cell r="AM69">
            <v>0</v>
          </cell>
          <cell r="AN69">
            <v>0</v>
          </cell>
          <cell r="AO69">
            <v>0</v>
          </cell>
          <cell r="AP69">
            <v>0</v>
          </cell>
          <cell r="AQ69">
            <v>0</v>
          </cell>
          <cell r="AR69">
            <v>0</v>
          </cell>
        </row>
        <row r="70">
          <cell r="C70" t="str">
            <v>Сертификация Э/Э</v>
          </cell>
          <cell r="D70">
            <v>0</v>
          </cell>
          <cell r="E70">
            <v>0</v>
          </cell>
          <cell r="F70">
            <v>0</v>
          </cell>
          <cell r="M70">
            <v>0</v>
          </cell>
          <cell r="N70">
            <v>0</v>
          </cell>
          <cell r="P70">
            <v>0</v>
          </cell>
          <cell r="W70">
            <v>0</v>
          </cell>
          <cell r="X70">
            <v>0</v>
          </cell>
          <cell r="Z70">
            <v>0</v>
          </cell>
          <cell r="AG70">
            <v>0</v>
          </cell>
          <cell r="AH70">
            <v>0</v>
          </cell>
          <cell r="AJ70">
            <v>0</v>
          </cell>
          <cell r="AK70">
            <v>0</v>
          </cell>
          <cell r="AL70">
            <v>0</v>
          </cell>
          <cell r="AM70">
            <v>0</v>
          </cell>
          <cell r="AN70">
            <v>0</v>
          </cell>
          <cell r="AO70">
            <v>0</v>
          </cell>
          <cell r="AP70">
            <v>0</v>
          </cell>
          <cell r="AQ70">
            <v>0</v>
          </cell>
          <cell r="AR70">
            <v>0</v>
          </cell>
        </row>
        <row r="71">
          <cell r="C71" t="str">
            <v>Медосмотр</v>
          </cell>
          <cell r="D71">
            <v>186.49992569466997</v>
          </cell>
          <cell r="E71">
            <v>7.4305300415744568E-5</v>
          </cell>
          <cell r="F71">
            <v>70.202687074004245</v>
          </cell>
          <cell r="M71">
            <v>4.034680286570314</v>
          </cell>
          <cell r="N71">
            <v>66.168006787433939</v>
          </cell>
          <cell r="P71">
            <v>43.044677261632842</v>
          </cell>
          <cell r="W71">
            <v>2.4738584522586069</v>
          </cell>
          <cell r="X71">
            <v>40.570818809374238</v>
          </cell>
          <cell r="Z71">
            <v>73.252487053732466</v>
          </cell>
          <cell r="AG71">
            <v>4.2099580197889956</v>
          </cell>
          <cell r="AH71">
            <v>69.042529033943467</v>
          </cell>
          <cell r="AJ71">
            <v>186.49985138936955</v>
          </cell>
          <cell r="AK71">
            <v>0</v>
          </cell>
          <cell r="AL71">
            <v>0</v>
          </cell>
          <cell r="AM71">
            <v>0</v>
          </cell>
          <cell r="AN71">
            <v>0</v>
          </cell>
          <cell r="AO71">
            <v>0</v>
          </cell>
          <cell r="AP71">
            <v>0</v>
          </cell>
          <cell r="AQ71">
            <v>10.718496758617917</v>
          </cell>
          <cell r="AR71">
            <v>175.78135463075165</v>
          </cell>
        </row>
        <row r="72">
          <cell r="C72" t="str">
            <v>Услуги по хранению ГСМ</v>
          </cell>
          <cell r="D72">
            <v>0</v>
          </cell>
          <cell r="E72">
            <v>0</v>
          </cell>
          <cell r="F72">
            <v>0</v>
          </cell>
          <cell r="M72">
            <v>0</v>
          </cell>
          <cell r="N72">
            <v>0</v>
          </cell>
          <cell r="P72">
            <v>0</v>
          </cell>
          <cell r="W72">
            <v>0</v>
          </cell>
          <cell r="X72">
            <v>0</v>
          </cell>
          <cell r="Z72">
            <v>0</v>
          </cell>
          <cell r="AG72">
            <v>0</v>
          </cell>
          <cell r="AH72">
            <v>0</v>
          </cell>
          <cell r="AJ72">
            <v>0</v>
          </cell>
          <cell r="AK72">
            <v>0</v>
          </cell>
          <cell r="AL72">
            <v>0</v>
          </cell>
          <cell r="AM72">
            <v>0</v>
          </cell>
          <cell r="AN72">
            <v>0</v>
          </cell>
          <cell r="AO72">
            <v>0</v>
          </cell>
          <cell r="AP72">
            <v>0</v>
          </cell>
          <cell r="AQ72">
            <v>0</v>
          </cell>
          <cell r="AR72">
            <v>0</v>
          </cell>
        </row>
        <row r="73">
          <cell r="C73" t="str">
            <v>Услуги стоянки автотранспорта</v>
          </cell>
          <cell r="D73">
            <v>0</v>
          </cell>
          <cell r="E73">
            <v>0</v>
          </cell>
          <cell r="F73">
            <v>0</v>
          </cell>
          <cell r="M73">
            <v>0</v>
          </cell>
          <cell r="N73">
            <v>0</v>
          </cell>
          <cell r="P73">
            <v>0</v>
          </cell>
          <cell r="W73">
            <v>0</v>
          </cell>
          <cell r="X73">
            <v>0</v>
          </cell>
          <cell r="Z73">
            <v>0</v>
          </cell>
          <cell r="AG73">
            <v>0</v>
          </cell>
          <cell r="AH73">
            <v>0</v>
          </cell>
          <cell r="AJ73">
            <v>0</v>
          </cell>
          <cell r="AK73">
            <v>0</v>
          </cell>
          <cell r="AL73">
            <v>0</v>
          </cell>
          <cell r="AM73">
            <v>0</v>
          </cell>
          <cell r="AN73">
            <v>0</v>
          </cell>
          <cell r="AO73">
            <v>0</v>
          </cell>
          <cell r="AP73">
            <v>0</v>
          </cell>
          <cell r="AQ73">
            <v>0</v>
          </cell>
          <cell r="AR73">
            <v>0</v>
          </cell>
        </row>
        <row r="74">
          <cell r="C74" t="str">
            <v>Проведение лабораторных испытаний и анализов (хроматографический анализ масла)</v>
          </cell>
          <cell r="D74">
            <v>0</v>
          </cell>
          <cell r="E74">
            <v>0</v>
          </cell>
          <cell r="F74">
            <v>0</v>
          </cell>
          <cell r="M74">
            <v>0</v>
          </cell>
          <cell r="N74">
            <v>0</v>
          </cell>
          <cell r="P74">
            <v>0</v>
          </cell>
          <cell r="W74">
            <v>0</v>
          </cell>
          <cell r="X74">
            <v>0</v>
          </cell>
          <cell r="Z74">
            <v>0</v>
          </cell>
          <cell r="AG74">
            <v>0</v>
          </cell>
          <cell r="AH74">
            <v>0</v>
          </cell>
          <cell r="AJ74">
            <v>0</v>
          </cell>
          <cell r="AK74">
            <v>0</v>
          </cell>
          <cell r="AL74">
            <v>0</v>
          </cell>
          <cell r="AM74">
            <v>0</v>
          </cell>
          <cell r="AN74">
            <v>0</v>
          </cell>
          <cell r="AO74">
            <v>0</v>
          </cell>
          <cell r="AP74">
            <v>0</v>
          </cell>
          <cell r="AQ74">
            <v>0</v>
          </cell>
          <cell r="AR74">
            <v>0</v>
          </cell>
        </row>
        <row r="75">
          <cell r="C75" t="str">
            <v>Транспортные услуги по перевозке персонала</v>
          </cell>
          <cell r="D75">
            <v>639.29974529009394</v>
          </cell>
          <cell r="E75">
            <v>2.5470980460795545E-4</v>
          </cell>
          <cell r="F75">
            <v>240.64653000756527</v>
          </cell>
          <cell r="M75">
            <v>13.830408081524942</v>
          </cell>
          <cell r="N75">
            <v>226.81612192604032</v>
          </cell>
          <cell r="P75">
            <v>147.55207599657845</v>
          </cell>
          <cell r="W75">
            <v>8.4800949518977351</v>
          </cell>
          <cell r="X75">
            <v>139.07198104468071</v>
          </cell>
          <cell r="Z75">
            <v>251.10088457614569</v>
          </cell>
          <cell r="AG75">
            <v>14.431239474804855</v>
          </cell>
          <cell r="AH75">
            <v>236.66964510134082</v>
          </cell>
          <cell r="AJ75">
            <v>639.29949058028933</v>
          </cell>
          <cell r="AK75">
            <v>0</v>
          </cell>
          <cell r="AL75">
            <v>0</v>
          </cell>
          <cell r="AM75">
            <v>0</v>
          </cell>
          <cell r="AN75">
            <v>0</v>
          </cell>
          <cell r="AO75">
            <v>0</v>
          </cell>
          <cell r="AP75">
            <v>0</v>
          </cell>
          <cell r="AQ75">
            <v>36.741742508227532</v>
          </cell>
          <cell r="AR75">
            <v>602.55774807206183</v>
          </cell>
        </row>
        <row r="76">
          <cell r="C76" t="str">
            <v>Расходы отдел по защите гос.тайны</v>
          </cell>
          <cell r="D76">
            <v>7.1999971313759996</v>
          </cell>
          <cell r="E76">
            <v>2.8686228574770212E-6</v>
          </cell>
          <cell r="F76">
            <v>2.7102377851626311</v>
          </cell>
          <cell r="M76">
            <v>0.15576245610351885</v>
          </cell>
          <cell r="N76">
            <v>2.5544753290591125</v>
          </cell>
          <cell r="P76">
            <v>1.6617784251139758</v>
          </cell>
          <cell r="W76">
            <v>9.5505527379420752E-2</v>
          </cell>
          <cell r="X76">
            <v>1.566272897734555</v>
          </cell>
          <cell r="Z76">
            <v>2.827978052476535</v>
          </cell>
          <cell r="AG76">
            <v>0.16252921041544649</v>
          </cell>
          <cell r="AH76">
            <v>2.6654488420610885</v>
          </cell>
          <cell r="AJ76">
            <v>7.1999942627531421</v>
          </cell>
          <cell r="AK76">
            <v>0</v>
          </cell>
          <cell r="AL76">
            <v>0</v>
          </cell>
          <cell r="AM76">
            <v>0</v>
          </cell>
          <cell r="AN76">
            <v>0</v>
          </cell>
          <cell r="AO76">
            <v>0</v>
          </cell>
          <cell r="AP76">
            <v>0</v>
          </cell>
          <cell r="AQ76">
            <v>0.4137971938983861</v>
          </cell>
          <cell r="AR76">
            <v>6.7861970688547562</v>
          </cell>
        </row>
        <row r="77">
          <cell r="C77" t="str">
            <v>почтовые услуги</v>
          </cell>
          <cell r="D77">
            <v>0</v>
          </cell>
          <cell r="E77">
            <v>0</v>
          </cell>
          <cell r="F77">
            <v>0</v>
          </cell>
          <cell r="M77">
            <v>0</v>
          </cell>
          <cell r="N77">
            <v>0</v>
          </cell>
          <cell r="P77">
            <v>0</v>
          </cell>
          <cell r="W77">
            <v>0</v>
          </cell>
          <cell r="X77">
            <v>0</v>
          </cell>
          <cell r="Z77">
            <v>0</v>
          </cell>
          <cell r="AG77">
            <v>0</v>
          </cell>
          <cell r="AH77">
            <v>0</v>
          </cell>
          <cell r="AJ77">
            <v>0</v>
          </cell>
          <cell r="AK77">
            <v>0</v>
          </cell>
          <cell r="AL77">
            <v>0</v>
          </cell>
          <cell r="AM77">
            <v>0</v>
          </cell>
          <cell r="AN77">
            <v>0</v>
          </cell>
          <cell r="AO77">
            <v>0</v>
          </cell>
          <cell r="AP77">
            <v>0</v>
          </cell>
          <cell r="AQ77">
            <v>0</v>
          </cell>
          <cell r="AR77">
            <v>0</v>
          </cell>
        </row>
        <row r="78">
          <cell r="C78" t="str">
            <v>Очистка вагонов</v>
          </cell>
          <cell r="D78">
            <v>0</v>
          </cell>
          <cell r="E78">
            <v>0</v>
          </cell>
          <cell r="F78">
            <v>0</v>
          </cell>
          <cell r="M78">
            <v>0</v>
          </cell>
          <cell r="N78">
            <v>0</v>
          </cell>
          <cell r="P78">
            <v>0</v>
          </cell>
          <cell r="W78">
            <v>0</v>
          </cell>
          <cell r="X78">
            <v>0</v>
          </cell>
          <cell r="Z78">
            <v>0</v>
          </cell>
          <cell r="AG78">
            <v>0</v>
          </cell>
          <cell r="AH78">
            <v>0</v>
          </cell>
          <cell r="AJ78">
            <v>0</v>
          </cell>
          <cell r="AK78">
            <v>0</v>
          </cell>
          <cell r="AL78">
            <v>0</v>
          </cell>
          <cell r="AM78">
            <v>0</v>
          </cell>
          <cell r="AN78">
            <v>0</v>
          </cell>
          <cell r="AO78">
            <v>0</v>
          </cell>
          <cell r="AP78">
            <v>0</v>
          </cell>
          <cell r="AQ78">
            <v>0</v>
          </cell>
          <cell r="AR78">
            <v>0</v>
          </cell>
        </row>
        <row r="79">
          <cell r="C79" t="str">
            <v>Услуги типографии</v>
          </cell>
          <cell r="D79">
            <v>0</v>
          </cell>
          <cell r="E79">
            <v>0</v>
          </cell>
          <cell r="F79">
            <v>0</v>
          </cell>
          <cell r="M79">
            <v>0</v>
          </cell>
          <cell r="N79">
            <v>0</v>
          </cell>
          <cell r="P79">
            <v>0</v>
          </cell>
          <cell r="W79">
            <v>0</v>
          </cell>
          <cell r="X79">
            <v>0</v>
          </cell>
          <cell r="Z79">
            <v>0</v>
          </cell>
          <cell r="AG79">
            <v>0</v>
          </cell>
          <cell r="AH79">
            <v>0</v>
          </cell>
          <cell r="AJ79">
            <v>0</v>
          </cell>
          <cell r="AK79">
            <v>0</v>
          </cell>
          <cell r="AL79">
            <v>0</v>
          </cell>
          <cell r="AM79">
            <v>0</v>
          </cell>
          <cell r="AN79">
            <v>0</v>
          </cell>
          <cell r="AO79">
            <v>0</v>
          </cell>
          <cell r="AP79">
            <v>0</v>
          </cell>
          <cell r="AQ79">
            <v>0</v>
          </cell>
          <cell r="AR79">
            <v>0</v>
          </cell>
        </row>
        <row r="80">
          <cell r="C80" t="str">
            <v>Расходы ГО и ЧС</v>
          </cell>
          <cell r="D80">
            <v>0</v>
          </cell>
          <cell r="E80">
            <v>0</v>
          </cell>
          <cell r="F80">
            <v>0</v>
          </cell>
          <cell r="M80">
            <v>0</v>
          </cell>
          <cell r="N80">
            <v>0</v>
          </cell>
          <cell r="P80">
            <v>0</v>
          </cell>
          <cell r="W80">
            <v>0</v>
          </cell>
          <cell r="X80">
            <v>0</v>
          </cell>
          <cell r="Z80">
            <v>0</v>
          </cell>
          <cell r="AG80">
            <v>0</v>
          </cell>
          <cell r="AH80">
            <v>0</v>
          </cell>
          <cell r="AJ80">
            <v>0</v>
          </cell>
          <cell r="AK80">
            <v>0</v>
          </cell>
          <cell r="AL80">
            <v>0</v>
          </cell>
          <cell r="AM80">
            <v>0</v>
          </cell>
          <cell r="AN80">
            <v>0</v>
          </cell>
          <cell r="AO80">
            <v>0</v>
          </cell>
          <cell r="AP80">
            <v>0</v>
          </cell>
          <cell r="AQ80">
            <v>0</v>
          </cell>
          <cell r="AR80">
            <v>0</v>
          </cell>
        </row>
        <row r="81">
          <cell r="C81" t="str">
            <v>Услуги инкассации</v>
          </cell>
          <cell r="D81">
            <v>0</v>
          </cell>
          <cell r="E81">
            <v>0</v>
          </cell>
          <cell r="F81">
            <v>0</v>
          </cell>
          <cell r="M81">
            <v>0</v>
          </cell>
          <cell r="N81">
            <v>0</v>
          </cell>
          <cell r="P81">
            <v>0</v>
          </cell>
          <cell r="W81">
            <v>0</v>
          </cell>
          <cell r="X81">
            <v>0</v>
          </cell>
          <cell r="Z81">
            <v>0</v>
          </cell>
          <cell r="AG81">
            <v>0</v>
          </cell>
          <cell r="AH81">
            <v>0</v>
          </cell>
          <cell r="AJ81">
            <v>0</v>
          </cell>
          <cell r="AK81">
            <v>0</v>
          </cell>
          <cell r="AL81">
            <v>0</v>
          </cell>
          <cell r="AM81">
            <v>0</v>
          </cell>
          <cell r="AN81">
            <v>0</v>
          </cell>
          <cell r="AO81">
            <v>0</v>
          </cell>
          <cell r="AP81">
            <v>0</v>
          </cell>
          <cell r="AQ81">
            <v>0</v>
          </cell>
          <cell r="AR81">
            <v>0</v>
          </cell>
        </row>
        <row r="82">
          <cell r="C82" t="str">
            <v>Перезарядка огнетушителей</v>
          </cell>
          <cell r="D82">
            <v>2.2999990836339999</v>
          </cell>
          <cell r="E82">
            <v>9.1636563537278448E-7</v>
          </cell>
          <cell r="F82">
            <v>0.86577040359361834</v>
          </cell>
          <cell r="M82">
            <v>4.9757451255290741E-2</v>
          </cell>
          <cell r="N82">
            <v>0.8160129523383276</v>
          </cell>
          <cell r="P82">
            <v>0.53084588580029779</v>
          </cell>
          <cell r="W82">
            <v>3.050871013509274E-2</v>
          </cell>
          <cell r="X82">
            <v>0.50033717566520508</v>
          </cell>
          <cell r="Z82">
            <v>0.90338187787444868</v>
          </cell>
          <cell r="AG82">
            <v>5.1919053327156524E-2</v>
          </cell>
          <cell r="AH82">
            <v>0.85146282454729216</v>
          </cell>
          <cell r="AJ82">
            <v>2.2999981672683645</v>
          </cell>
          <cell r="AK82">
            <v>0</v>
          </cell>
          <cell r="AL82">
            <v>0</v>
          </cell>
          <cell r="AM82">
            <v>0</v>
          </cell>
          <cell r="AN82">
            <v>0</v>
          </cell>
          <cell r="AO82">
            <v>0</v>
          </cell>
          <cell r="AP82">
            <v>0</v>
          </cell>
          <cell r="AQ82">
            <v>0.13218521471753999</v>
          </cell>
          <cell r="AR82">
            <v>2.1678129525508245</v>
          </cell>
        </row>
        <row r="83">
          <cell r="C83" t="str">
            <v>Стирка спецодежды, белья</v>
          </cell>
          <cell r="D83">
            <v>0</v>
          </cell>
          <cell r="E83">
            <v>0</v>
          </cell>
          <cell r="F83">
            <v>0</v>
          </cell>
          <cell r="M83">
            <v>0</v>
          </cell>
          <cell r="N83">
            <v>0</v>
          </cell>
          <cell r="P83">
            <v>0</v>
          </cell>
          <cell r="W83">
            <v>0</v>
          </cell>
          <cell r="X83">
            <v>0</v>
          </cell>
          <cell r="Z83">
            <v>0</v>
          </cell>
          <cell r="AG83">
            <v>0</v>
          </cell>
          <cell r="AH83">
            <v>0</v>
          </cell>
          <cell r="AJ83">
            <v>0</v>
          </cell>
          <cell r="AK83">
            <v>0</v>
          </cell>
          <cell r="AL83">
            <v>0</v>
          </cell>
          <cell r="AM83">
            <v>0</v>
          </cell>
          <cell r="AN83">
            <v>0</v>
          </cell>
          <cell r="AO83">
            <v>0</v>
          </cell>
          <cell r="AP83">
            <v>0</v>
          </cell>
          <cell r="AQ83">
            <v>0</v>
          </cell>
          <cell r="AR83">
            <v>0</v>
          </cell>
        </row>
        <row r="84">
          <cell r="C84" t="str">
            <v>Услуги по уборке помещений (клининг)</v>
          </cell>
          <cell r="D84">
            <v>560.59977664574797</v>
          </cell>
          <cell r="E84">
            <v>2.2335416304031241E-4</v>
          </cell>
          <cell r="F84">
            <v>211.02212532807931</v>
          </cell>
          <cell r="M84">
            <v>12.127837901615647</v>
          </cell>
          <cell r="N84">
            <v>198.89428742646368</v>
          </cell>
          <cell r="P84">
            <v>129.38791459984651</v>
          </cell>
          <cell r="W84">
            <v>7.4361664790143438</v>
          </cell>
          <cell r="X84">
            <v>121.95174812083216</v>
          </cell>
          <cell r="Z84">
            <v>220.1895133636591</v>
          </cell>
          <cell r="AG84">
            <v>12.654704910958237</v>
          </cell>
          <cell r="AH84">
            <v>207.53480845270087</v>
          </cell>
          <cell r="AJ84">
            <v>560.59955329158493</v>
          </cell>
          <cell r="AK84">
            <v>0</v>
          </cell>
          <cell r="AL84">
            <v>0</v>
          </cell>
          <cell r="AM84">
            <v>0</v>
          </cell>
          <cell r="AN84">
            <v>0</v>
          </cell>
          <cell r="AO84">
            <v>0</v>
          </cell>
          <cell r="AP84">
            <v>0</v>
          </cell>
          <cell r="AQ84">
            <v>32.218709291588226</v>
          </cell>
          <cell r="AR84">
            <v>528.38084399999673</v>
          </cell>
        </row>
        <row r="85">
          <cell r="C85" t="str">
            <v>Обслуживание счетчика</v>
          </cell>
          <cell r="D85">
            <v>0</v>
          </cell>
          <cell r="E85">
            <v>0</v>
          </cell>
          <cell r="F85">
            <v>0</v>
          </cell>
          <cell r="M85">
            <v>0</v>
          </cell>
          <cell r="N85">
            <v>0</v>
          </cell>
          <cell r="P85">
            <v>0</v>
          </cell>
          <cell r="W85">
            <v>0</v>
          </cell>
          <cell r="X85">
            <v>0</v>
          </cell>
          <cell r="Z85">
            <v>0</v>
          </cell>
          <cell r="AG85">
            <v>0</v>
          </cell>
          <cell r="AH85">
            <v>0</v>
          </cell>
          <cell r="AJ85">
            <v>0</v>
          </cell>
          <cell r="AK85">
            <v>0</v>
          </cell>
          <cell r="AL85">
            <v>0</v>
          </cell>
          <cell r="AM85">
            <v>0</v>
          </cell>
          <cell r="AN85">
            <v>0</v>
          </cell>
          <cell r="AO85">
            <v>0</v>
          </cell>
          <cell r="AP85">
            <v>0</v>
          </cell>
          <cell r="AQ85">
            <v>0</v>
          </cell>
          <cell r="AR85">
            <v>0</v>
          </cell>
        </row>
        <row r="86">
          <cell r="C86" t="str">
            <v>разработка маршрута, метеоцентр</v>
          </cell>
          <cell r="D86">
            <v>3.7999984860039993</v>
          </cell>
          <cell r="E86">
            <v>1.5139953974951936E-6</v>
          </cell>
          <cell r="F86">
            <v>1.4304032755024993</v>
          </cell>
          <cell r="M86">
            <v>8.220796294352381E-2</v>
          </cell>
          <cell r="N86">
            <v>1.3481953125589756</v>
          </cell>
          <cell r="P86">
            <v>0.87704972436570927</v>
          </cell>
          <cell r="W86">
            <v>5.0405695005805391E-2</v>
          </cell>
          <cell r="X86">
            <v>0.82664402935990389</v>
          </cell>
          <cell r="Z86">
            <v>1.4925439721403935</v>
          </cell>
          <cell r="AG86">
            <v>8.57793054970412E-2</v>
          </cell>
          <cell r="AH86">
            <v>1.4067646666433522</v>
          </cell>
          <cell r="AJ86">
            <v>3.7999969720086018</v>
          </cell>
          <cell r="AK86">
            <v>0</v>
          </cell>
          <cell r="AL86">
            <v>0</v>
          </cell>
          <cell r="AM86">
            <v>0</v>
          </cell>
          <cell r="AN86">
            <v>0</v>
          </cell>
          <cell r="AO86">
            <v>0</v>
          </cell>
          <cell r="AP86">
            <v>0</v>
          </cell>
          <cell r="AQ86">
            <v>0.21839296344637038</v>
          </cell>
          <cell r="AR86">
            <v>3.5816040085622314</v>
          </cell>
        </row>
        <row r="87">
          <cell r="C87" t="str">
            <v>Оформление разрешительной документации</v>
          </cell>
          <cell r="D87">
            <v>0</v>
          </cell>
          <cell r="E87">
            <v>0</v>
          </cell>
          <cell r="F87">
            <v>0</v>
          </cell>
          <cell r="M87">
            <v>0</v>
          </cell>
          <cell r="N87">
            <v>0</v>
          </cell>
          <cell r="P87">
            <v>0</v>
          </cell>
          <cell r="W87">
            <v>0</v>
          </cell>
          <cell r="X87">
            <v>0</v>
          </cell>
          <cell r="Z87">
            <v>0</v>
          </cell>
          <cell r="AG87">
            <v>0</v>
          </cell>
          <cell r="AH87">
            <v>0</v>
          </cell>
          <cell r="AJ87">
            <v>0</v>
          </cell>
          <cell r="AK87">
            <v>0</v>
          </cell>
          <cell r="AL87">
            <v>0</v>
          </cell>
          <cell r="AM87">
            <v>0</v>
          </cell>
          <cell r="AN87">
            <v>0</v>
          </cell>
          <cell r="AO87">
            <v>0</v>
          </cell>
          <cell r="AP87">
            <v>0</v>
          </cell>
          <cell r="AQ87">
            <v>0</v>
          </cell>
          <cell r="AR87">
            <v>0</v>
          </cell>
        </row>
        <row r="88">
          <cell r="C88" t="str">
            <v>Плата заповеднику и проезд по нему</v>
          </cell>
          <cell r="D88">
            <v>0</v>
          </cell>
          <cell r="E88">
            <v>0</v>
          </cell>
          <cell r="F88">
            <v>0</v>
          </cell>
          <cell r="M88">
            <v>0</v>
          </cell>
          <cell r="N88">
            <v>0</v>
          </cell>
          <cell r="P88">
            <v>0</v>
          </cell>
          <cell r="W88">
            <v>0</v>
          </cell>
          <cell r="X88">
            <v>0</v>
          </cell>
          <cell r="Z88">
            <v>0</v>
          </cell>
          <cell r="AG88">
            <v>0</v>
          </cell>
          <cell r="AH88">
            <v>0</v>
          </cell>
          <cell r="AJ88">
            <v>0</v>
          </cell>
          <cell r="AK88">
            <v>0</v>
          </cell>
          <cell r="AL88">
            <v>0</v>
          </cell>
          <cell r="AM88">
            <v>0</v>
          </cell>
          <cell r="AN88">
            <v>0</v>
          </cell>
          <cell r="AO88">
            <v>0</v>
          </cell>
          <cell r="AP88">
            <v>0</v>
          </cell>
          <cell r="AQ88">
            <v>0</v>
          </cell>
          <cell r="AR88">
            <v>0</v>
          </cell>
        </row>
        <row r="89">
          <cell r="C89" t="str">
            <v>Услуги, связанные с оценкой имущества</v>
          </cell>
          <cell r="D89">
            <v>0</v>
          </cell>
          <cell r="E89">
            <v>0</v>
          </cell>
          <cell r="F89">
            <v>0</v>
          </cell>
          <cell r="M89">
            <v>0</v>
          </cell>
          <cell r="N89">
            <v>0</v>
          </cell>
          <cell r="P89">
            <v>0</v>
          </cell>
          <cell r="W89">
            <v>0</v>
          </cell>
          <cell r="X89">
            <v>0</v>
          </cell>
          <cell r="Z89">
            <v>0</v>
          </cell>
          <cell r="AG89">
            <v>0</v>
          </cell>
          <cell r="AH89">
            <v>0</v>
          </cell>
          <cell r="AJ89">
            <v>0</v>
          </cell>
          <cell r="AK89">
            <v>0</v>
          </cell>
          <cell r="AL89">
            <v>0</v>
          </cell>
          <cell r="AM89">
            <v>0</v>
          </cell>
          <cell r="AN89">
            <v>0</v>
          </cell>
          <cell r="AO89">
            <v>0</v>
          </cell>
          <cell r="AP89">
            <v>0</v>
          </cell>
          <cell r="AQ89">
            <v>0</v>
          </cell>
          <cell r="AR89">
            <v>0</v>
          </cell>
        </row>
        <row r="90">
          <cell r="C90" t="str">
            <v>услуги по определ.рыночн.стоим.ар.платы</v>
          </cell>
          <cell r="D90">
            <v>0</v>
          </cell>
          <cell r="E90">
            <v>0</v>
          </cell>
          <cell r="F90">
            <v>0</v>
          </cell>
          <cell r="M90">
            <v>0</v>
          </cell>
          <cell r="N90">
            <v>0</v>
          </cell>
          <cell r="P90">
            <v>0</v>
          </cell>
          <cell r="W90">
            <v>0</v>
          </cell>
          <cell r="X90">
            <v>0</v>
          </cell>
          <cell r="Z90">
            <v>0</v>
          </cell>
          <cell r="AG90">
            <v>0</v>
          </cell>
          <cell r="AH90">
            <v>0</v>
          </cell>
          <cell r="AJ90">
            <v>0</v>
          </cell>
          <cell r="AK90">
            <v>0</v>
          </cell>
          <cell r="AL90">
            <v>0</v>
          </cell>
          <cell r="AM90">
            <v>0</v>
          </cell>
          <cell r="AN90">
            <v>0</v>
          </cell>
          <cell r="AO90">
            <v>0</v>
          </cell>
          <cell r="AP90">
            <v>0</v>
          </cell>
          <cell r="AQ90">
            <v>0</v>
          </cell>
          <cell r="AR90">
            <v>0</v>
          </cell>
        </row>
        <row r="91">
          <cell r="C91" t="str">
            <v>Пропарка автобол.</v>
          </cell>
          <cell r="D91">
            <v>0</v>
          </cell>
          <cell r="E91">
            <v>0</v>
          </cell>
          <cell r="F91">
            <v>0</v>
          </cell>
          <cell r="M91">
            <v>0</v>
          </cell>
          <cell r="N91">
            <v>0</v>
          </cell>
          <cell r="P91">
            <v>0</v>
          </cell>
          <cell r="W91">
            <v>0</v>
          </cell>
          <cell r="X91">
            <v>0</v>
          </cell>
          <cell r="Z91">
            <v>0</v>
          </cell>
          <cell r="AG91">
            <v>0</v>
          </cell>
          <cell r="AH91">
            <v>0</v>
          </cell>
          <cell r="AJ91">
            <v>0</v>
          </cell>
          <cell r="AK91">
            <v>0</v>
          </cell>
          <cell r="AL91">
            <v>0</v>
          </cell>
          <cell r="AM91">
            <v>0</v>
          </cell>
          <cell r="AN91">
            <v>0</v>
          </cell>
          <cell r="AO91">
            <v>0</v>
          </cell>
          <cell r="AP91">
            <v>0</v>
          </cell>
          <cell r="AQ91">
            <v>0</v>
          </cell>
          <cell r="AR91">
            <v>0</v>
          </cell>
        </row>
        <row r="92">
          <cell r="C92" t="str">
            <v>Обслуживание грязеулавливающих покрытий</v>
          </cell>
          <cell r="D92">
            <v>0</v>
          </cell>
          <cell r="E92">
            <v>0</v>
          </cell>
          <cell r="F92">
            <v>0</v>
          </cell>
          <cell r="M92">
            <v>0</v>
          </cell>
          <cell r="N92">
            <v>0</v>
          </cell>
          <cell r="P92">
            <v>0</v>
          </cell>
          <cell r="W92">
            <v>0</v>
          </cell>
          <cell r="X92">
            <v>0</v>
          </cell>
          <cell r="Z92">
            <v>0</v>
          </cell>
          <cell r="AG92">
            <v>0</v>
          </cell>
          <cell r="AH92">
            <v>0</v>
          </cell>
          <cell r="AJ92">
            <v>0</v>
          </cell>
          <cell r="AK92">
            <v>0</v>
          </cell>
          <cell r="AL92">
            <v>0</v>
          </cell>
          <cell r="AM92">
            <v>0</v>
          </cell>
          <cell r="AN92">
            <v>0</v>
          </cell>
          <cell r="AO92">
            <v>0</v>
          </cell>
          <cell r="AP92">
            <v>0</v>
          </cell>
          <cell r="AQ92">
            <v>0</v>
          </cell>
          <cell r="AR92">
            <v>0</v>
          </cell>
        </row>
        <row r="93">
          <cell r="C93" t="str">
            <v>Поставка кислорода</v>
          </cell>
          <cell r="D93">
            <v>0</v>
          </cell>
          <cell r="E93">
            <v>0</v>
          </cell>
          <cell r="F93">
            <v>0</v>
          </cell>
          <cell r="M93">
            <v>0</v>
          </cell>
          <cell r="N93">
            <v>0</v>
          </cell>
          <cell r="P93">
            <v>0</v>
          </cell>
          <cell r="W93">
            <v>0</v>
          </cell>
          <cell r="X93">
            <v>0</v>
          </cell>
          <cell r="Z93">
            <v>0</v>
          </cell>
          <cell r="AG93">
            <v>0</v>
          </cell>
          <cell r="AH93">
            <v>0</v>
          </cell>
          <cell r="AJ93">
            <v>0</v>
          </cell>
          <cell r="AK93">
            <v>0</v>
          </cell>
          <cell r="AL93">
            <v>0</v>
          </cell>
          <cell r="AM93">
            <v>0</v>
          </cell>
          <cell r="AN93">
            <v>0</v>
          </cell>
          <cell r="AO93">
            <v>0</v>
          </cell>
          <cell r="AP93">
            <v>0</v>
          </cell>
          <cell r="AQ93">
            <v>0</v>
          </cell>
          <cell r="AR93">
            <v>0</v>
          </cell>
        </row>
        <row r="94">
          <cell r="C94" t="str">
            <v>Оформление пласт.карт</v>
          </cell>
          <cell r="D94">
            <v>22.799990916024001</v>
          </cell>
          <cell r="E94">
            <v>9.0839723796420913E-6</v>
          </cell>
          <cell r="F94">
            <v>8.5824196530150001</v>
          </cell>
          <cell r="M94">
            <v>0.49324777766114308</v>
          </cell>
          <cell r="N94">
            <v>8.0891718753538573</v>
          </cell>
          <cell r="P94">
            <v>5.2622983461942576</v>
          </cell>
          <cell r="W94">
            <v>0.30243417003483242</v>
          </cell>
          <cell r="X94">
            <v>4.9598641761594253</v>
          </cell>
          <cell r="Z94">
            <v>8.9552638328423626</v>
          </cell>
          <cell r="AG94">
            <v>0.51467583298224739</v>
          </cell>
          <cell r="AH94">
            <v>8.4405879998601154</v>
          </cell>
          <cell r="AJ94">
            <v>22.799981832051621</v>
          </cell>
          <cell r="AK94">
            <v>0</v>
          </cell>
          <cell r="AL94">
            <v>0</v>
          </cell>
          <cell r="AM94">
            <v>0</v>
          </cell>
          <cell r="AN94">
            <v>0</v>
          </cell>
          <cell r="AO94">
            <v>0</v>
          </cell>
          <cell r="AP94">
            <v>0</v>
          </cell>
          <cell r="AQ94">
            <v>1.3103577806782229</v>
          </cell>
          <cell r="AR94">
            <v>21.489624051373397</v>
          </cell>
        </row>
        <row r="95">
          <cell r="C95" t="str">
            <v>Калибровка алкотестера</v>
          </cell>
          <cell r="D95">
            <v>0</v>
          </cell>
          <cell r="E95">
            <v>0</v>
          </cell>
          <cell r="F95">
            <v>0</v>
          </cell>
          <cell r="M95">
            <v>0</v>
          </cell>
          <cell r="N95">
            <v>0</v>
          </cell>
          <cell r="P95">
            <v>0</v>
          </cell>
          <cell r="W95">
            <v>0</v>
          </cell>
          <cell r="X95">
            <v>0</v>
          </cell>
          <cell r="Z95">
            <v>0</v>
          </cell>
          <cell r="AG95">
            <v>0</v>
          </cell>
          <cell r="AH95">
            <v>0</v>
          </cell>
          <cell r="AJ95">
            <v>0</v>
          </cell>
          <cell r="AK95">
            <v>0</v>
          </cell>
          <cell r="AL95">
            <v>0</v>
          </cell>
          <cell r="AM95">
            <v>0</v>
          </cell>
          <cell r="AN95">
            <v>0</v>
          </cell>
          <cell r="AO95">
            <v>0</v>
          </cell>
          <cell r="AP95">
            <v>0</v>
          </cell>
          <cell r="AQ95">
            <v>0</v>
          </cell>
          <cell r="AR95">
            <v>0</v>
          </cell>
        </row>
        <row r="96">
          <cell r="C96" t="str">
            <v>сушка леса</v>
          </cell>
          <cell r="D96">
            <v>0</v>
          </cell>
          <cell r="E96">
            <v>0</v>
          </cell>
          <cell r="F96">
            <v>0</v>
          </cell>
          <cell r="M96">
            <v>0</v>
          </cell>
          <cell r="N96">
            <v>0</v>
          </cell>
          <cell r="P96">
            <v>0</v>
          </cell>
          <cell r="W96">
            <v>0</v>
          </cell>
          <cell r="X96">
            <v>0</v>
          </cell>
          <cell r="Z96">
            <v>0</v>
          </cell>
          <cell r="AG96">
            <v>0</v>
          </cell>
          <cell r="AH96">
            <v>0</v>
          </cell>
          <cell r="AJ96">
            <v>0</v>
          </cell>
          <cell r="AK96">
            <v>0</v>
          </cell>
          <cell r="AL96">
            <v>0</v>
          </cell>
          <cell r="AM96">
            <v>0</v>
          </cell>
          <cell r="AN96">
            <v>0</v>
          </cell>
          <cell r="AO96">
            <v>0</v>
          </cell>
          <cell r="AP96">
            <v>0</v>
          </cell>
          <cell r="AQ96">
            <v>0</v>
          </cell>
          <cell r="AR96">
            <v>0</v>
          </cell>
        </row>
        <row r="97">
          <cell r="C97" t="str">
            <v>Установка системы контроля доступа</v>
          </cell>
          <cell r="D97">
            <v>0</v>
          </cell>
          <cell r="E97">
            <v>0</v>
          </cell>
          <cell r="F97">
            <v>0</v>
          </cell>
          <cell r="M97">
            <v>0</v>
          </cell>
          <cell r="N97">
            <v>0</v>
          </cell>
          <cell r="P97">
            <v>0</v>
          </cell>
          <cell r="W97">
            <v>0</v>
          </cell>
          <cell r="X97">
            <v>0</v>
          </cell>
          <cell r="Z97">
            <v>0</v>
          </cell>
          <cell r="AG97">
            <v>0</v>
          </cell>
          <cell r="AH97">
            <v>0</v>
          </cell>
          <cell r="AJ97">
            <v>0</v>
          </cell>
          <cell r="AK97">
            <v>0</v>
          </cell>
          <cell r="AL97">
            <v>0</v>
          </cell>
          <cell r="AM97">
            <v>0</v>
          </cell>
          <cell r="AN97">
            <v>0</v>
          </cell>
          <cell r="AO97">
            <v>0</v>
          </cell>
          <cell r="AP97">
            <v>0</v>
          </cell>
          <cell r="AQ97">
            <v>0</v>
          </cell>
          <cell r="AR97">
            <v>0</v>
          </cell>
        </row>
        <row r="98">
          <cell r="C98" t="str">
            <v>Оценка состояния хим. лаборатории</v>
          </cell>
          <cell r="D98">
            <v>0</v>
          </cell>
          <cell r="E98">
            <v>0</v>
          </cell>
          <cell r="F98">
            <v>0</v>
          </cell>
          <cell r="M98">
            <v>0</v>
          </cell>
          <cell r="N98">
            <v>0</v>
          </cell>
          <cell r="P98">
            <v>0</v>
          </cell>
          <cell r="W98">
            <v>0</v>
          </cell>
          <cell r="X98">
            <v>0</v>
          </cell>
          <cell r="Z98">
            <v>0</v>
          </cell>
          <cell r="AG98">
            <v>0</v>
          </cell>
          <cell r="AH98">
            <v>0</v>
          </cell>
          <cell r="AJ98">
            <v>0</v>
          </cell>
          <cell r="AK98">
            <v>0</v>
          </cell>
          <cell r="AL98">
            <v>0</v>
          </cell>
          <cell r="AM98">
            <v>0</v>
          </cell>
          <cell r="AN98">
            <v>0</v>
          </cell>
          <cell r="AO98">
            <v>0</v>
          </cell>
          <cell r="AP98">
            <v>0</v>
          </cell>
          <cell r="AQ98">
            <v>0</v>
          </cell>
          <cell r="AR98">
            <v>0</v>
          </cell>
        </row>
        <row r="99">
          <cell r="C99" t="str">
            <v>Обслуживание кондиционеров</v>
          </cell>
          <cell r="D99">
            <v>45.699981792206003</v>
          </cell>
          <cell r="E99">
            <v>1.8207786752100219E-5</v>
          </cell>
          <cell r="F99">
            <v>17.202481497490588</v>
          </cell>
          <cell r="M99">
            <v>0.98865892276816836</v>
          </cell>
          <cell r="N99">
            <v>16.213822574722421</v>
          </cell>
          <cell r="P99">
            <v>10.547676948292876</v>
          </cell>
          <cell r="W99">
            <v>0.60619480572771234</v>
          </cell>
          <cell r="X99">
            <v>9.9414821425651638</v>
          </cell>
          <cell r="Z99">
            <v>17.949805138635789</v>
          </cell>
          <cell r="AG99">
            <v>1.0316090161091538</v>
          </cell>
          <cell r="AH99">
            <v>16.918196122526634</v>
          </cell>
          <cell r="AJ99">
            <v>45.699963584419251</v>
          </cell>
          <cell r="AK99">
            <v>0</v>
          </cell>
          <cell r="AL99">
            <v>0</v>
          </cell>
          <cell r="AM99">
            <v>0</v>
          </cell>
          <cell r="AN99">
            <v>0</v>
          </cell>
          <cell r="AO99">
            <v>0</v>
          </cell>
          <cell r="AP99">
            <v>0</v>
          </cell>
          <cell r="AQ99">
            <v>2.6264627446050346</v>
          </cell>
          <cell r="AR99">
            <v>43.073500839814216</v>
          </cell>
        </row>
        <row r="100">
          <cell r="C100" t="str">
            <v>Лесная подать</v>
          </cell>
          <cell r="D100">
            <v>0</v>
          </cell>
          <cell r="E100">
            <v>0</v>
          </cell>
          <cell r="F100">
            <v>0</v>
          </cell>
          <cell r="M100">
            <v>0</v>
          </cell>
          <cell r="N100">
            <v>0</v>
          </cell>
          <cell r="P100">
            <v>0</v>
          </cell>
          <cell r="W100">
            <v>0</v>
          </cell>
          <cell r="X100">
            <v>0</v>
          </cell>
          <cell r="Z100">
            <v>0</v>
          </cell>
          <cell r="AG100">
            <v>0</v>
          </cell>
          <cell r="AH100">
            <v>0</v>
          </cell>
          <cell r="AJ100">
            <v>0</v>
          </cell>
          <cell r="AK100">
            <v>0</v>
          </cell>
          <cell r="AL100">
            <v>0</v>
          </cell>
          <cell r="AM100">
            <v>0</v>
          </cell>
          <cell r="AN100">
            <v>0</v>
          </cell>
          <cell r="AO100">
            <v>0</v>
          </cell>
          <cell r="AP100">
            <v>0</v>
          </cell>
          <cell r="AQ100">
            <v>0</v>
          </cell>
          <cell r="AR100">
            <v>0</v>
          </cell>
        </row>
        <row r="101">
          <cell r="C101" t="str">
            <v>Спец-связь</v>
          </cell>
          <cell r="D101">
            <v>0</v>
          </cell>
          <cell r="E101">
            <v>0</v>
          </cell>
          <cell r="F101">
            <v>0</v>
          </cell>
          <cell r="M101">
            <v>0</v>
          </cell>
          <cell r="N101">
            <v>0</v>
          </cell>
          <cell r="P101">
            <v>0</v>
          </cell>
          <cell r="W101">
            <v>0</v>
          </cell>
          <cell r="X101">
            <v>0</v>
          </cell>
          <cell r="Z101">
            <v>0</v>
          </cell>
          <cell r="AG101">
            <v>0</v>
          </cell>
          <cell r="AH101">
            <v>0</v>
          </cell>
          <cell r="AJ101">
            <v>0</v>
          </cell>
          <cell r="AK101">
            <v>0</v>
          </cell>
          <cell r="AL101">
            <v>0</v>
          </cell>
          <cell r="AM101">
            <v>0</v>
          </cell>
          <cell r="AN101">
            <v>0</v>
          </cell>
          <cell r="AO101">
            <v>0</v>
          </cell>
          <cell r="AP101">
            <v>0</v>
          </cell>
          <cell r="AQ101">
            <v>0</v>
          </cell>
          <cell r="AR101">
            <v>0</v>
          </cell>
        </row>
        <row r="102">
          <cell r="C102" t="str">
            <v>Расчет нормотивной численности</v>
          </cell>
          <cell r="D102">
            <v>13.699994541645999</v>
          </cell>
          <cell r="E102">
            <v>5.4583518256379193E-6</v>
          </cell>
          <cell r="F102">
            <v>5.1569802301011167</v>
          </cell>
          <cell r="M102">
            <v>0.2963813400858622</v>
          </cell>
          <cell r="N102">
            <v>4.8605988900152548</v>
          </cell>
          <cell r="P102">
            <v>3.1619950588974266</v>
          </cell>
          <cell r="W102">
            <v>0.18172579515250895</v>
          </cell>
          <cell r="X102">
            <v>2.9802692637449177</v>
          </cell>
          <cell r="Z102">
            <v>5.3810137942956295</v>
          </cell>
          <cell r="AG102">
            <v>0.30925696981828016</v>
          </cell>
          <cell r="AH102">
            <v>5.0717568244773492</v>
          </cell>
          <cell r="AJ102">
            <v>13.699989083294174</v>
          </cell>
          <cell r="AK102">
            <v>0</v>
          </cell>
          <cell r="AL102">
            <v>0</v>
          </cell>
          <cell r="AM102">
            <v>0</v>
          </cell>
          <cell r="AN102">
            <v>0</v>
          </cell>
          <cell r="AO102">
            <v>0</v>
          </cell>
          <cell r="AP102">
            <v>0</v>
          </cell>
          <cell r="AQ102">
            <v>0.78736410505665133</v>
          </cell>
          <cell r="AR102">
            <v>12.912624978237522</v>
          </cell>
        </row>
        <row r="103">
          <cell r="C103" t="str">
            <v>Пломбирование водомера</v>
          </cell>
          <cell r="D103">
            <v>0</v>
          </cell>
          <cell r="E103">
            <v>0</v>
          </cell>
          <cell r="F103">
            <v>0</v>
          </cell>
          <cell r="M103">
            <v>0</v>
          </cell>
          <cell r="N103">
            <v>0</v>
          </cell>
          <cell r="P103">
            <v>0</v>
          </cell>
          <cell r="W103">
            <v>0</v>
          </cell>
          <cell r="X103">
            <v>0</v>
          </cell>
          <cell r="Z103">
            <v>0</v>
          </cell>
          <cell r="AG103">
            <v>0</v>
          </cell>
          <cell r="AH103">
            <v>0</v>
          </cell>
          <cell r="AJ103">
            <v>0</v>
          </cell>
          <cell r="AK103">
            <v>0</v>
          </cell>
          <cell r="AL103">
            <v>0</v>
          </cell>
          <cell r="AM103">
            <v>0</v>
          </cell>
          <cell r="AN103">
            <v>0</v>
          </cell>
          <cell r="AO103">
            <v>0</v>
          </cell>
          <cell r="AP103">
            <v>0</v>
          </cell>
          <cell r="AQ103">
            <v>0</v>
          </cell>
          <cell r="AR103">
            <v>0</v>
          </cell>
        </row>
        <row r="104">
          <cell r="C104" t="str">
            <v>Плавка гололеда</v>
          </cell>
          <cell r="D104">
            <v>0</v>
          </cell>
          <cell r="E104">
            <v>0</v>
          </cell>
          <cell r="F104">
            <v>0</v>
          </cell>
          <cell r="M104">
            <v>0</v>
          </cell>
          <cell r="N104">
            <v>0</v>
          </cell>
          <cell r="P104">
            <v>0</v>
          </cell>
          <cell r="W104">
            <v>0</v>
          </cell>
          <cell r="X104">
            <v>0</v>
          </cell>
          <cell r="Z104">
            <v>0</v>
          </cell>
          <cell r="AG104">
            <v>0</v>
          </cell>
          <cell r="AH104">
            <v>0</v>
          </cell>
          <cell r="AJ104">
            <v>0</v>
          </cell>
          <cell r="AK104">
            <v>0</v>
          </cell>
          <cell r="AL104">
            <v>0</v>
          </cell>
          <cell r="AM104">
            <v>0</v>
          </cell>
          <cell r="AN104">
            <v>0</v>
          </cell>
          <cell r="AO104">
            <v>0</v>
          </cell>
          <cell r="AP104">
            <v>0</v>
          </cell>
          <cell r="AQ104">
            <v>0</v>
          </cell>
          <cell r="AR104">
            <v>0</v>
          </cell>
        </row>
        <row r="105">
          <cell r="C105" t="str">
            <v>Экспертные услуги (для списания автотранспорта)</v>
          </cell>
          <cell r="D105">
            <v>22.799990916024001</v>
          </cell>
          <cell r="E105">
            <v>9.0839723796420913E-6</v>
          </cell>
          <cell r="F105">
            <v>8.5824196530150001</v>
          </cell>
          <cell r="M105">
            <v>0.49324777766114308</v>
          </cell>
          <cell r="N105">
            <v>8.0891718753538573</v>
          </cell>
          <cell r="P105">
            <v>5.2622983461942576</v>
          </cell>
          <cell r="W105">
            <v>0.30243417003483242</v>
          </cell>
          <cell r="X105">
            <v>4.9598641761594253</v>
          </cell>
          <cell r="Z105">
            <v>8.9552638328423626</v>
          </cell>
          <cell r="AG105">
            <v>0.51467583298224739</v>
          </cell>
          <cell r="AH105">
            <v>8.4405879998601154</v>
          </cell>
          <cell r="AJ105">
            <v>22.799981832051621</v>
          </cell>
          <cell r="AK105">
            <v>0</v>
          </cell>
          <cell r="AL105">
            <v>0</v>
          </cell>
          <cell r="AM105">
            <v>0</v>
          </cell>
          <cell r="AN105">
            <v>0</v>
          </cell>
          <cell r="AO105">
            <v>0</v>
          </cell>
          <cell r="AP105">
            <v>0</v>
          </cell>
          <cell r="AQ105">
            <v>1.3103577806782229</v>
          </cell>
          <cell r="AR105">
            <v>21.489624051373397</v>
          </cell>
        </row>
        <row r="106">
          <cell r="C106" t="str">
            <v>в т.ч. Справочно услуги по сертификации электроэнергии</v>
          </cell>
          <cell r="D106">
            <v>0</v>
          </cell>
          <cell r="E106">
            <v>0</v>
          </cell>
          <cell r="F106">
            <v>0</v>
          </cell>
          <cell r="M106">
            <v>0</v>
          </cell>
          <cell r="N106">
            <v>0</v>
          </cell>
          <cell r="P106">
            <v>0</v>
          </cell>
          <cell r="W106">
            <v>0</v>
          </cell>
          <cell r="X106">
            <v>0</v>
          </cell>
          <cell r="Z106">
            <v>0</v>
          </cell>
          <cell r="AG106">
            <v>0</v>
          </cell>
          <cell r="AH106">
            <v>0</v>
          </cell>
          <cell r="AJ106">
            <v>0</v>
          </cell>
          <cell r="AK106">
            <v>0</v>
          </cell>
          <cell r="AL106">
            <v>0</v>
          </cell>
          <cell r="AM106">
            <v>0</v>
          </cell>
          <cell r="AN106">
            <v>0</v>
          </cell>
          <cell r="AO106">
            <v>0</v>
          </cell>
          <cell r="AP106">
            <v>0</v>
          </cell>
          <cell r="AQ106">
            <v>0</v>
          </cell>
          <cell r="AR106">
            <v>0</v>
          </cell>
        </row>
        <row r="107">
          <cell r="C107" t="str">
            <v xml:space="preserve"> Командировочные и представительские расходы</v>
          </cell>
          <cell r="D107">
            <v>192.79992318462399</v>
          </cell>
          <cell r="E107">
            <v>7.6815345437353244E-5</v>
          </cell>
          <cell r="F107">
            <v>72.574145136021585</v>
          </cell>
          <cell r="M107">
            <v>4.1709724356608939</v>
          </cell>
          <cell r="N107">
            <v>68.403172700360685</v>
          </cell>
          <cell r="P107">
            <v>44.498733383607572</v>
          </cell>
          <cell r="W107">
            <v>2.5574257887156002</v>
          </cell>
          <cell r="X107">
            <v>41.941307594891974</v>
          </cell>
          <cell r="Z107">
            <v>75.726967849649441</v>
          </cell>
          <cell r="AG107">
            <v>4.3521710789025123</v>
          </cell>
          <cell r="AH107">
            <v>71.374796770746926</v>
          </cell>
          <cell r="AJ107">
            <v>192.79984636927855</v>
          </cell>
          <cell r="AK107">
            <v>0</v>
          </cell>
          <cell r="AL107">
            <v>0</v>
          </cell>
          <cell r="AM107">
            <v>0</v>
          </cell>
          <cell r="AN107">
            <v>0</v>
          </cell>
          <cell r="AO107">
            <v>0</v>
          </cell>
          <cell r="AP107">
            <v>0</v>
          </cell>
          <cell r="AQ107">
            <v>11.080569303279006</v>
          </cell>
          <cell r="AR107">
            <v>181.71927706599956</v>
          </cell>
        </row>
        <row r="108">
          <cell r="C108" t="str">
            <v xml:space="preserve"> Арендная плата по направлениям (арендодателям)</v>
          </cell>
          <cell r="D108">
            <v>411.59983601032798</v>
          </cell>
          <cell r="E108">
            <v>1.6398960667629581E-4</v>
          </cell>
          <cell r="F108">
            <v>154.93526005179709</v>
          </cell>
          <cell r="M108">
            <v>8.9044204072511608</v>
          </cell>
          <cell r="N108">
            <v>146.03083964454592</v>
          </cell>
          <cell r="P108">
            <v>94.998333302348954</v>
          </cell>
          <cell r="W108">
            <v>5.4597326485235529</v>
          </cell>
          <cell r="X108">
            <v>89.538600653825398</v>
          </cell>
          <cell r="Z108">
            <v>161.66607866657523</v>
          </cell>
          <cell r="AG108">
            <v>9.291253195416358</v>
          </cell>
          <cell r="AH108">
            <v>152.37482547115889</v>
          </cell>
          <cell r="AJ108">
            <v>411.5996720207213</v>
          </cell>
          <cell r="AK108">
            <v>0</v>
          </cell>
          <cell r="AL108">
            <v>0</v>
          </cell>
          <cell r="AM108">
            <v>0</v>
          </cell>
          <cell r="AN108">
            <v>0</v>
          </cell>
          <cell r="AO108">
            <v>0</v>
          </cell>
          <cell r="AP108">
            <v>0</v>
          </cell>
          <cell r="AQ108">
            <v>23.655406251191074</v>
          </cell>
          <cell r="AR108">
            <v>387.9442657695302</v>
          </cell>
        </row>
        <row r="109">
          <cell r="C109" t="str">
            <v>Лизинг</v>
          </cell>
          <cell r="D109">
            <v>311.89499999999998</v>
          </cell>
          <cell r="E109">
            <v>0</v>
          </cell>
          <cell r="F109">
            <v>103.97</v>
          </cell>
          <cell r="M109">
            <v>6</v>
          </cell>
          <cell r="N109">
            <v>97.97</v>
          </cell>
          <cell r="P109">
            <v>103.965</v>
          </cell>
          <cell r="W109">
            <v>6</v>
          </cell>
          <cell r="X109">
            <v>97.965000000000003</v>
          </cell>
          <cell r="Z109">
            <v>103.96</v>
          </cell>
          <cell r="AG109">
            <v>6</v>
          </cell>
          <cell r="AH109">
            <v>97.96</v>
          </cell>
          <cell r="AJ109">
            <v>311.89499999999998</v>
          </cell>
          <cell r="AK109">
            <v>0</v>
          </cell>
          <cell r="AL109">
            <v>0</v>
          </cell>
          <cell r="AM109">
            <v>0</v>
          </cell>
          <cell r="AN109">
            <v>0</v>
          </cell>
          <cell r="AO109">
            <v>0</v>
          </cell>
          <cell r="AP109">
            <v>0</v>
          </cell>
          <cell r="AQ109">
            <v>18</v>
          </cell>
          <cell r="AR109">
            <v>293.89499999999998</v>
          </cell>
        </row>
        <row r="110">
          <cell r="C110" t="str">
            <v>Расходы на страхование</v>
          </cell>
          <cell r="D110">
            <v>683.99972748071991</v>
          </cell>
          <cell r="E110">
            <v>2.7251917140347359E-4</v>
          </cell>
          <cell r="F110">
            <v>257.4725895904499</v>
          </cell>
          <cell r="M110">
            <v>14.797433329834288</v>
          </cell>
          <cell r="N110">
            <v>242.67515626061564</v>
          </cell>
          <cell r="P110">
            <v>157.8689503858277</v>
          </cell>
          <cell r="W110">
            <v>9.073025101044971</v>
          </cell>
          <cell r="X110">
            <v>148.79592528478273</v>
          </cell>
          <cell r="Z110">
            <v>268.65791498527085</v>
          </cell>
          <cell r="AE110">
            <v>0.8</v>
          </cell>
          <cell r="AG110">
            <v>14.64027498946742</v>
          </cell>
          <cell r="AH110">
            <v>253.21763999580344</v>
          </cell>
          <cell r="AJ110">
            <v>683.99945496154851</v>
          </cell>
          <cell r="AK110">
            <v>0</v>
          </cell>
          <cell r="AL110">
            <v>0</v>
          </cell>
          <cell r="AM110">
            <v>0</v>
          </cell>
          <cell r="AN110">
            <v>0</v>
          </cell>
          <cell r="AO110">
            <v>0.8</v>
          </cell>
          <cell r="AP110">
            <v>0</v>
          </cell>
          <cell r="AQ110">
            <v>38.510733420346682</v>
          </cell>
          <cell r="AR110">
            <v>644.68872154120186</v>
          </cell>
        </row>
        <row r="111">
          <cell r="C111" t="str">
            <v>Налоги и сборы, относимые на с/с (за искл. ЕСН):</v>
          </cell>
          <cell r="D111">
            <v>339.69986465672594</v>
          </cell>
          <cell r="E111">
            <v>1.3534322010855249E-4</v>
          </cell>
          <cell r="F111">
            <v>127.87052439163133</v>
          </cell>
          <cell r="G111">
            <v>0</v>
          </cell>
          <cell r="H111">
            <v>0</v>
          </cell>
          <cell r="I111">
            <v>0</v>
          </cell>
          <cell r="J111">
            <v>0</v>
          </cell>
          <cell r="K111">
            <v>0</v>
          </cell>
          <cell r="L111">
            <v>0</v>
          </cell>
          <cell r="M111">
            <v>7.3489592136618533</v>
          </cell>
          <cell r="N111">
            <v>120.52156517796948</v>
          </cell>
          <cell r="P111">
            <v>78.403629307113547</v>
          </cell>
          <cell r="Q111">
            <v>0</v>
          </cell>
          <cell r="R111">
            <v>0</v>
          </cell>
          <cell r="S111">
            <v>0</v>
          </cell>
          <cell r="T111">
            <v>0</v>
          </cell>
          <cell r="U111">
            <v>0</v>
          </cell>
          <cell r="V111">
            <v>0</v>
          </cell>
          <cell r="W111">
            <v>4.5060038403873923</v>
          </cell>
          <cell r="X111">
            <v>73.897625466726154</v>
          </cell>
          <cell r="Z111">
            <v>133.42557561476096</v>
          </cell>
          <cell r="AA111">
            <v>0</v>
          </cell>
          <cell r="AB111">
            <v>0</v>
          </cell>
          <cell r="AC111">
            <v>0</v>
          </cell>
          <cell r="AD111">
            <v>0</v>
          </cell>
          <cell r="AE111">
            <v>0</v>
          </cell>
          <cell r="AF111">
            <v>0</v>
          </cell>
          <cell r="AG111">
            <v>7.6682184414065526</v>
          </cell>
          <cell r="AH111">
            <v>125.75735717335441</v>
          </cell>
          <cell r="AJ111">
            <v>339.69972931350583</v>
          </cell>
          <cell r="AK111">
            <v>0</v>
          </cell>
          <cell r="AL111">
            <v>0</v>
          </cell>
          <cell r="AM111">
            <v>0</v>
          </cell>
          <cell r="AN111">
            <v>0</v>
          </cell>
          <cell r="AO111">
            <v>0</v>
          </cell>
          <cell r="AP111">
            <v>0</v>
          </cell>
          <cell r="AQ111">
            <v>19.523181495455802</v>
          </cell>
          <cell r="AR111">
            <v>320.17654781805004</v>
          </cell>
        </row>
        <row r="112">
          <cell r="C112" t="str">
            <v xml:space="preserve"> - водный налог</v>
          </cell>
          <cell r="D112">
            <v>0</v>
          </cell>
          <cell r="E112">
            <v>0</v>
          </cell>
          <cell r="F112">
            <v>0</v>
          </cell>
          <cell r="P112">
            <v>0</v>
          </cell>
          <cell r="Z112">
            <v>0</v>
          </cell>
          <cell r="AG112">
            <v>0</v>
          </cell>
          <cell r="AH112">
            <v>0</v>
          </cell>
          <cell r="AJ112">
            <v>0</v>
          </cell>
          <cell r="AK112">
            <v>0</v>
          </cell>
          <cell r="AL112">
            <v>0</v>
          </cell>
          <cell r="AM112">
            <v>0</v>
          </cell>
          <cell r="AN112">
            <v>0</v>
          </cell>
          <cell r="AO112">
            <v>0</v>
          </cell>
          <cell r="AP112">
            <v>0</v>
          </cell>
          <cell r="AQ112">
            <v>0</v>
          </cell>
          <cell r="AR112">
            <v>0</v>
          </cell>
        </row>
        <row r="113">
          <cell r="C113" t="str">
            <v xml:space="preserve"> - плата за землю</v>
          </cell>
          <cell r="D113">
            <v>43.399982708571997</v>
          </cell>
          <cell r="E113">
            <v>1.7291421116283345E-5</v>
          </cell>
          <cell r="F113">
            <v>16.33671109389697</v>
          </cell>
          <cell r="G113">
            <v>0</v>
          </cell>
          <cell r="H113">
            <v>0</v>
          </cell>
          <cell r="I113">
            <v>0</v>
          </cell>
          <cell r="J113">
            <v>0</v>
          </cell>
          <cell r="K113">
            <v>0</v>
          </cell>
          <cell r="L113">
            <v>0</v>
          </cell>
          <cell r="M113">
            <v>0.93890147151287739</v>
          </cell>
          <cell r="N113">
            <v>15.397809622384093</v>
          </cell>
          <cell r="P113">
            <v>10.016831062492578</v>
          </cell>
          <cell r="Q113">
            <v>0</v>
          </cell>
          <cell r="R113">
            <v>0</v>
          </cell>
          <cell r="S113">
            <v>0</v>
          </cell>
          <cell r="T113">
            <v>0</v>
          </cell>
          <cell r="U113">
            <v>0</v>
          </cell>
          <cell r="V113">
            <v>0</v>
          </cell>
          <cell r="W113">
            <v>0.57568609559261963</v>
          </cell>
          <cell r="X113">
            <v>9.4411449668999587</v>
          </cell>
          <cell r="Z113">
            <v>17.046423260761333</v>
          </cell>
          <cell r="AA113">
            <v>0</v>
          </cell>
          <cell r="AB113">
            <v>0</v>
          </cell>
          <cell r="AC113">
            <v>0</v>
          </cell>
          <cell r="AD113">
            <v>0</v>
          </cell>
          <cell r="AE113">
            <v>0</v>
          </cell>
          <cell r="AF113">
            <v>0</v>
          </cell>
          <cell r="AG113">
            <v>0.97968996278199694</v>
          </cell>
          <cell r="AH113">
            <v>16.066733297979336</v>
          </cell>
          <cell r="AJ113">
            <v>43.399965417150881</v>
          </cell>
          <cell r="AK113">
            <v>0</v>
          </cell>
          <cell r="AL113">
            <v>0</v>
          </cell>
          <cell r="AM113">
            <v>0</v>
          </cell>
          <cell r="AN113">
            <v>0</v>
          </cell>
          <cell r="AO113">
            <v>0</v>
          </cell>
          <cell r="AP113">
            <v>0</v>
          </cell>
          <cell r="AQ113">
            <v>2.4942775298874942</v>
          </cell>
          <cell r="AR113">
            <v>40.90568788726339</v>
          </cell>
        </row>
        <row r="114">
          <cell r="C114" t="str">
            <v>в т.ч. налог на землю</v>
          </cell>
          <cell r="D114">
            <v>9.9999960158000001E-2</v>
          </cell>
          <cell r="E114">
            <v>3.9841984128541341E-8</v>
          </cell>
          <cell r="F114">
            <v>3.7642191460592098E-2</v>
          </cell>
          <cell r="M114">
            <v>2.1633674458822064E-3</v>
          </cell>
          <cell r="N114">
            <v>3.5478824014709892E-2</v>
          </cell>
          <cell r="P114">
            <v>2.3080255904360778E-2</v>
          </cell>
          <cell r="W114">
            <v>1.3264656580475106E-3</v>
          </cell>
          <cell r="X114">
            <v>2.1753790246313267E-2</v>
          </cell>
          <cell r="Z114">
            <v>3.9277472951062993E-2</v>
          </cell>
          <cell r="AG114">
            <v>2.2573501446589797E-3</v>
          </cell>
          <cell r="AH114">
            <v>3.7020122806404016E-2</v>
          </cell>
          <cell r="AJ114">
            <v>9.9999920316015872E-2</v>
          </cell>
          <cell r="AK114">
            <v>0</v>
          </cell>
          <cell r="AL114">
            <v>0</v>
          </cell>
          <cell r="AM114">
            <v>0</v>
          </cell>
          <cell r="AN114">
            <v>0</v>
          </cell>
          <cell r="AO114">
            <v>0</v>
          </cell>
          <cell r="AP114">
            <v>0</v>
          </cell>
          <cell r="AQ114">
            <v>5.747183248588696E-3</v>
          </cell>
          <cell r="AR114">
            <v>9.4252737067427178E-2</v>
          </cell>
        </row>
        <row r="115">
          <cell r="C115" t="str">
            <v>в т.ч. аренда земли</v>
          </cell>
          <cell r="D115">
            <v>43.299982748413996</v>
          </cell>
          <cell r="E115">
            <v>1.7251579130572736E-5</v>
          </cell>
          <cell r="F115">
            <v>16.299068902436378</v>
          </cell>
          <cell r="M115">
            <v>0.9367381040669952</v>
          </cell>
          <cell r="N115">
            <v>15.362330798369383</v>
          </cell>
          <cell r="P115">
            <v>9.993750806588217</v>
          </cell>
          <cell r="W115">
            <v>0.57435962993457212</v>
          </cell>
          <cell r="X115">
            <v>9.4193911766536456</v>
          </cell>
          <cell r="Z115">
            <v>17.00714578781027</v>
          </cell>
          <cell r="AG115">
            <v>0.97743261263733794</v>
          </cell>
          <cell r="AH115">
            <v>16.029713175172933</v>
          </cell>
          <cell r="AJ115">
            <v>43.299965496834865</v>
          </cell>
          <cell r="AK115">
            <v>0</v>
          </cell>
          <cell r="AL115">
            <v>0</v>
          </cell>
          <cell r="AM115">
            <v>0</v>
          </cell>
          <cell r="AN115">
            <v>0</v>
          </cell>
          <cell r="AO115">
            <v>0</v>
          </cell>
          <cell r="AP115">
            <v>0</v>
          </cell>
          <cell r="AQ115">
            <v>2.4885303466389055</v>
          </cell>
          <cell r="AR115">
            <v>40.811435150195962</v>
          </cell>
        </row>
        <row r="116">
          <cell r="C116" t="str">
            <v xml:space="preserve"> - транспортный налог</v>
          </cell>
          <cell r="D116">
            <v>26.799989322343997</v>
          </cell>
          <cell r="E116">
            <v>1.0677651747670325E-5</v>
          </cell>
          <cell r="F116">
            <v>10.088107311438682</v>
          </cell>
          <cell r="M116">
            <v>0.57978247549643114</v>
          </cell>
          <cell r="N116">
            <v>9.5083248359422505</v>
          </cell>
          <cell r="P116">
            <v>6.1855085823686879</v>
          </cell>
          <cell r="W116">
            <v>0.35549279635673281</v>
          </cell>
          <cell r="X116">
            <v>5.8300157860119555</v>
          </cell>
          <cell r="Z116">
            <v>10.52636275088488</v>
          </cell>
          <cell r="AG116">
            <v>0.60496983876860644</v>
          </cell>
          <cell r="AH116">
            <v>9.9213929121162732</v>
          </cell>
          <cell r="AJ116">
            <v>26.799978644692249</v>
          </cell>
          <cell r="AK116">
            <v>0</v>
          </cell>
          <cell r="AL116">
            <v>0</v>
          </cell>
          <cell r="AM116">
            <v>0</v>
          </cell>
          <cell r="AN116">
            <v>0</v>
          </cell>
          <cell r="AO116">
            <v>0</v>
          </cell>
          <cell r="AP116">
            <v>0</v>
          </cell>
          <cell r="AQ116">
            <v>1.5402451106217705</v>
          </cell>
          <cell r="AR116">
            <v>25.259733534070477</v>
          </cell>
        </row>
        <row r="117">
          <cell r="C117" t="str">
            <v xml:space="preserve"> - налог на имущество</v>
          </cell>
          <cell r="D117">
            <v>259.49989661000996</v>
          </cell>
          <cell r="E117">
            <v>1.0338994883341002E-4</v>
          </cell>
          <cell r="F117">
            <v>97.681486840236488</v>
          </cell>
          <cell r="M117">
            <v>5.6139385220643243</v>
          </cell>
          <cell r="N117">
            <v>92.067548318172157</v>
          </cell>
          <cell r="P117">
            <v>59.893264071816205</v>
          </cell>
          <cell r="W117">
            <v>3.4421783826332892</v>
          </cell>
          <cell r="X117">
            <v>56.451085689182918</v>
          </cell>
          <cell r="Z117">
            <v>101.92504230800844</v>
          </cell>
          <cell r="AG117">
            <v>5.8578236253900506</v>
          </cell>
          <cell r="AH117">
            <v>96.067218682618389</v>
          </cell>
          <cell r="AJ117">
            <v>259.49979322006112</v>
          </cell>
          <cell r="AK117">
            <v>0</v>
          </cell>
          <cell r="AL117">
            <v>0</v>
          </cell>
          <cell r="AM117">
            <v>0</v>
          </cell>
          <cell r="AN117">
            <v>0</v>
          </cell>
          <cell r="AO117">
            <v>0</v>
          </cell>
          <cell r="AP117">
            <v>0</v>
          </cell>
          <cell r="AQ117">
            <v>14.913940530087665</v>
          </cell>
          <cell r="AR117">
            <v>244.58585268997348</v>
          </cell>
        </row>
        <row r="118">
          <cell r="C118" t="str">
            <v xml:space="preserve"> - экологические платежи</v>
          </cell>
          <cell r="D118">
            <v>9.9999960158000007</v>
          </cell>
          <cell r="E118">
            <v>3.9841984129651564E-6</v>
          </cell>
          <cell r="F118">
            <v>3.7642191460592103</v>
          </cell>
          <cell r="M118">
            <v>0.21633674458822064</v>
          </cell>
          <cell r="N118">
            <v>3.5478824014709898</v>
          </cell>
          <cell r="P118">
            <v>2.3080255904360776</v>
          </cell>
          <cell r="W118">
            <v>0.13264656580475107</v>
          </cell>
          <cell r="X118">
            <v>2.1753790246313267</v>
          </cell>
          <cell r="Z118">
            <v>3.9277472951062991</v>
          </cell>
          <cell r="AG118">
            <v>0.22573501446589797</v>
          </cell>
          <cell r="AH118">
            <v>3.702012280640401</v>
          </cell>
          <cell r="AJ118">
            <v>9.9999920316015878</v>
          </cell>
          <cell r="AK118">
            <v>0</v>
          </cell>
          <cell r="AL118">
            <v>0</v>
          </cell>
          <cell r="AM118">
            <v>0</v>
          </cell>
          <cell r="AN118">
            <v>0</v>
          </cell>
          <cell r="AO118">
            <v>0</v>
          </cell>
          <cell r="AP118">
            <v>0</v>
          </cell>
          <cell r="AQ118">
            <v>0.57471832485886964</v>
          </cell>
          <cell r="AR118">
            <v>9.4252737067427184</v>
          </cell>
        </row>
        <row r="119">
          <cell r="C119" t="str">
            <v xml:space="preserve">  - прочие налоги, относимые на с/с (расшифровать)</v>
          </cell>
          <cell r="D119">
            <v>0</v>
          </cell>
          <cell r="E119">
            <v>0</v>
          </cell>
          <cell r="F119">
            <v>0</v>
          </cell>
          <cell r="M119">
            <v>0</v>
          </cell>
          <cell r="N119">
            <v>0</v>
          </cell>
          <cell r="P119">
            <v>0</v>
          </cell>
          <cell r="W119">
            <v>0</v>
          </cell>
          <cell r="X119">
            <v>0</v>
          </cell>
          <cell r="Z119">
            <v>0</v>
          </cell>
          <cell r="AG119">
            <v>0</v>
          </cell>
          <cell r="AH119">
            <v>0</v>
          </cell>
          <cell r="AJ119">
            <v>0</v>
          </cell>
          <cell r="AK119">
            <v>0</v>
          </cell>
          <cell r="AL119">
            <v>0</v>
          </cell>
          <cell r="AM119">
            <v>0</v>
          </cell>
          <cell r="AN119">
            <v>0</v>
          </cell>
          <cell r="AO119">
            <v>0</v>
          </cell>
          <cell r="AP119">
            <v>0</v>
          </cell>
          <cell r="AQ119">
            <v>0</v>
          </cell>
          <cell r="AR119">
            <v>0</v>
          </cell>
        </row>
        <row r="120">
          <cell r="C120" t="str">
            <v xml:space="preserve"> Отчисления на НИОКР</v>
          </cell>
          <cell r="D120">
            <v>0</v>
          </cell>
          <cell r="E120">
            <v>0</v>
          </cell>
          <cell r="F120">
            <v>0</v>
          </cell>
          <cell r="M120">
            <v>0</v>
          </cell>
          <cell r="N120">
            <v>0</v>
          </cell>
          <cell r="P120">
            <v>0</v>
          </cell>
          <cell r="W120">
            <v>0</v>
          </cell>
          <cell r="X120">
            <v>0</v>
          </cell>
          <cell r="Z120">
            <v>0</v>
          </cell>
          <cell r="AG120">
            <v>0</v>
          </cell>
          <cell r="AH120">
            <v>0</v>
          </cell>
          <cell r="AJ120">
            <v>0</v>
          </cell>
          <cell r="AK120">
            <v>0</v>
          </cell>
          <cell r="AL120">
            <v>0</v>
          </cell>
          <cell r="AM120">
            <v>0</v>
          </cell>
          <cell r="AN120">
            <v>0</v>
          </cell>
          <cell r="AO120">
            <v>0</v>
          </cell>
          <cell r="AP120">
            <v>0</v>
          </cell>
          <cell r="AQ120">
            <v>0</v>
          </cell>
          <cell r="AR120">
            <v>0</v>
          </cell>
        </row>
        <row r="121">
          <cell r="C121" t="str">
            <v>Финансирование работ по созданию нормативной базы технического регулирования (ИНВЭЛ)</v>
          </cell>
          <cell r="D121">
            <v>0</v>
          </cell>
          <cell r="E121">
            <v>0</v>
          </cell>
          <cell r="F121">
            <v>0</v>
          </cell>
          <cell r="M121">
            <v>0</v>
          </cell>
          <cell r="N121">
            <v>0</v>
          </cell>
          <cell r="P121">
            <v>0</v>
          </cell>
          <cell r="W121">
            <v>0</v>
          </cell>
          <cell r="X121">
            <v>0</v>
          </cell>
          <cell r="Z121">
            <v>0</v>
          </cell>
          <cell r="AG121">
            <v>0</v>
          </cell>
          <cell r="AH121">
            <v>0</v>
          </cell>
          <cell r="AJ121">
            <v>0</v>
          </cell>
          <cell r="AK121">
            <v>0</v>
          </cell>
          <cell r="AL121">
            <v>0</v>
          </cell>
          <cell r="AM121">
            <v>0</v>
          </cell>
          <cell r="AN121">
            <v>0</v>
          </cell>
          <cell r="AO121">
            <v>0</v>
          </cell>
          <cell r="AP121">
            <v>0</v>
          </cell>
          <cell r="AQ121">
            <v>0</v>
          </cell>
          <cell r="AR121">
            <v>0</v>
          </cell>
        </row>
        <row r="122">
          <cell r="C122" t="str">
            <v>Затраты на экологию (кроме налогов и сборов)</v>
          </cell>
          <cell r="D122">
            <v>0</v>
          </cell>
          <cell r="E122">
            <v>0</v>
          </cell>
          <cell r="F122">
            <v>0</v>
          </cell>
          <cell r="M122">
            <v>0</v>
          </cell>
          <cell r="N122">
            <v>0</v>
          </cell>
          <cell r="P122">
            <v>0</v>
          </cell>
          <cell r="W122">
            <v>0</v>
          </cell>
          <cell r="X122">
            <v>0</v>
          </cell>
          <cell r="Z122">
            <v>0</v>
          </cell>
          <cell r="AG122">
            <v>0</v>
          </cell>
          <cell r="AH122">
            <v>0</v>
          </cell>
          <cell r="AJ122">
            <v>0</v>
          </cell>
          <cell r="AK122">
            <v>0</v>
          </cell>
          <cell r="AL122">
            <v>0</v>
          </cell>
          <cell r="AM122">
            <v>0</v>
          </cell>
          <cell r="AN122">
            <v>0</v>
          </cell>
          <cell r="AO122">
            <v>0</v>
          </cell>
          <cell r="AP122">
            <v>0</v>
          </cell>
          <cell r="AQ122">
            <v>0</v>
          </cell>
          <cell r="AR122">
            <v>0</v>
          </cell>
        </row>
        <row r="123">
          <cell r="C123" t="str">
            <v xml:space="preserve"> Другие расходы, относимые на себестоимость</v>
          </cell>
          <cell r="D123">
            <v>247.59990135120796</v>
          </cell>
          <cell r="E123">
            <v>9.8648752697272357E-5</v>
          </cell>
          <cell r="F123">
            <v>93.202066056426034</v>
          </cell>
          <cell r="G123">
            <v>0</v>
          </cell>
          <cell r="H123">
            <v>0</v>
          </cell>
          <cell r="I123">
            <v>0</v>
          </cell>
          <cell r="J123">
            <v>0</v>
          </cell>
          <cell r="K123">
            <v>0</v>
          </cell>
          <cell r="L123">
            <v>0</v>
          </cell>
          <cell r="M123">
            <v>5.3564977960043416</v>
          </cell>
          <cell r="N123">
            <v>87.845568260421686</v>
          </cell>
          <cell r="P123">
            <v>57.146713619197271</v>
          </cell>
          <cell r="Q123">
            <v>0</v>
          </cell>
          <cell r="R123">
            <v>0</v>
          </cell>
          <cell r="S123">
            <v>0</v>
          </cell>
          <cell r="T123">
            <v>0</v>
          </cell>
          <cell r="U123">
            <v>0</v>
          </cell>
          <cell r="V123">
            <v>0</v>
          </cell>
          <cell r="W123">
            <v>3.2843289693256361</v>
          </cell>
          <cell r="X123">
            <v>53.862384649871636</v>
          </cell>
          <cell r="Z123">
            <v>97.251023026831959</v>
          </cell>
          <cell r="AA123">
            <v>0</v>
          </cell>
          <cell r="AB123">
            <v>0</v>
          </cell>
          <cell r="AC123">
            <v>0</v>
          </cell>
          <cell r="AD123">
            <v>0</v>
          </cell>
          <cell r="AE123">
            <v>0</v>
          </cell>
          <cell r="AF123">
            <v>0</v>
          </cell>
          <cell r="AG123">
            <v>5.5891989581756336</v>
          </cell>
          <cell r="AH123">
            <v>91.66182406865633</v>
          </cell>
          <cell r="AJ123">
            <v>247.59980270245526</v>
          </cell>
          <cell r="AK123">
            <v>0</v>
          </cell>
          <cell r="AL123">
            <v>0</v>
          </cell>
          <cell r="AM123">
            <v>0</v>
          </cell>
          <cell r="AN123">
            <v>0</v>
          </cell>
          <cell r="AO123">
            <v>0</v>
          </cell>
          <cell r="AP123">
            <v>0</v>
          </cell>
          <cell r="AQ123">
            <v>14.23002572350561</v>
          </cell>
          <cell r="AR123">
            <v>233.36977697894966</v>
          </cell>
        </row>
        <row r="124">
          <cell r="C124" t="str">
            <v>в т.ч. Регистрация прав собственности</v>
          </cell>
          <cell r="D124">
            <v>83.799966612403992</v>
          </cell>
          <cell r="E124">
            <v>3.338758270388098E-5</v>
          </cell>
          <cell r="F124">
            <v>31.544156443976174</v>
          </cell>
          <cell r="M124">
            <v>1.8129019196492884</v>
          </cell>
          <cell r="N124">
            <v>29.731254524326886</v>
          </cell>
          <cell r="P124">
            <v>19.341254447854329</v>
          </cell>
          <cell r="W124">
            <v>1.1115782214438137</v>
          </cell>
          <cell r="X124">
            <v>18.229676226410515</v>
          </cell>
          <cell r="Z124">
            <v>32.914522332990778</v>
          </cell>
          <cell r="AG124">
            <v>1.8916594212242246</v>
          </cell>
          <cell r="AH124">
            <v>31.022862911766556</v>
          </cell>
          <cell r="AJ124">
            <v>83.799933224821288</v>
          </cell>
          <cell r="AK124">
            <v>0</v>
          </cell>
          <cell r="AL124">
            <v>0</v>
          </cell>
          <cell r="AM124">
            <v>0</v>
          </cell>
          <cell r="AN124">
            <v>0</v>
          </cell>
          <cell r="AO124">
            <v>0</v>
          </cell>
          <cell r="AP124">
            <v>0</v>
          </cell>
          <cell r="AQ124">
            <v>4.8161395623173267</v>
          </cell>
          <cell r="AR124">
            <v>78.983793662503956</v>
          </cell>
        </row>
        <row r="125">
          <cell r="C125" t="str">
            <v xml:space="preserve">           Программные продукты</v>
          </cell>
          <cell r="D125">
            <v>35.299985935773996</v>
          </cell>
          <cell r="E125">
            <v>1.4064220401621697E-5</v>
          </cell>
          <cell r="F125">
            <v>13.287693585589011</v>
          </cell>
          <cell r="M125">
            <v>0.76366870839641876</v>
          </cell>
          <cell r="N125">
            <v>12.524024877192593</v>
          </cell>
          <cell r="P125">
            <v>8.1473303342393546</v>
          </cell>
          <cell r="W125">
            <v>0.46824237729077123</v>
          </cell>
          <cell r="X125">
            <v>7.6790879569485835</v>
          </cell>
          <cell r="Z125">
            <v>13.864947951725235</v>
          </cell>
          <cell r="AG125">
            <v>0.79684460106461974</v>
          </cell>
          <cell r="AH125">
            <v>13.068103350660614</v>
          </cell>
          <cell r="AJ125">
            <v>35.299971871553595</v>
          </cell>
          <cell r="AK125">
            <v>0</v>
          </cell>
          <cell r="AL125">
            <v>0</v>
          </cell>
          <cell r="AM125">
            <v>0</v>
          </cell>
          <cell r="AN125">
            <v>0</v>
          </cell>
          <cell r="AO125">
            <v>0</v>
          </cell>
          <cell r="AP125">
            <v>0</v>
          </cell>
          <cell r="AQ125">
            <v>2.0287556867518095</v>
          </cell>
          <cell r="AR125">
            <v>33.271216184801787</v>
          </cell>
        </row>
        <row r="126">
          <cell r="C126" t="str">
            <v>Бутилированная вода</v>
          </cell>
          <cell r="D126">
            <v>6.3999974501120001</v>
          </cell>
          <cell r="E126">
            <v>2.5498869842266458E-6</v>
          </cell>
          <cell r="F126">
            <v>2.4091002534778942</v>
          </cell>
          <cell r="M126">
            <v>0.13845551653646121</v>
          </cell>
          <cell r="N126">
            <v>2.2706447369414331</v>
          </cell>
          <cell r="P126">
            <v>1.4771363778790898</v>
          </cell>
          <cell r="W126">
            <v>8.4893802115040676E-2</v>
          </cell>
          <cell r="X126">
            <v>1.3922425757640491</v>
          </cell>
          <cell r="Z126">
            <v>2.5137582688680316</v>
          </cell>
          <cell r="AG126">
            <v>0.1444704092581747</v>
          </cell>
          <cell r="AH126">
            <v>2.369287859609857</v>
          </cell>
          <cell r="AJ126">
            <v>6.3999949002250158</v>
          </cell>
          <cell r="AK126">
            <v>0</v>
          </cell>
          <cell r="AL126">
            <v>0</v>
          </cell>
          <cell r="AM126">
            <v>0</v>
          </cell>
          <cell r="AN126">
            <v>0</v>
          </cell>
          <cell r="AO126">
            <v>0</v>
          </cell>
          <cell r="AP126">
            <v>0</v>
          </cell>
          <cell r="AQ126">
            <v>0.36781972790967654</v>
          </cell>
          <cell r="AR126">
            <v>6.0321751723153394</v>
          </cell>
        </row>
        <row r="127">
          <cell r="C127" t="str">
            <v>Почтовые</v>
          </cell>
          <cell r="D127">
            <v>57.099977250217997</v>
          </cell>
          <cell r="E127">
            <v>2.2749772938368551E-5</v>
          </cell>
          <cell r="F127">
            <v>21.493691323998089</v>
          </cell>
          <cell r="M127">
            <v>1.2352828115987398</v>
          </cell>
          <cell r="N127">
            <v>20.258408512399349</v>
          </cell>
          <cell r="P127">
            <v>13.178826121390005</v>
          </cell>
          <cell r="W127">
            <v>0.75741189074512849</v>
          </cell>
          <cell r="X127">
            <v>12.421414230644876</v>
          </cell>
          <cell r="Z127">
            <v>22.427437055056963</v>
          </cell>
          <cell r="AG127">
            <v>1.2889469326002772</v>
          </cell>
          <cell r="AH127">
            <v>21.138490122456687</v>
          </cell>
          <cell r="AJ127">
            <v>57.099954500445058</v>
          </cell>
          <cell r="AK127">
            <v>0</v>
          </cell>
          <cell r="AL127">
            <v>0</v>
          </cell>
          <cell r="AM127">
            <v>0</v>
          </cell>
          <cell r="AN127">
            <v>0</v>
          </cell>
          <cell r="AO127">
            <v>0</v>
          </cell>
          <cell r="AP127">
            <v>0</v>
          </cell>
          <cell r="AQ127">
            <v>3.2816416349441453</v>
          </cell>
          <cell r="AR127">
            <v>53.818312865500914</v>
          </cell>
        </row>
        <row r="128">
          <cell r="C128" t="str">
            <v>Разрешение на перевозку крупногабаритных грузов</v>
          </cell>
          <cell r="D128">
            <v>0</v>
          </cell>
          <cell r="E128">
            <v>0</v>
          </cell>
          <cell r="F128">
            <v>0</v>
          </cell>
          <cell r="M128">
            <v>0</v>
          </cell>
          <cell r="N128">
            <v>0</v>
          </cell>
          <cell r="P128">
            <v>0</v>
          </cell>
          <cell r="W128">
            <v>0</v>
          </cell>
          <cell r="X128">
            <v>0</v>
          </cell>
          <cell r="Z128">
            <v>0</v>
          </cell>
          <cell r="AG128">
            <v>0</v>
          </cell>
          <cell r="AH128">
            <v>0</v>
          </cell>
          <cell r="AJ128">
            <v>0</v>
          </cell>
          <cell r="AK128">
            <v>0</v>
          </cell>
          <cell r="AL128">
            <v>0</v>
          </cell>
          <cell r="AM128">
            <v>0</v>
          </cell>
          <cell r="AN128">
            <v>0</v>
          </cell>
          <cell r="AO128">
            <v>0</v>
          </cell>
          <cell r="AP128">
            <v>0</v>
          </cell>
          <cell r="AQ128">
            <v>0</v>
          </cell>
          <cell r="AR128">
            <v>0</v>
          </cell>
        </row>
        <row r="129">
          <cell r="C129" t="str">
            <v>Пособие по временной нетрудоспособности (2 дня)</v>
          </cell>
          <cell r="D129">
            <v>52.499979082949999</v>
          </cell>
          <cell r="E129">
            <v>2.0917041666734804E-5</v>
          </cell>
          <cell r="F129">
            <v>19.762150516810852</v>
          </cell>
          <cell r="M129">
            <v>1.1357679090881583</v>
          </cell>
          <cell r="N129">
            <v>18.626382607722693</v>
          </cell>
          <cell r="P129">
            <v>12.117134349789406</v>
          </cell>
          <cell r="W129">
            <v>0.69639447047494296</v>
          </cell>
          <cell r="X129">
            <v>11.420739879314464</v>
          </cell>
          <cell r="Z129">
            <v>20.62067329930807</v>
          </cell>
          <cell r="AG129">
            <v>1.1851088259459643</v>
          </cell>
          <cell r="AH129">
            <v>19.435564473362106</v>
          </cell>
          <cell r="AJ129">
            <v>52.499958165908332</v>
          </cell>
          <cell r="AK129">
            <v>0</v>
          </cell>
          <cell r="AL129">
            <v>0</v>
          </cell>
          <cell r="AM129">
            <v>0</v>
          </cell>
          <cell r="AN129">
            <v>0</v>
          </cell>
          <cell r="AO129">
            <v>0</v>
          </cell>
          <cell r="AP129">
            <v>0</v>
          </cell>
          <cell r="AQ129">
            <v>3.0172712055090658</v>
          </cell>
          <cell r="AR129">
            <v>49.482686960399263</v>
          </cell>
        </row>
        <row r="130">
          <cell r="C130" t="str">
            <v>Затраты по замене стеклопакета</v>
          </cell>
          <cell r="D130">
            <v>0</v>
          </cell>
          <cell r="E130">
            <v>0</v>
          </cell>
          <cell r="F130">
            <v>0</v>
          </cell>
          <cell r="M130">
            <v>0</v>
          </cell>
          <cell r="N130">
            <v>0</v>
          </cell>
          <cell r="P130">
            <v>0</v>
          </cell>
          <cell r="W130">
            <v>0</v>
          </cell>
          <cell r="X130">
            <v>0</v>
          </cell>
          <cell r="Z130">
            <v>0</v>
          </cell>
          <cell r="AG130">
            <v>0</v>
          </cell>
          <cell r="AH130">
            <v>0</v>
          </cell>
          <cell r="AJ130">
            <v>0</v>
          </cell>
          <cell r="AK130">
            <v>0</v>
          </cell>
          <cell r="AL130">
            <v>0</v>
          </cell>
          <cell r="AM130">
            <v>0</v>
          </cell>
          <cell r="AN130">
            <v>0</v>
          </cell>
          <cell r="AO130">
            <v>0</v>
          </cell>
          <cell r="AP130">
            <v>0</v>
          </cell>
          <cell r="AQ130">
            <v>0</v>
          </cell>
          <cell r="AR130">
            <v>0</v>
          </cell>
        </row>
        <row r="131">
          <cell r="C131" t="str">
            <v>Расходы на приобретение канцтоваров</v>
          </cell>
          <cell r="D131">
            <v>0</v>
          </cell>
          <cell r="E131">
            <v>0</v>
          </cell>
          <cell r="F131">
            <v>0</v>
          </cell>
          <cell r="M131">
            <v>0</v>
          </cell>
          <cell r="N131">
            <v>0</v>
          </cell>
          <cell r="P131">
            <v>0</v>
          </cell>
          <cell r="W131">
            <v>0</v>
          </cell>
          <cell r="X131">
            <v>0</v>
          </cell>
          <cell r="Z131">
            <v>0</v>
          </cell>
          <cell r="AG131">
            <v>0</v>
          </cell>
          <cell r="AH131">
            <v>0</v>
          </cell>
          <cell r="AJ131">
            <v>0</v>
          </cell>
          <cell r="AK131">
            <v>0</v>
          </cell>
          <cell r="AL131">
            <v>0</v>
          </cell>
          <cell r="AM131">
            <v>0</v>
          </cell>
          <cell r="AN131">
            <v>0</v>
          </cell>
          <cell r="AO131">
            <v>0</v>
          </cell>
          <cell r="AP131">
            <v>0</v>
          </cell>
          <cell r="AQ131">
            <v>0</v>
          </cell>
          <cell r="AR131">
            <v>0</v>
          </cell>
        </row>
        <row r="132">
          <cell r="C132" t="str">
            <v>Выплата компенсаций жещинам по уходу за детьми до 3 лет</v>
          </cell>
          <cell r="D132">
            <v>0</v>
          </cell>
          <cell r="E132">
            <v>0</v>
          </cell>
          <cell r="F132">
            <v>0</v>
          </cell>
          <cell r="M132">
            <v>0</v>
          </cell>
          <cell r="N132">
            <v>0</v>
          </cell>
          <cell r="P132">
            <v>0</v>
          </cell>
          <cell r="W132">
            <v>0</v>
          </cell>
          <cell r="X132">
            <v>0</v>
          </cell>
          <cell r="Z132">
            <v>0</v>
          </cell>
          <cell r="AG132">
            <v>0</v>
          </cell>
          <cell r="AH132">
            <v>0</v>
          </cell>
          <cell r="AJ132">
            <v>0</v>
          </cell>
          <cell r="AK132">
            <v>0</v>
          </cell>
          <cell r="AL132">
            <v>0</v>
          </cell>
          <cell r="AM132">
            <v>0</v>
          </cell>
          <cell r="AN132">
            <v>0</v>
          </cell>
          <cell r="AO132">
            <v>0</v>
          </cell>
          <cell r="AP132">
            <v>0</v>
          </cell>
          <cell r="AQ132">
            <v>0</v>
          </cell>
          <cell r="AR132">
            <v>0</v>
          </cell>
        </row>
        <row r="133">
          <cell r="C133" t="str">
            <v>Стирка спецодежды и белья</v>
          </cell>
          <cell r="D133">
            <v>3.7999984860039993</v>
          </cell>
          <cell r="E133">
            <v>1.5139953974951936E-6</v>
          </cell>
          <cell r="F133">
            <v>1.4304032755024993</v>
          </cell>
          <cell r="M133">
            <v>8.220796294352381E-2</v>
          </cell>
          <cell r="N133">
            <v>1.3481953125589756</v>
          </cell>
          <cell r="P133">
            <v>0.87704972436570927</v>
          </cell>
          <cell r="W133">
            <v>5.0405695005805391E-2</v>
          </cell>
          <cell r="X133">
            <v>0.82664402935990389</v>
          </cell>
          <cell r="Z133">
            <v>1.4925439721403935</v>
          </cell>
          <cell r="AG133">
            <v>8.57793054970412E-2</v>
          </cell>
          <cell r="AH133">
            <v>1.4067646666433522</v>
          </cell>
          <cell r="AJ133">
            <v>3.7999969720086018</v>
          </cell>
          <cell r="AK133">
            <v>0</v>
          </cell>
          <cell r="AL133">
            <v>0</v>
          </cell>
          <cell r="AM133">
            <v>0</v>
          </cell>
          <cell r="AN133">
            <v>0</v>
          </cell>
          <cell r="AO133">
            <v>0</v>
          </cell>
          <cell r="AP133">
            <v>0</v>
          </cell>
          <cell r="AQ133">
            <v>0.21839296344637038</v>
          </cell>
          <cell r="AR133">
            <v>3.5816040085622314</v>
          </cell>
        </row>
        <row r="134">
          <cell r="C134" t="str">
            <v>Программное обеспечение</v>
          </cell>
          <cell r="D134">
            <v>0</v>
          </cell>
          <cell r="E134">
            <v>0</v>
          </cell>
          <cell r="F134">
            <v>0</v>
          </cell>
          <cell r="M134">
            <v>0</v>
          </cell>
          <cell r="N134">
            <v>0</v>
          </cell>
          <cell r="P134">
            <v>0</v>
          </cell>
          <cell r="W134">
            <v>0</v>
          </cell>
          <cell r="X134">
            <v>0</v>
          </cell>
          <cell r="Z134">
            <v>0</v>
          </cell>
          <cell r="AG134">
            <v>0</v>
          </cell>
          <cell r="AH134">
            <v>0</v>
          </cell>
          <cell r="AJ134">
            <v>0</v>
          </cell>
          <cell r="AK134">
            <v>0</v>
          </cell>
          <cell r="AL134">
            <v>0</v>
          </cell>
          <cell r="AM134">
            <v>0</v>
          </cell>
          <cell r="AN134">
            <v>0</v>
          </cell>
          <cell r="AO134">
            <v>0</v>
          </cell>
          <cell r="AP134">
            <v>0</v>
          </cell>
          <cell r="AQ134">
            <v>0</v>
          </cell>
          <cell r="AR134">
            <v>0</v>
          </cell>
        </row>
        <row r="135">
          <cell r="C135" t="str">
            <v>Печати, штампы</v>
          </cell>
          <cell r="D135">
            <v>0</v>
          </cell>
          <cell r="E135">
            <v>0</v>
          </cell>
          <cell r="F135">
            <v>0</v>
          </cell>
          <cell r="M135">
            <v>0</v>
          </cell>
          <cell r="N135">
            <v>0</v>
          </cell>
          <cell r="P135">
            <v>0</v>
          </cell>
          <cell r="W135">
            <v>0</v>
          </cell>
          <cell r="X135">
            <v>0</v>
          </cell>
          <cell r="Z135">
            <v>0</v>
          </cell>
          <cell r="AG135">
            <v>0</v>
          </cell>
          <cell r="AH135">
            <v>0</v>
          </cell>
          <cell r="AJ135">
            <v>0</v>
          </cell>
          <cell r="AK135">
            <v>0</v>
          </cell>
          <cell r="AL135">
            <v>0</v>
          </cell>
          <cell r="AM135">
            <v>0</v>
          </cell>
          <cell r="AN135">
            <v>0</v>
          </cell>
          <cell r="AO135">
            <v>0</v>
          </cell>
          <cell r="AP135">
            <v>0</v>
          </cell>
          <cell r="AQ135">
            <v>0</v>
          </cell>
          <cell r="AR135">
            <v>0</v>
          </cell>
        </row>
        <row r="136">
          <cell r="C136" t="str">
            <v>Приобретение НТД</v>
          </cell>
          <cell r="D136">
            <v>3.7999984860039993</v>
          </cell>
          <cell r="E136">
            <v>1.5139953974951936E-6</v>
          </cell>
          <cell r="F136">
            <v>1.4304032755024993</v>
          </cell>
          <cell r="M136">
            <v>8.220796294352381E-2</v>
          </cell>
          <cell r="N136">
            <v>1.3481953125589756</v>
          </cell>
          <cell r="P136">
            <v>0.87704972436570927</v>
          </cell>
          <cell r="W136">
            <v>5.0405695005805391E-2</v>
          </cell>
          <cell r="X136">
            <v>0.82664402935990389</v>
          </cell>
          <cell r="Z136">
            <v>1.4925439721403935</v>
          </cell>
          <cell r="AG136">
            <v>8.57793054970412E-2</v>
          </cell>
          <cell r="AH136">
            <v>1.4067646666433522</v>
          </cell>
          <cell r="AJ136">
            <v>3.7999969720086018</v>
          </cell>
          <cell r="AK136">
            <v>0</v>
          </cell>
          <cell r="AL136">
            <v>0</v>
          </cell>
          <cell r="AM136">
            <v>0</v>
          </cell>
          <cell r="AN136">
            <v>0</v>
          </cell>
          <cell r="AO136">
            <v>0</v>
          </cell>
          <cell r="AP136">
            <v>0</v>
          </cell>
          <cell r="AQ136">
            <v>0.21839296344637038</v>
          </cell>
          <cell r="AR136">
            <v>3.5816040085622314</v>
          </cell>
        </row>
        <row r="137">
          <cell r="C137" t="str">
            <v>Экспресс-почта</v>
          </cell>
          <cell r="D137">
            <v>4.8999980477419998</v>
          </cell>
          <cell r="E137">
            <v>1.9522572225483259E-6</v>
          </cell>
          <cell r="F137">
            <v>1.8444673815690129</v>
          </cell>
          <cell r="M137">
            <v>0.1060050048482281</v>
          </cell>
          <cell r="N137">
            <v>1.7384623767207847</v>
          </cell>
          <cell r="P137">
            <v>1.130932539313678</v>
          </cell>
          <cell r="W137">
            <v>6.4996817244328015E-2</v>
          </cell>
          <cell r="X137">
            <v>1.0659357220693499</v>
          </cell>
          <cell r="Z137">
            <v>1.9245961746020865</v>
          </cell>
          <cell r="AG137">
            <v>0.11061015708828999</v>
          </cell>
          <cell r="AH137">
            <v>1.8139860175137965</v>
          </cell>
          <cell r="AJ137">
            <v>4.8999960954847772</v>
          </cell>
          <cell r="AK137">
            <v>0</v>
          </cell>
          <cell r="AL137">
            <v>0</v>
          </cell>
          <cell r="AM137">
            <v>0</v>
          </cell>
          <cell r="AN137">
            <v>0</v>
          </cell>
          <cell r="AO137">
            <v>0</v>
          </cell>
          <cell r="AP137">
            <v>0</v>
          </cell>
          <cell r="AQ137">
            <v>0.28161197918084607</v>
          </cell>
          <cell r="AR137">
            <v>4.6183841163039308</v>
          </cell>
        </row>
        <row r="138">
          <cell r="C138" t="str">
            <v>Из стр. I. Затраты на ремонт всего, в т.ч. (Справочно)</v>
          </cell>
          <cell r="D138" t="e">
            <v>#REF!</v>
          </cell>
          <cell r="E138" t="e">
            <v>#REF!</v>
          </cell>
          <cell r="F138">
            <v>0</v>
          </cell>
        </row>
        <row r="139">
          <cell r="C139" t="str">
            <v>Хоз. способ</v>
          </cell>
          <cell r="D139" t="e">
            <v>#REF!</v>
          </cell>
          <cell r="E139" t="e">
            <v>#REF!</v>
          </cell>
          <cell r="F139">
            <v>0</v>
          </cell>
        </row>
        <row r="140">
          <cell r="C140" t="str">
            <v>ФОТ</v>
          </cell>
          <cell r="D140" t="e">
            <v>#REF!</v>
          </cell>
          <cell r="E140" t="e">
            <v>#REF!</v>
          </cell>
          <cell r="F140">
            <v>0</v>
          </cell>
        </row>
        <row r="141">
          <cell r="C141" t="str">
            <v xml:space="preserve"> ЕСН</v>
          </cell>
          <cell r="D141" t="e">
            <v>#REF!</v>
          </cell>
          <cell r="E141" t="e">
            <v>#REF!</v>
          </cell>
          <cell r="F141">
            <v>0</v>
          </cell>
        </row>
        <row r="142">
          <cell r="C142" t="str">
            <v>Сырье, материалы и запчасти</v>
          </cell>
          <cell r="D142" t="e">
            <v>#REF!</v>
          </cell>
          <cell r="E142" t="e">
            <v>#REF!</v>
          </cell>
          <cell r="F142">
            <v>0</v>
          </cell>
        </row>
        <row r="143">
          <cell r="C143" t="str">
            <v xml:space="preserve">Прочие затраты </v>
          </cell>
          <cell r="D143" t="e">
            <v>#REF!</v>
          </cell>
          <cell r="E143" t="e">
            <v>#REF!</v>
          </cell>
          <cell r="F143">
            <v>0</v>
          </cell>
        </row>
        <row r="144">
          <cell r="C144" t="str">
            <v xml:space="preserve">Услуги сторонних ремонтных организаций </v>
          </cell>
          <cell r="D144" t="e">
            <v>#REF!</v>
          </cell>
          <cell r="E144" t="e">
            <v>#REF!</v>
          </cell>
          <cell r="F144">
            <v>0</v>
          </cell>
        </row>
        <row r="145">
          <cell r="C145" t="str">
            <v>Стоимость давальческих материалов</v>
          </cell>
          <cell r="D145" t="e">
            <v>#REF!</v>
          </cell>
          <cell r="E145" t="e">
            <v>#REF!</v>
          </cell>
          <cell r="F145">
            <v>0</v>
          </cell>
        </row>
        <row r="146">
          <cell r="C146" t="str">
            <v>Итого себестоимость по видам деятельности</v>
          </cell>
          <cell r="D146" t="e">
            <v>#REF!</v>
          </cell>
          <cell r="E146" t="e">
            <v>#REF!</v>
          </cell>
          <cell r="F146">
            <v>0</v>
          </cell>
        </row>
        <row r="147">
          <cell r="C147" t="str">
            <v>Передача электроэнергии</v>
          </cell>
          <cell r="D147" t="e">
            <v>#REF!</v>
          </cell>
          <cell r="E147" t="e">
            <v>#REF!</v>
          </cell>
          <cell r="F147">
            <v>0</v>
          </cell>
        </row>
        <row r="148">
          <cell r="C148" t="str">
            <v>Технологическое присоединение к электрическим сетям</v>
          </cell>
          <cell r="D148" t="e">
            <v>#REF!</v>
          </cell>
          <cell r="E148" t="e">
            <v>#REF!</v>
          </cell>
          <cell r="F148">
            <v>0</v>
          </cell>
        </row>
        <row r="149">
          <cell r="C149" t="str">
            <v>Ремонтно-экплуатационное обслуживание</v>
          </cell>
          <cell r="D149" t="e">
            <v>#REF!</v>
          </cell>
          <cell r="E149" t="e">
            <v>#REF!</v>
          </cell>
          <cell r="F149">
            <v>0</v>
          </cell>
        </row>
        <row r="150">
          <cell r="C150" t="str">
            <v>Прочая продукция (услуги) основной деятельности</v>
          </cell>
          <cell r="D150" t="e">
            <v>#REF!</v>
          </cell>
          <cell r="E150" t="e">
            <v>#REF!</v>
          </cell>
          <cell r="F150">
            <v>0</v>
          </cell>
        </row>
        <row r="151">
          <cell r="C151" t="str">
            <v>Непрофильная продукция (услуги)</v>
          </cell>
          <cell r="D151" t="e">
            <v>#REF!</v>
          </cell>
          <cell r="E151" t="e">
            <v>#REF!</v>
          </cell>
          <cell r="F151">
            <v>0</v>
          </cell>
        </row>
        <row r="152">
          <cell r="C152" t="str">
            <v>Внутренний оборот</v>
          </cell>
          <cell r="D152" t="e">
            <v>#REF!</v>
          </cell>
          <cell r="E152" t="e">
            <v>#REF!</v>
          </cell>
          <cell r="F152">
            <v>0</v>
          </cell>
        </row>
        <row r="153">
          <cell r="E153">
            <v>0</v>
          </cell>
          <cell r="F153">
            <v>0</v>
          </cell>
        </row>
        <row r="154">
          <cell r="E154">
            <v>0</v>
          </cell>
          <cell r="F154">
            <v>0</v>
          </cell>
        </row>
        <row r="155">
          <cell r="E155">
            <v>0</v>
          </cell>
          <cell r="F155">
            <v>0</v>
          </cell>
        </row>
        <row r="156">
          <cell r="C156" t="str">
            <v>Начальник Экономического управления</v>
          </cell>
          <cell r="E156">
            <v>0</v>
          </cell>
          <cell r="F156">
            <v>0</v>
          </cell>
          <cell r="AO156" t="str">
            <v>А.А.Гаршина</v>
          </cell>
        </row>
      </sheetData>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_1"/>
      <sheetName val="Прил_2"/>
      <sheetName val="Прил_4"/>
      <sheetName val="Прил_5"/>
      <sheetName val="Прил1 как пример"/>
      <sheetName val="Приложение_1_Россети"/>
      <sheetName val="Лист1"/>
    </sheetNames>
    <sheetDataSet>
      <sheetData sheetId="0"/>
      <sheetData sheetId="1"/>
      <sheetData sheetId="2"/>
      <sheetData sheetId="3"/>
      <sheetData sheetId="4"/>
      <sheetData sheetId="5"/>
      <sheetData sheetId="6">
        <row r="7">
          <cell r="E7">
            <v>3710946</v>
          </cell>
        </row>
        <row r="9">
          <cell r="E9">
            <v>3844304</v>
          </cell>
        </row>
        <row r="11">
          <cell r="E11">
            <v>4126202</v>
          </cell>
        </row>
        <row r="12">
          <cell r="E12">
            <v>3302529</v>
          </cell>
        </row>
        <row r="13">
          <cell r="E13">
            <v>4440851</v>
          </cell>
        </row>
        <row r="14">
          <cell r="E14">
            <v>3875590</v>
          </cell>
        </row>
        <row r="15">
          <cell r="E15">
            <v>4547516</v>
          </cell>
        </row>
        <row r="18">
          <cell r="E18">
            <v>4015919</v>
          </cell>
        </row>
        <row r="21">
          <cell r="E21">
            <v>3990347</v>
          </cell>
        </row>
        <row r="22">
          <cell r="E22">
            <v>4011944</v>
          </cell>
        </row>
        <row r="28">
          <cell r="E28">
            <v>6942070</v>
          </cell>
        </row>
        <row r="30">
          <cell r="E30">
            <v>6811330</v>
          </cell>
        </row>
        <row r="32">
          <cell r="E32">
            <v>7354190</v>
          </cell>
        </row>
        <row r="42">
          <cell r="E42">
            <v>5542860</v>
          </cell>
        </row>
        <row r="46">
          <cell r="E46">
            <v>5911620</v>
          </cell>
        </row>
        <row r="49">
          <cell r="E49">
            <v>6793920</v>
          </cell>
        </row>
        <row r="56">
          <cell r="E56">
            <v>11622530</v>
          </cell>
        </row>
        <row r="63">
          <cell r="E63">
            <v>6772470</v>
          </cell>
        </row>
        <row r="66">
          <cell r="E66">
            <v>7479950</v>
          </cell>
        </row>
        <row r="78">
          <cell r="E78">
            <v>4844490</v>
          </cell>
        </row>
        <row r="89">
          <cell r="E89">
            <v>5638010</v>
          </cell>
        </row>
        <row r="95">
          <cell r="E95">
            <v>74812.565531914894</v>
          </cell>
        </row>
        <row r="97">
          <cell r="E97">
            <v>89686.83531914893</v>
          </cell>
        </row>
        <row r="101">
          <cell r="E101">
            <v>26147.687956989248</v>
          </cell>
        </row>
        <row r="103">
          <cell r="E103">
            <v>10017.926494623656</v>
          </cell>
        </row>
        <row r="107">
          <cell r="E107">
            <v>39675.418193548387</v>
          </cell>
        </row>
        <row r="108">
          <cell r="E108">
            <v>8693.86</v>
          </cell>
        </row>
        <row r="110">
          <cell r="E110">
            <v>8693.8603225806455</v>
          </cell>
        </row>
        <row r="114">
          <cell r="E114">
            <v>6204.8955965181776</v>
          </cell>
        </row>
        <row r="132">
          <cell r="E132">
            <v>57656.09</v>
          </cell>
        </row>
        <row r="133">
          <cell r="E133">
            <v>82624.34</v>
          </cell>
        </row>
        <row r="135">
          <cell r="E135">
            <v>106600</v>
          </cell>
        </row>
        <row r="137">
          <cell r="E137">
            <v>665717.57999999996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водная"/>
      <sheetName val="Смета -по видам без потерь"/>
      <sheetName val="Смета 2007-2009-без потерь"/>
      <sheetName val="Самара -2007"/>
      <sheetName val="Прочие расходы+ОСЗ"/>
      <sheetName val="Прибыль для АРМ"/>
      <sheetName val="Справочники"/>
      <sheetName val="Инструкция"/>
      <sheetName val="3"/>
      <sheetName val="4"/>
      <sheetName val="5"/>
      <sheetName val="свод"/>
      <sheetName val="16"/>
      <sheetName val="17"/>
      <sheetName val="17.1"/>
      <sheetName val="24"/>
      <sheetName val="25"/>
      <sheetName val="P2.1"/>
      <sheetName val="P2.2"/>
      <sheetName val="перекрестка"/>
      <sheetName val="Ф-1 (для АО-энерго)"/>
      <sheetName val="Ф-2 (для АО-энерго)"/>
      <sheetName val="РСК"/>
      <sheetName val="Анализ НВВ"/>
      <sheetName val="Тарифная компания"/>
      <sheetName val="Прогноз "/>
      <sheetName val="Резервный фонд"/>
      <sheetName val="Смета передача 2007-2009"/>
      <sheetName val="Смета -по видам"/>
      <sheetName val="TEHSHEET"/>
    </sheetNames>
    <sheetDataSet>
      <sheetData sheetId="0"/>
      <sheetData sheetId="1">
        <row r="1">
          <cell r="G1" t="str">
            <v>Титульный лист</v>
          </cell>
        </row>
        <row r="2">
          <cell r="A2" t="str">
            <v>РАСЧЕТ ТАРИФОВ НА УСЛУГИ ПО ПЕРЕДАЧЕ ЭЛЕКТРИЧЕСКОЙ ЭНЕРГИИ</v>
          </cell>
        </row>
        <row r="6">
          <cell r="A6" t="str">
            <v>Наименование организации:</v>
          </cell>
          <cell r="B6" t="str">
            <v>Используйте меню АРМ СЕМ-&gt;Редактирование-&gt;Свойства документа</v>
          </cell>
        </row>
        <row r="7">
          <cell r="A7" t="str">
            <v>Почтовый адрес:</v>
          </cell>
          <cell r="B7" t="str">
            <v>Адрес почт1</v>
          </cell>
        </row>
        <row r="9">
          <cell r="A9" t="str">
            <v>Код</v>
          </cell>
        </row>
        <row r="10">
          <cell r="A10" t="str">
            <v>отчитывающейся организации по ОКПО</v>
          </cell>
          <cell r="B10" t="str">
            <v>вида деятельности</v>
          </cell>
          <cell r="C10" t="str">
            <v xml:space="preserve">отрасли по ОКОНХ </v>
          </cell>
          <cell r="D10" t="str">
            <v>территории по ОКАТО</v>
          </cell>
          <cell r="E10" t="str">
            <v>министерства (ведомства), органа управления по ОКОГУ</v>
          </cell>
          <cell r="F10" t="str">
            <v>организационно-правовой формы по ОКОПФ</v>
          </cell>
          <cell r="G10" t="str">
            <v>формы собственности по ОКФС</v>
          </cell>
        </row>
        <row r="11">
          <cell r="A11">
            <v>1</v>
          </cell>
          <cell r="B11">
            <v>2</v>
          </cell>
          <cell r="C11">
            <v>3</v>
          </cell>
          <cell r="D11">
            <v>4</v>
          </cell>
          <cell r="E11">
            <v>5</v>
          </cell>
          <cell r="F11">
            <v>6</v>
          </cell>
          <cell r="G11">
            <v>7</v>
          </cell>
        </row>
        <row r="12">
          <cell r="A12" t="str">
            <v>ОКПО1</v>
          </cell>
          <cell r="B12" t="str">
            <v>ОКВД1</v>
          </cell>
          <cell r="C12" t="str">
            <v>ОКОНХ1</v>
          </cell>
          <cell r="D12" t="str">
            <v>ОКАТО1</v>
          </cell>
          <cell r="E12" t="str">
            <v>ОКОГУ1</v>
          </cell>
          <cell r="F12" t="str">
            <v>ОКОПФ1</v>
          </cell>
          <cell r="G12" t="str">
            <v>ОКФС1</v>
          </cell>
        </row>
        <row r="14">
          <cell r="A14" t="str">
            <v>Период регулирования</v>
          </cell>
          <cell r="B14">
            <v>2008</v>
          </cell>
        </row>
        <row r="15">
          <cell r="A15" t="str">
            <v>Базовый период</v>
          </cell>
          <cell r="B15">
            <v>2007</v>
          </cell>
        </row>
        <row r="16">
          <cell r="A16" t="str">
            <v>Закончившийся год</v>
          </cell>
          <cell r="B16">
            <v>2006</v>
          </cell>
        </row>
      </sheetData>
      <sheetData sheetId="2"/>
      <sheetData sheetId="3"/>
      <sheetData sheetId="4"/>
      <sheetData sheetId="5"/>
      <sheetData sheetId="6"/>
      <sheetData sheetId="7"/>
      <sheetData sheetId="8"/>
      <sheetData sheetId="9"/>
      <sheetData sheetId="10">
        <row r="11">
          <cell r="E11">
            <v>152.10000000000002</v>
          </cell>
          <cell r="F11">
            <v>35.269999999999996</v>
          </cell>
          <cell r="G11">
            <v>38.770000000000003</v>
          </cell>
          <cell r="H11">
            <v>6</v>
          </cell>
          <cell r="I11">
            <v>140.58000000000001</v>
          </cell>
          <cell r="J11">
            <v>26.490000000000002</v>
          </cell>
          <cell r="K11">
            <v>48.91</v>
          </cell>
          <cell r="L11">
            <v>11.02</v>
          </cell>
          <cell r="M11">
            <v>152.10000000000002</v>
          </cell>
          <cell r="N11">
            <v>35.269999999999996</v>
          </cell>
          <cell r="O11">
            <v>38.770000000000003</v>
          </cell>
          <cell r="P11">
            <v>0</v>
          </cell>
          <cell r="Q11">
            <v>152.10000000000002</v>
          </cell>
          <cell r="R11">
            <v>35.269999999999996</v>
          </cell>
          <cell r="S11">
            <v>38.770000000000003</v>
          </cell>
          <cell r="T11">
            <v>0</v>
          </cell>
          <cell r="U11">
            <v>152.10000000000002</v>
          </cell>
          <cell r="V11">
            <v>35.269999999999996</v>
          </cell>
          <cell r="W11">
            <v>38.770000000000003</v>
          </cell>
          <cell r="X11">
            <v>0</v>
          </cell>
          <cell r="Y11">
            <v>1</v>
          </cell>
          <cell r="Z11">
            <v>1</v>
          </cell>
          <cell r="AA11">
            <v>1</v>
          </cell>
          <cell r="AB11">
            <v>0</v>
          </cell>
        </row>
        <row r="12">
          <cell r="E12">
            <v>111.65</v>
          </cell>
          <cell r="F12">
            <v>24.58</v>
          </cell>
          <cell r="G12">
            <v>33.78</v>
          </cell>
          <cell r="H12">
            <v>0</v>
          </cell>
          <cell r="I12">
            <v>88.32</v>
          </cell>
          <cell r="J12">
            <v>19.14</v>
          </cell>
          <cell r="K12">
            <v>37.67</v>
          </cell>
          <cell r="L12">
            <v>0</v>
          </cell>
          <cell r="M12">
            <v>111.65</v>
          </cell>
          <cell r="N12">
            <v>24.58</v>
          </cell>
          <cell r="O12">
            <v>33.78</v>
          </cell>
          <cell r="P12">
            <v>0</v>
          </cell>
          <cell r="Q12">
            <v>111.65</v>
          </cell>
          <cell r="R12">
            <v>24.58</v>
          </cell>
          <cell r="S12">
            <v>33.78</v>
          </cell>
          <cell r="T12">
            <v>0</v>
          </cell>
          <cell r="U12">
            <v>111.65</v>
          </cell>
          <cell r="V12">
            <v>24.58</v>
          </cell>
          <cell r="W12">
            <v>33.78</v>
          </cell>
          <cell r="X12">
            <v>0</v>
          </cell>
          <cell r="Y12">
            <v>1</v>
          </cell>
          <cell r="Z12">
            <v>1</v>
          </cell>
          <cell r="AA12">
            <v>1</v>
          </cell>
          <cell r="AB12">
            <v>0</v>
          </cell>
        </row>
        <row r="13">
          <cell r="E13">
            <v>0.68</v>
          </cell>
          <cell r="F13">
            <v>0.13</v>
          </cell>
          <cell r="I13">
            <v>0.68</v>
          </cell>
          <cell r="J13">
            <v>0.13</v>
          </cell>
          <cell r="M13">
            <v>0.68</v>
          </cell>
          <cell r="N13">
            <v>0.13</v>
          </cell>
          <cell r="Q13">
            <v>0.68</v>
          </cell>
          <cell r="R13">
            <v>0.13</v>
          </cell>
          <cell r="U13">
            <v>0.68</v>
          </cell>
          <cell r="V13">
            <v>0.13</v>
          </cell>
          <cell r="Y13">
            <v>1</v>
          </cell>
          <cell r="Z13">
            <v>1</v>
          </cell>
          <cell r="AA13">
            <v>0</v>
          </cell>
          <cell r="AB13">
            <v>0</v>
          </cell>
        </row>
        <row r="14">
          <cell r="Q14"/>
          <cell r="R14"/>
          <cell r="S14"/>
          <cell r="T14"/>
          <cell r="U14"/>
          <cell r="V14"/>
          <cell r="W14"/>
          <cell r="X14"/>
          <cell r="Y14">
            <v>0</v>
          </cell>
          <cell r="Z14">
            <v>0</v>
          </cell>
          <cell r="AA14">
            <v>0</v>
          </cell>
          <cell r="AB14">
            <v>0</v>
          </cell>
        </row>
        <row r="15">
          <cell r="Y15">
            <v>0</v>
          </cell>
          <cell r="Z15">
            <v>0</v>
          </cell>
          <cell r="AA15">
            <v>0</v>
          </cell>
          <cell r="AB15">
            <v>0</v>
          </cell>
        </row>
        <row r="16">
          <cell r="E16">
            <v>4.5199999999999996</v>
          </cell>
          <cell r="F16">
            <v>1.24</v>
          </cell>
          <cell r="G16">
            <v>0.38</v>
          </cell>
          <cell r="H16">
            <v>6</v>
          </cell>
          <cell r="I16">
            <v>3.41</v>
          </cell>
          <cell r="J16">
            <v>0.85</v>
          </cell>
          <cell r="K16">
            <v>0.28999999999999998</v>
          </cell>
          <cell r="L16">
            <v>11.02</v>
          </cell>
          <cell r="M16">
            <v>4.5199999999999996</v>
          </cell>
          <cell r="N16">
            <v>1.24</v>
          </cell>
          <cell r="O16">
            <v>0.38</v>
          </cell>
          <cell r="Q16">
            <v>4.5199999999999996</v>
          </cell>
          <cell r="R16">
            <v>1.24</v>
          </cell>
          <cell r="S16">
            <v>0.38</v>
          </cell>
          <cell r="T16">
            <v>0</v>
          </cell>
          <cell r="U16">
            <v>4.5199999999999996</v>
          </cell>
          <cell r="V16">
            <v>1.24</v>
          </cell>
          <cell r="W16">
            <v>0.38</v>
          </cell>
          <cell r="X16">
            <v>0</v>
          </cell>
          <cell r="Y16">
            <v>1</v>
          </cell>
          <cell r="Z16">
            <v>1</v>
          </cell>
          <cell r="AA16">
            <v>1</v>
          </cell>
          <cell r="AB16">
            <v>0</v>
          </cell>
        </row>
        <row r="17">
          <cell r="E17">
            <v>4.49</v>
          </cell>
          <cell r="I17">
            <v>20.7</v>
          </cell>
          <cell r="M17">
            <v>4.49</v>
          </cell>
          <cell r="Q17">
            <v>4.49</v>
          </cell>
          <cell r="U17">
            <v>4.49</v>
          </cell>
          <cell r="Y17">
            <v>1</v>
          </cell>
          <cell r="Z17">
            <v>0</v>
          </cell>
          <cell r="AA17">
            <v>0</v>
          </cell>
          <cell r="AB17">
            <v>0</v>
          </cell>
        </row>
        <row r="18">
          <cell r="E18">
            <v>16.739999999999998</v>
          </cell>
          <cell r="F18">
            <v>5.36</v>
          </cell>
          <cell r="G18">
            <v>4.6100000000000003</v>
          </cell>
          <cell r="H18">
            <v>0</v>
          </cell>
          <cell r="I18">
            <v>16.190000000000001</v>
          </cell>
          <cell r="J18">
            <v>3.21</v>
          </cell>
          <cell r="K18">
            <v>10.9</v>
          </cell>
          <cell r="L18">
            <v>0</v>
          </cell>
          <cell r="M18">
            <v>16.739999999999998</v>
          </cell>
          <cell r="N18">
            <v>5.36</v>
          </cell>
          <cell r="O18">
            <v>4.6100000000000003</v>
          </cell>
          <cell r="P18">
            <v>0</v>
          </cell>
          <cell r="Q18">
            <v>16.739999999999998</v>
          </cell>
          <cell r="R18">
            <v>5.36</v>
          </cell>
          <cell r="S18">
            <v>4.6100000000000003</v>
          </cell>
          <cell r="T18">
            <v>0</v>
          </cell>
          <cell r="U18">
            <v>16.739999999999998</v>
          </cell>
          <cell r="V18">
            <v>5.36</v>
          </cell>
          <cell r="W18">
            <v>4.6100000000000003</v>
          </cell>
          <cell r="X18">
            <v>0</v>
          </cell>
          <cell r="Y18">
            <v>1</v>
          </cell>
          <cell r="Z18">
            <v>1</v>
          </cell>
          <cell r="AA18">
            <v>1</v>
          </cell>
          <cell r="AB18">
            <v>0</v>
          </cell>
        </row>
        <row r="19">
          <cell r="Y19">
            <v>0</v>
          </cell>
          <cell r="Z19">
            <v>0</v>
          </cell>
          <cell r="AA19">
            <v>0</v>
          </cell>
          <cell r="AB19">
            <v>0</v>
          </cell>
        </row>
        <row r="20">
          <cell r="Y20">
            <v>0</v>
          </cell>
          <cell r="Z20">
            <v>0</v>
          </cell>
          <cell r="AA20">
            <v>0</v>
          </cell>
          <cell r="AB20">
            <v>0</v>
          </cell>
        </row>
        <row r="21">
          <cell r="E21">
            <v>14.02</v>
          </cell>
          <cell r="F21">
            <v>3.96</v>
          </cell>
          <cell r="I21">
            <v>11.28</v>
          </cell>
          <cell r="J21">
            <v>3.16</v>
          </cell>
          <cell r="K21">
            <v>0.05</v>
          </cell>
          <cell r="L21">
            <v>0</v>
          </cell>
          <cell r="M21">
            <v>14.02</v>
          </cell>
          <cell r="N21">
            <v>3.96</v>
          </cell>
          <cell r="Q21">
            <v>14.02</v>
          </cell>
          <cell r="R21">
            <v>3.96</v>
          </cell>
          <cell r="S21">
            <v>0</v>
          </cell>
          <cell r="T21">
            <v>0</v>
          </cell>
          <cell r="U21">
            <v>14.02</v>
          </cell>
          <cell r="V21">
            <v>3.96</v>
          </cell>
          <cell r="W21">
            <v>0</v>
          </cell>
          <cell r="X21">
            <v>0</v>
          </cell>
          <cell r="Y21">
            <v>1</v>
          </cell>
          <cell r="Z21">
            <v>1</v>
          </cell>
          <cell r="AA21">
            <v>0</v>
          </cell>
          <cell r="AB21">
            <v>0</v>
          </cell>
        </row>
        <row r="22">
          <cell r="E22">
            <v>798.3</v>
          </cell>
          <cell r="F22">
            <v>89.9</v>
          </cell>
          <cell r="G22">
            <v>71.19</v>
          </cell>
          <cell r="H22">
            <v>46.82</v>
          </cell>
          <cell r="I22">
            <v>522.07000000000005</v>
          </cell>
          <cell r="J22">
            <v>129.43</v>
          </cell>
          <cell r="K22">
            <v>147.34</v>
          </cell>
          <cell r="L22">
            <v>65.599999999999994</v>
          </cell>
          <cell r="M22">
            <v>806.94</v>
          </cell>
          <cell r="N22">
            <v>77.3</v>
          </cell>
          <cell r="O22">
            <v>66.39</v>
          </cell>
          <cell r="P22">
            <v>51.12</v>
          </cell>
          <cell r="Q22">
            <v>806.77</v>
          </cell>
          <cell r="R22">
            <v>76.900000000000006</v>
          </cell>
          <cell r="S22">
            <v>66.09</v>
          </cell>
          <cell r="T22">
            <v>50.52</v>
          </cell>
          <cell r="U22">
            <v>805.27</v>
          </cell>
          <cell r="V22">
            <v>77</v>
          </cell>
          <cell r="W22">
            <v>65.95</v>
          </cell>
          <cell r="X22">
            <v>50.99</v>
          </cell>
          <cell r="Y22">
            <v>0.99793045331747088</v>
          </cell>
          <cell r="Z22">
            <v>0.99611901681759385</v>
          </cell>
          <cell r="AA22">
            <v>0.99337249585780996</v>
          </cell>
          <cell r="AB22">
            <v>0.99745696400625983</v>
          </cell>
        </row>
        <row r="23">
          <cell r="E23">
            <v>798.3</v>
          </cell>
          <cell r="F23">
            <v>89.9</v>
          </cell>
          <cell r="G23">
            <v>71.19</v>
          </cell>
          <cell r="H23">
            <v>46.82</v>
          </cell>
          <cell r="I23">
            <v>522.07000000000005</v>
          </cell>
          <cell r="J23">
            <v>129.43</v>
          </cell>
          <cell r="K23">
            <v>147.34</v>
          </cell>
          <cell r="L23">
            <v>65.599999999999994</v>
          </cell>
          <cell r="M23">
            <v>806.94</v>
          </cell>
          <cell r="N23">
            <v>77.3</v>
          </cell>
          <cell r="O23">
            <v>66.39</v>
          </cell>
          <cell r="P23">
            <v>51.12</v>
          </cell>
          <cell r="Q23">
            <v>806.77</v>
          </cell>
          <cell r="R23">
            <v>76.900000000000006</v>
          </cell>
          <cell r="S23">
            <v>66.09</v>
          </cell>
          <cell r="T23">
            <v>50.52</v>
          </cell>
          <cell r="U23">
            <v>805.27</v>
          </cell>
          <cell r="V23">
            <v>77</v>
          </cell>
          <cell r="W23">
            <v>65.95</v>
          </cell>
          <cell r="X23">
            <v>50.99</v>
          </cell>
          <cell r="Y23">
            <v>0.99793045331747088</v>
          </cell>
          <cell r="Z23">
            <v>0.99611901681759385</v>
          </cell>
          <cell r="AA23">
            <v>0.99337249585780996</v>
          </cell>
          <cell r="AB23">
            <v>0.99745696400625983</v>
          </cell>
        </row>
        <row r="24">
          <cell r="E24">
            <v>59.6</v>
          </cell>
          <cell r="F24">
            <v>60.83</v>
          </cell>
          <cell r="G24">
            <v>48.04</v>
          </cell>
          <cell r="H24">
            <v>9.18</v>
          </cell>
          <cell r="I24">
            <v>14.68</v>
          </cell>
          <cell r="J24">
            <v>1.4</v>
          </cell>
          <cell r="K24">
            <v>0.2</v>
          </cell>
          <cell r="L24">
            <v>0.7</v>
          </cell>
          <cell r="M24">
            <v>59.6</v>
          </cell>
          <cell r="N24">
            <v>60.83</v>
          </cell>
          <cell r="O24">
            <v>48.04</v>
          </cell>
          <cell r="P24">
            <v>9.18</v>
          </cell>
          <cell r="Q24">
            <v>59.6</v>
          </cell>
          <cell r="R24">
            <v>60.83</v>
          </cell>
          <cell r="S24">
            <v>48.04</v>
          </cell>
          <cell r="T24">
            <v>9.18</v>
          </cell>
          <cell r="U24">
            <v>59.6</v>
          </cell>
          <cell r="V24">
            <v>60.83</v>
          </cell>
          <cell r="W24">
            <v>48.04</v>
          </cell>
          <cell r="X24">
            <v>9.18</v>
          </cell>
          <cell r="Y24">
            <v>1</v>
          </cell>
          <cell r="Z24">
            <v>1</v>
          </cell>
          <cell r="AA24">
            <v>1</v>
          </cell>
          <cell r="AB24">
            <v>1</v>
          </cell>
        </row>
        <row r="25">
          <cell r="E25">
            <v>1010</v>
          </cell>
          <cell r="F25">
            <v>186</v>
          </cell>
          <cell r="G25">
            <v>158</v>
          </cell>
          <cell r="H25">
            <v>62</v>
          </cell>
          <cell r="I25">
            <v>677.33</v>
          </cell>
          <cell r="J25">
            <v>157.32000000000002</v>
          </cell>
          <cell r="K25">
            <v>196.45</v>
          </cell>
          <cell r="L25">
            <v>77.319999999999993</v>
          </cell>
          <cell r="M25">
            <v>1018.6400000000001</v>
          </cell>
          <cell r="N25">
            <v>173.39999999999998</v>
          </cell>
          <cell r="O25">
            <v>153.19999999999999</v>
          </cell>
          <cell r="P25">
            <v>60.3</v>
          </cell>
          <cell r="Q25">
            <v>1018.47</v>
          </cell>
          <cell r="R25">
            <v>173</v>
          </cell>
          <cell r="S25">
            <v>152.9</v>
          </cell>
          <cell r="T25">
            <v>59.7</v>
          </cell>
          <cell r="U25">
            <v>1016.97</v>
          </cell>
          <cell r="V25">
            <v>173.1</v>
          </cell>
          <cell r="W25">
            <v>152.76</v>
          </cell>
          <cell r="X25">
            <v>60.17</v>
          </cell>
          <cell r="Y25">
            <v>0.99836055917694178</v>
          </cell>
          <cell r="Z25">
            <v>0.99826989619377171</v>
          </cell>
          <cell r="AA25">
            <v>0.9971279373368146</v>
          </cell>
          <cell r="AB25">
            <v>0.99784411276948592</v>
          </cell>
        </row>
      </sheetData>
      <sheetData sheetId="11">
        <row r="11">
          <cell r="E11">
            <v>20528.599999999999</v>
          </cell>
          <cell r="F11">
            <v>19680.400000000001</v>
          </cell>
          <cell r="G11">
            <v>1573.1000000000001</v>
          </cell>
          <cell r="H11">
            <v>1076.9000000000001</v>
          </cell>
          <cell r="I11">
            <v>318.8</v>
          </cell>
          <cell r="J11">
            <v>21312.23</v>
          </cell>
          <cell r="K11">
            <v>20458.53</v>
          </cell>
          <cell r="L11">
            <v>1990.6599999999999</v>
          </cell>
          <cell r="M11">
            <v>1370.32</v>
          </cell>
          <cell r="N11">
            <v>463.26</v>
          </cell>
          <cell r="O11">
            <v>21502.3</v>
          </cell>
          <cell r="P11">
            <v>20619.900000000001</v>
          </cell>
          <cell r="Q11">
            <v>1823.81</v>
          </cell>
          <cell r="R11">
            <v>1315.66</v>
          </cell>
          <cell r="S11">
            <v>458.45</v>
          </cell>
          <cell r="T11">
            <v>21597.899999999998</v>
          </cell>
          <cell r="U11">
            <v>20732.339999999997</v>
          </cell>
          <cell r="V11">
            <v>1847.8999999999999</v>
          </cell>
          <cell r="W11">
            <v>1315.1299999999999</v>
          </cell>
          <cell r="X11">
            <v>455.45</v>
          </cell>
          <cell r="Y11">
            <v>21890.480000000003</v>
          </cell>
          <cell r="Z11">
            <v>20909.29</v>
          </cell>
          <cell r="AA11">
            <v>1966.2299999999998</v>
          </cell>
          <cell r="AB11">
            <v>1328.58</v>
          </cell>
          <cell r="AC11">
            <v>458.82</v>
          </cell>
          <cell r="AD11">
            <v>1.0180529524748516</v>
          </cell>
          <cell r="AE11">
            <v>1.0140345006522824</v>
          </cell>
          <cell r="AF11">
            <v>1.0780892746503199</v>
          </cell>
          <cell r="AG11">
            <v>1.0098201663043642</v>
          </cell>
          <cell r="AH11">
            <v>1.000807067291962</v>
          </cell>
        </row>
        <row r="12">
          <cell r="F12">
            <v>0</v>
          </cell>
          <cell r="G12">
            <v>806.7</v>
          </cell>
          <cell r="H12">
            <v>995.1</v>
          </cell>
          <cell r="I12">
            <v>318.8</v>
          </cell>
          <cell r="K12">
            <v>0</v>
          </cell>
          <cell r="L12">
            <v>1178.06</v>
          </cell>
          <cell r="M12">
            <v>1329.22</v>
          </cell>
          <cell r="N12">
            <v>463.26</v>
          </cell>
          <cell r="P12">
            <v>0</v>
          </cell>
          <cell r="Q12">
            <v>1023.81</v>
          </cell>
          <cell r="R12">
            <v>1233.26</v>
          </cell>
          <cell r="S12">
            <v>458.45</v>
          </cell>
          <cell r="U12">
            <v>0</v>
          </cell>
          <cell r="V12">
            <v>1023.81</v>
          </cell>
          <cell r="W12">
            <v>1273.6599999999999</v>
          </cell>
          <cell r="X12">
            <v>455.45</v>
          </cell>
          <cell r="Y12">
            <v>0</v>
          </cell>
          <cell r="Z12">
            <v>0</v>
          </cell>
          <cell r="AA12">
            <v>1027.07</v>
          </cell>
          <cell r="AB12">
            <v>1286.55</v>
          </cell>
          <cell r="AC12">
            <v>458.82</v>
          </cell>
          <cell r="AD12">
            <v>0</v>
          </cell>
          <cell r="AE12">
            <v>0</v>
          </cell>
          <cell r="AF12">
            <v>1.0031841845654956</v>
          </cell>
          <cell r="AG12">
            <v>1.0432106773916288</v>
          </cell>
          <cell r="AH12">
            <v>1.000807067291962</v>
          </cell>
        </row>
        <row r="14">
          <cell r="AD14">
            <v>0</v>
          </cell>
          <cell r="AE14">
            <v>0</v>
          </cell>
          <cell r="AF14">
            <v>0</v>
          </cell>
          <cell r="AG14">
            <v>0</v>
          </cell>
          <cell r="AH14">
            <v>0</v>
          </cell>
        </row>
        <row r="15">
          <cell r="G15">
            <v>806.7</v>
          </cell>
          <cell r="H15">
            <v>732.1</v>
          </cell>
          <cell r="L15">
            <v>1178.06</v>
          </cell>
          <cell r="M15">
            <v>782.73</v>
          </cell>
          <cell r="Q15">
            <v>1023.81</v>
          </cell>
          <cell r="R15">
            <v>865.23</v>
          </cell>
          <cell r="V15">
            <v>1023.81</v>
          </cell>
          <cell r="W15">
            <v>895.63</v>
          </cell>
          <cell r="AA15">
            <v>1027.07</v>
          </cell>
          <cell r="AB15">
            <v>908.52</v>
          </cell>
          <cell r="AD15">
            <v>0</v>
          </cell>
          <cell r="AE15">
            <v>0</v>
          </cell>
          <cell r="AF15">
            <v>1.0031841845654956</v>
          </cell>
          <cell r="AG15">
            <v>1.0500329392184737</v>
          </cell>
          <cell r="AH15">
            <v>0</v>
          </cell>
        </row>
        <row r="16">
          <cell r="H16">
            <v>263</v>
          </cell>
          <cell r="M16">
            <v>546.49</v>
          </cell>
          <cell r="R16">
            <v>368.03</v>
          </cell>
          <cell r="W16">
            <v>378.03</v>
          </cell>
          <cell r="AB16">
            <v>378.03</v>
          </cell>
          <cell r="AD16">
            <v>0</v>
          </cell>
          <cell r="AE16">
            <v>0</v>
          </cell>
          <cell r="AF16">
            <v>0</v>
          </cell>
          <cell r="AG16">
            <v>1.0271716979594054</v>
          </cell>
          <cell r="AH16">
            <v>0</v>
          </cell>
        </row>
        <row r="17">
          <cell r="I17">
            <v>318.8</v>
          </cell>
          <cell r="N17">
            <v>463.26</v>
          </cell>
          <cell r="S17">
            <v>458.45</v>
          </cell>
          <cell r="X17">
            <v>455.45</v>
          </cell>
          <cell r="AC17">
            <v>458.82</v>
          </cell>
          <cell r="AD17">
            <v>0</v>
          </cell>
          <cell r="AE17">
            <v>0</v>
          </cell>
          <cell r="AF17">
            <v>0</v>
          </cell>
          <cell r="AG17">
            <v>0</v>
          </cell>
          <cell r="AH17">
            <v>1.000807067291962</v>
          </cell>
        </row>
        <row r="18">
          <cell r="E18">
            <v>10430.6</v>
          </cell>
          <cell r="F18">
            <v>9909.5</v>
          </cell>
          <cell r="G18">
            <v>521.1</v>
          </cell>
          <cell r="J18">
            <v>11028.3</v>
          </cell>
          <cell r="K18">
            <v>10539.57</v>
          </cell>
          <cell r="L18">
            <v>488.73</v>
          </cell>
          <cell r="O18">
            <v>13195.5</v>
          </cell>
          <cell r="P18">
            <v>12745.5</v>
          </cell>
          <cell r="Q18">
            <v>450</v>
          </cell>
          <cell r="T18">
            <v>11230.91</v>
          </cell>
          <cell r="U18">
            <v>10733.38</v>
          </cell>
          <cell r="V18">
            <v>497.53</v>
          </cell>
          <cell r="Y18">
            <v>11383.04</v>
          </cell>
          <cell r="Z18">
            <v>10774.87</v>
          </cell>
          <cell r="AA18">
            <v>608.16999999999996</v>
          </cell>
          <cell r="AD18">
            <v>0.86264559887840553</v>
          </cell>
          <cell r="AE18">
            <v>0.84538621474245823</v>
          </cell>
          <cell r="AF18">
            <v>1.3514888888888887</v>
          </cell>
          <cell r="AG18">
            <v>0</v>
          </cell>
          <cell r="AH18">
            <v>0</v>
          </cell>
        </row>
        <row r="19">
          <cell r="E19">
            <v>10097.999999999998</v>
          </cell>
          <cell r="F19">
            <v>9770.9</v>
          </cell>
          <cell r="G19">
            <v>245.3</v>
          </cell>
          <cell r="H19">
            <v>81.8</v>
          </cell>
          <cell r="J19">
            <v>10283.93</v>
          </cell>
          <cell r="K19">
            <v>9918.9599999999991</v>
          </cell>
          <cell r="L19">
            <v>323.87</v>
          </cell>
          <cell r="M19">
            <v>41.1</v>
          </cell>
          <cell r="O19">
            <v>8306.7999999999993</v>
          </cell>
          <cell r="P19">
            <v>7874.4</v>
          </cell>
          <cell r="Q19">
            <v>350</v>
          </cell>
          <cell r="R19">
            <v>82.4</v>
          </cell>
          <cell r="T19">
            <v>10366.989999999998</v>
          </cell>
          <cell r="U19">
            <v>9998.9599999999991</v>
          </cell>
          <cell r="V19">
            <v>326.56</v>
          </cell>
          <cell r="W19">
            <v>41.47</v>
          </cell>
          <cell r="Y19">
            <v>10507.44</v>
          </cell>
          <cell r="Z19">
            <v>10134.42</v>
          </cell>
          <cell r="AA19">
            <v>330.99</v>
          </cell>
          <cell r="AB19">
            <v>42.03</v>
          </cell>
          <cell r="AD19">
            <v>1.2649203062551164</v>
          </cell>
          <cell r="AE19">
            <v>1.2870085339835418</v>
          </cell>
          <cell r="AF19">
            <v>0.94568571428571435</v>
          </cell>
          <cell r="AG19">
            <v>0.51007281553398054</v>
          </cell>
          <cell r="AH19">
            <v>0</v>
          </cell>
        </row>
        <row r="20">
          <cell r="E20">
            <v>0</v>
          </cell>
          <cell r="J20">
            <v>0</v>
          </cell>
          <cell r="O20">
            <v>0</v>
          </cell>
          <cell r="T20">
            <v>0</v>
          </cell>
          <cell r="Y20">
            <v>0</v>
          </cell>
          <cell r="AD20">
            <v>0</v>
          </cell>
          <cell r="AE20">
            <v>0</v>
          </cell>
          <cell r="AF20">
            <v>0</v>
          </cell>
          <cell r="AG20">
            <v>0</v>
          </cell>
          <cell r="AH20">
            <v>0</v>
          </cell>
        </row>
        <row r="21">
          <cell r="E21">
            <v>1416</v>
          </cell>
          <cell r="F21">
            <v>1010</v>
          </cell>
          <cell r="G21">
            <v>186</v>
          </cell>
          <cell r="H21">
            <v>158</v>
          </cell>
          <cell r="I21">
            <v>62</v>
          </cell>
          <cell r="J21">
            <v>1108.42</v>
          </cell>
          <cell r="K21">
            <v>677.33</v>
          </cell>
          <cell r="L21">
            <v>157.32000000000002</v>
          </cell>
          <cell r="M21">
            <v>196.45</v>
          </cell>
          <cell r="N21">
            <v>77.319999999999993</v>
          </cell>
          <cell r="O21">
            <v>1405.54</v>
          </cell>
          <cell r="P21">
            <v>1018.6400000000001</v>
          </cell>
          <cell r="Q21">
            <v>173.39999999999998</v>
          </cell>
          <cell r="R21">
            <v>153.19999999999999</v>
          </cell>
          <cell r="S21">
            <v>60.3</v>
          </cell>
          <cell r="T21">
            <v>1404.0700000000002</v>
          </cell>
          <cell r="U21">
            <v>1018.47</v>
          </cell>
          <cell r="V21">
            <v>173</v>
          </cell>
          <cell r="W21">
            <v>152.9</v>
          </cell>
          <cell r="X21">
            <v>59.7</v>
          </cell>
          <cell r="Y21">
            <v>1403</v>
          </cell>
          <cell r="Z21">
            <v>1016.97</v>
          </cell>
          <cell r="AA21">
            <v>173.1</v>
          </cell>
          <cell r="AB21">
            <v>152.76</v>
          </cell>
          <cell r="AC21">
            <v>60.17</v>
          </cell>
          <cell r="AD21">
            <v>0.99819286537558516</v>
          </cell>
          <cell r="AE21">
            <v>0.99836055917694178</v>
          </cell>
          <cell r="AF21">
            <v>0.99826989619377171</v>
          </cell>
          <cell r="AG21">
            <v>0.9971279373368146</v>
          </cell>
          <cell r="AH21">
            <v>0.99784411276948592</v>
          </cell>
        </row>
        <row r="22">
          <cell r="E22">
            <v>6.8976939489297866</v>
          </cell>
          <cell r="F22">
            <v>5.1320095120017877</v>
          </cell>
          <cell r="G22">
            <v>11.823787426101328</v>
          </cell>
          <cell r="H22">
            <v>14.671742965920698</v>
          </cell>
          <cell r="I22">
            <v>19.447929736511917</v>
          </cell>
          <cell r="J22">
            <v>5.2008635417316729</v>
          </cell>
          <cell r="K22">
            <v>3.3107461777556848</v>
          </cell>
          <cell r="L22">
            <v>7.9029065736991768</v>
          </cell>
          <cell r="M22">
            <v>14.336067487886043</v>
          </cell>
          <cell r="N22">
            <v>16.690411432025211</v>
          </cell>
          <cell r="O22">
            <v>6.5366960743734399</v>
          </cell>
          <cell r="P22">
            <v>4.9400821536476904</v>
          </cell>
          <cell r="Q22">
            <v>9.5075693191725001</v>
          </cell>
          <cell r="R22">
            <v>11.644345803627075</v>
          </cell>
          <cell r="S22">
            <v>13.153015596030102</v>
          </cell>
          <cell r="T22">
            <v>6.5009561114738021</v>
          </cell>
          <cell r="U22">
            <v>4.9124700829718222</v>
          </cell>
          <cell r="V22">
            <v>9.3619784620379889</v>
          </cell>
          <cell r="W22">
            <v>11.626227065004983</v>
          </cell>
          <cell r="X22">
            <v>13.107915248655178</v>
          </cell>
          <cell r="Y22">
            <v>6.409178784567537</v>
          </cell>
          <cell r="Z22">
            <v>4.8637232541133626</v>
          </cell>
          <cell r="AA22">
            <v>8.8036496238995436</v>
          </cell>
          <cell r="AB22">
            <v>11.497990335546222</v>
          </cell>
          <cell r="AC22">
            <v>13.114075236476177</v>
          </cell>
          <cell r="AD22">
            <v>0.98049208830347434</v>
          </cell>
          <cell r="AE22">
            <v>0.98454298994239486</v>
          </cell>
          <cell r="AF22">
            <v>0.92596218111673756</v>
          </cell>
          <cell r="AG22">
            <v>0.98743119875096241</v>
          </cell>
          <cell r="AH22">
            <v>0.99703943485281976</v>
          </cell>
        </row>
        <row r="23">
          <cell r="E23">
            <v>0</v>
          </cell>
          <cell r="J23">
            <v>0</v>
          </cell>
          <cell r="O23">
            <v>0</v>
          </cell>
          <cell r="T23">
            <v>0</v>
          </cell>
          <cell r="AD23">
            <v>0</v>
          </cell>
          <cell r="AE23">
            <v>0</v>
          </cell>
          <cell r="AF23">
            <v>0</v>
          </cell>
          <cell r="AG23">
            <v>0</v>
          </cell>
          <cell r="AH23">
            <v>0</v>
          </cell>
        </row>
        <row r="24">
          <cell r="F24">
            <v>18670.400000000001</v>
          </cell>
          <cell r="G24">
            <v>1387.1000000000001</v>
          </cell>
          <cell r="H24">
            <v>918.90000000000009</v>
          </cell>
          <cell r="I24">
            <v>256.8</v>
          </cell>
          <cell r="K24">
            <v>19781.199999999997</v>
          </cell>
          <cell r="L24">
            <v>1833.34</v>
          </cell>
          <cell r="M24">
            <v>1173.8699999999999</v>
          </cell>
          <cell r="N24">
            <v>385.94</v>
          </cell>
          <cell r="P24">
            <v>19601.260000000002</v>
          </cell>
          <cell r="Q24">
            <v>1650.4099999999999</v>
          </cell>
          <cell r="R24">
            <v>1162.46</v>
          </cell>
          <cell r="S24">
            <v>398.15</v>
          </cell>
          <cell r="U24">
            <v>19713.869999999995</v>
          </cell>
          <cell r="V24">
            <v>1674.8999999999999</v>
          </cell>
          <cell r="W24">
            <v>1162.2299999999998</v>
          </cell>
          <cell r="X24">
            <v>395.75</v>
          </cell>
          <cell r="Z24">
            <v>19892.32</v>
          </cell>
          <cell r="AA24">
            <v>1793.1299999999999</v>
          </cell>
          <cell r="AB24">
            <v>1175.82</v>
          </cell>
          <cell r="AC24">
            <v>398.65</v>
          </cell>
          <cell r="AD24">
            <v>0</v>
          </cell>
          <cell r="AE24">
            <v>1.0148490454185086</v>
          </cell>
          <cell r="AF24">
            <v>1.0864754818499647</v>
          </cell>
          <cell r="AG24">
            <v>1.0114928685718216</v>
          </cell>
          <cell r="AH24">
            <v>1.0012558081125205</v>
          </cell>
        </row>
        <row r="25">
          <cell r="E25">
            <v>19037.599999999995</v>
          </cell>
          <cell r="F25">
            <v>17056.599999999999</v>
          </cell>
          <cell r="G25">
            <v>1124.0999999999999</v>
          </cell>
          <cell r="H25">
            <v>600.1</v>
          </cell>
          <cell r="I25">
            <v>256.8</v>
          </cell>
          <cell r="J25">
            <v>20203.813000000002</v>
          </cell>
          <cell r="K25">
            <v>17820.400000000001</v>
          </cell>
          <cell r="L25">
            <v>1286.8499999999999</v>
          </cell>
          <cell r="M25">
            <v>710.61</v>
          </cell>
          <cell r="N25">
            <v>385.95299999999997</v>
          </cell>
          <cell r="O25">
            <v>20096.761000000002</v>
          </cell>
          <cell r="P25">
            <v>17712.221000000001</v>
          </cell>
          <cell r="Q25">
            <v>1282.3810000000001</v>
          </cell>
          <cell r="R25">
            <v>704.01099999999997</v>
          </cell>
          <cell r="S25">
            <v>398.14800000000002</v>
          </cell>
          <cell r="T25">
            <v>17910.53</v>
          </cell>
          <cell r="U25">
            <v>15585</v>
          </cell>
          <cell r="V25">
            <v>1223</v>
          </cell>
          <cell r="W25">
            <v>706.78</v>
          </cell>
          <cell r="X25">
            <v>395.75</v>
          </cell>
          <cell r="Y25">
            <v>18090.510000000002</v>
          </cell>
          <cell r="Z25">
            <v>15626.77</v>
          </cell>
          <cell r="AA25">
            <v>1348.09</v>
          </cell>
          <cell r="AB25">
            <v>717</v>
          </cell>
          <cell r="AC25">
            <v>398.65</v>
          </cell>
          <cell r="AD25">
            <v>0.90017043044896639</v>
          </cell>
          <cell r="AE25">
            <v>0.88225920396995949</v>
          </cell>
          <cell r="AF25">
            <v>1.051239842137399</v>
          </cell>
          <cell r="AG25">
            <v>1.0184499958097246</v>
          </cell>
          <cell r="AH25">
            <v>1.0012608376784511</v>
          </cell>
        </row>
        <row r="27">
          <cell r="E27">
            <v>0</v>
          </cell>
          <cell r="J27">
            <v>5263.5</v>
          </cell>
          <cell r="K27">
            <v>5263.5</v>
          </cell>
          <cell r="O27">
            <v>0</v>
          </cell>
          <cell r="T27">
            <v>5316.14</v>
          </cell>
          <cell r="U27">
            <v>5316.14</v>
          </cell>
          <cell r="V27"/>
          <cell r="Y27">
            <v>5369.2999999999993</v>
          </cell>
          <cell r="Z27">
            <v>5265.4</v>
          </cell>
          <cell r="AA27">
            <v>103.9</v>
          </cell>
          <cell r="AD27">
            <v>0</v>
          </cell>
          <cell r="AE27">
            <v>0</v>
          </cell>
          <cell r="AF27">
            <v>0</v>
          </cell>
          <cell r="AG27">
            <v>0</v>
          </cell>
          <cell r="AH27">
            <v>0</v>
          </cell>
        </row>
        <row r="28">
          <cell r="E28">
            <v>0</v>
          </cell>
          <cell r="J28">
            <v>1189.24</v>
          </cell>
          <cell r="K28">
            <v>1189.24</v>
          </cell>
          <cell r="O28">
            <v>0</v>
          </cell>
          <cell r="T28">
            <v>1201.1300000000001</v>
          </cell>
          <cell r="U28">
            <v>1201.1300000000001</v>
          </cell>
          <cell r="V28"/>
          <cell r="Z28">
            <v>1213.1400000000001</v>
          </cell>
          <cell r="AA28"/>
          <cell r="AD28">
            <v>0</v>
          </cell>
          <cell r="AE28">
            <v>0</v>
          </cell>
          <cell r="AF28">
            <v>0</v>
          </cell>
          <cell r="AG28">
            <v>0</v>
          </cell>
          <cell r="AH28">
            <v>0</v>
          </cell>
        </row>
        <row r="29">
          <cell r="E29">
            <v>75</v>
          </cell>
          <cell r="F29">
            <v>75</v>
          </cell>
          <cell r="J29">
            <v>0</v>
          </cell>
          <cell r="O29">
            <v>0</v>
          </cell>
          <cell r="T29">
            <v>2283.2999999999997</v>
          </cell>
          <cell r="U29">
            <v>2209.4299999999998</v>
          </cell>
          <cell r="V29">
            <v>73.87</v>
          </cell>
          <cell r="Y29">
            <v>2396.973</v>
          </cell>
          <cell r="Z29">
            <v>2329.9580000000001</v>
          </cell>
          <cell r="AA29">
            <v>67.015000000000001</v>
          </cell>
          <cell r="AD29">
            <v>0</v>
          </cell>
          <cell r="AE29">
            <v>0</v>
          </cell>
          <cell r="AF29">
            <v>0</v>
          </cell>
          <cell r="AG29">
            <v>0</v>
          </cell>
          <cell r="AH29">
            <v>0</v>
          </cell>
        </row>
        <row r="30">
          <cell r="E30">
            <v>0</v>
          </cell>
          <cell r="J30">
            <v>0</v>
          </cell>
          <cell r="O30">
            <v>0</v>
          </cell>
          <cell r="T30">
            <v>0</v>
          </cell>
          <cell r="Y30">
            <v>0</v>
          </cell>
          <cell r="AD30">
            <v>0</v>
          </cell>
          <cell r="AE30">
            <v>0</v>
          </cell>
          <cell r="AF30">
            <v>0</v>
          </cell>
          <cell r="AG30">
            <v>0</v>
          </cell>
          <cell r="AH30">
            <v>0</v>
          </cell>
        </row>
        <row r="31">
          <cell r="E31">
            <v>0</v>
          </cell>
          <cell r="J31">
            <v>0</v>
          </cell>
          <cell r="O31">
            <v>0</v>
          </cell>
          <cell r="T31">
            <v>0</v>
          </cell>
          <cell r="Y31">
            <v>0</v>
          </cell>
          <cell r="AD31">
            <v>0</v>
          </cell>
          <cell r="AE31">
            <v>0</v>
          </cell>
          <cell r="AF31">
            <v>0</v>
          </cell>
          <cell r="AG31">
            <v>0</v>
          </cell>
          <cell r="AH31">
            <v>0</v>
          </cell>
        </row>
        <row r="32">
          <cell r="F32">
            <v>2.8421709430404007E-12</v>
          </cell>
          <cell r="G32">
            <v>2.2737367544323206E-13</v>
          </cell>
          <cell r="H32">
            <v>0</v>
          </cell>
          <cell r="I32">
            <v>0</v>
          </cell>
          <cell r="K32">
            <v>9.9999999956708052E-3</v>
          </cell>
          <cell r="L32">
            <v>0</v>
          </cell>
          <cell r="M32">
            <v>0</v>
          </cell>
          <cell r="N32">
            <v>-1.2999999999976808E-2</v>
          </cell>
          <cell r="P32">
            <v>-9.9999999929423211E-4</v>
          </cell>
          <cell r="Q32">
            <v>-1.0000000002037268E-3</v>
          </cell>
          <cell r="R32">
            <v>-9.9999999991950972E-4</v>
          </cell>
          <cell r="S32">
            <v>1.9999999999527063E-3</v>
          </cell>
          <cell r="U32">
            <v>-4.4337866711430252E-12</v>
          </cell>
          <cell r="V32">
            <v>-1.1368683772161603E-13</v>
          </cell>
          <cell r="W32">
            <v>0</v>
          </cell>
          <cell r="X32">
            <v>0</v>
          </cell>
          <cell r="Z32">
            <v>1.9999999992705852E-3</v>
          </cell>
          <cell r="AA32">
            <v>-4.9999999999954525E-3</v>
          </cell>
          <cell r="AB32">
            <v>0</v>
          </cell>
          <cell r="AC32">
            <v>0</v>
          </cell>
        </row>
      </sheetData>
      <sheetData sheetId="12">
        <row r="11">
          <cell r="E11">
            <v>2740.5</v>
          </cell>
          <cell r="F11">
            <v>2603.5</v>
          </cell>
          <cell r="G11">
            <v>252.5</v>
          </cell>
          <cell r="H11">
            <v>203.5</v>
          </cell>
          <cell r="I11">
            <v>86</v>
          </cell>
          <cell r="J11">
            <v>2718.8</v>
          </cell>
          <cell r="K11">
            <v>2587.9499999999998</v>
          </cell>
          <cell r="L11">
            <v>257.52000000000004</v>
          </cell>
          <cell r="M11">
            <v>213.22000000000003</v>
          </cell>
          <cell r="N11">
            <v>65.349999999999994</v>
          </cell>
          <cell r="O11">
            <v>2824.93</v>
          </cell>
          <cell r="P11">
            <v>2690.77</v>
          </cell>
          <cell r="Q11">
            <v>263</v>
          </cell>
          <cell r="R11">
            <v>220.38</v>
          </cell>
          <cell r="S11">
            <v>63.74</v>
          </cell>
          <cell r="T11">
            <v>2831.36</v>
          </cell>
          <cell r="U11">
            <v>2695.08</v>
          </cell>
          <cell r="V11">
            <v>265.44</v>
          </cell>
          <cell r="W11">
            <v>220.95</v>
          </cell>
          <cell r="X11">
            <v>63.8</v>
          </cell>
          <cell r="Y11">
            <v>2876</v>
          </cell>
          <cell r="Z11">
            <v>2719.25</v>
          </cell>
          <cell r="AA11">
            <v>286.78999999999996</v>
          </cell>
          <cell r="AB11">
            <v>223.51</v>
          </cell>
          <cell r="AC11">
            <v>63.78</v>
          </cell>
          <cell r="AD11">
            <v>1.0180783240646671</v>
          </cell>
          <cell r="AE11">
            <v>1.010584330879265</v>
          </cell>
          <cell r="AF11">
            <v>1.0904562737642585</v>
          </cell>
          <cell r="AG11">
            <v>1.0142027407205736</v>
          </cell>
          <cell r="AH11">
            <v>1.0006275494195167</v>
          </cell>
        </row>
        <row r="12">
          <cell r="F12">
            <v>0</v>
          </cell>
          <cell r="G12">
            <v>126.5</v>
          </cell>
          <cell r="H12">
            <v>192.5</v>
          </cell>
          <cell r="I12">
            <v>86</v>
          </cell>
          <cell r="K12">
            <v>0</v>
          </cell>
          <cell r="L12">
            <v>143.5</v>
          </cell>
          <cell r="M12">
            <v>196.39000000000001</v>
          </cell>
          <cell r="N12">
            <v>65.349999999999994</v>
          </cell>
          <cell r="P12">
            <v>0</v>
          </cell>
          <cell r="Q12">
            <v>146.19999999999999</v>
          </cell>
          <cell r="R12">
            <v>203.01999999999998</v>
          </cell>
          <cell r="S12">
            <v>63.74</v>
          </cell>
          <cell r="U12">
            <v>0</v>
          </cell>
          <cell r="V12">
            <v>146.69999999999999</v>
          </cell>
          <cell r="W12">
            <v>203.41</v>
          </cell>
          <cell r="X12">
            <v>63.8</v>
          </cell>
          <cell r="Y12">
            <v>0</v>
          </cell>
          <cell r="Z12">
            <v>0</v>
          </cell>
          <cell r="AA12">
            <v>147.85</v>
          </cell>
          <cell r="AB12">
            <v>205.7</v>
          </cell>
          <cell r="AC12">
            <v>63.78</v>
          </cell>
          <cell r="AD12">
            <v>0</v>
          </cell>
          <cell r="AE12">
            <v>0</v>
          </cell>
          <cell r="AF12">
            <v>1.0112859097127223</v>
          </cell>
          <cell r="AG12">
            <v>1.0132006698847404</v>
          </cell>
          <cell r="AH12">
            <v>1.0006275494195167</v>
          </cell>
        </row>
        <row r="14">
          <cell r="AD14">
            <v>0</v>
          </cell>
          <cell r="AE14">
            <v>0</v>
          </cell>
          <cell r="AF14">
            <v>0</v>
          </cell>
          <cell r="AG14">
            <v>0</v>
          </cell>
          <cell r="AH14">
            <v>0</v>
          </cell>
        </row>
        <row r="15">
          <cell r="G15">
            <v>126.5</v>
          </cell>
          <cell r="H15">
            <v>128.4</v>
          </cell>
          <cell r="L15">
            <v>143.5</v>
          </cell>
          <cell r="M15">
            <v>143.49</v>
          </cell>
          <cell r="Q15">
            <v>146.19999999999999</v>
          </cell>
          <cell r="R15">
            <v>148.32</v>
          </cell>
          <cell r="V15">
            <v>146.69999999999999</v>
          </cell>
          <cell r="W15">
            <v>148.51</v>
          </cell>
          <cell r="AA15">
            <v>147.85</v>
          </cell>
          <cell r="AB15">
            <v>150.5</v>
          </cell>
          <cell r="AD15">
            <v>0</v>
          </cell>
          <cell r="AE15">
            <v>0</v>
          </cell>
          <cell r="AF15">
            <v>1.0112859097127223</v>
          </cell>
          <cell r="AG15">
            <v>1.0146979503775622</v>
          </cell>
          <cell r="AH15">
            <v>0</v>
          </cell>
        </row>
        <row r="16">
          <cell r="H16">
            <v>64.099999999999994</v>
          </cell>
          <cell r="M16">
            <v>52.9</v>
          </cell>
          <cell r="R16">
            <v>54.7</v>
          </cell>
          <cell r="W16">
            <v>54.9</v>
          </cell>
          <cell r="AB16">
            <v>55.2</v>
          </cell>
          <cell r="AD16">
            <v>0</v>
          </cell>
          <cell r="AE16">
            <v>0</v>
          </cell>
          <cell r="AF16">
            <v>0</v>
          </cell>
          <cell r="AG16">
            <v>1.0091407678244972</v>
          </cell>
          <cell r="AH16">
            <v>0</v>
          </cell>
        </row>
        <row r="17">
          <cell r="I17">
            <v>86</v>
          </cell>
          <cell r="N17">
            <v>65.349999999999994</v>
          </cell>
          <cell r="S17">
            <v>63.74</v>
          </cell>
          <cell r="X17">
            <v>63.8</v>
          </cell>
          <cell r="AC17">
            <v>63.78</v>
          </cell>
          <cell r="AD17">
            <v>0</v>
          </cell>
          <cell r="AE17">
            <v>0</v>
          </cell>
          <cell r="AF17">
            <v>0</v>
          </cell>
          <cell r="AG17">
            <v>0</v>
          </cell>
          <cell r="AH17">
            <v>1.0006275494195167</v>
          </cell>
        </row>
        <row r="18">
          <cell r="E18">
            <v>1408.6</v>
          </cell>
          <cell r="F18">
            <v>1326.3</v>
          </cell>
          <cell r="G18">
            <v>71.3</v>
          </cell>
          <cell r="H18">
            <v>11</v>
          </cell>
          <cell r="J18">
            <v>1666.6200000000001</v>
          </cell>
          <cell r="K18">
            <v>1599.95</v>
          </cell>
          <cell r="L18">
            <v>66.67</v>
          </cell>
          <cell r="O18">
            <v>1731.6599999999999</v>
          </cell>
          <cell r="P18">
            <v>1664.07</v>
          </cell>
          <cell r="Q18">
            <v>67.59</v>
          </cell>
          <cell r="T18">
            <v>1735.6200000000001</v>
          </cell>
          <cell r="U18">
            <v>1666.19</v>
          </cell>
          <cell r="V18">
            <v>69.430000000000007</v>
          </cell>
          <cell r="Y18">
            <v>1762.99</v>
          </cell>
          <cell r="Z18">
            <v>1674.14</v>
          </cell>
          <cell r="AA18">
            <v>88.85</v>
          </cell>
          <cell r="AD18">
            <v>1.0180924661885129</v>
          </cell>
          <cell r="AE18">
            <v>1.0060514281250188</v>
          </cell>
          <cell r="AF18">
            <v>1.3145435715342504</v>
          </cell>
          <cell r="AG18">
            <v>0</v>
          </cell>
          <cell r="AH18">
            <v>0</v>
          </cell>
        </row>
        <row r="19">
          <cell r="E19">
            <v>1331.9</v>
          </cell>
          <cell r="F19">
            <v>1277.2</v>
          </cell>
          <cell r="G19">
            <v>54.7</v>
          </cell>
          <cell r="J19">
            <v>1052.1799999999998</v>
          </cell>
          <cell r="K19">
            <v>988</v>
          </cell>
          <cell r="L19">
            <v>47.35</v>
          </cell>
          <cell r="M19">
            <v>16.829999999999998</v>
          </cell>
          <cell r="O19">
            <v>1093.27</v>
          </cell>
          <cell r="P19">
            <v>1026.7</v>
          </cell>
          <cell r="Q19">
            <v>49.21</v>
          </cell>
          <cell r="R19">
            <v>17.36</v>
          </cell>
          <cell r="T19">
            <v>1095.74</v>
          </cell>
          <cell r="U19">
            <v>1028.8900000000001</v>
          </cell>
          <cell r="V19">
            <v>49.31</v>
          </cell>
          <cell r="W19">
            <v>17.54</v>
          </cell>
          <cell r="Y19">
            <v>1113.0099999999998</v>
          </cell>
          <cell r="Z19">
            <v>1045.1099999999999</v>
          </cell>
          <cell r="AA19">
            <v>50.09</v>
          </cell>
          <cell r="AB19">
            <v>17.809999999999999</v>
          </cell>
          <cell r="AD19">
            <v>1.0180559239712055</v>
          </cell>
          <cell r="AE19">
            <v>1.0179312359988311</v>
          </cell>
          <cell r="AF19">
            <v>1.0178825441983337</v>
          </cell>
          <cell r="AG19">
            <v>1.025921658986175</v>
          </cell>
          <cell r="AH19">
            <v>0</v>
          </cell>
        </row>
        <row r="20">
          <cell r="E20">
            <v>0</v>
          </cell>
          <cell r="J20">
            <v>0</v>
          </cell>
          <cell r="O20">
            <v>0</v>
          </cell>
          <cell r="T20">
            <v>0</v>
          </cell>
          <cell r="Y20">
            <v>0</v>
          </cell>
          <cell r="AD20">
            <v>0</v>
          </cell>
          <cell r="AE20">
            <v>0</v>
          </cell>
          <cell r="AF20">
            <v>0</v>
          </cell>
          <cell r="AG20">
            <v>0</v>
          </cell>
          <cell r="AH20">
            <v>0</v>
          </cell>
        </row>
        <row r="21">
          <cell r="E21">
            <v>189.09999999999997</v>
          </cell>
          <cell r="F21">
            <v>122.3</v>
          </cell>
          <cell r="G21">
            <v>25.4</v>
          </cell>
          <cell r="H21">
            <v>24.7</v>
          </cell>
          <cell r="I21">
            <v>16.7</v>
          </cell>
          <cell r="J21">
            <v>141.38</v>
          </cell>
          <cell r="K21">
            <v>80.099999999999994</v>
          </cell>
          <cell r="L21">
            <v>20.399999999999999</v>
          </cell>
          <cell r="M21">
            <v>30.1</v>
          </cell>
          <cell r="N21">
            <v>10.78</v>
          </cell>
          <cell r="O21">
            <v>183.62</v>
          </cell>
          <cell r="P21">
            <v>124.59</v>
          </cell>
          <cell r="Q21">
            <v>25</v>
          </cell>
          <cell r="R21">
            <v>25.65</v>
          </cell>
          <cell r="S21">
            <v>8.3800000000000008</v>
          </cell>
          <cell r="T21">
            <v>183.62</v>
          </cell>
          <cell r="U21">
            <v>124.84</v>
          </cell>
          <cell r="V21">
            <v>24.8</v>
          </cell>
          <cell r="W21">
            <v>25.62</v>
          </cell>
          <cell r="X21">
            <v>8.36</v>
          </cell>
          <cell r="Y21">
            <v>184.32999999999998</v>
          </cell>
          <cell r="Z21">
            <v>125.45</v>
          </cell>
          <cell r="AA21">
            <v>24.9</v>
          </cell>
          <cell r="AB21">
            <v>25.62</v>
          </cell>
          <cell r="AC21">
            <v>8.36</v>
          </cell>
          <cell r="AD21">
            <v>1.0038666811894128</v>
          </cell>
          <cell r="AE21">
            <v>1.0069026406613693</v>
          </cell>
          <cell r="AF21">
            <v>0.996</v>
          </cell>
          <cell r="AG21">
            <v>0.99883040935672529</v>
          </cell>
          <cell r="AH21">
            <v>0.9976133651551311</v>
          </cell>
        </row>
        <row r="22">
          <cell r="F22">
            <v>4.6975225657768389</v>
          </cell>
          <cell r="G22">
            <v>10.059405940594059</v>
          </cell>
          <cell r="H22">
            <v>12.137592137592138</v>
          </cell>
          <cell r="I22">
            <v>19.418604651162791</v>
          </cell>
          <cell r="K22">
            <v>3.095113893235959</v>
          </cell>
          <cell r="L22">
            <v>7.9217148182665413</v>
          </cell>
          <cell r="M22">
            <v>14.116874589625738</v>
          </cell>
          <cell r="N22">
            <v>16.495791889824023</v>
          </cell>
          <cell r="P22">
            <v>4.6302731188470219</v>
          </cell>
          <cell r="Q22">
            <v>9.5057034220532319</v>
          </cell>
          <cell r="R22">
            <v>11.6389872039205</v>
          </cell>
          <cell r="S22">
            <v>13.147160338876688</v>
          </cell>
          <cell r="U22">
            <v>4.632144500348784</v>
          </cell>
          <cell r="V22">
            <v>9.3429776974080774</v>
          </cell>
          <cell r="W22">
            <v>11.595383570943653</v>
          </cell>
          <cell r="X22">
            <v>13.103448275862068</v>
          </cell>
          <cell r="Z22">
            <v>4.6134044313689433</v>
          </cell>
          <cell r="AA22">
            <v>8.6823110987133454</v>
          </cell>
          <cell r="AB22">
            <v>11.462574381459444</v>
          </cell>
          <cell r="AC22">
            <v>13.107557227971151</v>
          </cell>
          <cell r="AD22">
            <v>0</v>
          </cell>
          <cell r="AE22">
            <v>0.99635686987676464</v>
          </cell>
          <cell r="AF22">
            <v>0.9133791275846439</v>
          </cell>
          <cell r="AG22">
            <v>0.98484294042340437</v>
          </cell>
          <cell r="AH22">
            <v>0.99698770609890341</v>
          </cell>
        </row>
        <row r="23">
          <cell r="E23">
            <v>0</v>
          </cell>
          <cell r="J23">
            <v>0</v>
          </cell>
          <cell r="O23">
            <v>0</v>
          </cell>
          <cell r="T23">
            <v>0</v>
          </cell>
          <cell r="AD23">
            <v>0</v>
          </cell>
          <cell r="AE23">
            <v>0</v>
          </cell>
          <cell r="AF23">
            <v>0</v>
          </cell>
          <cell r="AG23">
            <v>0</v>
          </cell>
          <cell r="AH23">
            <v>0</v>
          </cell>
        </row>
        <row r="24">
          <cell r="E24">
            <v>2956.4</v>
          </cell>
          <cell r="F24">
            <v>2481.1999999999998</v>
          </cell>
          <cell r="G24">
            <v>227.1</v>
          </cell>
          <cell r="H24">
            <v>178.8</v>
          </cell>
          <cell r="I24">
            <v>69.3</v>
          </cell>
          <cell r="J24">
            <v>2982.66</v>
          </cell>
          <cell r="K24">
            <v>2507.85</v>
          </cell>
          <cell r="L24">
            <v>237.12000000000003</v>
          </cell>
          <cell r="M24">
            <v>183.12000000000003</v>
          </cell>
          <cell r="N24">
            <v>54.569999999999993</v>
          </cell>
          <cell r="O24">
            <v>3054.27</v>
          </cell>
          <cell r="P24">
            <v>2566.1799999999998</v>
          </cell>
          <cell r="Q24">
            <v>238</v>
          </cell>
          <cell r="R24">
            <v>194.73</v>
          </cell>
          <cell r="S24">
            <v>55.36</v>
          </cell>
          <cell r="T24">
            <v>3061.6499999999996</v>
          </cell>
          <cell r="U24">
            <v>2570.2399999999998</v>
          </cell>
          <cell r="V24">
            <v>240.64</v>
          </cell>
          <cell r="W24">
            <v>195.32999999999998</v>
          </cell>
          <cell r="X24">
            <v>55.44</v>
          </cell>
          <cell r="Y24">
            <v>3109</v>
          </cell>
          <cell r="Z24">
            <v>2593.8000000000002</v>
          </cell>
          <cell r="AA24">
            <v>261.89</v>
          </cell>
          <cell r="AB24">
            <v>197.89</v>
          </cell>
          <cell r="AC24">
            <v>55.42</v>
          </cell>
          <cell r="AD24">
            <v>1.0179191754494528</v>
          </cell>
          <cell r="AE24">
            <v>1.0107630797527845</v>
          </cell>
          <cell r="AF24">
            <v>1.1003781512605042</v>
          </cell>
          <cell r="AG24">
            <v>1.016227597185847</v>
          </cell>
          <cell r="AH24">
            <v>1.0010838150289019</v>
          </cell>
        </row>
        <row r="25">
          <cell r="E25">
            <v>2540.0200000000004</v>
          </cell>
          <cell r="F25">
            <v>2214.92</v>
          </cell>
          <cell r="G25">
            <v>163</v>
          </cell>
          <cell r="H25">
            <v>92.8</v>
          </cell>
          <cell r="I25">
            <v>69.3</v>
          </cell>
          <cell r="J25">
            <v>2577.42</v>
          </cell>
          <cell r="K25">
            <v>2220.86</v>
          </cell>
          <cell r="L25">
            <v>184.22</v>
          </cell>
          <cell r="M25">
            <v>117.77</v>
          </cell>
          <cell r="N25">
            <v>54.57</v>
          </cell>
          <cell r="O25">
            <v>2641.31</v>
          </cell>
          <cell r="P25">
            <v>2271.66</v>
          </cell>
          <cell r="Q25">
            <v>183.3</v>
          </cell>
          <cell r="R25">
            <v>130.99</v>
          </cell>
          <cell r="S25">
            <v>55.36</v>
          </cell>
          <cell r="T25">
            <v>2309.1200000000003</v>
          </cell>
          <cell r="U25">
            <v>1945.73</v>
          </cell>
          <cell r="V25">
            <v>176.42</v>
          </cell>
          <cell r="W25">
            <v>131.53</v>
          </cell>
          <cell r="X25">
            <v>55.44</v>
          </cell>
          <cell r="Y25">
            <v>2340.4700000000003</v>
          </cell>
          <cell r="Z25">
            <v>1953.94</v>
          </cell>
          <cell r="AA25">
            <v>197</v>
          </cell>
          <cell r="AB25">
            <v>134.11000000000001</v>
          </cell>
          <cell r="AC25">
            <v>55.42</v>
          </cell>
          <cell r="AD25">
            <v>0.88610197212746722</v>
          </cell>
          <cell r="AE25">
            <v>0.86013752057966431</v>
          </cell>
          <cell r="AF25">
            <v>1.0747408619749044</v>
          </cell>
          <cell r="AG25">
            <v>1.0238186121077946</v>
          </cell>
          <cell r="AH25">
            <v>1.0010838150289019</v>
          </cell>
        </row>
        <row r="27">
          <cell r="E27">
            <v>0</v>
          </cell>
          <cell r="J27">
            <v>671.47</v>
          </cell>
          <cell r="K27">
            <v>671.47</v>
          </cell>
          <cell r="O27">
            <v>0</v>
          </cell>
          <cell r="T27">
            <v>685.35</v>
          </cell>
          <cell r="U27">
            <v>685.35</v>
          </cell>
          <cell r="Z27">
            <v>671.8</v>
          </cell>
          <cell r="AA27">
            <v>18.7</v>
          </cell>
          <cell r="AD27">
            <v>0</v>
          </cell>
          <cell r="AE27">
            <v>0</v>
          </cell>
          <cell r="AF27">
            <v>0</v>
          </cell>
          <cell r="AG27">
            <v>0</v>
          </cell>
          <cell r="AH27">
            <v>0</v>
          </cell>
        </row>
        <row r="28">
          <cell r="E28">
            <v>0</v>
          </cell>
          <cell r="J28">
            <v>151.71</v>
          </cell>
          <cell r="K28">
            <v>151.71</v>
          </cell>
          <cell r="O28">
            <v>0</v>
          </cell>
          <cell r="T28">
            <v>154.85</v>
          </cell>
          <cell r="U28">
            <v>154.85</v>
          </cell>
          <cell r="Z28">
            <v>157.71</v>
          </cell>
          <cell r="AD28">
            <v>0</v>
          </cell>
          <cell r="AE28">
            <v>0</v>
          </cell>
          <cell r="AF28">
            <v>0</v>
          </cell>
          <cell r="AG28">
            <v>0</v>
          </cell>
          <cell r="AH28">
            <v>0</v>
          </cell>
        </row>
        <row r="29">
          <cell r="E29">
            <v>11.376666666666701</v>
          </cell>
          <cell r="F29">
            <v>11.376666666666701</v>
          </cell>
          <cell r="J29">
            <v>0</v>
          </cell>
          <cell r="O29">
            <v>0</v>
          </cell>
          <cell r="T29">
            <v>338.62</v>
          </cell>
          <cell r="U29">
            <v>329.3</v>
          </cell>
          <cell r="V29">
            <v>9.32</v>
          </cell>
          <cell r="Y29">
            <v>351.19657534246574</v>
          </cell>
          <cell r="Z29">
            <v>341.51</v>
          </cell>
          <cell r="AA29">
            <v>9.686575342465753</v>
          </cell>
          <cell r="AD29">
            <v>0</v>
          </cell>
          <cell r="AE29">
            <v>0</v>
          </cell>
          <cell r="AF29">
            <v>0</v>
          </cell>
          <cell r="AG29">
            <v>0</v>
          </cell>
          <cell r="AH29">
            <v>0</v>
          </cell>
        </row>
        <row r="30">
          <cell r="E30">
            <v>0</v>
          </cell>
          <cell r="J30">
            <v>0</v>
          </cell>
          <cell r="O30">
            <v>0</v>
          </cell>
          <cell r="T30">
            <v>0</v>
          </cell>
          <cell r="Y30">
            <v>0</v>
          </cell>
          <cell r="AD30">
            <v>0</v>
          </cell>
          <cell r="AE30">
            <v>0</v>
          </cell>
          <cell r="AF30">
            <v>0</v>
          </cell>
          <cell r="AG30">
            <v>0</v>
          </cell>
          <cell r="AH30">
            <v>0</v>
          </cell>
        </row>
        <row r="31">
          <cell r="E31">
            <v>0</v>
          </cell>
          <cell r="J31">
            <v>0</v>
          </cell>
          <cell r="O31">
            <v>0</v>
          </cell>
          <cell r="T31">
            <v>0</v>
          </cell>
          <cell r="Y31">
            <v>0</v>
          </cell>
          <cell r="AD31">
            <v>0</v>
          </cell>
          <cell r="AE31">
            <v>0</v>
          </cell>
          <cell r="AF31">
            <v>0</v>
          </cell>
          <cell r="AG31">
            <v>0</v>
          </cell>
          <cell r="AH31">
            <v>0</v>
          </cell>
        </row>
        <row r="32">
          <cell r="F32">
            <v>3.3333333330460846E-3</v>
          </cell>
          <cell r="G32">
            <v>0</v>
          </cell>
          <cell r="H32">
            <v>0</v>
          </cell>
          <cell r="I32">
            <v>0</v>
          </cell>
          <cell r="K32">
            <v>-2.2737367544323206E-13</v>
          </cell>
          <cell r="L32">
            <v>3.5527136788005009E-14</v>
          </cell>
          <cell r="M32">
            <v>0</v>
          </cell>
          <cell r="N32">
            <v>-7.1054273576010019E-15</v>
          </cell>
          <cell r="P32">
            <v>0</v>
          </cell>
          <cell r="Q32">
            <v>-1.4210854715202004E-14</v>
          </cell>
          <cell r="R32">
            <v>0</v>
          </cell>
          <cell r="S32">
            <v>0</v>
          </cell>
          <cell r="U32">
            <v>-2.2737367544323206E-13</v>
          </cell>
          <cell r="V32">
            <v>0</v>
          </cell>
          <cell r="W32">
            <v>0</v>
          </cell>
          <cell r="X32">
            <v>0</v>
          </cell>
          <cell r="Z32">
            <v>1.4210854715202004E-13</v>
          </cell>
          <cell r="AA32">
            <v>3.4246575342322672E-3</v>
          </cell>
          <cell r="AB32">
            <v>0</v>
          </cell>
          <cell r="AC32">
            <v>0</v>
          </cell>
        </row>
      </sheetData>
      <sheetData sheetId="13">
        <row r="156">
          <cell r="D156">
            <v>106549.60230227243</v>
          </cell>
          <cell r="E156">
            <v>238020.58166942224</v>
          </cell>
          <cell r="F156">
            <v>658393.85568377026</v>
          </cell>
          <cell r="G156">
            <v>1555320.6013091037</v>
          </cell>
          <cell r="H156">
            <v>468268011.20132679</v>
          </cell>
          <cell r="I156">
            <v>5619216.1344159208</v>
          </cell>
        </row>
        <row r="157">
          <cell r="D157">
            <v>54.929555612919955</v>
          </cell>
          <cell r="E157">
            <v>135.18408608255615</v>
          </cell>
          <cell r="F157">
            <v>225.49329680739174</v>
          </cell>
          <cell r="G157">
            <v>421.69840649985559</v>
          </cell>
        </row>
        <row r="158">
          <cell r="D158">
            <v>2295.4499999999998</v>
          </cell>
          <cell r="E158">
            <v>206.68657534246574</v>
          </cell>
          <cell r="F158">
            <v>134.11000000000001</v>
          </cell>
          <cell r="G158">
            <v>55.42</v>
          </cell>
          <cell r="H158">
            <v>2691.6665753424659</v>
          </cell>
        </row>
        <row r="159">
          <cell r="D159">
            <v>17956.727999999999</v>
          </cell>
          <cell r="E159">
            <v>1415.105</v>
          </cell>
          <cell r="F159">
            <v>717</v>
          </cell>
          <cell r="G159">
            <v>398.65</v>
          </cell>
          <cell r="H159">
            <v>20487.483</v>
          </cell>
        </row>
        <row r="160">
          <cell r="D160">
            <v>218.3753356713479</v>
          </cell>
          <cell r="E160">
            <v>552.36013071196157</v>
          </cell>
          <cell r="F160">
            <v>1703.270702426646</v>
          </cell>
          <cell r="G160">
            <v>3016.3313243340622</v>
          </cell>
          <cell r="H160">
            <v>497.50497509586222</v>
          </cell>
        </row>
        <row r="161">
          <cell r="D161">
            <v>3921306.5045590913</v>
          </cell>
          <cell r="E161">
            <v>781647.5827711504</v>
          </cell>
          <cell r="F161">
            <v>1221245.0936399051</v>
          </cell>
          <cell r="G161">
            <v>1202460.4824457739</v>
          </cell>
          <cell r="H161">
            <v>7126659.6634159209</v>
          </cell>
        </row>
        <row r="162">
          <cell r="D162">
            <v>349</v>
          </cell>
          <cell r="E162">
            <v>370</v>
          </cell>
          <cell r="F162">
            <v>390</v>
          </cell>
          <cell r="G162">
            <v>410</v>
          </cell>
          <cell r="H162">
            <v>353.07233309235687</v>
          </cell>
        </row>
        <row r="163">
          <cell r="D163">
            <v>130.6246643286521</v>
          </cell>
          <cell r="E163">
            <v>-182.36013071196157</v>
          </cell>
          <cell r="F163">
            <v>-1313.270702426646</v>
          </cell>
          <cell r="G163">
            <v>-2606.3313243340622</v>
          </cell>
        </row>
        <row r="164">
          <cell r="D164">
            <v>2345591.5674409084</v>
          </cell>
          <cell r="E164">
            <v>-258058.73277115039</v>
          </cell>
          <cell r="F164">
            <v>-941615.09363990522</v>
          </cell>
          <cell r="G164">
            <v>-1039013.9824457738</v>
          </cell>
          <cell r="H164">
            <v>106903.75858407922</v>
          </cell>
        </row>
      </sheetData>
      <sheetData sheetId="14">
        <row r="8">
          <cell r="E8">
            <v>3717</v>
          </cell>
          <cell r="F8">
            <v>3717</v>
          </cell>
          <cell r="G8">
            <v>3717</v>
          </cell>
          <cell r="H8">
            <v>3205</v>
          </cell>
          <cell r="I8">
            <v>3209</v>
          </cell>
          <cell r="J8">
            <v>86.333064299165997</v>
          </cell>
          <cell r="K8">
            <v>100.12480499219969</v>
          </cell>
          <cell r="L8">
            <v>86.333064299165997</v>
          </cell>
          <cell r="M8">
            <v>86.333064299165997</v>
          </cell>
        </row>
        <row r="9">
          <cell r="J9">
            <v>0</v>
          </cell>
          <cell r="K9">
            <v>0</v>
          </cell>
          <cell r="L9">
            <v>0</v>
          </cell>
          <cell r="M9">
            <v>0</v>
          </cell>
        </row>
        <row r="10">
          <cell r="E10">
            <v>3717</v>
          </cell>
          <cell r="F10">
            <v>3717</v>
          </cell>
          <cell r="G10">
            <v>3717</v>
          </cell>
          <cell r="H10">
            <v>3205</v>
          </cell>
          <cell r="I10">
            <v>3209</v>
          </cell>
          <cell r="J10">
            <v>86.333064299165997</v>
          </cell>
          <cell r="K10">
            <v>100.12480499219969</v>
          </cell>
          <cell r="L10">
            <v>86.333064299165997</v>
          </cell>
          <cell r="M10">
            <v>86.333064299165997</v>
          </cell>
        </row>
        <row r="11">
          <cell r="J11">
            <v>0</v>
          </cell>
          <cell r="K11">
            <v>0</v>
          </cell>
          <cell r="L11">
            <v>0</v>
          </cell>
          <cell r="M11">
            <v>0</v>
          </cell>
        </row>
        <row r="12">
          <cell r="E12">
            <v>2806.65</v>
          </cell>
          <cell r="F12">
            <v>2803.41</v>
          </cell>
          <cell r="G12">
            <v>2807</v>
          </cell>
          <cell r="H12">
            <v>2823.34</v>
          </cell>
          <cell r="I12">
            <v>2874.4720000000002</v>
          </cell>
          <cell r="J12">
            <v>102.40370502315641</v>
          </cell>
          <cell r="K12">
            <v>101.81104649103546</v>
          </cell>
          <cell r="L12">
            <v>102.4164751572159</v>
          </cell>
          <cell r="M12">
            <v>102.53484149660592</v>
          </cell>
        </row>
        <row r="13">
          <cell r="E13">
            <v>75.508474576271183</v>
          </cell>
          <cell r="F13">
            <v>75.421307506053267</v>
          </cell>
          <cell r="G13">
            <v>75.517890772128055</v>
          </cell>
          <cell r="H13">
            <v>88.091731669266764</v>
          </cell>
          <cell r="I13">
            <v>89.575319414147714</v>
          </cell>
          <cell r="J13">
            <v>118.61469977284898</v>
          </cell>
          <cell r="K13">
            <v>101.68413960852871</v>
          </cell>
          <cell r="L13">
            <v>118.62949148001604</v>
          </cell>
          <cell r="M13">
            <v>118.76659577528335</v>
          </cell>
        </row>
        <row r="14">
          <cell r="I14">
            <v>4</v>
          </cell>
          <cell r="J14">
            <v>0</v>
          </cell>
          <cell r="K14">
            <v>0</v>
          </cell>
          <cell r="L14">
            <v>0</v>
          </cell>
          <cell r="M14">
            <v>0</v>
          </cell>
        </row>
        <row r="15">
          <cell r="E15">
            <v>2806.65</v>
          </cell>
          <cell r="F15">
            <v>2803.41</v>
          </cell>
          <cell r="G15">
            <v>2807</v>
          </cell>
          <cell r="H15">
            <v>2823.34</v>
          </cell>
          <cell r="I15">
            <v>2874.4720000000002</v>
          </cell>
          <cell r="J15">
            <v>102.40370502315641</v>
          </cell>
          <cell r="K15">
            <v>101.81104649103546</v>
          </cell>
          <cell r="L15">
            <v>102.4164751572159</v>
          </cell>
          <cell r="M15">
            <v>102.53484149660592</v>
          </cell>
        </row>
        <row r="17">
          <cell r="E17">
            <v>3482.01</v>
          </cell>
          <cell r="F17">
            <v>4155.3</v>
          </cell>
          <cell r="G17">
            <v>3725.75</v>
          </cell>
          <cell r="H17">
            <v>4747.5</v>
          </cell>
          <cell r="I17">
            <v>5134.9220000000005</v>
          </cell>
          <cell r="J17">
            <v>137.82250553579817</v>
          </cell>
          <cell r="K17">
            <v>108.16054765666141</v>
          </cell>
          <cell r="L17">
            <v>147.4700532163894</v>
          </cell>
          <cell r="M17">
            <v>123.57524125815225</v>
          </cell>
        </row>
        <row r="18">
          <cell r="E18">
            <v>5</v>
          </cell>
          <cell r="F18">
            <v>6.56</v>
          </cell>
          <cell r="G18">
            <v>5.2</v>
          </cell>
          <cell r="H18">
            <v>6.91</v>
          </cell>
          <cell r="I18">
            <v>6.9</v>
          </cell>
          <cell r="J18">
            <v>132.69230769230768</v>
          </cell>
          <cell r="K18">
            <v>99.855282199710572</v>
          </cell>
          <cell r="L18">
            <v>138</v>
          </cell>
          <cell r="M18">
            <v>105.18292682926831</v>
          </cell>
        </row>
        <row r="19">
          <cell r="E19">
            <v>1.835302</v>
          </cell>
          <cell r="F19">
            <v>1.86802</v>
          </cell>
          <cell r="G19">
            <v>1.84</v>
          </cell>
          <cell r="H19">
            <v>1.86941</v>
          </cell>
          <cell r="I19">
            <v>1.8689331</v>
          </cell>
          <cell r="J19">
            <v>101.57245108695652</v>
          </cell>
          <cell r="K19">
            <v>99.974489277365592</v>
          </cell>
          <cell r="L19">
            <v>101.83245591188808</v>
          </cell>
          <cell r="M19">
            <v>100.04888063296966</v>
          </cell>
        </row>
        <row r="20">
          <cell r="E20">
            <v>6390.5399170200008</v>
          </cell>
          <cell r="F20">
            <v>7762.1835060000003</v>
          </cell>
          <cell r="G20">
            <v>6855.38</v>
          </cell>
          <cell r="H20">
            <v>8875.0239750000001</v>
          </cell>
          <cell r="I20">
            <v>9596.8256917182007</v>
          </cell>
          <cell r="J20">
            <v>139.98969702216655</v>
          </cell>
          <cell r="K20">
            <v>108.13295511934886</v>
          </cell>
          <cell r="L20">
            <v>150.1723769248176</v>
          </cell>
          <cell r="M20">
            <v>123.63564561827303</v>
          </cell>
        </row>
        <row r="22">
          <cell r="E22">
            <v>12.5</v>
          </cell>
          <cell r="F22">
            <v>12.5</v>
          </cell>
          <cell r="G22">
            <v>12.522</v>
          </cell>
          <cell r="H22">
            <v>12.5</v>
          </cell>
          <cell r="I22">
            <v>12.5</v>
          </cell>
          <cell r="J22">
            <v>99.824309215780232</v>
          </cell>
          <cell r="K22">
            <v>100</v>
          </cell>
          <cell r="L22">
            <v>100</v>
          </cell>
          <cell r="M22">
            <v>100</v>
          </cell>
        </row>
        <row r="23">
          <cell r="E23">
            <v>798.81748962749998</v>
          </cell>
          <cell r="F23">
            <v>970.27293825000004</v>
          </cell>
          <cell r="G23">
            <v>858.43068360000007</v>
          </cell>
          <cell r="H23">
            <v>1109.377996875</v>
          </cell>
          <cell r="I23">
            <v>1199.6032114647751</v>
          </cell>
          <cell r="J23">
            <v>139.74374802564139</v>
          </cell>
          <cell r="K23">
            <v>108.13295511934886</v>
          </cell>
          <cell r="L23">
            <v>150.17237692481763</v>
          </cell>
          <cell r="M23">
            <v>123.63564561827303</v>
          </cell>
        </row>
        <row r="25">
          <cell r="E25">
            <v>75</v>
          </cell>
          <cell r="F25">
            <v>66.902000000000001</v>
          </cell>
          <cell r="G25">
            <v>75.006500000000003</v>
          </cell>
          <cell r="H25">
            <v>67.124600000000001</v>
          </cell>
          <cell r="I25">
            <v>75</v>
          </cell>
          <cell r="J25">
            <v>99.991334084379346</v>
          </cell>
          <cell r="K25">
            <v>111.73250939297962</v>
          </cell>
          <cell r="L25">
            <v>100</v>
          </cell>
          <cell r="M25">
            <v>112.10427192012197</v>
          </cell>
        </row>
        <row r="26">
          <cell r="E26">
            <v>5392.0180549856268</v>
          </cell>
          <cell r="F26">
            <v>5842.1880103321346</v>
          </cell>
          <cell r="G26">
            <v>5785.8594103944351</v>
          </cell>
          <cell r="H26">
            <v>6701.9898860132062</v>
          </cell>
          <cell r="I26">
            <v>8097.3216773872318</v>
          </cell>
          <cell r="J26">
            <v>139.95019759450426</v>
          </cell>
          <cell r="K26">
            <v>120.8196642356329</v>
          </cell>
          <cell r="L26">
            <v>150.17237692481754</v>
          </cell>
          <cell r="M26">
            <v>138.60084035410716</v>
          </cell>
        </row>
        <row r="28">
          <cell r="E28">
            <v>14</v>
          </cell>
          <cell r="F28">
            <v>14.5</v>
          </cell>
          <cell r="G28">
            <v>15.009</v>
          </cell>
          <cell r="H28">
            <v>14.5</v>
          </cell>
          <cell r="I28">
            <v>15</v>
          </cell>
          <cell r="J28">
            <v>99.940035978412951</v>
          </cell>
          <cell r="K28">
            <v>103.44827586206897</v>
          </cell>
          <cell r="L28">
            <v>107.14285714285714</v>
          </cell>
          <cell r="M28">
            <v>103.44827586206897</v>
          </cell>
        </row>
        <row r="29">
          <cell r="E29">
            <v>894.67558838280002</v>
          </cell>
          <cell r="F29">
            <v>1125.5166083700001</v>
          </cell>
          <cell r="G29">
            <v>1028.9239841999999</v>
          </cell>
          <cell r="H29">
            <v>1286.878476375</v>
          </cell>
          <cell r="I29">
            <v>1439.5238537577302</v>
          </cell>
          <cell r="J29">
            <v>139.90575357002456</v>
          </cell>
          <cell r="K29">
            <v>111.86167770967124</v>
          </cell>
          <cell r="L29">
            <v>160.89897527659031</v>
          </cell>
          <cell r="M29">
            <v>127.89894374304107</v>
          </cell>
        </row>
        <row r="31">
          <cell r="E31">
            <v>33</v>
          </cell>
          <cell r="F31">
            <v>10</v>
          </cell>
          <cell r="G31">
            <v>33.008899999999997</v>
          </cell>
          <cell r="H31">
            <v>10.373340000000001</v>
          </cell>
          <cell r="I31">
            <v>33</v>
          </cell>
          <cell r="J31">
            <v>99.973037574714709</v>
          </cell>
          <cell r="K31">
            <v>318.12318886684517</v>
          </cell>
          <cell r="L31">
            <v>100</v>
          </cell>
          <cell r="M31">
            <v>330</v>
          </cell>
        </row>
        <row r="32">
          <cell r="E32">
            <v>2108.8781726166003</v>
          </cell>
          <cell r="F32">
            <v>776.21835060000001</v>
          </cell>
          <cell r="G32">
            <v>2262.8855288199998</v>
          </cell>
          <cell r="H32">
            <v>920.63641200826498</v>
          </cell>
          <cell r="I32">
            <v>3166.9524782670064</v>
          </cell>
          <cell r="J32">
            <v>139.95195240469985</v>
          </cell>
          <cell r="K32">
            <v>343.99600504162714</v>
          </cell>
          <cell r="L32">
            <v>150.1723769248176</v>
          </cell>
          <cell r="M32">
            <v>407.99763054030097</v>
          </cell>
        </row>
        <row r="34">
          <cell r="J34">
            <v>0</v>
          </cell>
          <cell r="K34">
            <v>0</v>
          </cell>
          <cell r="L34">
            <v>0</v>
          </cell>
          <cell r="M34">
            <v>0</v>
          </cell>
        </row>
        <row r="35">
          <cell r="E35">
            <v>0</v>
          </cell>
          <cell r="F35">
            <v>0</v>
          </cell>
          <cell r="G35">
            <v>0</v>
          </cell>
          <cell r="H35">
            <v>0</v>
          </cell>
          <cell r="I35">
            <v>0</v>
          </cell>
          <cell r="J35">
            <v>0</v>
          </cell>
          <cell r="K35">
            <v>0</v>
          </cell>
          <cell r="L35">
            <v>0</v>
          </cell>
          <cell r="M35">
            <v>0</v>
          </cell>
        </row>
        <row r="37">
          <cell r="J37">
            <v>0</v>
          </cell>
          <cell r="K37">
            <v>0</v>
          </cell>
          <cell r="L37">
            <v>0</v>
          </cell>
          <cell r="M37">
            <v>0</v>
          </cell>
        </row>
        <row r="38">
          <cell r="E38">
            <v>0</v>
          </cell>
          <cell r="F38">
            <v>0</v>
          </cell>
          <cell r="G38">
            <v>0</v>
          </cell>
          <cell r="H38">
            <v>0</v>
          </cell>
          <cell r="I38">
            <v>0</v>
          </cell>
          <cell r="J38">
            <v>0</v>
          </cell>
          <cell r="K38">
            <v>0</v>
          </cell>
          <cell r="L38">
            <v>0</v>
          </cell>
          <cell r="M38">
            <v>0</v>
          </cell>
        </row>
        <row r="40">
          <cell r="J40">
            <v>0</v>
          </cell>
          <cell r="K40">
            <v>0</v>
          </cell>
          <cell r="L40">
            <v>0</v>
          </cell>
          <cell r="M40">
            <v>0</v>
          </cell>
        </row>
        <row r="41">
          <cell r="E41">
            <v>0</v>
          </cell>
          <cell r="F41">
            <v>0</v>
          </cell>
          <cell r="G41">
            <v>0</v>
          </cell>
          <cell r="H41">
            <v>0</v>
          </cell>
          <cell r="I41">
            <v>0</v>
          </cell>
          <cell r="J41">
            <v>0</v>
          </cell>
          <cell r="K41">
            <v>0</v>
          </cell>
          <cell r="L41">
            <v>0</v>
          </cell>
          <cell r="M41">
            <v>0</v>
          </cell>
        </row>
        <row r="42">
          <cell r="E42">
            <v>15584.929222632529</v>
          </cell>
          <cell r="F42">
            <v>16476.379413552135</v>
          </cell>
          <cell r="G42">
            <v>16791.479607014437</v>
          </cell>
          <cell r="H42">
            <v>18893.906746271474</v>
          </cell>
          <cell r="I42">
            <v>23500.226912594946</v>
          </cell>
          <cell r="J42">
            <v>139.95328263256809</v>
          </cell>
          <cell r="K42">
            <v>124.37992432259932</v>
          </cell>
          <cell r="L42">
            <v>150.7881529450116</v>
          </cell>
          <cell r="M42">
            <v>142.62979944043752</v>
          </cell>
        </row>
        <row r="44">
          <cell r="J44">
            <v>0</v>
          </cell>
          <cell r="K44">
            <v>0</v>
          </cell>
          <cell r="L44">
            <v>0</v>
          </cell>
          <cell r="M44">
            <v>0</v>
          </cell>
        </row>
        <row r="45">
          <cell r="J45">
            <v>0</v>
          </cell>
          <cell r="K45">
            <v>0</v>
          </cell>
          <cell r="L45">
            <v>0</v>
          </cell>
          <cell r="M45">
            <v>0</v>
          </cell>
        </row>
        <row r="46">
          <cell r="F46">
            <v>313.5</v>
          </cell>
          <cell r="H46">
            <v>281</v>
          </cell>
          <cell r="I46">
            <v>300</v>
          </cell>
          <cell r="J46">
            <v>0</v>
          </cell>
          <cell r="K46">
            <v>106.76156583629893</v>
          </cell>
          <cell r="L46">
            <v>0</v>
          </cell>
          <cell r="M46">
            <v>95.693779904306226</v>
          </cell>
        </row>
        <row r="48">
          <cell r="E48">
            <v>12</v>
          </cell>
          <cell r="F48">
            <v>12</v>
          </cell>
          <cell r="G48">
            <v>12</v>
          </cell>
          <cell r="H48">
            <v>12</v>
          </cell>
          <cell r="I48">
            <v>12</v>
          </cell>
        </row>
        <row r="50">
          <cell r="E50">
            <v>524897.29923241911</v>
          </cell>
          <cell r="F50">
            <v>554594.06174095429</v>
          </cell>
          <cell r="G50">
            <v>565604.19908267423</v>
          </cell>
          <cell r="H50">
            <v>640408.07207621727</v>
          </cell>
          <cell r="I50">
            <v>810908.93104680744</v>
          </cell>
          <cell r="J50">
            <v>143.37038734188695</v>
          </cell>
          <cell r="K50">
            <v>126.62378355379292</v>
          </cell>
          <cell r="L50">
            <v>154.48906523859733</v>
          </cell>
          <cell r="M50">
            <v>146.21666313938562</v>
          </cell>
        </row>
        <row r="52">
          <cell r="J52">
            <v>0</v>
          </cell>
          <cell r="K52">
            <v>0</v>
          </cell>
          <cell r="L52">
            <v>0</v>
          </cell>
          <cell r="M52">
            <v>0</v>
          </cell>
        </row>
        <row r="53">
          <cell r="J53">
            <v>0</v>
          </cell>
          <cell r="K53">
            <v>0</v>
          </cell>
          <cell r="L53">
            <v>0</v>
          </cell>
          <cell r="M53">
            <v>0</v>
          </cell>
        </row>
        <row r="54">
          <cell r="E54">
            <v>0</v>
          </cell>
          <cell r="F54">
            <v>0</v>
          </cell>
          <cell r="G54">
            <v>0</v>
          </cell>
          <cell r="H54">
            <v>0</v>
          </cell>
          <cell r="I54">
            <v>0</v>
          </cell>
          <cell r="J54">
            <v>0</v>
          </cell>
          <cell r="K54">
            <v>0</v>
          </cell>
          <cell r="L54">
            <v>0</v>
          </cell>
          <cell r="M54">
            <v>0</v>
          </cell>
        </row>
        <row r="55">
          <cell r="J55">
            <v>0</v>
          </cell>
          <cell r="K55">
            <v>0</v>
          </cell>
          <cell r="L55">
            <v>0</v>
          </cell>
          <cell r="M55">
            <v>0</v>
          </cell>
        </row>
        <row r="56">
          <cell r="J56">
            <v>0</v>
          </cell>
          <cell r="K56">
            <v>0</v>
          </cell>
          <cell r="L56">
            <v>0</v>
          </cell>
          <cell r="M56">
            <v>0</v>
          </cell>
        </row>
        <row r="57">
          <cell r="E57">
            <v>0</v>
          </cell>
          <cell r="F57">
            <v>0</v>
          </cell>
          <cell r="G57">
            <v>0</v>
          </cell>
          <cell r="H57">
            <v>0</v>
          </cell>
          <cell r="I57">
            <v>0</v>
          </cell>
          <cell r="J57">
            <v>0</v>
          </cell>
          <cell r="K57">
            <v>0</v>
          </cell>
          <cell r="L57">
            <v>0</v>
          </cell>
          <cell r="M57">
            <v>0</v>
          </cell>
        </row>
      </sheetData>
      <sheetData sheetId="15">
        <row r="8">
          <cell r="E8">
            <v>6731020.4843699988</v>
          </cell>
          <cell r="F8">
            <v>7579654.9740000004</v>
          </cell>
          <cell r="G8">
            <v>7113747.9634699998</v>
          </cell>
          <cell r="H8">
            <v>8337466.0739999991</v>
          </cell>
          <cell r="I8">
            <v>9934635.1739999987</v>
          </cell>
          <cell r="J8">
            <v>9934635.1739999987</v>
          </cell>
          <cell r="K8">
            <v>9934635.1739999987</v>
          </cell>
          <cell r="L8">
            <v>9934635.1739999987</v>
          </cell>
          <cell r="M8">
            <v>9934635.1739999987</v>
          </cell>
          <cell r="N8">
            <v>139.65402239460286</v>
          </cell>
          <cell r="O8">
            <v>119.15652892406601</v>
          </cell>
          <cell r="P8">
            <v>147.59478443230213</v>
          </cell>
          <cell r="Q8">
            <v>131.06975460067952</v>
          </cell>
        </row>
        <row r="9">
          <cell r="E9">
            <v>429320.48</v>
          </cell>
          <cell r="F9">
            <v>1203238.774</v>
          </cell>
          <cell r="G9">
            <v>500479.35399999999</v>
          </cell>
          <cell r="H9">
            <v>1269876.074</v>
          </cell>
          <cell r="I9">
            <v>1326406.3740000001</v>
          </cell>
          <cell r="J9">
            <v>1326406.3740000001</v>
          </cell>
          <cell r="K9">
            <v>1326406.3740000001</v>
          </cell>
          <cell r="L9">
            <v>1326406.3740000001</v>
          </cell>
          <cell r="M9">
            <v>1326406.3740000001</v>
          </cell>
          <cell r="N9">
            <v>265.02719111166374</v>
          </cell>
          <cell r="O9">
            <v>104.45163911325099</v>
          </cell>
          <cell r="P9">
            <v>308.95483346147381</v>
          </cell>
          <cell r="Q9">
            <v>110.23633900946747</v>
          </cell>
        </row>
        <row r="10">
          <cell r="E10">
            <v>105489.81299999999</v>
          </cell>
          <cell r="F10">
            <v>61936</v>
          </cell>
          <cell r="G10">
            <v>114955.315</v>
          </cell>
          <cell r="H10">
            <v>91467</v>
          </cell>
          <cell r="I10">
            <v>91467</v>
          </cell>
          <cell r="J10">
            <v>91467</v>
          </cell>
          <cell r="K10">
            <v>91467</v>
          </cell>
          <cell r="L10">
            <v>91467</v>
          </cell>
          <cell r="M10">
            <v>91467</v>
          </cell>
          <cell r="N10">
            <v>79.567438878315457</v>
          </cell>
          <cell r="O10">
            <v>100</v>
          </cell>
          <cell r="P10">
            <v>86.706950556448533</v>
          </cell>
          <cell r="Q10">
            <v>147.67986308447431</v>
          </cell>
        </row>
        <row r="11">
          <cell r="F11">
            <v>4300834.4000000004</v>
          </cell>
          <cell r="G11">
            <v>0</v>
          </cell>
          <cell r="H11">
            <v>4444218.8</v>
          </cell>
          <cell r="I11">
            <v>4832159.8</v>
          </cell>
          <cell r="J11">
            <v>4832159.8</v>
          </cell>
          <cell r="K11">
            <v>4832159.8</v>
          </cell>
          <cell r="L11">
            <v>4832159.8</v>
          </cell>
          <cell r="M11">
            <v>4832159.8</v>
          </cell>
          <cell r="N11">
            <v>100</v>
          </cell>
          <cell r="O11">
            <v>108.72911567720294</v>
          </cell>
          <cell r="P11">
            <v>100</v>
          </cell>
          <cell r="Q11">
            <v>112.35400739912235</v>
          </cell>
        </row>
        <row r="12">
          <cell r="E12">
            <v>6060735.1583699994</v>
          </cell>
          <cell r="F12">
            <v>1606358.6</v>
          </cell>
          <cell r="G12">
            <v>6340066.9634699998</v>
          </cell>
          <cell r="H12">
            <v>2013086.7999999998</v>
          </cell>
          <cell r="I12">
            <v>3082254.5</v>
          </cell>
          <cell r="J12">
            <v>3082254.5</v>
          </cell>
          <cell r="K12">
            <v>3082254.5</v>
          </cell>
          <cell r="L12">
            <v>3082254.5</v>
          </cell>
          <cell r="M12">
            <v>3082254.5</v>
          </cell>
          <cell r="N12">
            <v>48.615488097511239</v>
          </cell>
          <cell r="O12">
            <v>153.11085940258513</v>
          </cell>
          <cell r="P12">
            <v>50.856115957209305</v>
          </cell>
          <cell r="Q12">
            <v>191.87835767181747</v>
          </cell>
        </row>
        <row r="13">
          <cell r="E13">
            <v>5854777.7247399995</v>
          </cell>
          <cell r="F13">
            <v>1529086.6</v>
          </cell>
          <cell r="G13">
            <v>6058180.3098499998</v>
          </cell>
          <cell r="H13">
            <v>1906351.7</v>
          </cell>
          <cell r="I13">
            <v>2969028.8</v>
          </cell>
          <cell r="J13">
            <v>2969028.8</v>
          </cell>
          <cell r="K13">
            <v>2969028.8</v>
          </cell>
          <cell r="L13">
            <v>2969028.8</v>
          </cell>
          <cell r="M13">
            <v>2969028.8</v>
          </cell>
          <cell r="N13">
            <v>49.008590833334125</v>
          </cell>
          <cell r="O13">
            <v>155.74402142060143</v>
          </cell>
          <cell r="P13">
            <v>50.711212954405525</v>
          </cell>
          <cell r="Q13">
            <v>194.17008820821528</v>
          </cell>
        </row>
        <row r="14">
          <cell r="E14">
            <v>54947.050039999995</v>
          </cell>
          <cell r="F14">
            <v>24634.9</v>
          </cell>
          <cell r="G14">
            <v>81840.96789</v>
          </cell>
          <cell r="H14">
            <v>34985.5</v>
          </cell>
          <cell r="I14">
            <v>34985.5</v>
          </cell>
          <cell r="J14">
            <v>34985.5</v>
          </cell>
          <cell r="K14">
            <v>34985.5</v>
          </cell>
          <cell r="L14">
            <v>34985.5</v>
          </cell>
          <cell r="M14">
            <v>34985.5</v>
          </cell>
          <cell r="N14">
            <v>42.748150348151995</v>
          </cell>
          <cell r="O14">
            <v>100</v>
          </cell>
          <cell r="P14">
            <v>63.671298048815153</v>
          </cell>
          <cell r="Q14">
            <v>142.01600168866119</v>
          </cell>
        </row>
        <row r="15">
          <cell r="E15">
            <v>67241.504939999999</v>
          </cell>
          <cell r="F15">
            <v>40423.5</v>
          </cell>
          <cell r="G15">
            <v>123577.76702</v>
          </cell>
          <cell r="H15">
            <v>54804.7</v>
          </cell>
          <cell r="I15">
            <v>58898</v>
          </cell>
          <cell r="J15">
            <v>58898</v>
          </cell>
          <cell r="K15">
            <v>58898</v>
          </cell>
          <cell r="L15">
            <v>58898</v>
          </cell>
          <cell r="M15">
            <v>58898</v>
          </cell>
          <cell r="N15">
            <v>47.660676689899944</v>
          </cell>
          <cell r="O15">
            <v>107.46888496789508</v>
          </cell>
          <cell r="P15">
            <v>87.591733784892284</v>
          </cell>
          <cell r="Q15">
            <v>145.70237609311417</v>
          </cell>
        </row>
        <row r="16">
          <cell r="E16">
            <v>32747.272789999999</v>
          </cell>
          <cell r="F16">
            <v>12213.6</v>
          </cell>
          <cell r="G16">
            <v>40381.493710000002</v>
          </cell>
          <cell r="H16">
            <v>16944.900000000001</v>
          </cell>
          <cell r="I16">
            <v>19342.2</v>
          </cell>
          <cell r="J16">
            <v>19342.2</v>
          </cell>
          <cell r="K16">
            <v>19342.2</v>
          </cell>
          <cell r="L16">
            <v>19342.2</v>
          </cell>
          <cell r="M16">
            <v>19342.2</v>
          </cell>
          <cell r="N16">
            <v>47.898673929464209</v>
          </cell>
          <cell r="O16">
            <v>114.14761963776712</v>
          </cell>
          <cell r="P16">
            <v>59.065071232150082</v>
          </cell>
          <cell r="Q16">
            <v>158.36608370996265</v>
          </cell>
        </row>
        <row r="17">
          <cell r="E17">
            <v>51021.605860000003</v>
          </cell>
          <cell r="G17">
            <v>36086.425000000003</v>
          </cell>
          <cell r="H17">
            <v>0</v>
          </cell>
          <cell r="I17">
            <v>0</v>
          </cell>
          <cell r="J17">
            <v>0</v>
          </cell>
          <cell r="K17">
            <v>0</v>
          </cell>
          <cell r="L17">
            <v>0</v>
          </cell>
          <cell r="M17">
            <v>0</v>
          </cell>
          <cell r="N17">
            <v>0</v>
          </cell>
          <cell r="O17">
            <v>0</v>
          </cell>
          <cell r="P17">
            <v>0</v>
          </cell>
          <cell r="Q17">
            <v>0</v>
          </cell>
        </row>
        <row r="18">
          <cell r="E18">
            <v>64633.875999999997</v>
          </cell>
          <cell r="F18">
            <v>55112.5</v>
          </cell>
          <cell r="G18">
            <v>74088.892999999996</v>
          </cell>
          <cell r="H18">
            <v>76124.5</v>
          </cell>
          <cell r="I18">
            <v>107828.1</v>
          </cell>
          <cell r="J18">
            <v>107828.1</v>
          </cell>
          <cell r="K18">
            <v>107828.1</v>
          </cell>
          <cell r="L18">
            <v>107828.1</v>
          </cell>
          <cell r="M18">
            <v>107828.1</v>
          </cell>
          <cell r="N18">
            <v>145.5388191587638</v>
          </cell>
          <cell r="O18">
            <v>141.64703873260251</v>
          </cell>
          <cell r="P18">
            <v>166.82907891830595</v>
          </cell>
          <cell r="Q18">
            <v>195.65089589476074</v>
          </cell>
        </row>
        <row r="19">
          <cell r="G19">
            <v>0</v>
          </cell>
          <cell r="H19">
            <v>0</v>
          </cell>
          <cell r="I19">
            <v>0</v>
          </cell>
          <cell r="J19">
            <v>0</v>
          </cell>
          <cell r="K19">
            <v>0</v>
          </cell>
          <cell r="L19">
            <v>0</v>
          </cell>
          <cell r="M19">
            <v>0</v>
          </cell>
          <cell r="N19">
            <v>0</v>
          </cell>
          <cell r="O19">
            <v>0</v>
          </cell>
          <cell r="P19">
            <v>0</v>
          </cell>
          <cell r="Q19">
            <v>0</v>
          </cell>
        </row>
        <row r="20">
          <cell r="F20">
            <v>44735.5</v>
          </cell>
          <cell r="G20">
            <v>0</v>
          </cell>
          <cell r="H20">
            <v>47294.8</v>
          </cell>
          <cell r="I20">
            <v>47294.8</v>
          </cell>
          <cell r="J20">
            <v>47294.8</v>
          </cell>
          <cell r="K20">
            <v>47294.8</v>
          </cell>
          <cell r="L20">
            <v>47294.8</v>
          </cell>
          <cell r="M20">
            <v>47294.8</v>
          </cell>
          <cell r="N20">
            <v>100</v>
          </cell>
          <cell r="O20">
            <v>100</v>
          </cell>
          <cell r="P20">
            <v>100</v>
          </cell>
          <cell r="Q20">
            <v>105.72095986409005</v>
          </cell>
        </row>
        <row r="21">
          <cell r="E21">
            <v>70841.157000000007</v>
          </cell>
          <cell r="F21">
            <v>307439.2</v>
          </cell>
          <cell r="G21">
            <v>84157.437999999995</v>
          </cell>
          <cell r="H21">
            <v>395398.1</v>
          </cell>
          <cell r="I21">
            <v>447224.6</v>
          </cell>
          <cell r="J21">
            <v>447224.6</v>
          </cell>
          <cell r="K21">
            <v>447224.6</v>
          </cell>
          <cell r="L21">
            <v>447224.6</v>
          </cell>
          <cell r="M21">
            <v>447224.6</v>
          </cell>
          <cell r="N21">
            <v>531.41422865082939</v>
          </cell>
          <cell r="O21">
            <v>113.10742262039196</v>
          </cell>
          <cell r="P21">
            <v>631.30617700103335</v>
          </cell>
          <cell r="Q21">
            <v>145.46765669439679</v>
          </cell>
        </row>
        <row r="23">
          <cell r="E23">
            <v>342962</v>
          </cell>
          <cell r="F23">
            <v>910950.10000000009</v>
          </cell>
          <cell r="G23">
            <v>712641.95600000012</v>
          </cell>
          <cell r="H23">
            <v>1597169.1000000003</v>
          </cell>
          <cell r="I23">
            <v>2319456.2000000002</v>
          </cell>
          <cell r="J23">
            <v>0</v>
          </cell>
          <cell r="K23">
            <v>0</v>
          </cell>
          <cell r="L23">
            <v>0</v>
          </cell>
          <cell r="M23">
            <v>2319456.2000000002</v>
          </cell>
          <cell r="N23">
            <v>325.4728662088483</v>
          </cell>
          <cell r="O23">
            <v>145.22295729362656</v>
          </cell>
          <cell r="P23">
            <v>676.30122287600386</v>
          </cell>
          <cell r="Q23">
            <v>254.61945720188183</v>
          </cell>
        </row>
        <row r="24">
          <cell r="E24">
            <v>17321</v>
          </cell>
          <cell r="F24">
            <v>178870.2</v>
          </cell>
          <cell r="G24">
            <v>18206.3</v>
          </cell>
          <cell r="H24">
            <v>56530.3</v>
          </cell>
          <cell r="I24">
            <v>0</v>
          </cell>
          <cell r="M24">
            <v>0</v>
          </cell>
          <cell r="N24">
            <v>0</v>
          </cell>
          <cell r="O24">
            <v>0</v>
          </cell>
          <cell r="P24">
            <v>0</v>
          </cell>
          <cell r="Q24">
            <v>0</v>
          </cell>
        </row>
        <row r="25">
          <cell r="E25">
            <v>0</v>
          </cell>
          <cell r="F25">
            <v>30741.8</v>
          </cell>
          <cell r="G25">
            <v>19787.099999999999</v>
          </cell>
          <cell r="I25">
            <v>0</v>
          </cell>
          <cell r="M25">
            <v>0</v>
          </cell>
          <cell r="N25">
            <v>0</v>
          </cell>
          <cell r="O25">
            <v>0</v>
          </cell>
          <cell r="P25">
            <v>0</v>
          </cell>
          <cell r="Q25">
            <v>0</v>
          </cell>
        </row>
        <row r="26">
          <cell r="F26">
            <v>150547.70000000001</v>
          </cell>
          <cell r="G26">
            <v>0</v>
          </cell>
          <cell r="H26">
            <v>387941</v>
          </cell>
          <cell r="I26">
            <v>491555.5</v>
          </cell>
          <cell r="M26">
            <v>491555.5</v>
          </cell>
          <cell r="N26">
            <v>100</v>
          </cell>
          <cell r="O26">
            <v>126.70882943540384</v>
          </cell>
          <cell r="P26">
            <v>100</v>
          </cell>
          <cell r="Q26">
            <v>326.51146447272191</v>
          </cell>
        </row>
        <row r="27">
          <cell r="E27">
            <v>294263</v>
          </cell>
          <cell r="F27">
            <v>432560.1</v>
          </cell>
          <cell r="G27">
            <v>661123.86600000004</v>
          </cell>
          <cell r="H27">
            <v>1069167.7000000002</v>
          </cell>
          <cell r="I27">
            <v>1827900.7000000002</v>
          </cell>
          <cell r="J27">
            <v>0</v>
          </cell>
          <cell r="K27">
            <v>0</v>
          </cell>
          <cell r="L27">
            <v>0</v>
          </cell>
          <cell r="M27">
            <v>1827900.7000000002</v>
          </cell>
          <cell r="N27">
            <v>276.48384727953538</v>
          </cell>
          <cell r="O27">
            <v>170.96482619143842</v>
          </cell>
          <cell r="P27">
            <v>621.17925121405005</v>
          </cell>
          <cell r="Q27">
            <v>422.5772788567416</v>
          </cell>
        </row>
        <row r="28">
          <cell r="E28">
            <v>215531</v>
          </cell>
          <cell r="F28">
            <v>402964.9</v>
          </cell>
          <cell r="G28">
            <v>535643.91899999999</v>
          </cell>
          <cell r="H28">
            <v>1062677.1000000001</v>
          </cell>
          <cell r="I28">
            <v>1761621.1</v>
          </cell>
          <cell r="M28">
            <v>1761621.1</v>
          </cell>
          <cell r="N28">
            <v>328.87913733601073</v>
          </cell>
          <cell r="O28">
            <v>165.77200167388568</v>
          </cell>
          <cell r="P28">
            <v>817.34001141367139</v>
          </cell>
          <cell r="Q28">
            <v>437.16489947387475</v>
          </cell>
        </row>
        <row r="29">
          <cell r="E29">
            <v>5932</v>
          </cell>
          <cell r="F29">
            <v>10415.799999999999</v>
          </cell>
          <cell r="G29">
            <v>86867.556999999986</v>
          </cell>
          <cell r="I29">
            <v>0</v>
          </cell>
          <cell r="M29">
            <v>0</v>
          </cell>
          <cell r="N29">
            <v>0</v>
          </cell>
          <cell r="O29">
            <v>0</v>
          </cell>
          <cell r="P29">
            <v>0</v>
          </cell>
          <cell r="Q29">
            <v>0</v>
          </cell>
        </row>
        <row r="30">
          <cell r="E30">
            <v>42929</v>
          </cell>
          <cell r="F30">
            <v>14448.1</v>
          </cell>
          <cell r="G30">
            <v>29108.89</v>
          </cell>
          <cell r="H30">
            <v>4093.3</v>
          </cell>
          <cell r="I30">
            <v>0</v>
          </cell>
          <cell r="M30">
            <v>0</v>
          </cell>
          <cell r="N30">
            <v>0</v>
          </cell>
          <cell r="O30">
            <v>0</v>
          </cell>
          <cell r="P30">
            <v>0</v>
          </cell>
          <cell r="Q30">
            <v>0</v>
          </cell>
        </row>
        <row r="31">
          <cell r="E31">
            <v>22000</v>
          </cell>
          <cell r="F31">
            <v>4731.3</v>
          </cell>
          <cell r="G31">
            <v>1372.7</v>
          </cell>
          <cell r="H31">
            <v>2397.3000000000002</v>
          </cell>
          <cell r="I31">
            <v>66279.600000000006</v>
          </cell>
          <cell r="M31">
            <v>66279.600000000006</v>
          </cell>
          <cell r="N31">
            <v>4828.4111604866321</v>
          </cell>
          <cell r="O31">
            <v>2764.7603553998247</v>
          </cell>
          <cell r="P31">
            <v>301.27090909090907</v>
          </cell>
          <cell r="Q31">
            <v>1400.8750237778202</v>
          </cell>
        </row>
        <row r="32">
          <cell r="E32">
            <v>7871</v>
          </cell>
          <cell r="G32">
            <v>8130.8</v>
          </cell>
          <cell r="I32">
            <v>0</v>
          </cell>
          <cell r="M32">
            <v>0</v>
          </cell>
          <cell r="N32">
            <v>0</v>
          </cell>
          <cell r="O32">
            <v>0</v>
          </cell>
          <cell r="P32">
            <v>0</v>
          </cell>
          <cell r="Q32">
            <v>0</v>
          </cell>
        </row>
        <row r="33">
          <cell r="E33">
            <v>22466</v>
          </cell>
          <cell r="F33">
            <v>23332.9</v>
          </cell>
          <cell r="G33">
            <v>2539.422</v>
          </cell>
          <cell r="H33">
            <v>31703.599999999999</v>
          </cell>
          <cell r="I33">
            <v>0</v>
          </cell>
          <cell r="M33">
            <v>0</v>
          </cell>
          <cell r="N33">
            <v>0</v>
          </cell>
          <cell r="O33">
            <v>0</v>
          </cell>
          <cell r="P33">
            <v>0</v>
          </cell>
          <cell r="Q33">
            <v>0</v>
          </cell>
        </row>
        <row r="34">
          <cell r="G34">
            <v>0</v>
          </cell>
          <cell r="I34">
            <v>0</v>
          </cell>
          <cell r="M34">
            <v>0</v>
          </cell>
          <cell r="N34">
            <v>0</v>
          </cell>
          <cell r="O34">
            <v>0</v>
          </cell>
          <cell r="P34">
            <v>0</v>
          </cell>
          <cell r="Q34">
            <v>0</v>
          </cell>
        </row>
        <row r="35">
          <cell r="F35">
            <v>2831.8</v>
          </cell>
          <cell r="G35">
            <v>0</v>
          </cell>
          <cell r="I35">
            <v>0</v>
          </cell>
          <cell r="M35">
            <v>0</v>
          </cell>
          <cell r="N35">
            <v>0</v>
          </cell>
          <cell r="O35">
            <v>0</v>
          </cell>
          <cell r="P35">
            <v>0</v>
          </cell>
          <cell r="Q35">
            <v>0</v>
          </cell>
        </row>
        <row r="36">
          <cell r="E36">
            <v>8912</v>
          </cell>
          <cell r="F36">
            <v>92065.600000000006</v>
          </cell>
          <cell r="G36">
            <v>10985.268</v>
          </cell>
          <cell r="H36">
            <v>51826.5</v>
          </cell>
          <cell r="I36">
            <v>0</v>
          </cell>
          <cell r="M36">
            <v>0</v>
          </cell>
          <cell r="N36">
            <v>0</v>
          </cell>
          <cell r="O36">
            <v>0</v>
          </cell>
          <cell r="P36">
            <v>0</v>
          </cell>
          <cell r="Q36">
            <v>0</v>
          </cell>
        </row>
        <row r="38">
          <cell r="E38">
            <v>9970</v>
          </cell>
          <cell r="F38">
            <v>153139</v>
          </cell>
          <cell r="G38">
            <v>0</v>
          </cell>
          <cell r="H38">
            <v>0</v>
          </cell>
          <cell r="I38">
            <v>0</v>
          </cell>
          <cell r="J38">
            <v>0</v>
          </cell>
          <cell r="K38">
            <v>0</v>
          </cell>
          <cell r="L38">
            <v>0</v>
          </cell>
          <cell r="M38">
            <v>0</v>
          </cell>
          <cell r="N38">
            <v>0</v>
          </cell>
          <cell r="O38">
            <v>0</v>
          </cell>
          <cell r="P38">
            <v>0</v>
          </cell>
          <cell r="Q38">
            <v>0</v>
          </cell>
        </row>
        <row r="39">
          <cell r="F39">
            <v>112232.9</v>
          </cell>
          <cell r="G39">
            <v>0</v>
          </cell>
          <cell r="I39">
            <v>0</v>
          </cell>
          <cell r="J39">
            <v>0</v>
          </cell>
          <cell r="K39">
            <v>0</v>
          </cell>
          <cell r="L39">
            <v>0</v>
          </cell>
          <cell r="M39">
            <v>0</v>
          </cell>
          <cell r="N39">
            <v>0</v>
          </cell>
          <cell r="O39">
            <v>0</v>
          </cell>
          <cell r="P39">
            <v>0</v>
          </cell>
          <cell r="Q39">
            <v>0</v>
          </cell>
        </row>
        <row r="40">
          <cell r="F40">
            <v>1210.8</v>
          </cell>
          <cell r="G40">
            <v>0</v>
          </cell>
          <cell r="I40">
            <v>0</v>
          </cell>
          <cell r="J40">
            <v>0</v>
          </cell>
          <cell r="K40">
            <v>0</v>
          </cell>
          <cell r="L40">
            <v>0</v>
          </cell>
          <cell r="M40">
            <v>0</v>
          </cell>
          <cell r="N40">
            <v>0</v>
          </cell>
          <cell r="O40">
            <v>0</v>
          </cell>
          <cell r="P40">
            <v>0</v>
          </cell>
          <cell r="Q40">
            <v>0</v>
          </cell>
        </row>
        <row r="41">
          <cell r="F41">
            <v>7163.3</v>
          </cell>
          <cell r="G41">
            <v>0</v>
          </cell>
          <cell r="I41">
            <v>0</v>
          </cell>
          <cell r="J41">
            <v>0</v>
          </cell>
          <cell r="K41">
            <v>0</v>
          </cell>
          <cell r="L41">
            <v>0</v>
          </cell>
          <cell r="M41">
            <v>0</v>
          </cell>
          <cell r="N41">
            <v>0</v>
          </cell>
          <cell r="O41">
            <v>0</v>
          </cell>
          <cell r="P41">
            <v>0</v>
          </cell>
          <cell r="Q41">
            <v>0</v>
          </cell>
        </row>
        <row r="42">
          <cell r="E42">
            <v>9947</v>
          </cell>
          <cell r="F42">
            <v>25831.9</v>
          </cell>
          <cell r="G42">
            <v>0</v>
          </cell>
          <cell r="H42">
            <v>0</v>
          </cell>
          <cell r="I42">
            <v>0</v>
          </cell>
          <cell r="J42">
            <v>0</v>
          </cell>
          <cell r="K42">
            <v>0</v>
          </cell>
          <cell r="L42">
            <v>0</v>
          </cell>
          <cell r="M42">
            <v>0</v>
          </cell>
          <cell r="N42">
            <v>0</v>
          </cell>
          <cell r="O42">
            <v>0</v>
          </cell>
          <cell r="P42">
            <v>0</v>
          </cell>
          <cell r="Q42">
            <v>0</v>
          </cell>
        </row>
        <row r="43">
          <cell r="E43">
            <v>9947</v>
          </cell>
          <cell r="F43">
            <v>25699.8</v>
          </cell>
          <cell r="G43">
            <v>0</v>
          </cell>
          <cell r="I43">
            <v>0</v>
          </cell>
          <cell r="J43">
            <v>0</v>
          </cell>
          <cell r="K43">
            <v>0</v>
          </cell>
          <cell r="L43">
            <v>0</v>
          </cell>
          <cell r="M43">
            <v>0</v>
          </cell>
          <cell r="N43">
            <v>0</v>
          </cell>
          <cell r="O43">
            <v>0</v>
          </cell>
          <cell r="P43">
            <v>0</v>
          </cell>
          <cell r="Q43">
            <v>0</v>
          </cell>
        </row>
        <row r="44">
          <cell r="F44">
            <v>65.2</v>
          </cell>
          <cell r="G44">
            <v>0</v>
          </cell>
          <cell r="I44">
            <v>0</v>
          </cell>
          <cell r="J44">
            <v>0</v>
          </cell>
          <cell r="K44">
            <v>0</v>
          </cell>
          <cell r="L44">
            <v>0</v>
          </cell>
          <cell r="M44">
            <v>0</v>
          </cell>
          <cell r="N44">
            <v>0</v>
          </cell>
          <cell r="O44">
            <v>0</v>
          </cell>
          <cell r="P44">
            <v>0</v>
          </cell>
          <cell r="Q44">
            <v>0</v>
          </cell>
        </row>
        <row r="45">
          <cell r="F45">
            <v>66.900000000000006</v>
          </cell>
          <cell r="G45">
            <v>0</v>
          </cell>
          <cell r="I45">
            <v>0</v>
          </cell>
          <cell r="J45">
            <v>0</v>
          </cell>
          <cell r="K45">
            <v>0</v>
          </cell>
          <cell r="L45">
            <v>0</v>
          </cell>
          <cell r="M45">
            <v>0</v>
          </cell>
          <cell r="N45">
            <v>0</v>
          </cell>
          <cell r="O45">
            <v>0</v>
          </cell>
          <cell r="P45">
            <v>0</v>
          </cell>
          <cell r="Q45">
            <v>0</v>
          </cell>
        </row>
        <row r="46">
          <cell r="G46">
            <v>0</v>
          </cell>
          <cell r="I46">
            <v>0</v>
          </cell>
          <cell r="J46">
            <v>0</v>
          </cell>
          <cell r="K46">
            <v>0</v>
          </cell>
          <cell r="L46">
            <v>0</v>
          </cell>
          <cell r="M46">
            <v>0</v>
          </cell>
          <cell r="N46">
            <v>0</v>
          </cell>
          <cell r="O46">
            <v>0</v>
          </cell>
          <cell r="P46">
            <v>0</v>
          </cell>
          <cell r="Q46">
            <v>0</v>
          </cell>
        </row>
        <row r="47">
          <cell r="G47">
            <v>0</v>
          </cell>
          <cell r="I47">
            <v>0</v>
          </cell>
          <cell r="J47">
            <v>0</v>
          </cell>
          <cell r="K47">
            <v>0</v>
          </cell>
          <cell r="L47">
            <v>0</v>
          </cell>
          <cell r="M47">
            <v>0</v>
          </cell>
          <cell r="N47">
            <v>0</v>
          </cell>
          <cell r="O47">
            <v>0</v>
          </cell>
          <cell r="P47">
            <v>0</v>
          </cell>
          <cell r="Q47">
            <v>0</v>
          </cell>
        </row>
        <row r="48">
          <cell r="E48">
            <v>23</v>
          </cell>
          <cell r="F48">
            <v>2320.9</v>
          </cell>
          <cell r="G48">
            <v>0</v>
          </cell>
          <cell r="I48">
            <v>0</v>
          </cell>
          <cell r="J48">
            <v>0</v>
          </cell>
          <cell r="K48">
            <v>0</v>
          </cell>
          <cell r="L48">
            <v>0</v>
          </cell>
          <cell r="M48">
            <v>0</v>
          </cell>
          <cell r="N48">
            <v>0</v>
          </cell>
          <cell r="O48">
            <v>0</v>
          </cell>
          <cell r="P48">
            <v>0</v>
          </cell>
          <cell r="Q48">
            <v>0</v>
          </cell>
        </row>
        <row r="49">
          <cell r="G49">
            <v>0</v>
          </cell>
          <cell r="I49">
            <v>0</v>
          </cell>
          <cell r="J49">
            <v>0</v>
          </cell>
          <cell r="K49">
            <v>0</v>
          </cell>
          <cell r="L49">
            <v>0</v>
          </cell>
          <cell r="M49">
            <v>0</v>
          </cell>
          <cell r="N49">
            <v>0</v>
          </cell>
          <cell r="O49">
            <v>0</v>
          </cell>
          <cell r="P49">
            <v>0</v>
          </cell>
          <cell r="Q49">
            <v>0</v>
          </cell>
        </row>
        <row r="50">
          <cell r="F50">
            <v>272.5</v>
          </cell>
          <cell r="G50">
            <v>0</v>
          </cell>
          <cell r="I50">
            <v>0</v>
          </cell>
          <cell r="J50">
            <v>0</v>
          </cell>
          <cell r="K50">
            <v>0</v>
          </cell>
          <cell r="L50">
            <v>0</v>
          </cell>
          <cell r="M50">
            <v>0</v>
          </cell>
          <cell r="N50">
            <v>0</v>
          </cell>
          <cell r="O50">
            <v>0</v>
          </cell>
          <cell r="P50">
            <v>0</v>
          </cell>
          <cell r="Q50">
            <v>0</v>
          </cell>
        </row>
        <row r="51">
          <cell r="F51">
            <v>4106.7</v>
          </cell>
          <cell r="G51">
            <v>0</v>
          </cell>
          <cell r="I51">
            <v>0</v>
          </cell>
          <cell r="J51">
            <v>0</v>
          </cell>
          <cell r="K51">
            <v>0</v>
          </cell>
          <cell r="L51">
            <v>0</v>
          </cell>
          <cell r="M51">
            <v>0</v>
          </cell>
          <cell r="N51">
            <v>0</v>
          </cell>
          <cell r="O51">
            <v>0</v>
          </cell>
          <cell r="P51">
            <v>0</v>
          </cell>
          <cell r="Q51">
            <v>0</v>
          </cell>
        </row>
        <row r="53">
          <cell r="E53">
            <v>6897516.4843699988</v>
          </cell>
          <cell r="F53">
            <v>7958560.6000000006</v>
          </cell>
          <cell r="G53">
            <v>7470068.94147</v>
          </cell>
          <cell r="H53">
            <v>9136050.6000000015</v>
          </cell>
          <cell r="I53">
            <v>10224567.198999999</v>
          </cell>
          <cell r="J53">
            <v>9934635.1739999987</v>
          </cell>
          <cell r="K53">
            <v>9934635.1739999987</v>
          </cell>
          <cell r="L53">
            <v>9934635.1739999987</v>
          </cell>
          <cell r="M53">
            <v>11094363.274</v>
          </cell>
          <cell r="N53">
            <v>136.87379968126444</v>
          </cell>
          <cell r="O53">
            <v>111.91452025232869</v>
          </cell>
          <cell r="P53">
            <v>148.23548768849204</v>
          </cell>
          <cell r="Q53">
            <v>128.47256825562147</v>
          </cell>
        </row>
        <row r="54">
          <cell r="E54">
            <v>437980.98</v>
          </cell>
          <cell r="F54">
            <v>1236557.3999999999</v>
          </cell>
          <cell r="G54">
            <v>509582.50400000002</v>
          </cell>
          <cell r="H54">
            <v>1298141.2</v>
          </cell>
          <cell r="I54">
            <v>1326406.3740000001</v>
          </cell>
          <cell r="J54">
            <v>1326406.3740000001</v>
          </cell>
          <cell r="K54">
            <v>1326406.3740000001</v>
          </cell>
          <cell r="L54">
            <v>1326406.3740000001</v>
          </cell>
          <cell r="M54">
            <v>1326406.3740000001</v>
          </cell>
          <cell r="N54">
            <v>260.2927619351704</v>
          </cell>
          <cell r="O54">
            <v>102.17735744000731</v>
          </cell>
          <cell r="P54">
            <v>302.84565644836908</v>
          </cell>
          <cell r="Q54">
            <v>107.26605768563596</v>
          </cell>
        </row>
        <row r="55">
          <cell r="E55">
            <v>105489.81299999999</v>
          </cell>
          <cell r="F55">
            <v>76701.5</v>
          </cell>
          <cell r="G55">
            <v>124848.86500000001</v>
          </cell>
          <cell r="H55">
            <v>91467</v>
          </cell>
          <cell r="I55">
            <v>91467</v>
          </cell>
          <cell r="J55">
            <v>91467</v>
          </cell>
          <cell r="K55">
            <v>91467</v>
          </cell>
          <cell r="L55">
            <v>91467</v>
          </cell>
          <cell r="M55">
            <v>91467</v>
          </cell>
          <cell r="N55">
            <v>73.262179836396584</v>
          </cell>
          <cell r="O55">
            <v>100</v>
          </cell>
          <cell r="P55">
            <v>86.706950556448533</v>
          </cell>
          <cell r="Q55">
            <v>119.25060135720943</v>
          </cell>
        </row>
        <row r="56">
          <cell r="E56">
            <v>0</v>
          </cell>
          <cell r="F56">
            <v>4372526.7</v>
          </cell>
          <cell r="G56">
            <v>0</v>
          </cell>
          <cell r="H56">
            <v>4638189.4000000004</v>
          </cell>
          <cell r="I56">
            <v>4893604.2374999998</v>
          </cell>
          <cell r="J56">
            <v>4832159.8</v>
          </cell>
          <cell r="K56">
            <v>4832159.8</v>
          </cell>
          <cell r="L56">
            <v>4832159.8</v>
          </cell>
          <cell r="M56">
            <v>5077937.55</v>
          </cell>
          <cell r="N56">
            <v>100</v>
          </cell>
          <cell r="O56">
            <v>105.50677894913044</v>
          </cell>
          <cell r="P56">
            <v>100</v>
          </cell>
          <cell r="Q56">
            <v>111.91708074647092</v>
          </cell>
        </row>
        <row r="57">
          <cell r="E57">
            <v>6202893.1583699994</v>
          </cell>
          <cell r="F57">
            <v>1809722.7</v>
          </cell>
          <cell r="G57">
            <v>6670628.89647</v>
          </cell>
          <cell r="H57">
            <v>2547670.6</v>
          </cell>
          <cell r="I57">
            <v>3310742.0874999999</v>
          </cell>
          <cell r="J57">
            <v>3082254.5</v>
          </cell>
          <cell r="K57">
            <v>3082254.5</v>
          </cell>
          <cell r="L57">
            <v>3082254.5</v>
          </cell>
          <cell r="M57">
            <v>3996204.85</v>
          </cell>
          <cell r="N57">
            <v>49.631633521870725</v>
          </cell>
          <cell r="O57">
            <v>129.95173267297585</v>
          </cell>
          <cell r="P57">
            <v>53.374159492535888</v>
          </cell>
          <cell r="Q57">
            <v>182.94195500227741</v>
          </cell>
        </row>
        <row r="58">
          <cell r="E58">
            <v>5957569.7247399995</v>
          </cell>
          <cell r="F58">
            <v>1717719.2</v>
          </cell>
          <cell r="G58">
            <v>6326002.2693499997</v>
          </cell>
          <cell r="H58">
            <v>2437690.2000000002</v>
          </cell>
          <cell r="I58">
            <v>3189231.4375</v>
          </cell>
          <cell r="J58">
            <v>2969028.8</v>
          </cell>
          <cell r="K58">
            <v>2969028.8</v>
          </cell>
          <cell r="L58">
            <v>2969028.8</v>
          </cell>
          <cell r="M58">
            <v>3849839.3499999996</v>
          </cell>
          <cell r="N58">
            <v>50.414642640140805</v>
          </cell>
          <cell r="O58">
            <v>130.83005533270799</v>
          </cell>
          <cell r="P58">
            <v>53.53242320028717</v>
          </cell>
          <cell r="Q58">
            <v>185.66663500646672</v>
          </cell>
        </row>
        <row r="59">
          <cell r="E59">
            <v>57913.050039999995</v>
          </cell>
          <cell r="F59">
            <v>29810.2</v>
          </cell>
          <cell r="G59">
            <v>125274.74638999999</v>
          </cell>
          <cell r="H59">
            <v>34985.5</v>
          </cell>
          <cell r="I59">
            <v>34985.5</v>
          </cell>
          <cell r="J59">
            <v>34985.5</v>
          </cell>
          <cell r="K59">
            <v>34985.5</v>
          </cell>
          <cell r="L59">
            <v>34985.5</v>
          </cell>
          <cell r="M59">
            <v>34985.5</v>
          </cell>
          <cell r="N59">
            <v>27.927017222676813</v>
          </cell>
          <cell r="O59">
            <v>100</v>
          </cell>
          <cell r="P59">
            <v>60.410391053201039</v>
          </cell>
          <cell r="Q59">
            <v>117.36083622384284</v>
          </cell>
        </row>
        <row r="60">
          <cell r="E60">
            <v>88706.004939999999</v>
          </cell>
          <cell r="F60">
            <v>47614.1</v>
          </cell>
          <cell r="G60">
            <v>138132.21202000001</v>
          </cell>
          <cell r="H60">
            <v>56851.3</v>
          </cell>
          <cell r="I60">
            <v>58898</v>
          </cell>
          <cell r="J60">
            <v>58898</v>
          </cell>
          <cell r="K60">
            <v>58898</v>
          </cell>
          <cell r="L60">
            <v>58898</v>
          </cell>
          <cell r="M60">
            <v>58898</v>
          </cell>
          <cell r="N60">
            <v>42.638859639395498</v>
          </cell>
          <cell r="O60">
            <v>103.60009357745557</v>
          </cell>
          <cell r="P60">
            <v>66.396857845010743</v>
          </cell>
          <cell r="Q60">
            <v>123.69865228997293</v>
          </cell>
        </row>
        <row r="61">
          <cell r="E61">
            <v>43747.272790000003</v>
          </cell>
          <cell r="F61">
            <v>14579.2</v>
          </cell>
          <cell r="G61">
            <v>41067.843710000001</v>
          </cell>
          <cell r="H61">
            <v>18143.599999999999</v>
          </cell>
          <cell r="I61">
            <v>27627.15</v>
          </cell>
          <cell r="J61">
            <v>19342.2</v>
          </cell>
          <cell r="K61">
            <v>19342.2</v>
          </cell>
          <cell r="L61">
            <v>19342.2</v>
          </cell>
          <cell r="M61">
            <v>52482</v>
          </cell>
          <cell r="N61">
            <v>67.271976086908126</v>
          </cell>
          <cell r="O61">
            <v>152.26939526885513</v>
          </cell>
          <cell r="P61">
            <v>63.151708067880222</v>
          </cell>
          <cell r="Q61">
            <v>189.49702315627744</v>
          </cell>
        </row>
        <row r="62">
          <cell r="E62">
            <v>54957.105860000003</v>
          </cell>
          <cell r="G62">
            <v>40151.825000000004</v>
          </cell>
          <cell r="I62">
            <v>0</v>
          </cell>
          <cell r="J62">
            <v>0</v>
          </cell>
          <cell r="K62">
            <v>0</v>
          </cell>
          <cell r="L62">
            <v>0</v>
          </cell>
          <cell r="M62">
            <v>0</v>
          </cell>
          <cell r="N62">
            <v>0</v>
          </cell>
          <cell r="O62">
            <v>0</v>
          </cell>
          <cell r="P62">
            <v>0</v>
          </cell>
          <cell r="Q62">
            <v>0</v>
          </cell>
        </row>
        <row r="63">
          <cell r="E63">
            <v>75855.375999999989</v>
          </cell>
          <cell r="F63">
            <v>65618.399999999994</v>
          </cell>
          <cell r="G63">
            <v>75358.603999999992</v>
          </cell>
          <cell r="H63">
            <v>91976.2</v>
          </cell>
          <cell r="I63">
            <v>107828.09999999999</v>
          </cell>
          <cell r="J63">
            <v>107828.1</v>
          </cell>
          <cell r="K63">
            <v>107828.1</v>
          </cell>
          <cell r="L63">
            <v>107828.1</v>
          </cell>
          <cell r="M63">
            <v>107828.1</v>
          </cell>
          <cell r="N63">
            <v>143.08664741188676</v>
          </cell>
          <cell r="O63">
            <v>117.23478465081183</v>
          </cell>
          <cell r="P63">
            <v>142.14958212058696</v>
          </cell>
          <cell r="Q63">
            <v>164.32601221608573</v>
          </cell>
        </row>
        <row r="64">
          <cell r="E64">
            <v>0</v>
          </cell>
          <cell r="G64">
            <v>0</v>
          </cell>
          <cell r="I64">
            <v>0</v>
          </cell>
          <cell r="J64">
            <v>0</v>
          </cell>
          <cell r="K64">
            <v>0</v>
          </cell>
          <cell r="L64">
            <v>0</v>
          </cell>
          <cell r="M64">
            <v>0</v>
          </cell>
          <cell r="N64">
            <v>0</v>
          </cell>
          <cell r="O64">
            <v>0</v>
          </cell>
          <cell r="P64">
            <v>0</v>
          </cell>
          <cell r="Q64">
            <v>0</v>
          </cell>
        </row>
        <row r="65">
          <cell r="E65">
            <v>0</v>
          </cell>
          <cell r="F65">
            <v>46015.199999999997</v>
          </cell>
          <cell r="G65">
            <v>0</v>
          </cell>
          <cell r="H65">
            <v>47294.8</v>
          </cell>
          <cell r="I65">
            <v>47294.8</v>
          </cell>
          <cell r="J65">
            <v>47294.8</v>
          </cell>
          <cell r="K65">
            <v>47294.8</v>
          </cell>
          <cell r="L65">
            <v>47294.8</v>
          </cell>
          <cell r="M65">
            <v>47294.8</v>
          </cell>
          <cell r="N65">
            <v>100</v>
          </cell>
          <cell r="O65">
            <v>100</v>
          </cell>
          <cell r="P65">
            <v>100</v>
          </cell>
          <cell r="Q65">
            <v>102.78082025069979</v>
          </cell>
        </row>
        <row r="66">
          <cell r="E66">
            <v>75297.157000000007</v>
          </cell>
          <cell r="F66">
            <v>351418.7</v>
          </cell>
          <cell r="G66">
            <v>89650.072</v>
          </cell>
          <cell r="H66">
            <v>421311.4</v>
          </cell>
          <cell r="I66">
            <v>447224.60000000003</v>
          </cell>
          <cell r="J66">
            <v>447224.6</v>
          </cell>
          <cell r="K66">
            <v>447224.6</v>
          </cell>
          <cell r="L66">
            <v>447224.6</v>
          </cell>
          <cell r="M66">
            <v>447224.6</v>
          </cell>
          <cell r="N66">
            <v>498.85581798528841</v>
          </cell>
          <cell r="O66">
            <v>106.15060499193709</v>
          </cell>
          <cell r="P66">
            <v>593.94619640154542</v>
          </cell>
          <cell r="Q66">
            <v>127.2626072545371</v>
          </cell>
        </row>
        <row r="69">
          <cell r="E69">
            <v>5.7560000000000002</v>
          </cell>
          <cell r="F69">
            <v>5.1944999999999997</v>
          </cell>
          <cell r="G69">
            <v>4.594586745</v>
          </cell>
          <cell r="H69">
            <v>5.1915443999999997</v>
          </cell>
          <cell r="I69">
            <v>5.1915443999999997</v>
          </cell>
          <cell r="J69">
            <v>1.2978860999999999</v>
          </cell>
          <cell r="K69">
            <v>1.2978860999999999</v>
          </cell>
          <cell r="L69">
            <v>1.2978860999999999</v>
          </cell>
          <cell r="M69">
            <v>1.2978860999999999</v>
          </cell>
          <cell r="N69">
            <v>112.99262998243817</v>
          </cell>
          <cell r="O69">
            <v>100</v>
          </cell>
          <cell r="P69">
            <v>90.193613620569835</v>
          </cell>
          <cell r="Q69">
            <v>99.943101357204739</v>
          </cell>
        </row>
        <row r="70">
          <cell r="E70">
            <v>4.1890000000000001</v>
          </cell>
          <cell r="F70">
            <v>5.1440000000000001</v>
          </cell>
          <cell r="G70">
            <v>4.5944108259999998</v>
          </cell>
          <cell r="H70">
            <v>7.0786470000000001</v>
          </cell>
          <cell r="I70">
            <v>7.0786470000000001</v>
          </cell>
          <cell r="J70">
            <v>1.76966175</v>
          </cell>
          <cell r="K70">
            <v>1.76966175</v>
          </cell>
          <cell r="L70">
            <v>1.76966175</v>
          </cell>
          <cell r="M70">
            <v>1.76966175</v>
          </cell>
          <cell r="N70">
            <v>154.07083232395291</v>
          </cell>
          <cell r="O70">
            <v>100</v>
          </cell>
          <cell r="P70">
            <v>168.98178562902842</v>
          </cell>
          <cell r="Q70">
            <v>137.60977838258162</v>
          </cell>
        </row>
        <row r="71">
          <cell r="F71">
            <v>6.85</v>
          </cell>
          <cell r="H71">
            <v>6.8344444400000004</v>
          </cell>
          <cell r="I71">
            <v>6.8344444400000004</v>
          </cell>
          <cell r="J71">
            <v>1.7086111100000001</v>
          </cell>
          <cell r="K71">
            <v>1.7086111100000001</v>
          </cell>
          <cell r="L71">
            <v>1.7086111100000001</v>
          </cell>
          <cell r="M71">
            <v>1.7086111100000001</v>
          </cell>
          <cell r="N71">
            <v>100</v>
          </cell>
          <cell r="O71">
            <v>100</v>
          </cell>
          <cell r="P71">
            <v>100</v>
          </cell>
          <cell r="Q71">
            <v>99.772911532846734</v>
          </cell>
        </row>
        <row r="72">
          <cell r="E72">
            <v>7.0937072199999998</v>
          </cell>
          <cell r="F72">
            <v>5.7939999999999996</v>
          </cell>
          <cell r="G72">
            <v>6.8189931829999999</v>
          </cell>
          <cell r="H72">
            <v>5.843</v>
          </cell>
          <cell r="I72">
            <v>5.843</v>
          </cell>
          <cell r="J72">
            <v>1.46075</v>
          </cell>
          <cell r="K72">
            <v>1.46075</v>
          </cell>
          <cell r="L72">
            <v>1.46075</v>
          </cell>
          <cell r="M72">
            <v>1.46075</v>
          </cell>
          <cell r="N72">
            <v>85.687136549231539</v>
          </cell>
          <cell r="O72">
            <v>100</v>
          </cell>
          <cell r="P72">
            <v>82.368778676490123</v>
          </cell>
          <cell r="Q72">
            <v>100.84570245081119</v>
          </cell>
        </row>
        <row r="73">
          <cell r="E73">
            <v>7.39</v>
          </cell>
          <cell r="F73">
            <v>5.6239999999999997</v>
          </cell>
          <cell r="G73">
            <v>6.5756151439357424</v>
          </cell>
          <cell r="H73">
            <v>5.8334999999999999</v>
          </cell>
          <cell r="I73">
            <v>5.8334999999999999</v>
          </cell>
          <cell r="J73">
            <v>1.458375</v>
          </cell>
          <cell r="K73">
            <v>1.458375</v>
          </cell>
          <cell r="L73">
            <v>1.458375</v>
          </cell>
          <cell r="M73">
            <v>1.458375</v>
          </cell>
          <cell r="N73">
            <v>88.714133542013229</v>
          </cell>
          <cell r="O73">
            <v>100</v>
          </cell>
          <cell r="P73">
            <v>78.937753721244931</v>
          </cell>
          <cell r="Q73">
            <v>103.72510668563299</v>
          </cell>
        </row>
        <row r="74">
          <cell r="E74">
            <v>10.73</v>
          </cell>
          <cell r="F74">
            <v>10.63</v>
          </cell>
          <cell r="G74">
            <v>8.0895072629999998</v>
          </cell>
          <cell r="H74">
            <v>10.628</v>
          </cell>
          <cell r="I74">
            <v>10.1</v>
          </cell>
          <cell r="J74">
            <v>2.5249999999999999</v>
          </cell>
          <cell r="K74">
            <v>2.5249999999999999</v>
          </cell>
          <cell r="L74">
            <v>2.5249999999999999</v>
          </cell>
          <cell r="M74">
            <v>2.5249999999999999</v>
          </cell>
          <cell r="N74">
            <v>124.85309267470028</v>
          </cell>
          <cell r="O74">
            <v>95.031990967256291</v>
          </cell>
          <cell r="P74">
            <v>94.128611369990679</v>
          </cell>
          <cell r="Q74">
            <v>95.014111006585125</v>
          </cell>
        </row>
        <row r="75">
          <cell r="E75">
            <v>15.2</v>
          </cell>
          <cell r="F75">
            <v>6.8339999999999996</v>
          </cell>
          <cell r="G75">
            <v>7.1964044720006113</v>
          </cell>
          <cell r="H75">
            <v>13.414</v>
          </cell>
          <cell r="I75">
            <v>13.414</v>
          </cell>
          <cell r="J75">
            <v>3.3534999999999999</v>
          </cell>
          <cell r="K75">
            <v>3.3534999999999999</v>
          </cell>
          <cell r="L75">
            <v>3.3534999999999999</v>
          </cell>
          <cell r="M75">
            <v>3.3534999999999999</v>
          </cell>
          <cell r="N75">
            <v>186.39863910082431</v>
          </cell>
          <cell r="O75">
            <v>100</v>
          </cell>
          <cell r="P75">
            <v>88.25</v>
          </cell>
          <cell r="Q75">
            <v>196.28328943517707</v>
          </cell>
        </row>
        <row r="76">
          <cell r="E76">
            <v>14.71</v>
          </cell>
          <cell r="F76">
            <v>15.204000000000001</v>
          </cell>
          <cell r="G76">
            <v>15.597508902000001</v>
          </cell>
          <cell r="H76">
            <v>20.666444439999999</v>
          </cell>
          <cell r="I76">
            <v>20.666444439999999</v>
          </cell>
          <cell r="J76">
            <v>5.1666111099999998</v>
          </cell>
          <cell r="K76">
            <v>5.1666111099999998</v>
          </cell>
          <cell r="L76">
            <v>5.1666111099999998</v>
          </cell>
          <cell r="M76">
            <v>5.1666111099999998</v>
          </cell>
          <cell r="N76">
            <v>132.49836605222279</v>
          </cell>
          <cell r="O76">
            <v>100</v>
          </cell>
          <cell r="P76">
            <v>140.49248429639701</v>
          </cell>
          <cell r="Q76">
            <v>135.9276798210997</v>
          </cell>
        </row>
        <row r="77">
          <cell r="E77">
            <v>11.8</v>
          </cell>
          <cell r="G77">
            <v>10.820047000235768</v>
          </cell>
          <cell r="J77">
            <v>0</v>
          </cell>
          <cell r="K77">
            <v>0</v>
          </cell>
          <cell r="L77">
            <v>0</v>
          </cell>
          <cell r="M77">
            <v>0</v>
          </cell>
          <cell r="N77">
            <v>0</v>
          </cell>
          <cell r="O77">
            <v>0</v>
          </cell>
          <cell r="P77">
            <v>0</v>
          </cell>
          <cell r="Q77">
            <v>0</v>
          </cell>
        </row>
        <row r="78">
          <cell r="E78">
            <v>15.1</v>
          </cell>
          <cell r="F78">
            <v>15.353</v>
          </cell>
          <cell r="G78">
            <v>14.808887106999999</v>
          </cell>
          <cell r="H78">
            <v>20.46</v>
          </cell>
          <cell r="I78">
            <v>20.46</v>
          </cell>
          <cell r="J78">
            <v>5.1150000000000002</v>
          </cell>
          <cell r="K78">
            <v>5.1150000000000002</v>
          </cell>
          <cell r="L78">
            <v>5.1150000000000002</v>
          </cell>
          <cell r="M78">
            <v>5.1150000000000002</v>
          </cell>
          <cell r="N78">
            <v>138.16028072986512</v>
          </cell>
          <cell r="O78">
            <v>100</v>
          </cell>
          <cell r="P78">
            <v>135.49668874172187</v>
          </cell>
          <cell r="Q78">
            <v>133.26385722660069</v>
          </cell>
        </row>
        <row r="79">
          <cell r="N79">
            <v>0</v>
          </cell>
          <cell r="O79">
            <v>0</v>
          </cell>
          <cell r="P79">
            <v>0</v>
          </cell>
          <cell r="Q79">
            <v>0</v>
          </cell>
        </row>
        <row r="80">
          <cell r="F80">
            <v>8.0839999999999996</v>
          </cell>
          <cell r="H80">
            <v>16.271000000000001</v>
          </cell>
          <cell r="I80">
            <v>16.271000000000001</v>
          </cell>
          <cell r="J80">
            <v>4.0677500000000002</v>
          </cell>
          <cell r="K80">
            <v>1.0169375</v>
          </cell>
          <cell r="L80">
            <v>0.25423437500000001</v>
          </cell>
          <cell r="M80">
            <v>6.3558593750000003E-2</v>
          </cell>
          <cell r="N80">
            <v>100</v>
          </cell>
          <cell r="O80">
            <v>100</v>
          </cell>
          <cell r="P80">
            <v>100</v>
          </cell>
          <cell r="Q80">
            <v>201.27412172191987</v>
          </cell>
        </row>
        <row r="81">
          <cell r="E81">
            <v>14</v>
          </cell>
          <cell r="F81">
            <v>8.0839999999999996</v>
          </cell>
          <cell r="G81">
            <v>21.695229999999999</v>
          </cell>
          <cell r="H81">
            <v>14.813000000000001</v>
          </cell>
          <cell r="I81">
            <v>21.308</v>
          </cell>
          <cell r="J81">
            <v>5.327</v>
          </cell>
          <cell r="K81">
            <v>1.33175</v>
          </cell>
          <cell r="L81">
            <v>0.3329375</v>
          </cell>
          <cell r="M81">
            <v>8.3234374999999999E-2</v>
          </cell>
          <cell r="N81">
            <v>98.215137613198848</v>
          </cell>
          <cell r="O81">
            <v>143.84662121109835</v>
          </cell>
          <cell r="P81">
            <v>152.19999999999999</v>
          </cell>
          <cell r="Q81">
            <v>263.58238495794166</v>
          </cell>
        </row>
        <row r="83">
          <cell r="E83">
            <v>491639.99705554865</v>
          </cell>
          <cell r="F83">
            <v>514754.860919</v>
          </cell>
          <cell r="G83">
            <v>514628.5695741754</v>
          </cell>
          <cell r="H83">
            <v>628645.59865715227</v>
          </cell>
          <cell r="I83">
            <v>728284.50871617824</v>
          </cell>
          <cell r="J83">
            <v>177683.6482590363</v>
          </cell>
          <cell r="K83">
            <v>158373.03175728628</v>
          </cell>
          <cell r="L83">
            <v>153545.37763184879</v>
          </cell>
          <cell r="M83">
            <v>169888.37978052243</v>
          </cell>
          <cell r="N83">
            <v>141.51653284985528</v>
          </cell>
          <cell r="O83">
            <v>115.84977454258238</v>
          </cell>
          <cell r="P83">
            <v>148.13369804692519</v>
          </cell>
          <cell r="Q83">
            <v>141.48181280230366</v>
          </cell>
        </row>
        <row r="84">
          <cell r="E84">
            <v>25210.185208800001</v>
          </cell>
          <cell r="F84">
            <v>64232.974142999992</v>
          </cell>
          <cell r="G84">
            <v>23413.210183623094</v>
          </cell>
          <cell r="H84">
            <v>67393.576772692788</v>
          </cell>
          <cell r="I84">
            <v>68860.975830640062</v>
          </cell>
          <cell r="J84">
            <v>17215.243957660015</v>
          </cell>
          <cell r="K84">
            <v>17215.243957660015</v>
          </cell>
          <cell r="L84">
            <v>17215.243957660015</v>
          </cell>
          <cell r="M84">
            <v>17215.243957660015</v>
          </cell>
          <cell r="N84">
            <v>294.11163736447577</v>
          </cell>
          <cell r="O84">
            <v>102.17735744000733</v>
          </cell>
          <cell r="P84">
            <v>273.14744124372032</v>
          </cell>
          <cell r="Q84">
            <v>107.20502475463284</v>
          </cell>
        </row>
        <row r="85">
          <cell r="E85">
            <v>4418.9682665700002</v>
          </cell>
          <cell r="F85">
            <v>3945.5251600000001</v>
          </cell>
          <cell r="G85">
            <v>5736.0697696981251</v>
          </cell>
          <cell r="H85">
            <v>6474.6260514900005</v>
          </cell>
          <cell r="I85">
            <v>6474.6260514900005</v>
          </cell>
          <cell r="J85">
            <v>1618.6565128725001</v>
          </cell>
          <cell r="K85">
            <v>1618.6565128725001</v>
          </cell>
          <cell r="L85">
            <v>1618.6565128725001</v>
          </cell>
          <cell r="M85">
            <v>1618.6565128725001</v>
          </cell>
          <cell r="N85">
            <v>112.87565025260744</v>
          </cell>
          <cell r="O85">
            <v>100</v>
          </cell>
          <cell r="P85">
            <v>146.5189533147655</v>
          </cell>
          <cell r="Q85">
            <v>164.10048824755182</v>
          </cell>
        </row>
        <row r="86">
          <cell r="E86">
            <v>0</v>
          </cell>
          <cell r="F86">
            <v>299518.07895</v>
          </cell>
          <cell r="G86">
            <v>0</v>
          </cell>
          <cell r="H86">
            <v>316994.47756496939</v>
          </cell>
          <cell r="I86">
            <v>334450.66272542317</v>
          </cell>
          <cell r="J86">
            <v>82562.819195753778</v>
          </cell>
          <cell r="K86">
            <v>82562.819195753778</v>
          </cell>
          <cell r="L86">
            <v>82562.819195753778</v>
          </cell>
          <cell r="M86">
            <v>86762.205138161822</v>
          </cell>
          <cell r="N86">
            <v>100</v>
          </cell>
          <cell r="O86">
            <v>105.50677894913045</v>
          </cell>
          <cell r="P86">
            <v>100</v>
          </cell>
          <cell r="Q86">
            <v>111.66292996332106</v>
          </cell>
        </row>
        <row r="87">
          <cell r="E87">
            <v>440015.07982417865</v>
          </cell>
          <cell r="F87">
            <v>104855.33323799999</v>
          </cell>
          <cell r="G87">
            <v>454869.72971351742</v>
          </cell>
          <cell r="H87">
            <v>148860.39315799999</v>
          </cell>
          <cell r="I87">
            <v>193446.66017262501</v>
          </cell>
          <cell r="J87">
            <v>45024.03260875</v>
          </cell>
          <cell r="K87">
            <v>45024.03260875</v>
          </cell>
          <cell r="L87">
            <v>45024.03260875</v>
          </cell>
          <cell r="M87">
            <v>58374.562346374994</v>
          </cell>
          <cell r="N87">
            <v>42.527925587499546</v>
          </cell>
          <cell r="O87">
            <v>129.95173267297585</v>
          </cell>
          <cell r="P87">
            <v>43.963643302843728</v>
          </cell>
          <cell r="Q87">
            <v>184.48909959929361</v>
          </cell>
        </row>
        <row r="88">
          <cell r="E88">
            <v>440264.40265828592</v>
          </cell>
          <cell r="F88">
            <v>96604.527807999999</v>
          </cell>
          <cell r="G88">
            <v>415973.56322909734</v>
          </cell>
          <cell r="H88">
            <v>142202.657817</v>
          </cell>
          <cell r="I88">
            <v>186043.81590656249</v>
          </cell>
          <cell r="J88">
            <v>43299.573762</v>
          </cell>
          <cell r="K88">
            <v>43299.573762</v>
          </cell>
          <cell r="L88">
            <v>43299.573762</v>
          </cell>
          <cell r="M88">
            <v>56145.094620562493</v>
          </cell>
          <cell r="N88">
            <v>44.724913396503254</v>
          </cell>
          <cell r="O88">
            <v>130.83005533270799</v>
          </cell>
          <cell r="P88">
            <v>42.257292386857273</v>
          </cell>
          <cell r="Q88">
            <v>192.58291524008243</v>
          </cell>
        </row>
        <row r="89">
          <cell r="E89">
            <v>6214.0702692919995</v>
          </cell>
          <cell r="F89">
            <v>3168.8242600000003</v>
          </cell>
          <cell r="G89">
            <v>10134.109707923879</v>
          </cell>
          <cell r="H89">
            <v>3718.2589400000002</v>
          </cell>
          <cell r="I89">
            <v>3533.5355</v>
          </cell>
          <cell r="J89">
            <v>883.38387499999999</v>
          </cell>
          <cell r="K89">
            <v>883.38387499999999</v>
          </cell>
          <cell r="L89">
            <v>883.38387499999999</v>
          </cell>
          <cell r="M89">
            <v>883.38387499999999</v>
          </cell>
          <cell r="N89">
            <v>34.867744694308193</v>
          </cell>
          <cell r="O89">
            <v>95.031990967256291</v>
          </cell>
          <cell r="P89">
            <v>56.863462221559224</v>
          </cell>
          <cell r="Q89">
            <v>111.5093552079786</v>
          </cell>
        </row>
        <row r="90">
          <cell r="E90">
            <v>13483.312750879999</v>
          </cell>
          <cell r="F90">
            <v>3253.9475939999998</v>
          </cell>
          <cell r="G90">
            <v>9940.5526830806466</v>
          </cell>
          <cell r="H90">
            <v>7626.0333819999996</v>
          </cell>
          <cell r="I90">
            <v>7900.5777200000002</v>
          </cell>
          <cell r="J90">
            <v>1975.1444300000001</v>
          </cell>
          <cell r="K90">
            <v>1975.1444300000001</v>
          </cell>
          <cell r="L90">
            <v>1975.1444300000001</v>
          </cell>
          <cell r="M90">
            <v>1975.1444300000001</v>
          </cell>
          <cell r="N90">
            <v>79.478254095943839</v>
          </cell>
          <cell r="O90">
            <v>103.60009357745558</v>
          </cell>
          <cell r="P90">
            <v>58.595227048221979</v>
          </cell>
          <cell r="Q90">
            <v>242.79978370174086</v>
          </cell>
        </row>
        <row r="91">
          <cell r="E91">
            <v>6435.2238274090005</v>
          </cell>
          <cell r="F91">
            <v>2216.6215680000005</v>
          </cell>
          <cell r="G91">
            <v>6405.5605785266971</v>
          </cell>
          <cell r="H91">
            <v>3749.6370134158396</v>
          </cell>
          <cell r="I91">
            <v>5709.5496051054597</v>
          </cell>
          <cell r="J91">
            <v>999.33625411842002</v>
          </cell>
          <cell r="K91">
            <v>999.33625411842002</v>
          </cell>
          <cell r="L91">
            <v>999.33625411842002</v>
          </cell>
          <cell r="M91">
            <v>2711.5408427501998</v>
          </cell>
          <cell r="N91">
            <v>89.134269126195306</v>
          </cell>
          <cell r="O91">
            <v>152.26939526885513</v>
          </cell>
          <cell r="P91">
            <v>88.723403540173095</v>
          </cell>
          <cell r="Q91">
            <v>257.57890690637993</v>
          </cell>
        </row>
        <row r="92">
          <cell r="E92">
            <v>6484.9384914800012</v>
          </cell>
          <cell r="F92">
            <v>0</v>
          </cell>
          <cell r="G92">
            <v>4344.4463364524154</v>
          </cell>
          <cell r="H92">
            <v>0</v>
          </cell>
          <cell r="I92">
            <v>0</v>
          </cell>
          <cell r="J92">
            <v>0</v>
          </cell>
          <cell r="K92">
            <v>0</v>
          </cell>
          <cell r="L92">
            <v>0</v>
          </cell>
          <cell r="M92">
            <v>0</v>
          </cell>
          <cell r="N92">
            <v>0</v>
          </cell>
          <cell r="O92">
            <v>0</v>
          </cell>
          <cell r="P92">
            <v>0</v>
          </cell>
          <cell r="Q92">
            <v>0</v>
          </cell>
        </row>
        <row r="93">
          <cell r="E93">
            <v>11454.161775999999</v>
          </cell>
          <cell r="F93">
            <v>10074.392952</v>
          </cell>
          <cell r="G93">
            <v>11159.770591771183</v>
          </cell>
          <cell r="H93">
            <v>18818.33052</v>
          </cell>
          <cell r="I93">
            <v>22061.629260000002</v>
          </cell>
          <cell r="J93">
            <v>5515.4073150000013</v>
          </cell>
          <cell r="K93">
            <v>5515.4073150000013</v>
          </cell>
          <cell r="L93">
            <v>5515.4073150000013</v>
          </cell>
          <cell r="M93">
            <v>5515.4073150000013</v>
          </cell>
          <cell r="N93">
            <v>197.68891375121513</v>
          </cell>
          <cell r="O93">
            <v>117.23478465081185</v>
          </cell>
          <cell r="P93">
            <v>192.60797683359002</v>
          </cell>
          <cell r="Q93">
            <v>218.9871823058109</v>
          </cell>
        </row>
        <row r="94">
          <cell r="E94">
            <v>0</v>
          </cell>
          <cell r="F94">
            <v>0</v>
          </cell>
          <cell r="G94">
            <v>0</v>
          </cell>
          <cell r="H94">
            <v>0</v>
          </cell>
          <cell r="I94">
            <v>0</v>
          </cell>
          <cell r="J94">
            <v>0</v>
          </cell>
          <cell r="K94">
            <v>0</v>
          </cell>
          <cell r="L94">
            <v>0</v>
          </cell>
          <cell r="M94">
            <v>0</v>
          </cell>
          <cell r="N94">
            <v>0</v>
          </cell>
          <cell r="O94">
            <v>0</v>
          </cell>
          <cell r="P94">
            <v>0</v>
          </cell>
          <cell r="Q94">
            <v>0</v>
          </cell>
        </row>
        <row r="95">
          <cell r="E95">
            <v>0</v>
          </cell>
          <cell r="F95">
            <v>3719.8687679999998</v>
          </cell>
          <cell r="G95">
            <v>0</v>
          </cell>
          <cell r="H95">
            <v>7695.3369080000011</v>
          </cell>
          <cell r="I95">
            <v>7695.3369080000011</v>
          </cell>
          <cell r="J95">
            <v>1923.8342270000003</v>
          </cell>
          <cell r="K95">
            <v>480.95855675000007</v>
          </cell>
          <cell r="L95">
            <v>120.23963918750002</v>
          </cell>
          <cell r="M95">
            <v>30.059909796875004</v>
          </cell>
          <cell r="N95">
            <v>100</v>
          </cell>
          <cell r="O95">
            <v>100</v>
          </cell>
          <cell r="P95">
            <v>100</v>
          </cell>
          <cell r="Q95">
            <v>206.87119325818114</v>
          </cell>
        </row>
        <row r="96">
          <cell r="E96">
            <v>10541.601980000001</v>
          </cell>
          <cell r="F96">
            <v>28408.687708000001</v>
          </cell>
          <cell r="G96">
            <v>19449.789315565598</v>
          </cell>
          <cell r="H96">
            <v>62408.857682000009</v>
          </cell>
          <cell r="I96">
            <v>95294.617768000011</v>
          </cell>
          <cell r="J96">
            <v>23823.654441999999</v>
          </cell>
          <cell r="K96">
            <v>5955.9136104999998</v>
          </cell>
          <cell r="L96">
            <v>1488.9784026249999</v>
          </cell>
          <cell r="M96">
            <v>372.24460065624999</v>
          </cell>
          <cell r="N96">
            <v>489.95192812569985</v>
          </cell>
          <cell r="O96">
            <v>152.69405867604101</v>
          </cell>
          <cell r="P96">
            <v>903.98611092315218</v>
          </cell>
          <cell r="Q96">
            <v>335.44181536116736</v>
          </cell>
        </row>
      </sheetData>
      <sheetData sheetId="16">
        <row r="7">
          <cell r="D7">
            <v>4662734.0619999999</v>
          </cell>
          <cell r="E7">
            <v>234008</v>
          </cell>
          <cell r="F7">
            <v>0</v>
          </cell>
          <cell r="G7">
            <v>4896742.0619999999</v>
          </cell>
          <cell r="H7">
            <v>4779738.0619999999</v>
          </cell>
          <cell r="I7">
            <v>322445.85745480825</v>
          </cell>
        </row>
        <row r="8">
          <cell r="D8">
            <v>4540202.9369999999</v>
          </cell>
          <cell r="E8">
            <v>204903</v>
          </cell>
          <cell r="F8">
            <v>0</v>
          </cell>
          <cell r="G8">
            <v>4745105.9369999999</v>
          </cell>
          <cell r="H8">
            <v>4642654.4369999999</v>
          </cell>
          <cell r="I8">
            <v>313826.43825139024</v>
          </cell>
        </row>
        <row r="9">
          <cell r="D9">
            <v>1721524.7289999998</v>
          </cell>
          <cell r="E9">
            <v>96978</v>
          </cell>
          <cell r="F9">
            <v>0</v>
          </cell>
          <cell r="G9">
            <v>1818502.7289999998</v>
          </cell>
          <cell r="H9">
            <v>1770013.7289999998</v>
          </cell>
          <cell r="I9">
            <v>125415.4764222292</v>
          </cell>
        </row>
        <row r="10">
          <cell r="D10">
            <v>753786.228</v>
          </cell>
          <cell r="E10">
            <v>0</v>
          </cell>
          <cell r="F10">
            <v>0</v>
          </cell>
          <cell r="G10">
            <v>753786.228</v>
          </cell>
          <cell r="H10">
            <v>753786.228</v>
          </cell>
          <cell r="I10">
            <v>52885.845531925086</v>
          </cell>
        </row>
        <row r="11">
          <cell r="D11">
            <v>1014577.311</v>
          </cell>
          <cell r="E11">
            <v>19987</v>
          </cell>
          <cell r="F11">
            <v>0</v>
          </cell>
          <cell r="G11">
            <v>1034564.311</v>
          </cell>
          <cell r="H11">
            <v>1024570.811</v>
          </cell>
          <cell r="I11">
            <v>65238.031667344454</v>
          </cell>
        </row>
        <row r="12">
          <cell r="D12">
            <v>1050314.669</v>
          </cell>
          <cell r="E12">
            <v>87938</v>
          </cell>
          <cell r="F12">
            <v>0</v>
          </cell>
          <cell r="G12">
            <v>1138252.669</v>
          </cell>
          <cell r="H12">
            <v>1094283.669</v>
          </cell>
          <cell r="I12">
            <v>70287.084629891469</v>
          </cell>
        </row>
        <row r="13">
          <cell r="D13">
            <v>122531.125</v>
          </cell>
          <cell r="E13">
            <v>29105</v>
          </cell>
          <cell r="F13">
            <v>0</v>
          </cell>
          <cell r="G13">
            <v>151636.125</v>
          </cell>
          <cell r="H13">
            <v>137083.625</v>
          </cell>
          <cell r="I13">
            <v>8619.4192034179905</v>
          </cell>
        </row>
        <row r="14">
          <cell r="D14">
            <v>0</v>
          </cell>
          <cell r="E14">
            <v>0</v>
          </cell>
          <cell r="F14">
            <v>0</v>
          </cell>
          <cell r="G14">
            <v>0</v>
          </cell>
          <cell r="H14">
            <v>0</v>
          </cell>
          <cell r="I14">
            <v>0</v>
          </cell>
        </row>
        <row r="15">
          <cell r="D15">
            <v>18579.188999999998</v>
          </cell>
          <cell r="E15">
            <v>29105</v>
          </cell>
          <cell r="F15">
            <v>0</v>
          </cell>
          <cell r="G15">
            <v>47684.188999999998</v>
          </cell>
          <cell r="H15">
            <v>33131.688999999998</v>
          </cell>
          <cell r="I15">
            <v>1320.2482695338899</v>
          </cell>
        </row>
        <row r="16">
          <cell r="D16">
            <v>90962.198000000004</v>
          </cell>
          <cell r="E16">
            <v>0</v>
          </cell>
          <cell r="F16">
            <v>0</v>
          </cell>
          <cell r="G16">
            <v>90962.198000000004</v>
          </cell>
          <cell r="H16">
            <v>90962.198000000004</v>
          </cell>
          <cell r="I16">
            <v>6387.9717226276271</v>
          </cell>
        </row>
        <row r="17">
          <cell r="D17">
            <v>12989.738000000001</v>
          </cell>
          <cell r="E17">
            <v>0</v>
          </cell>
          <cell r="F17">
            <v>0</v>
          </cell>
          <cell r="G17">
            <v>12989.738000000001</v>
          </cell>
          <cell r="H17">
            <v>12989.738000000001</v>
          </cell>
          <cell r="I17">
            <v>911.19921125647238</v>
          </cell>
        </row>
        <row r="18">
          <cell r="D18">
            <v>2578677.0240000002</v>
          </cell>
          <cell r="E18">
            <v>447118</v>
          </cell>
          <cell r="F18">
            <v>0</v>
          </cell>
          <cell r="G18">
            <v>3025795.0240000002</v>
          </cell>
          <cell r="H18">
            <v>2802236.0240000002</v>
          </cell>
          <cell r="I18">
            <v>150773.2815404266</v>
          </cell>
        </row>
        <row r="19">
          <cell r="D19">
            <v>1083043.2549999999</v>
          </cell>
          <cell r="E19">
            <v>252246</v>
          </cell>
          <cell r="F19">
            <v>0</v>
          </cell>
          <cell r="G19">
            <v>1335289.2549999999</v>
          </cell>
          <cell r="H19">
            <v>1209166.2549999999</v>
          </cell>
          <cell r="I19">
            <v>69951.325369818325</v>
          </cell>
        </row>
        <row r="20">
          <cell r="D20">
            <v>500759.3</v>
          </cell>
          <cell r="E20">
            <v>17600</v>
          </cell>
          <cell r="F20">
            <v>0</v>
          </cell>
          <cell r="G20">
            <v>518359.3</v>
          </cell>
          <cell r="H20">
            <v>509559.3</v>
          </cell>
          <cell r="I20">
            <v>31215.535106617965</v>
          </cell>
        </row>
        <row r="21">
          <cell r="D21">
            <v>945891.03600000008</v>
          </cell>
          <cell r="E21">
            <v>175474</v>
          </cell>
          <cell r="F21">
            <v>0</v>
          </cell>
          <cell r="G21">
            <v>1121365.0360000001</v>
          </cell>
          <cell r="H21">
            <v>1033628.0360000001</v>
          </cell>
          <cell r="I21">
            <v>46146.276757126107</v>
          </cell>
        </row>
        <row r="22">
          <cell r="D22">
            <v>48983.433000000005</v>
          </cell>
          <cell r="E22">
            <v>1798</v>
          </cell>
          <cell r="F22">
            <v>0</v>
          </cell>
          <cell r="G22">
            <v>50781.433000000005</v>
          </cell>
          <cell r="H22">
            <v>49882.433000000005</v>
          </cell>
          <cell r="I22">
            <v>3460.1443068641747</v>
          </cell>
        </row>
        <row r="23">
          <cell r="D23">
            <v>7241411.0860000001</v>
          </cell>
          <cell r="E23">
            <v>681126</v>
          </cell>
          <cell r="F23">
            <v>0</v>
          </cell>
          <cell r="G23">
            <v>7922537.0860000001</v>
          </cell>
          <cell r="H23">
            <v>7581974.0860000001</v>
          </cell>
          <cell r="I23">
            <v>473219.13899523485</v>
          </cell>
        </row>
        <row r="24">
          <cell r="D24">
            <v>2804567.9839999997</v>
          </cell>
          <cell r="E24">
            <v>349224</v>
          </cell>
          <cell r="F24">
            <v>0</v>
          </cell>
          <cell r="G24">
            <v>3153791.9839999997</v>
          </cell>
          <cell r="H24">
            <v>2979179.9839999997</v>
          </cell>
          <cell r="I24">
            <v>195366.80179204751</v>
          </cell>
        </row>
        <row r="25">
          <cell r="D25">
            <v>1273124.7169999999</v>
          </cell>
          <cell r="E25">
            <v>46705</v>
          </cell>
          <cell r="F25">
            <v>0</v>
          </cell>
          <cell r="G25">
            <v>1319829.7169999999</v>
          </cell>
          <cell r="H25">
            <v>1296477.2169999999</v>
          </cell>
          <cell r="I25">
            <v>85421.628908076935</v>
          </cell>
        </row>
        <row r="26">
          <cell r="D26">
            <v>2051430.5450000002</v>
          </cell>
          <cell r="E26">
            <v>195461</v>
          </cell>
          <cell r="F26">
            <v>0</v>
          </cell>
          <cell r="G26">
            <v>2246891.5449999999</v>
          </cell>
          <cell r="H26">
            <v>2149161.0449999999</v>
          </cell>
          <cell r="I26">
            <v>117772.28014709819</v>
          </cell>
        </row>
        <row r="27">
          <cell r="D27">
            <v>1112287.8399999999</v>
          </cell>
          <cell r="E27">
            <v>89736</v>
          </cell>
          <cell r="F27">
            <v>0</v>
          </cell>
          <cell r="G27">
            <v>1202023.8399999999</v>
          </cell>
          <cell r="H27">
            <v>1157155.8399999999</v>
          </cell>
          <cell r="I27">
            <v>74658.428148012128</v>
          </cell>
        </row>
      </sheetData>
      <sheetData sheetId="17"/>
      <sheetData sheetId="18">
        <row r="8">
          <cell r="E8">
            <v>767.43</v>
          </cell>
          <cell r="F8">
            <v>767.43</v>
          </cell>
          <cell r="G8">
            <v>953.57</v>
          </cell>
          <cell r="H8">
            <v>953.57</v>
          </cell>
          <cell r="I8">
            <v>1074.443</v>
          </cell>
          <cell r="J8">
            <v>1.1267583921474038</v>
          </cell>
        </row>
        <row r="9">
          <cell r="E9">
            <v>767.43</v>
          </cell>
          <cell r="F9">
            <v>767.43</v>
          </cell>
          <cell r="G9">
            <v>953.57</v>
          </cell>
          <cell r="H9">
            <v>953.57</v>
          </cell>
          <cell r="I9">
            <v>1074.443</v>
          </cell>
          <cell r="J9">
            <v>1.1267583921474038</v>
          </cell>
        </row>
        <row r="10">
          <cell r="E10">
            <v>767.43</v>
          </cell>
          <cell r="F10">
            <v>767.43</v>
          </cell>
          <cell r="G10">
            <v>953.57</v>
          </cell>
          <cell r="H10">
            <v>953.57</v>
          </cell>
          <cell r="I10">
            <v>1074.443</v>
          </cell>
          <cell r="J10">
            <v>1.1267583921474038</v>
          </cell>
        </row>
        <row r="11">
          <cell r="J11">
            <v>0</v>
          </cell>
        </row>
        <row r="12">
          <cell r="E12">
            <v>19680.400000000001</v>
          </cell>
          <cell r="F12">
            <v>20458.53</v>
          </cell>
          <cell r="G12">
            <v>20619.900000000001</v>
          </cell>
          <cell r="H12">
            <v>20732.339999999997</v>
          </cell>
          <cell r="I12">
            <v>20909.29</v>
          </cell>
          <cell r="J12">
            <v>1.0140345006522824</v>
          </cell>
        </row>
        <row r="13">
          <cell r="E13">
            <v>2650</v>
          </cell>
          <cell r="F13">
            <v>3360.9799999999996</v>
          </cell>
          <cell r="G13">
            <v>3139.4700000000003</v>
          </cell>
          <cell r="H13">
            <v>3163.0299999999997</v>
          </cell>
          <cell r="I13">
            <v>3294.8099999999995</v>
          </cell>
          <cell r="J13">
            <v>1.0494796892469109</v>
          </cell>
        </row>
        <row r="15">
          <cell r="E15">
            <v>1573.1000000000001</v>
          </cell>
          <cell r="F15">
            <v>1990.6599999999999</v>
          </cell>
          <cell r="G15">
            <v>1823.81</v>
          </cell>
          <cell r="H15">
            <v>1847.8999999999999</v>
          </cell>
          <cell r="I15">
            <v>1966.2299999999998</v>
          </cell>
          <cell r="J15">
            <v>1.0780892746503199</v>
          </cell>
        </row>
        <row r="16">
          <cell r="E16">
            <v>1076.9000000000001</v>
          </cell>
          <cell r="F16">
            <v>1370.32</v>
          </cell>
          <cell r="G16">
            <v>1315.66</v>
          </cell>
          <cell r="H16">
            <v>1315.1299999999999</v>
          </cell>
          <cell r="I16">
            <v>1328.58</v>
          </cell>
          <cell r="J16">
            <v>1.0098201663043642</v>
          </cell>
        </row>
        <row r="17">
          <cell r="E17">
            <v>318.8</v>
          </cell>
          <cell r="F17">
            <v>463.26</v>
          </cell>
          <cell r="G17">
            <v>458.45</v>
          </cell>
          <cell r="H17">
            <v>455.45</v>
          </cell>
          <cell r="I17">
            <v>458.82</v>
          </cell>
          <cell r="J17">
            <v>1.000807067291962</v>
          </cell>
        </row>
        <row r="19">
          <cell r="E19">
            <v>5.1320095120017877</v>
          </cell>
          <cell r="F19">
            <v>3.3107461777556848</v>
          </cell>
          <cell r="G19">
            <v>4.9400821536476904</v>
          </cell>
          <cell r="H19">
            <v>4.9124700829718222</v>
          </cell>
          <cell r="I19">
            <v>4.8637232541133626</v>
          </cell>
          <cell r="J19">
            <v>0.98454298994239486</v>
          </cell>
        </row>
        <row r="20">
          <cell r="J20">
            <v>0</v>
          </cell>
        </row>
        <row r="22">
          <cell r="E22">
            <v>11.823787426101328</v>
          </cell>
          <cell r="F22">
            <v>7.9029065736991768</v>
          </cell>
          <cell r="G22">
            <v>9.5075693191725001</v>
          </cell>
          <cell r="H22">
            <v>9.3619784620379889</v>
          </cell>
          <cell r="I22">
            <v>8.8036496238995436</v>
          </cell>
          <cell r="J22">
            <v>0.92596218111673756</v>
          </cell>
        </row>
        <row r="23">
          <cell r="E23">
            <v>14.671742965920698</v>
          </cell>
          <cell r="F23">
            <v>14.336067487886043</v>
          </cell>
          <cell r="G23">
            <v>11.644345803627075</v>
          </cell>
          <cell r="H23">
            <v>11.626227065004983</v>
          </cell>
          <cell r="I23">
            <v>11.497990335546222</v>
          </cell>
          <cell r="J23">
            <v>0.98743119875096241</v>
          </cell>
        </row>
        <row r="24">
          <cell r="E24">
            <v>19.447929736511917</v>
          </cell>
          <cell r="F24">
            <v>16.690411432025211</v>
          </cell>
          <cell r="G24">
            <v>13.153015596030102</v>
          </cell>
          <cell r="H24">
            <v>13.107915248655178</v>
          </cell>
          <cell r="I24">
            <v>13.114075236476177</v>
          </cell>
          <cell r="J24">
            <v>0.99703943485281976</v>
          </cell>
        </row>
        <row r="26">
          <cell r="E26">
            <v>17131.599999999999</v>
          </cell>
          <cell r="F26">
            <v>17820.400000000001</v>
          </cell>
          <cell r="G26">
            <v>17712.221000000001</v>
          </cell>
          <cell r="H26">
            <v>17794.43</v>
          </cell>
          <cell r="I26">
            <v>17956.727999999999</v>
          </cell>
          <cell r="J26">
            <v>1.01380442351075</v>
          </cell>
        </row>
        <row r="27">
          <cell r="E27">
            <v>1724.1999999999998</v>
          </cell>
          <cell r="F27">
            <v>1997.46</v>
          </cell>
          <cell r="G27">
            <v>1986.3920000000001</v>
          </cell>
          <cell r="H27">
            <v>2003.6499999999999</v>
          </cell>
          <cell r="I27">
            <v>2132.105</v>
          </cell>
          <cell r="J27">
            <v>1.0733556115811984</v>
          </cell>
        </row>
        <row r="29">
          <cell r="E29">
            <v>1124.0999999999999</v>
          </cell>
          <cell r="F29">
            <v>1286.8499999999999</v>
          </cell>
          <cell r="G29">
            <v>1282.3810000000001</v>
          </cell>
          <cell r="H29">
            <v>1296.8699999999999</v>
          </cell>
          <cell r="I29">
            <v>1415.105</v>
          </cell>
          <cell r="J29">
            <v>1.1034981023580355</v>
          </cell>
        </row>
        <row r="30">
          <cell r="E30">
            <v>600.1</v>
          </cell>
          <cell r="F30">
            <v>710.61</v>
          </cell>
          <cell r="G30">
            <v>704.01099999999997</v>
          </cell>
          <cell r="H30">
            <v>706.78</v>
          </cell>
          <cell r="I30">
            <v>717</v>
          </cell>
          <cell r="J30">
            <v>1.0184499958097246</v>
          </cell>
        </row>
        <row r="31">
          <cell r="E31">
            <v>256.8</v>
          </cell>
          <cell r="F31">
            <v>385.95299999999997</v>
          </cell>
          <cell r="G31">
            <v>398.14800000000002</v>
          </cell>
          <cell r="H31">
            <v>395.75</v>
          </cell>
          <cell r="I31">
            <v>398.65</v>
          </cell>
          <cell r="J31">
            <v>1.0012608376784511</v>
          </cell>
        </row>
        <row r="33">
          <cell r="E33">
            <v>775104.29999999981</v>
          </cell>
          <cell r="F33">
            <v>519803.36189999996</v>
          </cell>
          <cell r="G33">
            <v>971344.54480000015</v>
          </cell>
          <cell r="H33">
            <v>971182.43790000002</v>
          </cell>
          <cell r="I33">
            <v>1092676.2977099998</v>
          </cell>
          <cell r="J33">
            <v>1.1249111384415937</v>
          </cell>
        </row>
        <row r="34">
          <cell r="J34">
            <v>0</v>
          </cell>
        </row>
        <row r="36">
          <cell r="E36">
            <v>176232.24474044479</v>
          </cell>
          <cell r="F36">
            <v>151688.88857994831</v>
          </cell>
          <cell r="G36">
            <v>216084.13013022474</v>
          </cell>
          <cell r="H36">
            <v>215404.49995343864</v>
          </cell>
          <cell r="I36">
            <v>242402.64027721388</v>
          </cell>
          <cell r="J36">
            <v>1.1217975153063211</v>
          </cell>
        </row>
        <row r="37">
          <cell r="E37">
            <v>185061.55075579797</v>
          </cell>
          <cell r="F37">
            <v>216546.11676906227</v>
          </cell>
          <cell r="G37">
            <v>237148.68876519598</v>
          </cell>
          <cell r="H37">
            <v>238540.54186525653</v>
          </cell>
          <cell r="I37">
            <v>265139.52825206734</v>
          </cell>
          <cell r="J37">
            <v>1.1180307579713646</v>
          </cell>
        </row>
        <row r="38">
          <cell r="E38">
            <v>111785.27680373097</v>
          </cell>
          <cell r="F38">
            <v>144796.17453163274</v>
          </cell>
          <cell r="G38">
            <v>151026.56800438324</v>
          </cell>
          <cell r="H38">
            <v>150406.43345998737</v>
          </cell>
          <cell r="I38">
            <v>168110.06975116744</v>
          </cell>
          <cell r="J38">
            <v>1.1131158707538689</v>
          </cell>
        </row>
        <row r="40">
          <cell r="E40">
            <v>41.515141614534222</v>
          </cell>
          <cell r="F40">
            <v>26.277645537176713</v>
          </cell>
          <cell r="G40">
            <v>49.555209450821032</v>
          </cell>
          <cell r="H40">
            <v>49.263916110839745</v>
          </cell>
          <cell r="I40">
            <v>54.929555612919955</v>
          </cell>
          <cell r="J40">
            <v>1.1084516889678868</v>
          </cell>
        </row>
        <row r="41">
          <cell r="E41">
            <v>0</v>
          </cell>
          <cell r="F41">
            <v>0</v>
          </cell>
          <cell r="G41">
            <v>0</v>
          </cell>
          <cell r="H41">
            <v>0</v>
          </cell>
          <cell r="I41">
            <v>0</v>
          </cell>
          <cell r="J41">
            <v>0</v>
          </cell>
        </row>
        <row r="43">
          <cell r="E43">
            <v>127.05085771786084</v>
          </cell>
          <cell r="F43">
            <v>82.739092901452167</v>
          </cell>
          <cell r="G43">
            <v>130.92754535553271</v>
          </cell>
          <cell r="H43">
            <v>128.60737951724801</v>
          </cell>
          <cell r="I43">
            <v>135.18408608255615</v>
          </cell>
          <cell r="J43">
            <v>1.0325106585895645</v>
          </cell>
        </row>
        <row r="44">
          <cell r="E44">
            <v>201.39465747719876</v>
          </cell>
          <cell r="F44">
            <v>184.47197455345335</v>
          </cell>
          <cell r="G44">
            <v>204.00589161364346</v>
          </cell>
          <cell r="H44">
            <v>205.24383458115565</v>
          </cell>
          <cell r="I44">
            <v>225.49329680739174</v>
          </cell>
          <cell r="J44">
            <v>1.1053273757134534</v>
          </cell>
        </row>
        <row r="45">
          <cell r="E45">
            <v>435.30092213290874</v>
          </cell>
          <cell r="F45">
            <v>375.17794095360091</v>
          </cell>
          <cell r="G45">
            <v>379.32077861203879</v>
          </cell>
          <cell r="H45">
            <v>380.0541590903029</v>
          </cell>
          <cell r="I45">
            <v>421.69840649985559</v>
          </cell>
          <cell r="J45">
            <v>1.1117197640553189</v>
          </cell>
        </row>
        <row r="47">
          <cell r="E47">
            <v>63883.499916445347</v>
          </cell>
          <cell r="F47">
            <v>51525.207369295997</v>
          </cell>
          <cell r="G47">
            <v>93611.723305769381</v>
          </cell>
          <cell r="H47">
            <v>94559.131139789941</v>
          </cell>
          <cell r="I47">
            <v>106321.208407923</v>
          </cell>
          <cell r="J47">
            <v>1.1357680924283371</v>
          </cell>
        </row>
        <row r="50">
          <cell r="E50">
            <v>33490.2647404448</v>
          </cell>
          <cell r="F50">
            <v>30956.800979948308</v>
          </cell>
          <cell r="G50">
            <v>50735.092130224737</v>
          </cell>
          <cell r="H50">
            <v>50436.889953438673</v>
          </cell>
          <cell r="I50">
            <v>56416.556977213913</v>
          </cell>
          <cell r="J50">
            <v>1.1119829413614983</v>
          </cell>
        </row>
        <row r="51">
          <cell r="E51">
            <v>30393.235176000548</v>
          </cell>
          <cell r="F51">
            <v>20568.406389347689</v>
          </cell>
          <cell r="G51">
            <v>42876.631175544644</v>
          </cell>
          <cell r="H51">
            <v>44122.241186351268</v>
          </cell>
          <cell r="I51">
            <v>49904.651430709084</v>
          </cell>
          <cell r="J51">
            <v>1.1639126037302339</v>
          </cell>
        </row>
        <row r="57">
          <cell r="E57">
            <v>33414.37557979743</v>
          </cell>
          <cell r="F57">
            <v>45216.086879714596</v>
          </cell>
          <cell r="G57">
            <v>48185.133589651348</v>
          </cell>
          <cell r="H57">
            <v>48617.447678905242</v>
          </cell>
          <cell r="I57">
            <v>51102.964141358272</v>
          </cell>
          <cell r="J57">
            <v>1.0605545805176222</v>
          </cell>
        </row>
        <row r="64">
          <cell r="E64">
            <v>64204.616803730984</v>
          </cell>
          <cell r="F64">
            <v>85458.486931632768</v>
          </cell>
          <cell r="G64">
            <v>93526.297004383261</v>
          </cell>
          <cell r="H64">
            <v>93478.304459987354</v>
          </cell>
          <cell r="I64">
            <v>103460.83444116745</v>
          </cell>
          <cell r="J64">
            <v>1.1062218622460653</v>
          </cell>
        </row>
      </sheetData>
      <sheetData sheetId="19">
        <row r="8">
          <cell r="J8">
            <v>0</v>
          </cell>
        </row>
        <row r="9">
          <cell r="J9">
            <v>0</v>
          </cell>
        </row>
        <row r="10">
          <cell r="J10">
            <v>0</v>
          </cell>
        </row>
        <row r="11">
          <cell r="J11">
            <v>0</v>
          </cell>
        </row>
        <row r="12">
          <cell r="J12">
            <v>0</v>
          </cell>
        </row>
        <row r="13">
          <cell r="J13">
            <v>0</v>
          </cell>
        </row>
        <row r="14">
          <cell r="J14">
            <v>0</v>
          </cell>
        </row>
        <row r="15">
          <cell r="J15">
            <v>0</v>
          </cell>
        </row>
        <row r="16">
          <cell r="J16">
            <v>0</v>
          </cell>
        </row>
        <row r="17">
          <cell r="J17">
            <v>0</v>
          </cell>
        </row>
        <row r="18">
          <cell r="J18">
            <v>0</v>
          </cell>
        </row>
        <row r="19">
          <cell r="J19">
            <v>0</v>
          </cell>
        </row>
        <row r="20">
          <cell r="J20">
            <v>0</v>
          </cell>
        </row>
        <row r="21">
          <cell r="J21">
            <v>0</v>
          </cell>
        </row>
        <row r="22">
          <cell r="H22">
            <v>160</v>
          </cell>
          <cell r="I22">
            <v>172.2</v>
          </cell>
          <cell r="J22">
            <v>275.52</v>
          </cell>
        </row>
        <row r="23">
          <cell r="H23">
            <v>130</v>
          </cell>
          <cell r="I23">
            <v>2156.14</v>
          </cell>
          <cell r="J23">
            <v>2802.982</v>
          </cell>
        </row>
        <row r="24">
          <cell r="H24">
            <v>190</v>
          </cell>
          <cell r="I24">
            <v>683.3</v>
          </cell>
          <cell r="J24">
            <v>1298.2699999999998</v>
          </cell>
        </row>
        <row r="25">
          <cell r="H25">
            <v>160</v>
          </cell>
          <cell r="I25">
            <v>1229.04</v>
          </cell>
          <cell r="J25">
            <v>1966.4639999999999</v>
          </cell>
        </row>
        <row r="26">
          <cell r="J26">
            <v>0</v>
          </cell>
        </row>
        <row r="27">
          <cell r="H27">
            <v>2300</v>
          </cell>
          <cell r="I27">
            <v>0.8</v>
          </cell>
          <cell r="J27">
            <v>18.399999999999999</v>
          </cell>
        </row>
        <row r="28">
          <cell r="J28">
            <v>6361.6359999999995</v>
          </cell>
        </row>
        <row r="29">
          <cell r="J29">
            <v>0</v>
          </cell>
        </row>
        <row r="30">
          <cell r="H30">
            <v>140</v>
          </cell>
          <cell r="I30">
            <v>113.57</v>
          </cell>
          <cell r="J30">
            <v>158.99799999999999</v>
          </cell>
        </row>
        <row r="31">
          <cell r="H31">
            <v>120</v>
          </cell>
          <cell r="I31">
            <v>1935.88</v>
          </cell>
          <cell r="J31">
            <v>2323.056</v>
          </cell>
        </row>
        <row r="32">
          <cell r="H32">
            <v>180</v>
          </cell>
          <cell r="I32">
            <v>117.44</v>
          </cell>
          <cell r="J32">
            <v>211.392</v>
          </cell>
        </row>
        <row r="33">
          <cell r="H33">
            <v>150</v>
          </cell>
          <cell r="I33">
            <v>466.69</v>
          </cell>
          <cell r="J33">
            <v>700.03499999999997</v>
          </cell>
        </row>
        <row r="34">
          <cell r="H34">
            <v>160</v>
          </cell>
          <cell r="I34">
            <v>144.94</v>
          </cell>
          <cell r="J34">
            <v>231.90400000000002</v>
          </cell>
        </row>
        <row r="35">
          <cell r="H35">
            <v>140</v>
          </cell>
          <cell r="I35">
            <v>1125.48</v>
          </cell>
          <cell r="J35">
            <v>1575.672</v>
          </cell>
        </row>
        <row r="36">
          <cell r="H36">
            <v>110</v>
          </cell>
          <cell r="I36">
            <v>11274.37</v>
          </cell>
          <cell r="J36">
            <v>12401.807000000003</v>
          </cell>
        </row>
        <row r="37">
          <cell r="H37">
            <v>470</v>
          </cell>
          <cell r="I37">
            <v>44.09</v>
          </cell>
          <cell r="J37">
            <v>207.22300000000004</v>
          </cell>
        </row>
        <row r="38">
          <cell r="H38">
            <v>350</v>
          </cell>
          <cell r="I38">
            <v>141.41999999999999</v>
          </cell>
          <cell r="J38">
            <v>494.96999999999991</v>
          </cell>
        </row>
        <row r="39">
          <cell r="J39">
            <v>3600.7039999999997</v>
          </cell>
        </row>
        <row r="40">
          <cell r="J40">
            <v>14704.353000000001</v>
          </cell>
        </row>
        <row r="41">
          <cell r="H41">
            <v>260</v>
          </cell>
          <cell r="I41">
            <v>1080.53</v>
          </cell>
          <cell r="J41">
            <v>2809.3779999999997</v>
          </cell>
        </row>
        <row r="42">
          <cell r="H42">
            <v>220</v>
          </cell>
          <cell r="I42">
            <v>3755.56</v>
          </cell>
          <cell r="J42">
            <v>8262.232</v>
          </cell>
        </row>
        <row r="43">
          <cell r="H43">
            <v>150</v>
          </cell>
          <cell r="I43">
            <v>4743.47</v>
          </cell>
          <cell r="J43">
            <v>7115.2049999999999</v>
          </cell>
        </row>
        <row r="44">
          <cell r="H44">
            <v>270</v>
          </cell>
          <cell r="I44">
            <v>17.66</v>
          </cell>
          <cell r="J44">
            <v>47.681999999999995</v>
          </cell>
        </row>
        <row r="45">
          <cell r="J45">
            <v>18234.497000000003</v>
          </cell>
        </row>
      </sheetData>
      <sheetData sheetId="20">
        <row r="8">
          <cell r="I8">
            <v>0</v>
          </cell>
        </row>
        <row r="9">
          <cell r="I9">
            <v>0</v>
          </cell>
        </row>
        <row r="10">
          <cell r="I10">
            <v>0</v>
          </cell>
        </row>
        <row r="11">
          <cell r="I11">
            <v>0</v>
          </cell>
        </row>
        <row r="12">
          <cell r="I12">
            <v>0</v>
          </cell>
        </row>
        <row r="13">
          <cell r="G13">
            <v>105</v>
          </cell>
          <cell r="H13">
            <v>129</v>
          </cell>
          <cell r="I13">
            <v>13545</v>
          </cell>
        </row>
        <row r="14">
          <cell r="G14">
            <v>75</v>
          </cell>
          <cell r="H14">
            <v>139</v>
          </cell>
          <cell r="I14">
            <v>10425</v>
          </cell>
        </row>
        <row r="15">
          <cell r="I15">
            <v>0</v>
          </cell>
        </row>
        <row r="16">
          <cell r="I16">
            <v>0</v>
          </cell>
        </row>
        <row r="17">
          <cell r="I17">
            <v>0</v>
          </cell>
        </row>
        <row r="18">
          <cell r="I18">
            <v>0</v>
          </cell>
        </row>
        <row r="19">
          <cell r="I19">
            <v>0</v>
          </cell>
        </row>
        <row r="20">
          <cell r="G20">
            <v>7.8</v>
          </cell>
          <cell r="H20">
            <v>251</v>
          </cell>
          <cell r="I20">
            <v>1957.8</v>
          </cell>
        </row>
        <row r="21">
          <cell r="G21">
            <v>2.1</v>
          </cell>
          <cell r="H21">
            <v>236</v>
          </cell>
          <cell r="I21">
            <v>495.6</v>
          </cell>
        </row>
        <row r="22">
          <cell r="G22">
            <v>1</v>
          </cell>
          <cell r="H22">
            <v>600</v>
          </cell>
          <cell r="I22">
            <v>600</v>
          </cell>
        </row>
        <row r="23">
          <cell r="I23">
            <v>0</v>
          </cell>
        </row>
        <row r="24">
          <cell r="I24">
            <v>0</v>
          </cell>
        </row>
        <row r="25">
          <cell r="I25">
            <v>0</v>
          </cell>
        </row>
        <row r="26">
          <cell r="I26">
            <v>0</v>
          </cell>
        </row>
        <row r="27">
          <cell r="I27">
            <v>0</v>
          </cell>
        </row>
        <row r="28">
          <cell r="G28">
            <v>26</v>
          </cell>
          <cell r="H28">
            <v>4</v>
          </cell>
          <cell r="I28">
            <v>104</v>
          </cell>
        </row>
        <row r="29">
          <cell r="G29">
            <v>11</v>
          </cell>
          <cell r="H29">
            <v>38</v>
          </cell>
          <cell r="I29">
            <v>418</v>
          </cell>
        </row>
        <row r="30">
          <cell r="G30">
            <v>5.5</v>
          </cell>
          <cell r="H30">
            <v>791</v>
          </cell>
          <cell r="I30">
            <v>4350.5</v>
          </cell>
        </row>
        <row r="31">
          <cell r="I31">
            <v>0</v>
          </cell>
        </row>
        <row r="32">
          <cell r="G32">
            <v>14</v>
          </cell>
          <cell r="H32">
            <v>208</v>
          </cell>
          <cell r="I32">
            <v>2912</v>
          </cell>
        </row>
        <row r="33">
          <cell r="G33">
            <v>6.4</v>
          </cell>
          <cell r="H33">
            <v>579</v>
          </cell>
          <cell r="I33">
            <v>3705.6000000000004</v>
          </cell>
        </row>
        <row r="34">
          <cell r="G34">
            <v>3.1</v>
          </cell>
          <cell r="H34">
            <v>3275</v>
          </cell>
          <cell r="I34">
            <v>10152.5</v>
          </cell>
        </row>
        <row r="35">
          <cell r="I35">
            <v>0</v>
          </cell>
        </row>
        <row r="36">
          <cell r="I36">
            <v>0</v>
          </cell>
        </row>
        <row r="37">
          <cell r="I37">
            <v>0</v>
          </cell>
        </row>
        <row r="38">
          <cell r="G38">
            <v>9.5</v>
          </cell>
          <cell r="H38">
            <v>170</v>
          </cell>
          <cell r="I38">
            <v>1615</v>
          </cell>
        </row>
        <row r="39">
          <cell r="G39">
            <v>4.7</v>
          </cell>
          <cell r="H39">
            <v>64</v>
          </cell>
          <cell r="I39">
            <v>300.8</v>
          </cell>
        </row>
        <row r="40">
          <cell r="G40">
            <v>2.2999999999999998</v>
          </cell>
          <cell r="H40">
            <v>858</v>
          </cell>
          <cell r="I40">
            <v>1973.3999999999999</v>
          </cell>
        </row>
        <row r="41">
          <cell r="I41">
            <v>0</v>
          </cell>
        </row>
        <row r="42">
          <cell r="I42">
            <v>0</v>
          </cell>
        </row>
        <row r="43">
          <cell r="I43">
            <v>0</v>
          </cell>
        </row>
        <row r="44">
          <cell r="I44">
            <v>0</v>
          </cell>
        </row>
        <row r="45">
          <cell r="I45">
            <v>0</v>
          </cell>
        </row>
        <row r="46">
          <cell r="G46">
            <v>2.5</v>
          </cell>
          <cell r="H46">
            <v>22</v>
          </cell>
          <cell r="I46">
            <v>55</v>
          </cell>
        </row>
        <row r="47">
          <cell r="G47">
            <v>2.2999999999999998</v>
          </cell>
          <cell r="H47">
            <v>5136</v>
          </cell>
          <cell r="I47">
            <v>11812.8</v>
          </cell>
        </row>
        <row r="48">
          <cell r="G48">
            <v>3</v>
          </cell>
          <cell r="H48">
            <v>61</v>
          </cell>
          <cell r="I48">
            <v>183</v>
          </cell>
        </row>
        <row r="49">
          <cell r="I49">
            <v>0</v>
          </cell>
        </row>
        <row r="50">
          <cell r="I50">
            <v>20133.8</v>
          </cell>
        </row>
        <row r="51">
          <cell r="I51">
            <v>15345</v>
          </cell>
        </row>
        <row r="52">
          <cell r="I52">
            <v>29127.200000000001</v>
          </cell>
        </row>
        <row r="53">
          <cell r="I53">
            <v>0</v>
          </cell>
        </row>
      </sheetData>
      <sheetData sheetId="21">
        <row r="12">
          <cell r="F12">
            <v>0</v>
          </cell>
          <cell r="G12">
            <v>0</v>
          </cell>
          <cell r="H12">
            <v>0</v>
          </cell>
          <cell r="I12">
            <v>0</v>
          </cell>
          <cell r="K12">
            <v>0</v>
          </cell>
          <cell r="L12">
            <v>0</v>
          </cell>
          <cell r="M12">
            <v>0</v>
          </cell>
          <cell r="N12">
            <v>0</v>
          </cell>
          <cell r="O12">
            <v>0</v>
          </cell>
        </row>
        <row r="13">
          <cell r="F13">
            <v>0</v>
          </cell>
          <cell r="G13">
            <v>0</v>
          </cell>
          <cell r="H13">
            <v>0</v>
          </cell>
          <cell r="I13">
            <v>0</v>
          </cell>
          <cell r="K13">
            <v>0</v>
          </cell>
          <cell r="L13">
            <v>0</v>
          </cell>
          <cell r="M13">
            <v>0</v>
          </cell>
          <cell r="N13">
            <v>0</v>
          </cell>
          <cell r="O13">
            <v>0</v>
          </cell>
        </row>
        <row r="14">
          <cell r="H14">
            <v>0</v>
          </cell>
          <cell r="I14">
            <v>0</v>
          </cell>
          <cell r="K14">
            <v>0</v>
          </cell>
          <cell r="L14">
            <v>0</v>
          </cell>
          <cell r="M14">
            <v>0</v>
          </cell>
          <cell r="O14">
            <v>0</v>
          </cell>
        </row>
        <row r="15">
          <cell r="I15">
            <v>0</v>
          </cell>
          <cell r="L15">
            <v>0</v>
          </cell>
          <cell r="M15">
            <v>0</v>
          </cell>
          <cell r="O15">
            <v>0</v>
          </cell>
        </row>
        <row r="16">
          <cell r="I16">
            <v>0</v>
          </cell>
          <cell r="L16">
            <v>0</v>
          </cell>
          <cell r="M16">
            <v>0</v>
          </cell>
          <cell r="O16">
            <v>0</v>
          </cell>
        </row>
        <row r="17">
          <cell r="I17">
            <v>0</v>
          </cell>
          <cell r="L17">
            <v>0</v>
          </cell>
          <cell r="M17">
            <v>0</v>
          </cell>
          <cell r="O17">
            <v>0</v>
          </cell>
        </row>
        <row r="18">
          <cell r="I18">
            <v>0</v>
          </cell>
          <cell r="L18">
            <v>0</v>
          </cell>
          <cell r="M18">
            <v>0</v>
          </cell>
          <cell r="O18">
            <v>0</v>
          </cell>
        </row>
        <row r="19">
          <cell r="I19">
            <v>0</v>
          </cell>
          <cell r="L19">
            <v>0</v>
          </cell>
          <cell r="M19">
            <v>0</v>
          </cell>
          <cell r="O19">
            <v>0</v>
          </cell>
        </row>
        <row r="20">
          <cell r="H20">
            <v>0</v>
          </cell>
          <cell r="I20">
            <v>0</v>
          </cell>
          <cell r="K20">
            <v>0</v>
          </cell>
          <cell r="L20">
            <v>0</v>
          </cell>
          <cell r="M20">
            <v>0</v>
          </cell>
          <cell r="O20">
            <v>0</v>
          </cell>
        </row>
        <row r="21">
          <cell r="I21">
            <v>0</v>
          </cell>
          <cell r="L21">
            <v>0</v>
          </cell>
          <cell r="M21">
            <v>0</v>
          </cell>
          <cell r="O21">
            <v>0</v>
          </cell>
        </row>
        <row r="22">
          <cell r="I22">
            <v>0</v>
          </cell>
          <cell r="L22">
            <v>0</v>
          </cell>
          <cell r="M22">
            <v>0</v>
          </cell>
          <cell r="O22">
            <v>0</v>
          </cell>
        </row>
        <row r="23">
          <cell r="I23">
            <v>0</v>
          </cell>
          <cell r="L23">
            <v>0</v>
          </cell>
          <cell r="M23">
            <v>0</v>
          </cell>
          <cell r="O23">
            <v>0</v>
          </cell>
        </row>
        <row r="24">
          <cell r="I24">
            <v>0</v>
          </cell>
          <cell r="L24">
            <v>0</v>
          </cell>
          <cell r="M24">
            <v>0</v>
          </cell>
          <cell r="O24">
            <v>0</v>
          </cell>
        </row>
        <row r="25">
          <cell r="I25">
            <v>0</v>
          </cell>
          <cell r="L25">
            <v>0</v>
          </cell>
          <cell r="M25">
            <v>0</v>
          </cell>
          <cell r="O25">
            <v>0</v>
          </cell>
        </row>
        <row r="26">
          <cell r="H26">
            <v>0</v>
          </cell>
          <cell r="I26">
            <v>0</v>
          </cell>
          <cell r="K26">
            <v>0</v>
          </cell>
          <cell r="L26">
            <v>0</v>
          </cell>
          <cell r="M26">
            <v>0</v>
          </cell>
          <cell r="N26">
            <v>0</v>
          </cell>
          <cell r="O26">
            <v>0</v>
          </cell>
        </row>
        <row r="27">
          <cell r="I27">
            <v>0</v>
          </cell>
          <cell r="L27">
            <v>0</v>
          </cell>
          <cell r="M27">
            <v>0</v>
          </cell>
          <cell r="O27">
            <v>0</v>
          </cell>
        </row>
        <row r="28">
          <cell r="I28">
            <v>0</v>
          </cell>
          <cell r="L28">
            <v>0</v>
          </cell>
          <cell r="M28">
            <v>0</v>
          </cell>
          <cell r="O28">
            <v>0</v>
          </cell>
        </row>
        <row r="29">
          <cell r="I29">
            <v>0</v>
          </cell>
          <cell r="L29">
            <v>0</v>
          </cell>
          <cell r="M29">
            <v>0</v>
          </cell>
          <cell r="O29">
            <v>0</v>
          </cell>
        </row>
        <row r="30">
          <cell r="I30">
            <v>0</v>
          </cell>
          <cell r="L30">
            <v>0</v>
          </cell>
          <cell r="M30">
            <v>0</v>
          </cell>
          <cell r="O30">
            <v>0</v>
          </cell>
        </row>
        <row r="31">
          <cell r="I31">
            <v>0</v>
          </cell>
          <cell r="L31">
            <v>0</v>
          </cell>
          <cell r="M31">
            <v>0</v>
          </cell>
          <cell r="O31">
            <v>0</v>
          </cell>
        </row>
        <row r="32">
          <cell r="H32">
            <v>0</v>
          </cell>
          <cell r="I32">
            <v>0</v>
          </cell>
          <cell r="K32">
            <v>0</v>
          </cell>
          <cell r="L32">
            <v>0</v>
          </cell>
          <cell r="M32">
            <v>0</v>
          </cell>
          <cell r="N32">
            <v>0</v>
          </cell>
          <cell r="O32">
            <v>0</v>
          </cell>
        </row>
        <row r="33">
          <cell r="I33">
            <v>0</v>
          </cell>
          <cell r="L33">
            <v>0</v>
          </cell>
          <cell r="M33">
            <v>0</v>
          </cell>
          <cell r="O33">
            <v>0</v>
          </cell>
        </row>
        <row r="34">
          <cell r="I34">
            <v>0</v>
          </cell>
          <cell r="L34">
            <v>0</v>
          </cell>
          <cell r="M34">
            <v>0</v>
          </cell>
          <cell r="O34">
            <v>0</v>
          </cell>
        </row>
        <row r="35">
          <cell r="I35">
            <v>0</v>
          </cell>
          <cell r="L35">
            <v>0</v>
          </cell>
          <cell r="M35">
            <v>0</v>
          </cell>
          <cell r="O35">
            <v>0</v>
          </cell>
        </row>
        <row r="36">
          <cell r="I36">
            <v>0</v>
          </cell>
          <cell r="L36">
            <v>0</v>
          </cell>
          <cell r="M36">
            <v>0</v>
          </cell>
          <cell r="O36">
            <v>0</v>
          </cell>
        </row>
        <row r="37">
          <cell r="I37">
            <v>0</v>
          </cell>
          <cell r="L37">
            <v>0</v>
          </cell>
          <cell r="M37">
            <v>0</v>
          </cell>
          <cell r="O37">
            <v>0</v>
          </cell>
        </row>
        <row r="38">
          <cell r="H38">
            <v>0</v>
          </cell>
          <cell r="I38">
            <v>0</v>
          </cell>
          <cell r="K38">
            <v>0</v>
          </cell>
          <cell r="L38">
            <v>0</v>
          </cell>
          <cell r="M38">
            <v>0</v>
          </cell>
          <cell r="O38">
            <v>0</v>
          </cell>
        </row>
        <row r="39">
          <cell r="I39">
            <v>0</v>
          </cell>
          <cell r="L39">
            <v>0</v>
          </cell>
          <cell r="M39">
            <v>0</v>
          </cell>
          <cell r="O39">
            <v>0</v>
          </cell>
        </row>
        <row r="40">
          <cell r="I40">
            <v>0</v>
          </cell>
          <cell r="L40">
            <v>0</v>
          </cell>
          <cell r="M40">
            <v>0</v>
          </cell>
          <cell r="O40">
            <v>0</v>
          </cell>
        </row>
        <row r="41">
          <cell r="I41">
            <v>0</v>
          </cell>
          <cell r="L41">
            <v>0</v>
          </cell>
          <cell r="M41">
            <v>0</v>
          </cell>
          <cell r="O41">
            <v>0</v>
          </cell>
        </row>
        <row r="42">
          <cell r="I42">
            <v>0</v>
          </cell>
          <cell r="L42">
            <v>0</v>
          </cell>
          <cell r="M42">
            <v>0</v>
          </cell>
          <cell r="O42">
            <v>0</v>
          </cell>
        </row>
        <row r="43">
          <cell r="I43">
            <v>0</v>
          </cell>
          <cell r="L43">
            <v>0</v>
          </cell>
          <cell r="M43">
            <v>0</v>
          </cell>
          <cell r="O43">
            <v>0</v>
          </cell>
        </row>
        <row r="44">
          <cell r="H44">
            <v>0</v>
          </cell>
          <cell r="I44">
            <v>0</v>
          </cell>
          <cell r="K44">
            <v>0</v>
          </cell>
          <cell r="L44">
            <v>0</v>
          </cell>
          <cell r="M44">
            <v>0</v>
          </cell>
          <cell r="O44">
            <v>0</v>
          </cell>
        </row>
        <row r="45">
          <cell r="I45">
            <v>0</v>
          </cell>
          <cell r="L45">
            <v>0</v>
          </cell>
          <cell r="M45">
            <v>0</v>
          </cell>
          <cell r="O45">
            <v>0</v>
          </cell>
        </row>
        <row r="46">
          <cell r="I46">
            <v>0</v>
          </cell>
          <cell r="L46">
            <v>0</v>
          </cell>
          <cell r="M46">
            <v>0</v>
          </cell>
          <cell r="O46">
            <v>0</v>
          </cell>
        </row>
        <row r="47">
          <cell r="I47">
            <v>0</v>
          </cell>
          <cell r="L47">
            <v>0</v>
          </cell>
          <cell r="M47">
            <v>0</v>
          </cell>
          <cell r="O47">
            <v>0</v>
          </cell>
        </row>
        <row r="48">
          <cell r="I48">
            <v>0</v>
          </cell>
          <cell r="L48">
            <v>0</v>
          </cell>
          <cell r="M48">
            <v>0</v>
          </cell>
          <cell r="O48">
            <v>0</v>
          </cell>
        </row>
        <row r="49">
          <cell r="I49">
            <v>0</v>
          </cell>
          <cell r="L49">
            <v>0</v>
          </cell>
          <cell r="M49">
            <v>0</v>
          </cell>
          <cell r="O49">
            <v>0</v>
          </cell>
        </row>
        <row r="51">
          <cell r="F51">
            <v>0</v>
          </cell>
          <cell r="G51">
            <v>0</v>
          </cell>
          <cell r="H51">
            <v>0</v>
          </cell>
          <cell r="I51">
            <v>0</v>
          </cell>
          <cell r="K51">
            <v>0</v>
          </cell>
          <cell r="L51">
            <v>0</v>
          </cell>
          <cell r="M51">
            <v>0</v>
          </cell>
          <cell r="N51">
            <v>0</v>
          </cell>
          <cell r="O51">
            <v>0</v>
          </cell>
        </row>
        <row r="52">
          <cell r="F52">
            <v>0</v>
          </cell>
          <cell r="G52">
            <v>0</v>
          </cell>
          <cell r="H52">
            <v>0</v>
          </cell>
          <cell r="I52">
            <v>0</v>
          </cell>
          <cell r="K52">
            <v>0</v>
          </cell>
          <cell r="L52">
            <v>0</v>
          </cell>
          <cell r="M52">
            <v>0</v>
          </cell>
          <cell r="N52">
            <v>0</v>
          </cell>
          <cell r="O52">
            <v>0</v>
          </cell>
        </row>
        <row r="53">
          <cell r="H53">
            <v>0</v>
          </cell>
          <cell r="I53">
            <v>0</v>
          </cell>
          <cell r="K53">
            <v>0</v>
          </cell>
          <cell r="L53">
            <v>0</v>
          </cell>
          <cell r="M53">
            <v>0</v>
          </cell>
          <cell r="O53">
            <v>0</v>
          </cell>
        </row>
        <row r="54">
          <cell r="I54">
            <v>0</v>
          </cell>
          <cell r="L54">
            <v>0</v>
          </cell>
          <cell r="M54">
            <v>0</v>
          </cell>
          <cell r="O54">
            <v>0</v>
          </cell>
        </row>
        <row r="55">
          <cell r="I55">
            <v>0</v>
          </cell>
          <cell r="L55">
            <v>0</v>
          </cell>
          <cell r="M55">
            <v>0</v>
          </cell>
          <cell r="O55">
            <v>0</v>
          </cell>
        </row>
        <row r="56">
          <cell r="I56">
            <v>0</v>
          </cell>
          <cell r="L56">
            <v>0</v>
          </cell>
          <cell r="M56">
            <v>0</v>
          </cell>
          <cell r="O56">
            <v>0</v>
          </cell>
        </row>
        <row r="57">
          <cell r="I57">
            <v>0</v>
          </cell>
          <cell r="L57">
            <v>0</v>
          </cell>
          <cell r="M57">
            <v>0</v>
          </cell>
          <cell r="O57">
            <v>0</v>
          </cell>
        </row>
        <row r="58">
          <cell r="I58">
            <v>0</v>
          </cell>
          <cell r="L58">
            <v>0</v>
          </cell>
          <cell r="M58">
            <v>0</v>
          </cell>
          <cell r="O58">
            <v>0</v>
          </cell>
        </row>
        <row r="59">
          <cell r="H59">
            <v>0</v>
          </cell>
          <cell r="I59">
            <v>0</v>
          </cell>
          <cell r="K59">
            <v>0</v>
          </cell>
          <cell r="L59">
            <v>0</v>
          </cell>
          <cell r="M59">
            <v>0</v>
          </cell>
          <cell r="O59">
            <v>0</v>
          </cell>
        </row>
        <row r="60">
          <cell r="I60">
            <v>0</v>
          </cell>
          <cell r="L60">
            <v>0</v>
          </cell>
          <cell r="M60">
            <v>0</v>
          </cell>
          <cell r="O60">
            <v>0</v>
          </cell>
        </row>
        <row r="61">
          <cell r="I61">
            <v>0</v>
          </cell>
          <cell r="L61">
            <v>0</v>
          </cell>
          <cell r="M61">
            <v>0</v>
          </cell>
          <cell r="O61">
            <v>0</v>
          </cell>
        </row>
        <row r="62">
          <cell r="I62">
            <v>0</v>
          </cell>
          <cell r="L62">
            <v>0</v>
          </cell>
          <cell r="M62">
            <v>0</v>
          </cell>
          <cell r="O62">
            <v>0</v>
          </cell>
        </row>
        <row r="63">
          <cell r="I63">
            <v>0</v>
          </cell>
          <cell r="L63">
            <v>0</v>
          </cell>
          <cell r="M63">
            <v>0</v>
          </cell>
          <cell r="O63">
            <v>0</v>
          </cell>
        </row>
        <row r="64">
          <cell r="I64">
            <v>0</v>
          </cell>
          <cell r="L64">
            <v>0</v>
          </cell>
          <cell r="M64">
            <v>0</v>
          </cell>
          <cell r="O64">
            <v>0</v>
          </cell>
        </row>
        <row r="65">
          <cell r="H65">
            <v>0</v>
          </cell>
          <cell r="I65">
            <v>0</v>
          </cell>
          <cell r="K65">
            <v>0</v>
          </cell>
          <cell r="L65">
            <v>0</v>
          </cell>
          <cell r="M65">
            <v>0</v>
          </cell>
          <cell r="N65">
            <v>0</v>
          </cell>
          <cell r="O65">
            <v>0</v>
          </cell>
        </row>
        <row r="66">
          <cell r="I66">
            <v>0</v>
          </cell>
          <cell r="L66">
            <v>0</v>
          </cell>
          <cell r="M66">
            <v>0</v>
          </cell>
          <cell r="O66">
            <v>0</v>
          </cell>
        </row>
        <row r="67">
          <cell r="I67">
            <v>0</v>
          </cell>
          <cell r="L67">
            <v>0</v>
          </cell>
          <cell r="M67">
            <v>0</v>
          </cell>
          <cell r="O67">
            <v>0</v>
          </cell>
        </row>
        <row r="68">
          <cell r="I68">
            <v>0</v>
          </cell>
          <cell r="L68">
            <v>0</v>
          </cell>
          <cell r="M68">
            <v>0</v>
          </cell>
          <cell r="O68">
            <v>0</v>
          </cell>
        </row>
        <row r="69">
          <cell r="I69">
            <v>0</v>
          </cell>
          <cell r="L69">
            <v>0</v>
          </cell>
          <cell r="M69">
            <v>0</v>
          </cell>
          <cell r="O69">
            <v>0</v>
          </cell>
        </row>
        <row r="70">
          <cell r="I70">
            <v>0</v>
          </cell>
          <cell r="L70">
            <v>0</v>
          </cell>
          <cell r="M70">
            <v>0</v>
          </cell>
          <cell r="O70">
            <v>0</v>
          </cell>
        </row>
        <row r="71">
          <cell r="H71">
            <v>0</v>
          </cell>
          <cell r="I71">
            <v>0</v>
          </cell>
          <cell r="K71">
            <v>0</v>
          </cell>
          <cell r="L71">
            <v>0</v>
          </cell>
          <cell r="M71">
            <v>0</v>
          </cell>
          <cell r="N71">
            <v>0</v>
          </cell>
          <cell r="O71">
            <v>0</v>
          </cell>
        </row>
        <row r="72">
          <cell r="I72">
            <v>0</v>
          </cell>
          <cell r="L72">
            <v>0</v>
          </cell>
          <cell r="M72">
            <v>0</v>
          </cell>
          <cell r="O72">
            <v>0</v>
          </cell>
        </row>
        <row r="73">
          <cell r="I73">
            <v>0</v>
          </cell>
          <cell r="L73">
            <v>0</v>
          </cell>
          <cell r="M73">
            <v>0</v>
          </cell>
          <cell r="O73">
            <v>0</v>
          </cell>
        </row>
        <row r="74">
          <cell r="I74">
            <v>0</v>
          </cell>
          <cell r="L74">
            <v>0</v>
          </cell>
          <cell r="M74">
            <v>0</v>
          </cell>
          <cell r="O74">
            <v>0</v>
          </cell>
        </row>
        <row r="75">
          <cell r="I75">
            <v>0</v>
          </cell>
          <cell r="L75">
            <v>0</v>
          </cell>
          <cell r="M75">
            <v>0</v>
          </cell>
          <cell r="O75">
            <v>0</v>
          </cell>
        </row>
        <row r="76">
          <cell r="I76">
            <v>0</v>
          </cell>
          <cell r="L76">
            <v>0</v>
          </cell>
          <cell r="M76">
            <v>0</v>
          </cell>
          <cell r="O76">
            <v>0</v>
          </cell>
        </row>
        <row r="77">
          <cell r="H77">
            <v>0</v>
          </cell>
          <cell r="I77">
            <v>0</v>
          </cell>
          <cell r="K77">
            <v>0</v>
          </cell>
          <cell r="L77">
            <v>0</v>
          </cell>
          <cell r="M77">
            <v>0</v>
          </cell>
          <cell r="O77">
            <v>0</v>
          </cell>
        </row>
        <row r="78">
          <cell r="I78">
            <v>0</v>
          </cell>
          <cell r="L78">
            <v>0</v>
          </cell>
          <cell r="M78">
            <v>0</v>
          </cell>
          <cell r="O78">
            <v>0</v>
          </cell>
        </row>
        <row r="79">
          <cell r="I79">
            <v>0</v>
          </cell>
          <cell r="L79">
            <v>0</v>
          </cell>
          <cell r="M79">
            <v>0</v>
          </cell>
          <cell r="O79">
            <v>0</v>
          </cell>
        </row>
        <row r="80">
          <cell r="I80">
            <v>0</v>
          </cell>
          <cell r="L80">
            <v>0</v>
          </cell>
          <cell r="M80">
            <v>0</v>
          </cell>
          <cell r="O80">
            <v>0</v>
          </cell>
        </row>
        <row r="81">
          <cell r="I81">
            <v>0</v>
          </cell>
          <cell r="L81">
            <v>0</v>
          </cell>
          <cell r="M81">
            <v>0</v>
          </cell>
          <cell r="O81">
            <v>0</v>
          </cell>
        </row>
        <row r="82">
          <cell r="I82">
            <v>0</v>
          </cell>
          <cell r="L82">
            <v>0</v>
          </cell>
          <cell r="M82">
            <v>0</v>
          </cell>
          <cell r="O82">
            <v>0</v>
          </cell>
        </row>
        <row r="83">
          <cell r="H83">
            <v>0</v>
          </cell>
          <cell r="I83">
            <v>0</v>
          </cell>
          <cell r="K83">
            <v>0</v>
          </cell>
          <cell r="L83">
            <v>0</v>
          </cell>
          <cell r="M83">
            <v>0</v>
          </cell>
          <cell r="O83">
            <v>0</v>
          </cell>
        </row>
        <row r="84">
          <cell r="I84">
            <v>0</v>
          </cell>
          <cell r="L84">
            <v>0</v>
          </cell>
          <cell r="M84">
            <v>0</v>
          </cell>
          <cell r="O84">
            <v>0</v>
          </cell>
        </row>
        <row r="85">
          <cell r="I85">
            <v>0</v>
          </cell>
          <cell r="L85">
            <v>0</v>
          </cell>
          <cell r="M85">
            <v>0</v>
          </cell>
          <cell r="O85">
            <v>0</v>
          </cell>
        </row>
        <row r="86">
          <cell r="I86">
            <v>0</v>
          </cell>
          <cell r="L86">
            <v>0</v>
          </cell>
          <cell r="M86">
            <v>0</v>
          </cell>
          <cell r="O86">
            <v>0</v>
          </cell>
        </row>
        <row r="87">
          <cell r="I87">
            <v>0</v>
          </cell>
          <cell r="L87">
            <v>0</v>
          </cell>
          <cell r="M87">
            <v>0</v>
          </cell>
          <cell r="O87">
            <v>0</v>
          </cell>
        </row>
        <row r="88">
          <cell r="I88">
            <v>0</v>
          </cell>
          <cell r="L88">
            <v>0</v>
          </cell>
          <cell r="M88">
            <v>0</v>
          </cell>
          <cell r="O88">
            <v>0</v>
          </cell>
        </row>
      </sheetData>
      <sheetData sheetId="22"/>
      <sheetData sheetId="23"/>
      <sheetData sheetId="24"/>
      <sheetData sheetId="25"/>
      <sheetData sheetId="26"/>
      <sheetData sheetId="27"/>
      <sheetData sheetId="28"/>
      <sheetData sheetId="29"/>
      <sheetData sheetId="30"/>
      <sheetData sheetId="31">
        <row r="6">
          <cell r="C6" t="str">
            <v>Введите название региона</v>
          </cell>
          <cell r="K6" t="str">
            <v>Предложение организации</v>
          </cell>
        </row>
        <row r="7">
          <cell r="C7" t="str">
            <v>Агинский Бурятский автономный округ</v>
          </cell>
          <cell r="K7" t="str">
            <v>Предложение регионального регулятора</v>
          </cell>
        </row>
        <row r="8">
          <cell r="C8" t="str">
            <v>Алтайский край</v>
          </cell>
          <cell r="K8" t="str">
            <v>Сводный по региону</v>
          </cell>
        </row>
        <row r="9">
          <cell r="C9" t="str">
            <v>Амурская область</v>
          </cell>
        </row>
        <row r="10">
          <cell r="C10" t="str">
            <v>Архангельская область</v>
          </cell>
        </row>
        <row r="11">
          <cell r="C11" t="str">
            <v>Астраханская область</v>
          </cell>
        </row>
        <row r="12">
          <cell r="C12" t="str">
            <v>г.Байконур</v>
          </cell>
        </row>
        <row r="13">
          <cell r="C13" t="str">
            <v>Белгородская область</v>
          </cell>
        </row>
        <row r="14">
          <cell r="C14" t="str">
            <v>Брянская область</v>
          </cell>
        </row>
        <row r="15">
          <cell r="C15" t="str">
            <v>Владимирская область</v>
          </cell>
        </row>
        <row r="16">
          <cell r="C16" t="str">
            <v>Волгоградская область</v>
          </cell>
        </row>
        <row r="17">
          <cell r="C17" t="str">
            <v>Вологодская область</v>
          </cell>
        </row>
        <row r="18">
          <cell r="C18" t="str">
            <v>Воронежская область</v>
          </cell>
        </row>
        <row r="19">
          <cell r="C19" t="str">
            <v>Еврейская автономная область</v>
          </cell>
        </row>
        <row r="20">
          <cell r="C20" t="str">
            <v>Ивановская область</v>
          </cell>
        </row>
        <row r="21">
          <cell r="C21" t="str">
            <v>Иркутская область</v>
          </cell>
        </row>
        <row r="22">
          <cell r="C22" t="str">
            <v>Кабардино-Балкарская республика</v>
          </cell>
        </row>
        <row r="23">
          <cell r="C23" t="str">
            <v>Калининградская область</v>
          </cell>
        </row>
        <row r="24">
          <cell r="C24" t="str">
            <v>Калужская область</v>
          </cell>
        </row>
        <row r="25">
          <cell r="C25" t="str">
            <v>Камчатская область</v>
          </cell>
        </row>
        <row r="26">
          <cell r="C26" t="str">
            <v>Карачаево-Черкесская республика</v>
          </cell>
        </row>
        <row r="27">
          <cell r="C27" t="str">
            <v>Кемеровская область</v>
          </cell>
        </row>
        <row r="28">
          <cell r="C28" t="str">
            <v>Кировская область</v>
          </cell>
        </row>
        <row r="29">
          <cell r="C29" t="str">
            <v>Корякский автономный округ</v>
          </cell>
        </row>
        <row r="30">
          <cell r="C30" t="str">
            <v>Костромская область</v>
          </cell>
        </row>
        <row r="31">
          <cell r="C31" t="str">
            <v>Краснодарский край</v>
          </cell>
        </row>
        <row r="32">
          <cell r="C32" t="str">
            <v>Красноярский край</v>
          </cell>
        </row>
        <row r="33">
          <cell r="C33" t="str">
            <v>Курганская область</v>
          </cell>
        </row>
        <row r="34">
          <cell r="C34" t="str">
            <v>Курская область</v>
          </cell>
        </row>
        <row r="35">
          <cell r="C35" t="str">
            <v>Ленинградская область</v>
          </cell>
        </row>
        <row r="36">
          <cell r="C36" t="str">
            <v>Липецкая область</v>
          </cell>
        </row>
        <row r="37">
          <cell r="C37" t="str">
            <v>Магаданская область</v>
          </cell>
        </row>
        <row r="38">
          <cell r="C38" t="str">
            <v>г.Москва</v>
          </cell>
        </row>
        <row r="39">
          <cell r="C39" t="str">
            <v>Московская область</v>
          </cell>
        </row>
        <row r="40">
          <cell r="C40" t="str">
            <v>Мурманская область</v>
          </cell>
        </row>
        <row r="41">
          <cell r="C41" t="str">
            <v>Ненецкий автономный округ</v>
          </cell>
        </row>
        <row r="42">
          <cell r="C42" t="str">
            <v>Нижегородская область</v>
          </cell>
        </row>
        <row r="43">
          <cell r="C43" t="str">
            <v>Новгородская область</v>
          </cell>
        </row>
        <row r="44">
          <cell r="C44" t="str">
            <v>Новосибирская область</v>
          </cell>
        </row>
        <row r="45">
          <cell r="C45" t="str">
            <v>Омская область</v>
          </cell>
        </row>
        <row r="46">
          <cell r="C46" t="str">
            <v>Оренбургская область</v>
          </cell>
        </row>
        <row r="47">
          <cell r="C47" t="str">
            <v>Орловская область</v>
          </cell>
        </row>
        <row r="48">
          <cell r="C48" t="str">
            <v>Пензенская область</v>
          </cell>
        </row>
        <row r="49">
          <cell r="C49" t="str">
            <v>Пермский край</v>
          </cell>
        </row>
        <row r="50">
          <cell r="C50" t="str">
            <v>Приморский край</v>
          </cell>
        </row>
        <row r="51">
          <cell r="C51" t="str">
            <v>Псковская область</v>
          </cell>
        </row>
        <row r="52">
          <cell r="C52" t="str">
            <v>Республика Адыгея</v>
          </cell>
        </row>
        <row r="53">
          <cell r="C53" t="str">
            <v>Республика Алтай</v>
          </cell>
        </row>
        <row r="54">
          <cell r="C54" t="str">
            <v>Республика Башкортостан</v>
          </cell>
        </row>
        <row r="55">
          <cell r="C55" t="str">
            <v>Республика Бурятия</v>
          </cell>
        </row>
        <row r="56">
          <cell r="C56" t="str">
            <v>Республика Дагестан</v>
          </cell>
        </row>
        <row r="57">
          <cell r="C57" t="str">
            <v>Республика Ингушетия</v>
          </cell>
        </row>
        <row r="58">
          <cell r="C58" t="str">
            <v>Республика Калмыкия</v>
          </cell>
        </row>
        <row r="59">
          <cell r="C59" t="str">
            <v>Республика Карелия</v>
          </cell>
        </row>
        <row r="60">
          <cell r="C60" t="str">
            <v>Республика Коми</v>
          </cell>
        </row>
        <row r="61">
          <cell r="C61" t="str">
            <v>Республика Марий Эл</v>
          </cell>
        </row>
        <row r="62">
          <cell r="C62" t="str">
            <v>Республика Мордовия</v>
          </cell>
        </row>
        <row r="63">
          <cell r="C63" t="str">
            <v>Республика Саха (Якутия)</v>
          </cell>
        </row>
        <row r="64">
          <cell r="C64" t="str">
            <v>Республика Северная Осетия-Алания</v>
          </cell>
        </row>
        <row r="65">
          <cell r="C65" t="str">
            <v>Республика Татарстан</v>
          </cell>
        </row>
        <row r="66">
          <cell r="C66" t="str">
            <v>Республика Тыва</v>
          </cell>
        </row>
        <row r="67">
          <cell r="C67" t="str">
            <v>Республика Хакасия</v>
          </cell>
        </row>
        <row r="68">
          <cell r="C68" t="str">
            <v>Ростовская область</v>
          </cell>
        </row>
        <row r="69">
          <cell r="C69" t="str">
            <v>Рязанская область</v>
          </cell>
        </row>
        <row r="70">
          <cell r="C70" t="str">
            <v>Самарская область</v>
          </cell>
        </row>
        <row r="71">
          <cell r="C71" t="str">
            <v>г.Санкт-Петербург</v>
          </cell>
        </row>
        <row r="72">
          <cell r="C72" t="str">
            <v>Саратовская область</v>
          </cell>
        </row>
        <row r="73">
          <cell r="C73" t="str">
            <v>Сахалинская область</v>
          </cell>
        </row>
        <row r="74">
          <cell r="C74" t="str">
            <v>Свердловская область</v>
          </cell>
        </row>
        <row r="75">
          <cell r="C75" t="str">
            <v>Смоленская область</v>
          </cell>
        </row>
        <row r="76">
          <cell r="C76" t="str">
            <v>Ставропольский край</v>
          </cell>
        </row>
        <row r="77">
          <cell r="C77" t="str">
            <v>Тамбовская область</v>
          </cell>
        </row>
        <row r="78">
          <cell r="C78" t="str">
            <v>Тверская область</v>
          </cell>
        </row>
        <row r="79">
          <cell r="C79" t="str">
            <v>Томская область</v>
          </cell>
        </row>
        <row r="80">
          <cell r="C80" t="str">
            <v>Тульская область</v>
          </cell>
        </row>
        <row r="81">
          <cell r="C81" t="str">
            <v>Тюменская область</v>
          </cell>
        </row>
        <row r="82">
          <cell r="C82" t="str">
            <v>Удмуртская республика</v>
          </cell>
        </row>
        <row r="83">
          <cell r="C83" t="str">
            <v>Ульяновская область</v>
          </cell>
        </row>
        <row r="84">
          <cell r="C84" t="str">
            <v>Усть-Ордынский Бурятский автономный округ</v>
          </cell>
        </row>
        <row r="85">
          <cell r="C85" t="str">
            <v>Хабаровский край</v>
          </cell>
        </row>
        <row r="86">
          <cell r="C86" t="str">
            <v>Ханты-Мансийский автономный округ</v>
          </cell>
        </row>
        <row r="87">
          <cell r="C87" t="str">
            <v>Челябинская область</v>
          </cell>
        </row>
        <row r="88">
          <cell r="C88" t="str">
            <v>Чеченская республика</v>
          </cell>
        </row>
        <row r="89">
          <cell r="C89" t="str">
            <v>Читинская область</v>
          </cell>
        </row>
        <row r="90">
          <cell r="C90" t="str">
            <v>Чувашская республика</v>
          </cell>
        </row>
        <row r="91">
          <cell r="C91" t="str">
            <v>Чукотский автономный округ</v>
          </cell>
        </row>
        <row r="92">
          <cell r="C92" t="str">
            <v>Ямало-Ненецкий автономный округ</v>
          </cell>
        </row>
        <row r="93">
          <cell r="C93" t="str">
            <v>Ярославская область</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Форма 6"/>
      <sheetName val="Форма 6_print"/>
      <sheetName val="Комментарии"/>
      <sheetName val="Проверка"/>
      <sheetName val="Проверка_back"/>
      <sheetName val="TEHSHEET"/>
      <sheetName val="et_union"/>
      <sheetName val="mod_wb"/>
      <sheetName val="AllSheetsInThisWorkbook"/>
      <sheetName val="modUpdTemplMain"/>
      <sheetName val="modfrmCheckUpdates"/>
      <sheetName val="modfrmMonthYearChoose"/>
      <sheetName val="modInfo"/>
      <sheetName val="modInstruction"/>
      <sheetName val="modfrmSetErr"/>
      <sheetName val="modServiceModule"/>
      <sheetName val="mod_00"/>
      <sheetName val="mod_01"/>
      <sheetName val="mod_02"/>
      <sheetName val="mod_Coms"/>
      <sheetName val="mod_Tit"/>
      <sheetName val="modCheck"/>
      <sheetName val="modCommandButton"/>
      <sheetName val="modfrmReestr"/>
      <sheetName val="modfrmDateChoose"/>
      <sheetName val="REESTR_MO"/>
      <sheetName val="REESTR_FILTERED"/>
      <sheetName val="REESTR_ORG_EE"/>
      <sheetName val="FORMA.6.2.63"/>
    </sheetNames>
    <sheetDataSet>
      <sheetData sheetId="0"/>
      <sheetData sheetId="1"/>
      <sheetData sheetId="2">
        <row r="15">
          <cell r="D15">
            <v>2015</v>
          </cell>
        </row>
        <row r="16">
          <cell r="D16" t="str">
            <v>I полугодие</v>
          </cell>
        </row>
        <row r="24">
          <cell r="D24" t="str">
            <v>ПАО "МРСК Волги"</v>
          </cell>
        </row>
        <row r="44">
          <cell r="D44" t="str">
            <v>Санаев Константин Николаевич</v>
          </cell>
        </row>
        <row r="53">
          <cell r="D53" t="str">
            <v>Борисова Ирина Викторовна</v>
          </cell>
        </row>
        <row r="54">
          <cell r="D54" t="str">
            <v>Начальник тарифного отдела</v>
          </cell>
        </row>
        <row r="55">
          <cell r="D55" t="str">
            <v>8(846)339-33-15</v>
          </cell>
        </row>
      </sheetData>
      <sheetData sheetId="3"/>
      <sheetData sheetId="4"/>
      <sheetData sheetId="5"/>
      <sheetData sheetId="6"/>
      <sheetData sheetId="7"/>
      <sheetData sheetId="8">
        <row r="2">
          <cell r="D2" t="str">
            <v>I квартал</v>
          </cell>
          <cell r="E2">
            <v>2010</v>
          </cell>
        </row>
        <row r="3">
          <cell r="D3" t="str">
            <v>I полугодие</v>
          </cell>
          <cell r="E3">
            <v>2011</v>
          </cell>
        </row>
        <row r="4">
          <cell r="D4" t="str">
            <v>9 месяцев</v>
          </cell>
          <cell r="E4">
            <v>2012</v>
          </cell>
        </row>
        <row r="5">
          <cell r="D5" t="str">
            <v>год</v>
          </cell>
          <cell r="E5">
            <v>2013</v>
          </cell>
        </row>
        <row r="6">
          <cell r="E6">
            <v>2014</v>
          </cell>
        </row>
        <row r="7">
          <cell r="E7">
            <v>2015</v>
          </cell>
        </row>
        <row r="8">
          <cell r="E8">
            <v>2016</v>
          </cell>
        </row>
        <row r="9">
          <cell r="E9">
            <v>2017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D2" t="str">
            <v>Алексеевский муниципальный район</v>
          </cell>
        </row>
        <row r="3">
          <cell r="D3" t="str">
            <v>Безенчукский муниципальный район</v>
          </cell>
        </row>
        <row r="4">
          <cell r="D4" t="str">
            <v>Богатовский муниципальный район</v>
          </cell>
        </row>
        <row r="5">
          <cell r="D5" t="str">
            <v>Большеглушицкий муниципальный район</v>
          </cell>
        </row>
        <row r="6">
          <cell r="D6" t="str">
            <v>Большечерниговский муниципальный район</v>
          </cell>
        </row>
        <row r="7">
          <cell r="D7" t="str">
            <v>Борский муниципальный район</v>
          </cell>
        </row>
        <row r="8">
          <cell r="D8" t="str">
            <v>Волжский муниципальный район</v>
          </cell>
        </row>
        <row r="9">
          <cell r="D9" t="str">
            <v>Елховский муниципальный район</v>
          </cell>
        </row>
        <row r="10">
          <cell r="D10" t="str">
            <v>Исаклинский муниципальный район</v>
          </cell>
        </row>
        <row r="11">
          <cell r="D11" t="str">
            <v>Камышлинский муниципальный район</v>
          </cell>
        </row>
        <row r="12">
          <cell r="D12" t="str">
            <v>Кинель-Черкасский муниципальный район</v>
          </cell>
        </row>
        <row r="13">
          <cell r="D13" t="str">
            <v>Кинельский муниципальный район</v>
          </cell>
        </row>
        <row r="14">
          <cell r="D14" t="str">
            <v>Клявлинский муниципальный район</v>
          </cell>
        </row>
        <row r="15">
          <cell r="D15" t="str">
            <v>Кошкинский муниципальный район</v>
          </cell>
        </row>
        <row r="16">
          <cell r="D16" t="str">
            <v>Красноармейский муниципальный район</v>
          </cell>
        </row>
        <row r="17">
          <cell r="D17" t="str">
            <v>Красноярский муниципальный район</v>
          </cell>
        </row>
        <row r="18">
          <cell r="D18" t="str">
            <v>Нефтегорский муниципальный район</v>
          </cell>
        </row>
        <row r="19">
          <cell r="D19" t="str">
            <v>Пестравский муниципальный район</v>
          </cell>
        </row>
        <row r="20">
          <cell r="D20" t="str">
            <v>Похвистневский муниципальный район</v>
          </cell>
        </row>
        <row r="21">
          <cell r="D21" t="str">
            <v>Приволжский муниципальный район</v>
          </cell>
        </row>
        <row r="22">
          <cell r="D22" t="str">
            <v>Сергиевский муниципальный район</v>
          </cell>
        </row>
        <row r="23">
          <cell r="D23" t="str">
            <v>Ставропольский муниципальный район</v>
          </cell>
        </row>
        <row r="24">
          <cell r="D24" t="str">
            <v>Сызранский муниципальный район</v>
          </cell>
        </row>
        <row r="25">
          <cell r="D25" t="str">
            <v>Хворостянский муниципальный район</v>
          </cell>
        </row>
        <row r="26">
          <cell r="D26" t="str">
            <v>Челно-Вершинский муниципальный район</v>
          </cell>
        </row>
        <row r="27">
          <cell r="D27" t="str">
            <v>Шенталинский муниципальный район</v>
          </cell>
        </row>
        <row r="28">
          <cell r="D28" t="str">
            <v>Шигонский муниципальный район</v>
          </cell>
        </row>
        <row r="29">
          <cell r="D29" t="str">
            <v>городской округ Жигулевск</v>
          </cell>
        </row>
        <row r="30">
          <cell r="D30" t="str">
            <v>городской округ Кинель</v>
          </cell>
        </row>
        <row r="31">
          <cell r="D31" t="str">
            <v>городской округ Новокуйбышевск</v>
          </cell>
        </row>
        <row r="32">
          <cell r="D32" t="str">
            <v>городской округ Октябрьск</v>
          </cell>
        </row>
        <row r="33">
          <cell r="D33" t="str">
            <v>городской округ Отрадный</v>
          </cell>
        </row>
        <row r="34">
          <cell r="D34" t="str">
            <v>городской округ Похвистнево</v>
          </cell>
        </row>
        <row r="35">
          <cell r="D35" t="str">
            <v>городской округ Самара</v>
          </cell>
        </row>
        <row r="36">
          <cell r="D36" t="str">
            <v>городской округ Сызрань</v>
          </cell>
        </row>
        <row r="37">
          <cell r="D37" t="str">
            <v>городской округ Тольятти</v>
          </cell>
        </row>
        <row r="38">
          <cell r="D38" t="str">
            <v>городской округ Чапаевск</v>
          </cell>
        </row>
        <row r="339">
          <cell r="B339" t="str">
            <v>городской округ Самара</v>
          </cell>
        </row>
      </sheetData>
      <sheetData sheetId="29"/>
      <sheetData sheetId="30"/>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оимость ТП"/>
      <sheetName val="Tch"/>
    </sheetNames>
    <sheetDataSet>
      <sheetData sheetId="0" refreshError="1"/>
      <sheetData sheetId="1"/>
      <sheetData sheetId="2">
        <row r="3">
          <cell r="F3" t="str">
            <v>МРСК Северного Кавказа</v>
          </cell>
        </row>
        <row r="4">
          <cell r="F4" t="str">
            <v>МРСК Центра</v>
          </cell>
        </row>
        <row r="5">
          <cell r="F5" t="str">
            <v>МРСК Северо-Запада</v>
          </cell>
        </row>
        <row r="6">
          <cell r="F6" t="str">
            <v>МРСК Сибири</v>
          </cell>
        </row>
        <row r="7">
          <cell r="F7" t="str">
            <v>МРСК Урала</v>
          </cell>
        </row>
        <row r="8">
          <cell r="F8" t="str">
            <v>МРСК Юга</v>
          </cell>
        </row>
        <row r="9">
          <cell r="F9" t="str">
            <v>МРСК Центра и Приволжья</v>
          </cell>
        </row>
        <row r="10">
          <cell r="F10" t="str">
            <v>МРСК Волги</v>
          </cell>
        </row>
        <row r="11">
          <cell r="F11" t="str">
            <v>МОЭСК</v>
          </cell>
        </row>
        <row r="12">
          <cell r="F12" t="str">
            <v>Ленэнерго</v>
          </cell>
        </row>
        <row r="13">
          <cell r="F13" t="str">
            <v>Тюменьэнерго</v>
          </cell>
        </row>
        <row r="14">
          <cell r="F14" t="str">
            <v>Янтарьэнерго</v>
          </cell>
        </row>
        <row r="15">
          <cell r="F15" t="str">
            <v>Кубаньэнерго</v>
          </cell>
        </row>
        <row r="16">
          <cell r="F16" t="str">
            <v>Томская РК</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Динамика СН"/>
      <sheetName val="Tch"/>
    </sheetNames>
    <sheetDataSet>
      <sheetData sheetId="0"/>
      <sheetData sheetId="1"/>
      <sheetData sheetId="2">
        <row r="3">
          <cell r="F3" t="str">
            <v>МРСК Северного Кавказа</v>
          </cell>
        </row>
        <row r="4">
          <cell r="F4" t="str">
            <v>МРСК Центра</v>
          </cell>
        </row>
        <row r="5">
          <cell r="F5" t="str">
            <v>МРСК Северо-Запада</v>
          </cell>
        </row>
        <row r="6">
          <cell r="F6" t="str">
            <v>МРСК Сибири</v>
          </cell>
        </row>
        <row r="7">
          <cell r="F7" t="str">
            <v>МРСК Урала</v>
          </cell>
        </row>
        <row r="8">
          <cell r="F8" t="str">
            <v>МРСК Юга</v>
          </cell>
        </row>
        <row r="9">
          <cell r="F9" t="str">
            <v>МРСК Центра и Приволжья</v>
          </cell>
        </row>
        <row r="10">
          <cell r="F10" t="str">
            <v>МРСК Волги</v>
          </cell>
        </row>
        <row r="11">
          <cell r="F11" t="str">
            <v>МОЭСК</v>
          </cell>
        </row>
        <row r="12">
          <cell r="F12" t="str">
            <v>Ленэнерго</v>
          </cell>
        </row>
        <row r="13">
          <cell r="F13" t="str">
            <v>Тюменьэнерго</v>
          </cell>
        </row>
        <row r="14">
          <cell r="F14" t="str">
            <v>Янтарьэнерго</v>
          </cell>
        </row>
        <row r="15">
          <cell r="F15" t="str">
            <v>Кубаньэнерго</v>
          </cell>
        </row>
        <row r="16">
          <cell r="F16" t="str">
            <v>Томская РК</v>
          </cell>
        </row>
        <row r="65">
          <cell r="C65" t="str">
            <v>Янтарьэнерго</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s>
    <sheetDataSet>
      <sheetData sheetId="0"/>
      <sheetData sheetId="1">
        <row r="13">
          <cell r="G13">
            <v>7808553.1681000004</v>
          </cell>
          <cell r="J13">
            <v>9615289.9786084443</v>
          </cell>
          <cell r="L13">
            <v>9211558.3988476936</v>
          </cell>
          <cell r="T13">
            <v>11862441.9381954</v>
          </cell>
          <cell r="V13">
            <v>10886354.098525725</v>
          </cell>
          <cell r="AD13">
            <v>14909538.151992947</v>
          </cell>
          <cell r="AF13">
            <v>13106230.631250601</v>
          </cell>
        </row>
        <row r="14">
          <cell r="G14">
            <v>9808.5</v>
          </cell>
          <cell r="J14">
            <v>10755.105</v>
          </cell>
          <cell r="L14">
            <v>10303.514300000001</v>
          </cell>
          <cell r="T14">
            <v>11794.345499999999</v>
          </cell>
          <cell r="V14">
            <v>10823.8609</v>
          </cell>
          <cell r="AD14">
            <v>12935.3838</v>
          </cell>
          <cell r="AF14">
            <v>11370.8501</v>
          </cell>
        </row>
        <row r="15">
          <cell r="G15">
            <v>79.610064414538414</v>
          </cell>
          <cell r="H15">
            <v>1.123</v>
          </cell>
          <cell r="I15">
            <v>1.123</v>
          </cell>
          <cell r="J15">
            <v>89.402102337526642</v>
          </cell>
          <cell r="L15">
            <v>89.402102337526642</v>
          </cell>
          <cell r="R15">
            <v>1.125</v>
          </cell>
          <cell r="S15">
            <v>1.125</v>
          </cell>
          <cell r="T15">
            <v>100.57736512971748</v>
          </cell>
          <cell r="V15">
            <v>100.57736512971748</v>
          </cell>
          <cell r="AB15">
            <v>1.1459999999999999</v>
          </cell>
          <cell r="AC15">
            <v>1.1459999999999999</v>
          </cell>
          <cell r="AD15">
            <v>115.26166043865622</v>
          </cell>
          <cell r="AF15">
            <v>115.26166043865622</v>
          </cell>
        </row>
        <row r="16">
          <cell r="G16">
            <v>1019090.9705000001</v>
          </cell>
          <cell r="J16">
            <v>1150111.9960999999</v>
          </cell>
          <cell r="L16">
            <v>1150111.9960999999</v>
          </cell>
          <cell r="T16">
            <v>864679.26419999998</v>
          </cell>
          <cell r="V16">
            <v>864679.26419999998</v>
          </cell>
          <cell r="AD16">
            <v>941207.00249999994</v>
          </cell>
          <cell r="AF16">
            <v>941207.00249999994</v>
          </cell>
        </row>
        <row r="17">
          <cell r="G17">
            <v>294244.71029999998</v>
          </cell>
          <cell r="H17">
            <v>1.1970000000000001</v>
          </cell>
          <cell r="I17">
            <v>1.1970000000000001</v>
          </cell>
          <cell r="J17">
            <v>357969.9963</v>
          </cell>
          <cell r="L17">
            <v>357969.9963</v>
          </cell>
          <cell r="R17">
            <v>0</v>
          </cell>
          <cell r="S17">
            <v>0</v>
          </cell>
          <cell r="T17">
            <v>0</v>
          </cell>
          <cell r="V17">
            <v>0</v>
          </cell>
          <cell r="AB17">
            <v>0</v>
          </cell>
          <cell r="AC17">
            <v>0</v>
          </cell>
          <cell r="AD17">
            <v>0</v>
          </cell>
          <cell r="AF17">
            <v>0</v>
          </cell>
        </row>
        <row r="18">
          <cell r="G18">
            <v>719261.69880000001</v>
          </cell>
          <cell r="J18">
            <v>786614.27679999999</v>
          </cell>
          <cell r="L18">
            <v>786614.27679999999</v>
          </cell>
          <cell r="T18">
            <v>858664.85109999997</v>
          </cell>
          <cell r="V18">
            <v>858664.85109999997</v>
          </cell>
          <cell r="AD18">
            <v>934682.04909999995</v>
          </cell>
          <cell r="AF18">
            <v>934682.04909999995</v>
          </cell>
        </row>
        <row r="19">
          <cell r="G19">
            <v>719261.69880000001</v>
          </cell>
          <cell r="H19">
            <v>1.093</v>
          </cell>
          <cell r="I19">
            <v>1.093</v>
          </cell>
          <cell r="J19">
            <v>786614.27679999999</v>
          </cell>
          <cell r="L19">
            <v>786614.27679999999</v>
          </cell>
          <cell r="R19">
            <v>1.0920000000000001</v>
          </cell>
          <cell r="S19">
            <v>1.0920000000000001</v>
          </cell>
          <cell r="T19">
            <v>858664.85109999997</v>
          </cell>
          <cell r="V19">
            <v>858664.85109999997</v>
          </cell>
          <cell r="AB19">
            <v>1.089</v>
          </cell>
          <cell r="AC19">
            <v>1.089</v>
          </cell>
          <cell r="AD19">
            <v>934682.04909999995</v>
          </cell>
          <cell r="AF19">
            <v>934682.04909999995</v>
          </cell>
        </row>
        <row r="20">
          <cell r="G20">
            <v>0</v>
          </cell>
          <cell r="J20">
            <v>0</v>
          </cell>
          <cell r="L20">
            <v>0</v>
          </cell>
          <cell r="T20">
            <v>0</v>
          </cell>
          <cell r="V20">
            <v>0</v>
          </cell>
          <cell r="AD20">
            <v>0</v>
          </cell>
          <cell r="AF20">
            <v>0</v>
          </cell>
        </row>
        <row r="21">
          <cell r="G21">
            <v>410</v>
          </cell>
          <cell r="J21">
            <v>430.5</v>
          </cell>
          <cell r="L21">
            <v>420.72019999999998</v>
          </cell>
          <cell r="T21">
            <v>452.02499999999998</v>
          </cell>
          <cell r="V21">
            <v>431.72070000000002</v>
          </cell>
          <cell r="AD21">
            <v>474.62630000000001</v>
          </cell>
          <cell r="AF21">
            <v>443.00880000000001</v>
          </cell>
        </row>
        <row r="22">
          <cell r="G22">
            <v>0</v>
          </cell>
          <cell r="H22">
            <v>1.123</v>
          </cell>
          <cell r="I22">
            <v>1.123</v>
          </cell>
          <cell r="J22">
            <v>0</v>
          </cell>
          <cell r="L22">
            <v>0</v>
          </cell>
          <cell r="R22">
            <v>1.0680000000000001</v>
          </cell>
          <cell r="S22">
            <v>1.0680000000000001</v>
          </cell>
          <cell r="T22">
            <v>0</v>
          </cell>
          <cell r="V22">
            <v>0</v>
          </cell>
          <cell r="AB22">
            <v>1.0649999999999999</v>
          </cell>
          <cell r="AC22">
            <v>1.0649999999999999</v>
          </cell>
          <cell r="AD22">
            <v>0</v>
          </cell>
          <cell r="AF22">
            <v>0</v>
          </cell>
        </row>
        <row r="23">
          <cell r="G23">
            <v>5584.5613999999996</v>
          </cell>
          <cell r="H23">
            <v>0.90200000000000002</v>
          </cell>
          <cell r="I23">
            <v>0.90200000000000002</v>
          </cell>
          <cell r="J23">
            <v>5527.723</v>
          </cell>
          <cell r="L23">
            <v>5527.723</v>
          </cell>
          <cell r="R23">
            <v>0.99399999999999999</v>
          </cell>
          <cell r="S23">
            <v>0.99399999999999999</v>
          </cell>
          <cell r="T23">
            <v>6014.4130999999998</v>
          </cell>
          <cell r="V23">
            <v>6014.4130999999998</v>
          </cell>
          <cell r="AB23">
            <v>0.98599999999999999</v>
          </cell>
          <cell r="AC23">
            <v>0.98599999999999999</v>
          </cell>
          <cell r="AD23">
            <v>6524.9534000000003</v>
          </cell>
          <cell r="AF23">
            <v>6524.9534000000003</v>
          </cell>
        </row>
        <row r="24">
          <cell r="G24">
            <v>8827644.1386000011</v>
          </cell>
          <cell r="J24">
            <v>10765401.974708444</v>
          </cell>
          <cell r="L24">
            <v>10361670.394947693</v>
          </cell>
          <cell r="T24">
            <v>12727121.2023954</v>
          </cell>
          <cell r="V24">
            <v>11751033.362725725</v>
          </cell>
          <cell r="AD24">
            <v>15850745.154492946</v>
          </cell>
          <cell r="AF24">
            <v>14047437.633750601</v>
          </cell>
        </row>
        <row r="28">
          <cell r="G28">
            <v>0</v>
          </cell>
          <cell r="J28">
            <v>0</v>
          </cell>
          <cell r="L28">
            <v>0</v>
          </cell>
          <cell r="T28">
            <v>0</v>
          </cell>
          <cell r="V28">
            <v>0</v>
          </cell>
          <cell r="AD28">
            <v>0</v>
          </cell>
          <cell r="AF28">
            <v>0</v>
          </cell>
        </row>
        <row r="29">
          <cell r="G29">
            <v>0</v>
          </cell>
          <cell r="L29">
            <v>0</v>
          </cell>
          <cell r="V29">
            <v>0</v>
          </cell>
          <cell r="AF29">
            <v>0</v>
          </cell>
        </row>
        <row r="30">
          <cell r="G30">
            <v>0</v>
          </cell>
          <cell r="H30">
            <v>1.07</v>
          </cell>
          <cell r="I30">
            <v>1.1200000000000001</v>
          </cell>
          <cell r="J30">
            <v>0</v>
          </cell>
          <cell r="L30">
            <v>0</v>
          </cell>
          <cell r="R30">
            <v>1.0680000000000001</v>
          </cell>
          <cell r="S30">
            <v>1.125</v>
          </cell>
          <cell r="T30">
            <v>0</v>
          </cell>
          <cell r="V30">
            <v>0</v>
          </cell>
          <cell r="AB30">
            <v>1.0649999999999999</v>
          </cell>
          <cell r="AC30">
            <v>1.135</v>
          </cell>
          <cell r="AD30">
            <v>0</v>
          </cell>
          <cell r="AF30">
            <v>0</v>
          </cell>
        </row>
        <row r="31">
          <cell r="G31">
            <v>21818</v>
          </cell>
          <cell r="H31">
            <v>1.123</v>
          </cell>
          <cell r="I31">
            <v>1.123</v>
          </cell>
          <cell r="J31">
            <v>24501.614000000001</v>
          </cell>
          <cell r="L31">
            <v>24501.614000000001</v>
          </cell>
          <cell r="R31">
            <v>1.125</v>
          </cell>
          <cell r="S31">
            <v>1.125</v>
          </cell>
          <cell r="T31">
            <v>27564.315750000002</v>
          </cell>
          <cell r="V31">
            <v>27564.315750000002</v>
          </cell>
          <cell r="AB31">
            <v>1.1459999999999999</v>
          </cell>
          <cell r="AC31">
            <v>1.1459999999999999</v>
          </cell>
          <cell r="AD31">
            <v>31588.705849499998</v>
          </cell>
          <cell r="AF31">
            <v>31588.705849499998</v>
          </cell>
        </row>
        <row r="32">
          <cell r="G32">
            <v>594516</v>
          </cell>
          <cell r="H32">
            <v>1.07</v>
          </cell>
          <cell r="I32">
            <v>1.07</v>
          </cell>
          <cell r="J32">
            <v>636132.12</v>
          </cell>
          <cell r="L32">
            <v>636132.12</v>
          </cell>
          <cell r="R32">
            <v>1.0680000000000001</v>
          </cell>
          <cell r="S32">
            <v>1.0680000000000001</v>
          </cell>
          <cell r="T32">
            <v>679389.10415999999</v>
          </cell>
          <cell r="V32">
            <v>679389.10415999999</v>
          </cell>
          <cell r="AB32">
            <v>1.0649999999999999</v>
          </cell>
          <cell r="AC32">
            <v>1.0649999999999999</v>
          </cell>
          <cell r="AD32">
            <v>723549.3959304</v>
          </cell>
          <cell r="AF32">
            <v>723549.3959304</v>
          </cell>
        </row>
        <row r="33">
          <cell r="G33">
            <v>148661</v>
          </cell>
          <cell r="H33">
            <v>1.07</v>
          </cell>
          <cell r="I33">
            <v>1.07</v>
          </cell>
          <cell r="J33">
            <v>159067.27000000002</v>
          </cell>
          <cell r="L33">
            <v>159067.27000000002</v>
          </cell>
          <cell r="R33">
            <v>1.0680000000000001</v>
          </cell>
          <cell r="S33">
            <v>1.0680000000000001</v>
          </cell>
          <cell r="T33">
            <v>169883.84436000002</v>
          </cell>
          <cell r="V33">
            <v>169883.84436000002</v>
          </cell>
          <cell r="AB33">
            <v>1.0649999999999999</v>
          </cell>
          <cell r="AC33">
            <v>1.0649999999999999</v>
          </cell>
          <cell r="AD33">
            <v>180926.29424340001</v>
          </cell>
          <cell r="AF33">
            <v>180926.29424340001</v>
          </cell>
        </row>
        <row r="34">
          <cell r="G34">
            <v>564782</v>
          </cell>
          <cell r="H34">
            <v>1.02</v>
          </cell>
          <cell r="I34">
            <v>1.07</v>
          </cell>
          <cell r="J34">
            <v>576077.64</v>
          </cell>
          <cell r="L34">
            <v>604316.74</v>
          </cell>
          <cell r="R34">
            <v>1.02</v>
          </cell>
          <cell r="S34">
            <v>1.0680000000000001</v>
          </cell>
          <cell r="T34">
            <v>616403.07479999994</v>
          </cell>
          <cell r="V34">
            <v>645410.27832000004</v>
          </cell>
          <cell r="AB34">
            <v>1.02</v>
          </cell>
          <cell r="AC34">
            <v>1.0649999999999999</v>
          </cell>
          <cell r="AD34">
            <v>658318.4838864</v>
          </cell>
          <cell r="AF34">
            <v>687361.94641079998</v>
          </cell>
        </row>
        <row r="35">
          <cell r="G35">
            <v>1943186</v>
          </cell>
          <cell r="H35">
            <v>1.07</v>
          </cell>
          <cell r="I35">
            <v>1.07</v>
          </cell>
          <cell r="J35">
            <v>2079209.02</v>
          </cell>
          <cell r="L35">
            <v>2079209.02</v>
          </cell>
          <cell r="R35">
            <v>1.0680000000000001</v>
          </cell>
          <cell r="S35">
            <v>1.0680000000000001</v>
          </cell>
          <cell r="T35">
            <v>2220595.23336</v>
          </cell>
          <cell r="V35">
            <v>2220595.23336</v>
          </cell>
          <cell r="AB35">
            <v>1.0649999999999999</v>
          </cell>
          <cell r="AC35">
            <v>1.0649999999999999</v>
          </cell>
          <cell r="AD35">
            <v>2364933.9235283998</v>
          </cell>
          <cell r="AF35">
            <v>2364933.9235283998</v>
          </cell>
        </row>
        <row r="36">
          <cell r="G36">
            <v>0</v>
          </cell>
        </row>
        <row r="37">
          <cell r="G37">
            <v>0</v>
          </cell>
        </row>
        <row r="38">
          <cell r="G38">
            <v>274710</v>
          </cell>
          <cell r="J38">
            <v>293939.7</v>
          </cell>
          <cell r="L38">
            <v>293939.7</v>
          </cell>
          <cell r="T38">
            <v>313927.59960000002</v>
          </cell>
          <cell r="V38">
            <v>313927.59960000002</v>
          </cell>
          <cell r="AD38">
            <v>334332.89357399999</v>
          </cell>
          <cell r="AF38">
            <v>334332.89357399999</v>
          </cell>
        </row>
        <row r="39">
          <cell r="G39">
            <v>0</v>
          </cell>
          <cell r="H39">
            <v>1.07</v>
          </cell>
          <cell r="I39">
            <v>1.07</v>
          </cell>
          <cell r="J39">
            <v>0</v>
          </cell>
          <cell r="L39">
            <v>0</v>
          </cell>
          <cell r="R39">
            <v>1.0680000000000001</v>
          </cell>
          <cell r="S39">
            <v>1.0680000000000001</v>
          </cell>
          <cell r="T39">
            <v>0</v>
          </cell>
          <cell r="V39">
            <v>0</v>
          </cell>
          <cell r="AB39">
            <v>1.0649999999999999</v>
          </cell>
          <cell r="AC39">
            <v>1.0649999999999999</v>
          </cell>
          <cell r="AD39">
            <v>0</v>
          </cell>
          <cell r="AF39">
            <v>0</v>
          </cell>
        </row>
        <row r="41">
          <cell r="G41">
            <v>0</v>
          </cell>
          <cell r="H41">
            <v>0</v>
          </cell>
          <cell r="I41">
            <v>1</v>
          </cell>
          <cell r="J41">
            <v>0</v>
          </cell>
          <cell r="L41">
            <v>0</v>
          </cell>
          <cell r="R41">
            <v>0</v>
          </cell>
          <cell r="S41">
            <v>1</v>
          </cell>
          <cell r="T41">
            <v>0</v>
          </cell>
          <cell r="V41">
            <v>0</v>
          </cell>
          <cell r="AB41">
            <v>0</v>
          </cell>
          <cell r="AC41">
            <v>1</v>
          </cell>
          <cell r="AD41">
            <v>0</v>
          </cell>
          <cell r="AF41">
            <v>0</v>
          </cell>
        </row>
        <row r="42">
          <cell r="G42">
            <v>189072</v>
          </cell>
          <cell r="H42">
            <v>1.07</v>
          </cell>
          <cell r="I42">
            <v>1.07</v>
          </cell>
          <cell r="J42">
            <v>202307.04</v>
          </cell>
          <cell r="L42">
            <v>202307.04</v>
          </cell>
          <cell r="R42">
            <v>1.0680000000000001</v>
          </cell>
          <cell r="S42">
            <v>1.0680000000000001</v>
          </cell>
          <cell r="T42">
            <v>216063.91872000002</v>
          </cell>
          <cell r="V42">
            <v>216063.91872000002</v>
          </cell>
          <cell r="AB42">
            <v>1.0649999999999999</v>
          </cell>
          <cell r="AC42">
            <v>1.0649999999999999</v>
          </cell>
          <cell r="AD42">
            <v>230108.07343680001</v>
          </cell>
          <cell r="AF42">
            <v>230108.07343680001</v>
          </cell>
        </row>
        <row r="43">
          <cell r="G43">
            <v>85638</v>
          </cell>
          <cell r="H43">
            <v>1.07</v>
          </cell>
          <cell r="I43">
            <v>1.07</v>
          </cell>
          <cell r="J43">
            <v>91632.66</v>
          </cell>
          <cell r="L43">
            <v>91632.66</v>
          </cell>
          <cell r="R43">
            <v>1.0680000000000001</v>
          </cell>
          <cell r="S43">
            <v>1.0680000000000001</v>
          </cell>
          <cell r="T43">
            <v>97863.680880000014</v>
          </cell>
          <cell r="V43">
            <v>97863.680880000014</v>
          </cell>
          <cell r="AB43">
            <v>1.0649999999999999</v>
          </cell>
          <cell r="AC43">
            <v>1.0649999999999999</v>
          </cell>
          <cell r="AD43">
            <v>104224.8201372</v>
          </cell>
          <cell r="AF43">
            <v>104224.8201372</v>
          </cell>
        </row>
        <row r="44">
          <cell r="G44">
            <v>3547673</v>
          </cell>
          <cell r="J44">
            <v>3768927.3640000001</v>
          </cell>
          <cell r="L44">
            <v>3797166.4640000002</v>
          </cell>
          <cell r="T44">
            <v>4027763.1720299996</v>
          </cell>
          <cell r="V44">
            <v>4056770.3755499995</v>
          </cell>
          <cell r="AD44">
            <v>4293649.6970121004</v>
          </cell>
          <cell r="AF44">
            <v>4322693.1595364995</v>
          </cell>
        </row>
        <row r="46">
          <cell r="G46">
            <v>12375317.138600001</v>
          </cell>
          <cell r="J46">
            <v>14534329.338708444</v>
          </cell>
          <cell r="L46">
            <v>14158836.858947692</v>
          </cell>
          <cell r="T46">
            <v>16754884.3744254</v>
          </cell>
          <cell r="V46">
            <v>15807803.738275725</v>
          </cell>
          <cell r="AD46">
            <v>20144394.851505049</v>
          </cell>
          <cell r="AF46">
            <v>18370130.793287098</v>
          </cell>
        </row>
        <row r="48">
          <cell r="G48">
            <v>9331.5499999999993</v>
          </cell>
          <cell r="J48">
            <v>9967.1550000000007</v>
          </cell>
          <cell r="L48">
            <v>9534.8852999999999</v>
          </cell>
          <cell r="T48">
            <v>10963.870500000001</v>
          </cell>
          <cell r="V48">
            <v>10033.499299999999</v>
          </cell>
          <cell r="AD48">
            <v>12060.257600000001</v>
          </cell>
          <cell r="AF48">
            <v>10558.1875</v>
          </cell>
        </row>
        <row r="50">
          <cell r="G50">
            <v>132.61802314299342</v>
          </cell>
          <cell r="J50">
            <v>145.82224655589727</v>
          </cell>
          <cell r="L50">
            <v>148.49509368453224</v>
          </cell>
          <cell r="T50">
            <v>152.81906489524297</v>
          </cell>
          <cell r="V50">
            <v>157.55025505683471</v>
          </cell>
          <cell r="AD50">
            <v>167.03121541537428</v>
          </cell>
          <cell r="AF50">
            <v>173.98943514961348</v>
          </cell>
        </row>
        <row r="51">
          <cell r="G51">
            <v>0</v>
          </cell>
          <cell r="H51">
            <v>1.07</v>
          </cell>
          <cell r="I51">
            <v>1.07</v>
          </cell>
          <cell r="J51">
            <v>0</v>
          </cell>
          <cell r="L51">
            <v>0</v>
          </cell>
          <cell r="R51">
            <v>1.0680000000000001</v>
          </cell>
          <cell r="S51">
            <v>1.0680000000000001</v>
          </cell>
          <cell r="T51">
            <v>0</v>
          </cell>
          <cell r="V51">
            <v>0</v>
          </cell>
          <cell r="AB51">
            <v>1.0649999999999999</v>
          </cell>
          <cell r="AC51">
            <v>1.0649999999999999</v>
          </cell>
          <cell r="AD51">
            <v>0</v>
          </cell>
          <cell r="AF51">
            <v>0</v>
          </cell>
        </row>
        <row r="52">
          <cell r="G52">
            <v>0</v>
          </cell>
          <cell r="H52">
            <v>1.07</v>
          </cell>
          <cell r="I52">
            <v>1.07</v>
          </cell>
          <cell r="R52">
            <v>1.0680000000000001</v>
          </cell>
          <cell r="S52">
            <v>1.0680000000000001</v>
          </cell>
          <cell r="AB52">
            <v>1.0649999999999999</v>
          </cell>
          <cell r="AC52">
            <v>1.0649999999999999</v>
          </cell>
        </row>
        <row r="53">
          <cell r="G53">
            <v>12375317.138600001</v>
          </cell>
          <cell r="J53">
            <v>14534329.338708444</v>
          </cell>
          <cell r="L53">
            <v>14158836.858947692</v>
          </cell>
          <cell r="T53">
            <v>16754884.3744254</v>
          </cell>
          <cell r="V53">
            <v>15807803.738275725</v>
          </cell>
          <cell r="AD53">
            <v>20144394.851505049</v>
          </cell>
          <cell r="AF53">
            <v>18370130.793287098</v>
          </cell>
        </row>
        <row r="54">
          <cell r="G54">
            <v>132.61802314299342</v>
          </cell>
          <cell r="J54">
            <v>145.82224655589727</v>
          </cell>
          <cell r="L54">
            <v>148.49509368453224</v>
          </cell>
          <cell r="T54">
            <v>152.81906489524297</v>
          </cell>
          <cell r="V54">
            <v>157.55025505683471</v>
          </cell>
          <cell r="AD54">
            <v>167.03121541537428</v>
          </cell>
          <cell r="AF54">
            <v>173.98943514961348</v>
          </cell>
        </row>
        <row r="55">
          <cell r="G55">
            <v>132.21459999999999</v>
          </cell>
        </row>
        <row r="56">
          <cell r="G56">
            <v>134.4941</v>
          </cell>
        </row>
        <row r="58">
          <cell r="G58">
            <v>0</v>
          </cell>
          <cell r="H58">
            <v>1.0995658289874113</v>
          </cell>
          <cell r="I58">
            <v>1.1399999999999999</v>
          </cell>
          <cell r="J58">
            <v>0</v>
          </cell>
          <cell r="L58">
            <v>0</v>
          </cell>
          <cell r="R58">
            <v>1.1523250103831519</v>
          </cell>
          <cell r="S58">
            <v>1.1499999999999999</v>
          </cell>
          <cell r="T58">
            <v>0</v>
          </cell>
          <cell r="V58">
            <v>0</v>
          </cell>
          <cell r="AB58">
            <v>1.2594910665745285</v>
          </cell>
          <cell r="AC58">
            <v>1.18</v>
          </cell>
          <cell r="AD58">
            <v>0</v>
          </cell>
          <cell r="AF58">
            <v>0</v>
          </cell>
        </row>
        <row r="59">
          <cell r="J59">
            <v>0</v>
          </cell>
          <cell r="T59">
            <v>0</v>
          </cell>
          <cell r="AD59">
            <v>0</v>
          </cell>
        </row>
        <row r="60">
          <cell r="L60">
            <v>0</v>
          </cell>
          <cell r="V60">
            <v>0</v>
          </cell>
          <cell r="AF60">
            <v>0</v>
          </cell>
        </row>
        <row r="61">
          <cell r="G61">
            <v>0</v>
          </cell>
        </row>
      </sheetData>
      <sheetData sheetId="2"/>
      <sheetData sheetId="3"/>
      <sheetData sheetId="4">
        <row r="5">
          <cell r="G5">
            <v>7855966.1096000001</v>
          </cell>
          <cell r="L5">
            <v>12550382.6187</v>
          </cell>
        </row>
        <row r="6">
          <cell r="G6">
            <v>7834362.1096000001</v>
          </cell>
          <cell r="L6">
            <v>1019090.9705000001</v>
          </cell>
        </row>
        <row r="7">
          <cell r="G7">
            <v>7834362.1096000001</v>
          </cell>
          <cell r="L7">
            <v>0</v>
          </cell>
        </row>
        <row r="8">
          <cell r="G8">
            <v>10141.549999999999</v>
          </cell>
          <cell r="L8">
            <v>1019090.9705000001</v>
          </cell>
        </row>
        <row r="9">
          <cell r="G9">
            <v>772.50149999999996</v>
          </cell>
        </row>
        <row r="10">
          <cell r="G10">
            <v>0</v>
          </cell>
        </row>
        <row r="11">
          <cell r="G11">
            <v>0</v>
          </cell>
        </row>
        <row r="12">
          <cell r="L12">
            <v>3722738.4800999998</v>
          </cell>
        </row>
        <row r="13">
          <cell r="L13">
            <v>3332827</v>
          </cell>
        </row>
        <row r="14">
          <cell r="L14">
            <v>312943.52010000002</v>
          </cell>
        </row>
        <row r="15">
          <cell r="L15">
            <v>0</v>
          </cell>
        </row>
        <row r="16">
          <cell r="G16">
            <v>21604</v>
          </cell>
          <cell r="L16">
            <v>-76967.960000000006</v>
          </cell>
        </row>
        <row r="17">
          <cell r="G17">
            <v>556024.41130000004</v>
          </cell>
          <cell r="L17">
            <v>0</v>
          </cell>
        </row>
        <row r="18">
          <cell r="G18">
            <v>138498.0472</v>
          </cell>
          <cell r="L18">
            <v>7808553.1681000004</v>
          </cell>
        </row>
        <row r="19">
          <cell r="G19">
            <v>563953.92000000004</v>
          </cell>
          <cell r="L19">
            <v>764.1585</v>
          </cell>
        </row>
        <row r="20">
          <cell r="L20">
            <v>9331.5499999999993</v>
          </cell>
        </row>
        <row r="21">
          <cell r="G21">
            <v>2922631.4846000001</v>
          </cell>
          <cell r="L21">
            <v>10218.5</v>
          </cell>
        </row>
        <row r="22">
          <cell r="L22">
            <v>9808.5</v>
          </cell>
        </row>
        <row r="23">
          <cell r="G23">
            <v>1202947.2238</v>
          </cell>
          <cell r="L23">
            <v>410</v>
          </cell>
        </row>
        <row r="24">
          <cell r="G24">
            <v>253007.0955</v>
          </cell>
        </row>
        <row r="25">
          <cell r="G25">
            <v>945210.19499999995</v>
          </cell>
        </row>
        <row r="26">
          <cell r="G26">
            <v>708593</v>
          </cell>
        </row>
        <row r="27">
          <cell r="G27">
            <v>236617.19500000001</v>
          </cell>
        </row>
        <row r="28">
          <cell r="G28">
            <v>306.3</v>
          </cell>
        </row>
        <row r="29">
          <cell r="G29">
            <v>4729.9332999999997</v>
          </cell>
        </row>
        <row r="30">
          <cell r="G30">
            <v>1719684.2607</v>
          </cell>
        </row>
        <row r="32">
          <cell r="G32">
            <v>12037073.9727</v>
          </cell>
        </row>
        <row r="33">
          <cell r="G33">
            <v>0</v>
          </cell>
        </row>
        <row r="34">
          <cell r="G34">
            <v>0</v>
          </cell>
        </row>
        <row r="35">
          <cell r="G35">
            <v>12037073.9727</v>
          </cell>
        </row>
        <row r="37">
          <cell r="G37">
            <v>72051.188099999999</v>
          </cell>
        </row>
        <row r="39">
          <cell r="G39">
            <v>72051.188099999999</v>
          </cell>
        </row>
        <row r="40">
          <cell r="G40">
            <v>197229.00260000001</v>
          </cell>
        </row>
        <row r="41">
          <cell r="G41">
            <v>97362.455300000001</v>
          </cell>
        </row>
        <row r="42">
          <cell r="G42">
            <v>366642.64600000001</v>
          </cell>
        </row>
        <row r="43">
          <cell r="G43">
            <v>-146666</v>
          </cell>
        </row>
        <row r="45">
          <cell r="G45">
            <v>12550382.6187</v>
          </cell>
        </row>
        <row r="47">
          <cell r="G47">
            <v>9331.5499999999993</v>
          </cell>
        </row>
        <row r="49">
          <cell r="G49">
            <v>134.4941</v>
          </cell>
        </row>
        <row r="52">
          <cell r="G52">
            <v>6563730</v>
          </cell>
        </row>
        <row r="53">
          <cell r="G53">
            <v>6562183</v>
          </cell>
        </row>
        <row r="54">
          <cell r="G54">
            <v>6514215</v>
          </cell>
        </row>
        <row r="55">
          <cell r="G55">
            <v>8472.5</v>
          </cell>
        </row>
        <row r="56">
          <cell r="G56">
            <v>76.886600000000001</v>
          </cell>
        </row>
        <row r="57">
          <cell r="G57">
            <v>47968</v>
          </cell>
        </row>
        <row r="58">
          <cell r="G58">
            <v>62.6</v>
          </cell>
        </row>
        <row r="59">
          <cell r="G59">
            <v>76.626199999999997</v>
          </cell>
        </row>
        <row r="60">
          <cell r="G60">
            <v>0</v>
          </cell>
        </row>
        <row r="61">
          <cell r="G61">
            <v>0</v>
          </cell>
        </row>
        <row r="63">
          <cell r="G63">
            <v>1547</v>
          </cell>
        </row>
        <row r="64">
          <cell r="G64">
            <v>63170</v>
          </cell>
        </row>
        <row r="65">
          <cell r="G65">
            <v>15824</v>
          </cell>
        </row>
        <row r="66">
          <cell r="G66">
            <v>4537</v>
          </cell>
        </row>
        <row r="67">
          <cell r="G67">
            <v>4490732</v>
          </cell>
        </row>
        <row r="68">
          <cell r="G68">
            <v>475688</v>
          </cell>
        </row>
        <row r="70">
          <cell r="G70">
            <v>247612</v>
          </cell>
        </row>
        <row r="71">
          <cell r="G71">
            <v>242969</v>
          </cell>
        </row>
        <row r="72">
          <cell r="G72">
            <v>0</v>
          </cell>
        </row>
        <row r="73">
          <cell r="G73">
            <v>0</v>
          </cell>
        </row>
        <row r="74">
          <cell r="G74">
            <v>0</v>
          </cell>
        </row>
        <row r="75">
          <cell r="G75">
            <v>0</v>
          </cell>
        </row>
        <row r="77">
          <cell r="G77">
            <v>4643</v>
          </cell>
        </row>
        <row r="78">
          <cell r="G78">
            <v>228076</v>
          </cell>
        </row>
        <row r="80">
          <cell r="G80">
            <v>11613681</v>
          </cell>
        </row>
        <row r="81">
          <cell r="G81">
            <v>0</v>
          </cell>
        </row>
        <row r="82">
          <cell r="G82">
            <v>0</v>
          </cell>
        </row>
        <row r="83">
          <cell r="G83">
            <v>11613681</v>
          </cell>
        </row>
        <row r="85">
          <cell r="G85">
            <v>0</v>
          </cell>
        </row>
        <row r="87">
          <cell r="G87">
            <v>0</v>
          </cell>
        </row>
        <row r="88">
          <cell r="G88">
            <v>14655</v>
          </cell>
        </row>
        <row r="89">
          <cell r="G89">
            <v>5494</v>
          </cell>
        </row>
        <row r="90">
          <cell r="G90">
            <v>20149</v>
          </cell>
        </row>
        <row r="91">
          <cell r="G91">
            <v>11633830</v>
          </cell>
        </row>
        <row r="93">
          <cell r="G93">
            <v>8535.0499999999993</v>
          </cell>
        </row>
        <row r="94">
          <cell r="G94">
            <v>8535.0499999999993</v>
          </cell>
        </row>
        <row r="95">
          <cell r="G95">
            <v>8535.0499999999993</v>
          </cell>
        </row>
        <row r="96">
          <cell r="G96">
            <v>0</v>
          </cell>
        </row>
        <row r="97">
          <cell r="G97">
            <v>136.3065</v>
          </cell>
        </row>
        <row r="100">
          <cell r="G100">
            <v>640230</v>
          </cell>
        </row>
        <row r="101">
          <cell r="G101">
            <v>619959</v>
          </cell>
        </row>
        <row r="102">
          <cell r="G102">
            <v>619959</v>
          </cell>
        </row>
        <row r="103">
          <cell r="G103">
            <v>810</v>
          </cell>
        </row>
        <row r="104">
          <cell r="G104">
            <v>76.5381</v>
          </cell>
        </row>
        <row r="105">
          <cell r="G105">
            <v>0</v>
          </cell>
        </row>
        <row r="106">
          <cell r="G106">
            <v>0</v>
          </cell>
        </row>
        <row r="108">
          <cell r="G108">
            <v>0</v>
          </cell>
        </row>
        <row r="109">
          <cell r="G109">
            <v>0</v>
          </cell>
        </row>
        <row r="111">
          <cell r="G111">
            <v>20271</v>
          </cell>
        </row>
        <row r="112">
          <cell r="G112">
            <v>531346</v>
          </cell>
        </row>
        <row r="113">
          <cell r="G113">
            <v>132837</v>
          </cell>
        </row>
        <row r="114">
          <cell r="G114">
            <v>560245</v>
          </cell>
        </row>
        <row r="115">
          <cell r="G115">
            <v>0</v>
          </cell>
        </row>
        <row r="116">
          <cell r="G116">
            <v>2771146</v>
          </cell>
        </row>
        <row r="118">
          <cell r="G118">
            <v>1056036</v>
          </cell>
        </row>
        <row r="119">
          <cell r="G119">
            <v>22623</v>
          </cell>
        </row>
        <row r="120">
          <cell r="G120">
            <v>1032969</v>
          </cell>
        </row>
        <row r="121">
          <cell r="G121">
            <v>719262</v>
          </cell>
        </row>
        <row r="122">
          <cell r="G122">
            <v>313707</v>
          </cell>
        </row>
        <row r="123">
          <cell r="G123">
            <v>410</v>
          </cell>
        </row>
        <row r="125">
          <cell r="G125">
            <v>444</v>
          </cell>
        </row>
        <row r="126">
          <cell r="G126">
            <v>1715110</v>
          </cell>
        </row>
        <row r="128">
          <cell r="G128">
            <v>4635804</v>
          </cell>
        </row>
        <row r="129">
          <cell r="G129">
            <v>0</v>
          </cell>
        </row>
        <row r="130">
          <cell r="G130">
            <v>0</v>
          </cell>
        </row>
        <row r="131">
          <cell r="G131">
            <v>4635804</v>
          </cell>
        </row>
        <row r="133">
          <cell r="G133">
            <v>0</v>
          </cell>
        </row>
        <row r="135">
          <cell r="G135">
            <v>0</v>
          </cell>
        </row>
        <row r="136">
          <cell r="G136">
            <v>174417</v>
          </cell>
        </row>
        <row r="137">
          <cell r="G137">
            <v>80144</v>
          </cell>
        </row>
        <row r="138">
          <cell r="G138">
            <v>254561</v>
          </cell>
        </row>
        <row r="139">
          <cell r="G139">
            <v>4890365</v>
          </cell>
        </row>
        <row r="141">
          <cell r="G141">
            <v>9331.0499999999993</v>
          </cell>
        </row>
        <row r="143">
          <cell r="G143">
            <v>9331</v>
          </cell>
        </row>
        <row r="144">
          <cell r="G144">
            <v>0</v>
          </cell>
        </row>
        <row r="145">
          <cell r="G145">
            <v>52.409599999999998</v>
          </cell>
        </row>
        <row r="149">
          <cell r="G149">
            <v>0</v>
          </cell>
        </row>
        <row r="150">
          <cell r="G150">
            <v>0</v>
          </cell>
        </row>
        <row r="151">
          <cell r="G151">
            <v>0</v>
          </cell>
        </row>
        <row r="152">
          <cell r="G152">
            <v>0</v>
          </cell>
        </row>
        <row r="154">
          <cell r="G154">
            <v>0</v>
          </cell>
        </row>
        <row r="155">
          <cell r="G155">
            <v>0</v>
          </cell>
        </row>
        <row r="157">
          <cell r="G157">
            <v>0</v>
          </cell>
        </row>
        <row r="158">
          <cell r="G158">
            <v>0</v>
          </cell>
        </row>
        <row r="160">
          <cell r="G160">
            <v>0</v>
          </cell>
        </row>
        <row r="161">
          <cell r="G161">
            <v>0</v>
          </cell>
        </row>
        <row r="162">
          <cell r="G162">
            <v>0</v>
          </cell>
        </row>
        <row r="163">
          <cell r="G163">
            <v>0</v>
          </cell>
        </row>
        <row r="164">
          <cell r="G164">
            <v>0</v>
          </cell>
        </row>
        <row r="165">
          <cell r="G165">
            <v>0</v>
          </cell>
        </row>
        <row r="167">
          <cell r="G167">
            <v>0</v>
          </cell>
        </row>
        <row r="168">
          <cell r="G168">
            <v>0</v>
          </cell>
        </row>
        <row r="169">
          <cell r="G169">
            <v>0</v>
          </cell>
        </row>
        <row r="170">
          <cell r="G170">
            <v>0</v>
          </cell>
        </row>
        <row r="171">
          <cell r="G171">
            <v>0</v>
          </cell>
        </row>
        <row r="172">
          <cell r="G172">
            <v>0</v>
          </cell>
        </row>
        <row r="174">
          <cell r="G174">
            <v>0</v>
          </cell>
        </row>
        <row r="175">
          <cell r="G175">
            <v>0</v>
          </cell>
        </row>
        <row r="177">
          <cell r="G177">
            <v>0</v>
          </cell>
        </row>
        <row r="178">
          <cell r="G178">
            <v>0</v>
          </cell>
        </row>
        <row r="179">
          <cell r="G179">
            <v>0</v>
          </cell>
        </row>
        <row r="180">
          <cell r="G180">
            <v>0</v>
          </cell>
        </row>
        <row r="182">
          <cell r="G182">
            <v>0</v>
          </cell>
        </row>
        <row r="184">
          <cell r="G184">
            <v>0</v>
          </cell>
        </row>
        <row r="185">
          <cell r="G185">
            <v>0</v>
          </cell>
        </row>
        <row r="186">
          <cell r="G186">
            <v>0</v>
          </cell>
        </row>
        <row r="187">
          <cell r="G187">
            <v>0</v>
          </cell>
        </row>
        <row r="188">
          <cell r="G188">
            <v>0</v>
          </cell>
        </row>
        <row r="190">
          <cell r="G190">
            <v>0</v>
          </cell>
        </row>
        <row r="192">
          <cell r="G192">
            <v>0</v>
          </cell>
        </row>
        <row r="193">
          <cell r="G193">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ФСТ-варианты"/>
      <sheetName val="Баланс РЕГИОНА"/>
      <sheetName val="ФСТ-17.07.08"/>
      <sheetName val="Анализ предельного"/>
      <sheetName val="НВВ-Пучковой"/>
      <sheetName val="Особое мнение"/>
      <sheetName val="ФСТ-с КВ-85"/>
      <sheetName val="ФСТ-с КВ-280"/>
      <sheetName val="ФСТ-полно без КВ"/>
      <sheetName val="Сводная"/>
      <sheetName val="Смета -по видам без потерь"/>
      <sheetName val="Смета 2007-2009-под АРМ "/>
      <sheetName val="Смета 2007-2009-без потерь"/>
      <sheetName val="Самара -2007"/>
      <sheetName val="Прочие расходы+ОСЗ"/>
      <sheetName val="Прибыль для АРМ"/>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Резервный фонд"/>
      <sheetName val="Смета -по видам"/>
      <sheetName val="РСК"/>
      <sheetName val="Смета передача 2007-2009"/>
      <sheetName val="Формат"/>
      <sheetName val="TEH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3">
          <cell r="E13" t="str">
            <v>Самарская область</v>
          </cell>
        </row>
        <row r="21">
          <cell r="D21" t="str">
            <v>ОАО "МРСК Волги"</v>
          </cell>
          <cell r="I21">
            <v>6450609636</v>
          </cell>
        </row>
        <row r="27">
          <cell r="F27" t="str">
            <v>Предложение организации</v>
          </cell>
        </row>
      </sheetData>
      <sheetData sheetId="19"/>
      <sheetData sheetId="20"/>
      <sheetData sheetId="21">
        <row r="15">
          <cell r="G15">
            <v>806.7</v>
          </cell>
          <cell r="H15">
            <v>732.1</v>
          </cell>
          <cell r="L15">
            <v>1178.06</v>
          </cell>
          <cell r="M15">
            <v>782.73</v>
          </cell>
          <cell r="Q15">
            <v>1023.81</v>
          </cell>
          <cell r="R15">
            <v>865.23</v>
          </cell>
          <cell r="V15">
            <v>1023.81</v>
          </cell>
          <cell r="W15">
            <v>895.63</v>
          </cell>
          <cell r="AA15">
            <v>1027.07</v>
          </cell>
          <cell r="AB15">
            <v>908.52</v>
          </cell>
        </row>
        <row r="16">
          <cell r="H16">
            <v>263</v>
          </cell>
          <cell r="M16">
            <v>546.49</v>
          </cell>
          <cell r="R16">
            <v>368.03</v>
          </cell>
          <cell r="W16">
            <v>378.03</v>
          </cell>
          <cell r="AB16">
            <v>378.03</v>
          </cell>
        </row>
        <row r="17">
          <cell r="I17">
            <v>318.8</v>
          </cell>
          <cell r="N17">
            <v>463.26</v>
          </cell>
          <cell r="S17">
            <v>458.45</v>
          </cell>
          <cell r="X17">
            <v>455.45</v>
          </cell>
          <cell r="AC17">
            <v>458.82</v>
          </cell>
        </row>
        <row r="18">
          <cell r="F18">
            <v>9909.5</v>
          </cell>
          <cell r="G18">
            <v>521.1</v>
          </cell>
          <cell r="K18">
            <v>10539.57</v>
          </cell>
          <cell r="L18">
            <v>488.73</v>
          </cell>
          <cell r="P18">
            <v>12745.5</v>
          </cell>
          <cell r="Q18">
            <v>450</v>
          </cell>
          <cell r="U18">
            <v>10733.38</v>
          </cell>
          <cell r="V18">
            <v>497.53</v>
          </cell>
          <cell r="Z18">
            <v>10774.87</v>
          </cell>
          <cell r="AA18">
            <v>608.16999999999996</v>
          </cell>
        </row>
        <row r="19">
          <cell r="F19">
            <v>9770.9</v>
          </cell>
          <cell r="G19">
            <v>245.3</v>
          </cell>
          <cell r="H19">
            <v>81.8</v>
          </cell>
          <cell r="K19">
            <v>9918.9599999999991</v>
          </cell>
          <cell r="L19">
            <v>323.87</v>
          </cell>
          <cell r="M19">
            <v>41.1</v>
          </cell>
          <cell r="P19">
            <v>7874.4</v>
          </cell>
          <cell r="Q19">
            <v>350</v>
          </cell>
          <cell r="R19">
            <v>82.4</v>
          </cell>
          <cell r="U19">
            <v>9998.9599999999991</v>
          </cell>
          <cell r="V19">
            <v>326.56</v>
          </cell>
          <cell r="W19">
            <v>41.47</v>
          </cell>
          <cell r="Z19">
            <v>10134.42</v>
          </cell>
          <cell r="AA19">
            <v>330.99</v>
          </cell>
          <cell r="AB19">
            <v>42.03</v>
          </cell>
        </row>
        <row r="25">
          <cell r="F25">
            <v>17056.599999999999</v>
          </cell>
          <cell r="G25">
            <v>1124.0999999999999</v>
          </cell>
          <cell r="H25">
            <v>600.1</v>
          </cell>
          <cell r="I25">
            <v>256.8</v>
          </cell>
          <cell r="K25">
            <v>17820.400000000001</v>
          </cell>
          <cell r="L25">
            <v>1286.8499999999999</v>
          </cell>
          <cell r="M25">
            <v>710.61</v>
          </cell>
          <cell r="N25">
            <v>385.95299999999997</v>
          </cell>
          <cell r="P25">
            <v>17712.221000000001</v>
          </cell>
          <cell r="Q25">
            <v>1282.3810000000001</v>
          </cell>
          <cell r="R25">
            <v>704.01099999999997</v>
          </cell>
          <cell r="S25">
            <v>398.14800000000002</v>
          </cell>
          <cell r="U25">
            <v>15585</v>
          </cell>
          <cell r="V25">
            <v>1223</v>
          </cell>
          <cell r="W25">
            <v>706.78</v>
          </cell>
          <cell r="X25">
            <v>395.75</v>
          </cell>
          <cell r="Z25">
            <v>15626.77</v>
          </cell>
          <cell r="AA25">
            <v>1348.09</v>
          </cell>
          <cell r="AB25">
            <v>717</v>
          </cell>
          <cell r="AC25">
            <v>398.65</v>
          </cell>
        </row>
        <row r="27">
          <cell r="K27">
            <v>5263.5</v>
          </cell>
          <cell r="U27">
            <v>5316.14</v>
          </cell>
          <cell r="V27">
            <v>0</v>
          </cell>
          <cell r="Z27">
            <v>5265.4</v>
          </cell>
          <cell r="AA27">
            <v>103.9</v>
          </cell>
        </row>
        <row r="28">
          <cell r="K28">
            <v>1189.24</v>
          </cell>
          <cell r="U28">
            <v>1201.1300000000001</v>
          </cell>
          <cell r="V28"/>
          <cell r="Z28">
            <v>1213.1400000000001</v>
          </cell>
          <cell r="AA28"/>
        </row>
        <row r="29">
          <cell r="F29">
            <v>75</v>
          </cell>
          <cell r="U29">
            <v>2209.4299999999998</v>
          </cell>
          <cell r="V29">
            <v>73.87</v>
          </cell>
          <cell r="Z29">
            <v>2329.9580000000001</v>
          </cell>
          <cell r="AA29">
            <v>67.015000000000001</v>
          </cell>
        </row>
      </sheetData>
      <sheetData sheetId="22">
        <row r="15">
          <cell r="G15">
            <v>126.5</v>
          </cell>
          <cell r="H15">
            <v>128.4</v>
          </cell>
          <cell r="L15">
            <v>143.5</v>
          </cell>
          <cell r="M15">
            <v>143.49</v>
          </cell>
          <cell r="Q15">
            <v>146.19999999999999</v>
          </cell>
          <cell r="R15">
            <v>148.32</v>
          </cell>
          <cell r="V15">
            <v>146.69999999999999</v>
          </cell>
          <cell r="W15">
            <v>148.51</v>
          </cell>
          <cell r="AA15">
            <v>147.85</v>
          </cell>
          <cell r="AB15">
            <v>150.5</v>
          </cell>
        </row>
        <row r="16">
          <cell r="H16">
            <v>64.099999999999994</v>
          </cell>
          <cell r="M16">
            <v>52.9</v>
          </cell>
          <cell r="R16">
            <v>54.7</v>
          </cell>
          <cell r="W16">
            <v>54.9</v>
          </cell>
          <cell r="AB16">
            <v>55.2</v>
          </cell>
        </row>
        <row r="17">
          <cell r="I17">
            <v>86</v>
          </cell>
          <cell r="N17">
            <v>65.349999999999994</v>
          </cell>
          <cell r="S17">
            <v>63.74</v>
          </cell>
          <cell r="X17">
            <v>63.8</v>
          </cell>
          <cell r="AC17">
            <v>63.78</v>
          </cell>
        </row>
        <row r="18">
          <cell r="F18">
            <v>1326.3</v>
          </cell>
          <cell r="G18">
            <v>71.3</v>
          </cell>
          <cell r="H18">
            <v>11</v>
          </cell>
          <cell r="K18">
            <v>1599.95</v>
          </cell>
          <cell r="L18">
            <v>66.67</v>
          </cell>
          <cell r="P18">
            <v>1664.07</v>
          </cell>
          <cell r="Q18">
            <v>67.59</v>
          </cell>
          <cell r="U18">
            <v>1666.19</v>
          </cell>
          <cell r="V18">
            <v>69.430000000000007</v>
          </cell>
          <cell r="Z18">
            <v>1674.14</v>
          </cell>
          <cell r="AA18">
            <v>88.85</v>
          </cell>
        </row>
        <row r="19">
          <cell r="F19">
            <v>1277.2</v>
          </cell>
          <cell r="G19">
            <v>54.7</v>
          </cell>
          <cell r="K19">
            <v>988</v>
          </cell>
          <cell r="L19">
            <v>47.35</v>
          </cell>
          <cell r="M19">
            <v>16.829999999999998</v>
          </cell>
          <cell r="P19">
            <v>1026.7</v>
          </cell>
          <cell r="Q19">
            <v>49.21</v>
          </cell>
          <cell r="R19">
            <v>17.36</v>
          </cell>
          <cell r="U19">
            <v>1028.8900000000001</v>
          </cell>
          <cell r="V19">
            <v>49.31</v>
          </cell>
          <cell r="W19">
            <v>17.54</v>
          </cell>
          <cell r="Z19">
            <v>1045.1099999999999</v>
          </cell>
          <cell r="AA19">
            <v>50.09</v>
          </cell>
          <cell r="AB19">
            <v>17.809999999999999</v>
          </cell>
        </row>
        <row r="21">
          <cell r="F21">
            <v>122.3</v>
          </cell>
          <cell r="G21">
            <v>25.4</v>
          </cell>
          <cell r="H21">
            <v>24.7</v>
          </cell>
          <cell r="I21">
            <v>16.7</v>
          </cell>
          <cell r="K21">
            <v>80.099999999999994</v>
          </cell>
          <cell r="L21">
            <v>20.399999999999999</v>
          </cell>
          <cell r="M21">
            <v>30.1</v>
          </cell>
          <cell r="N21">
            <v>10.78</v>
          </cell>
          <cell r="P21">
            <v>124.59</v>
          </cell>
          <cell r="Q21">
            <v>25</v>
          </cell>
          <cell r="R21">
            <v>25.65</v>
          </cell>
          <cell r="S21">
            <v>8.3800000000000008</v>
          </cell>
          <cell r="U21">
            <v>124.84</v>
          </cell>
          <cell r="V21">
            <v>24.8</v>
          </cell>
          <cell r="W21">
            <v>25.62</v>
          </cell>
          <cell r="X21">
            <v>8.36</v>
          </cell>
          <cell r="Z21">
            <v>125.45</v>
          </cell>
          <cell r="AA21">
            <v>24.9</v>
          </cell>
          <cell r="AB21">
            <v>25.62</v>
          </cell>
          <cell r="AC21">
            <v>8.36</v>
          </cell>
        </row>
        <row r="25">
          <cell r="F25">
            <v>2214.92</v>
          </cell>
          <cell r="G25">
            <v>163</v>
          </cell>
          <cell r="H25">
            <v>92.8</v>
          </cell>
          <cell r="I25">
            <v>69.3</v>
          </cell>
          <cell r="K25">
            <v>2220.86</v>
          </cell>
          <cell r="L25">
            <v>184.22</v>
          </cell>
          <cell r="M25">
            <v>117.77</v>
          </cell>
          <cell r="N25">
            <v>54.57</v>
          </cell>
          <cell r="P25">
            <v>2271.66</v>
          </cell>
          <cell r="Q25">
            <v>183.3</v>
          </cell>
          <cell r="R25">
            <v>130.99</v>
          </cell>
          <cell r="S25">
            <v>55.36</v>
          </cell>
          <cell r="U25">
            <v>1945.73</v>
          </cell>
          <cell r="V25">
            <v>176.42</v>
          </cell>
          <cell r="W25">
            <v>131.53</v>
          </cell>
          <cell r="X25">
            <v>55.44</v>
          </cell>
          <cell r="Z25">
            <v>1953.94</v>
          </cell>
          <cell r="AA25">
            <v>197</v>
          </cell>
          <cell r="AB25">
            <v>134.11000000000001</v>
          </cell>
          <cell r="AC25">
            <v>55.42</v>
          </cell>
        </row>
        <row r="27">
          <cell r="K27">
            <v>671.47</v>
          </cell>
          <cell r="U27">
            <v>685.35</v>
          </cell>
          <cell r="Z27">
            <v>671.8</v>
          </cell>
          <cell r="AA27">
            <v>18.7</v>
          </cell>
        </row>
        <row r="28">
          <cell r="K28">
            <v>151.71</v>
          </cell>
          <cell r="U28">
            <v>154.85</v>
          </cell>
          <cell r="Z28">
            <v>157.71</v>
          </cell>
        </row>
        <row r="29">
          <cell r="F29">
            <v>11.376666666666701</v>
          </cell>
          <cell r="U29">
            <v>329.3</v>
          </cell>
          <cell r="V29">
            <v>9.32</v>
          </cell>
          <cell r="Z29">
            <v>341.51</v>
          </cell>
          <cell r="AA29">
            <v>9.686575342465753</v>
          </cell>
        </row>
      </sheetData>
      <sheetData sheetId="23">
        <row r="10">
          <cell r="E10">
            <v>2740.5</v>
          </cell>
          <cell r="F10">
            <v>2718.8</v>
          </cell>
          <cell r="G10">
            <v>2824.93</v>
          </cell>
          <cell r="H10">
            <v>2831.36</v>
          </cell>
          <cell r="I10">
            <v>2876</v>
          </cell>
          <cell r="J10">
            <v>101.80783240646672</v>
          </cell>
          <cell r="K10">
            <v>101.57662748643762</v>
          </cell>
          <cell r="L10">
            <v>104.94435322021529</v>
          </cell>
          <cell r="M10">
            <v>105.78196263057231</v>
          </cell>
        </row>
        <row r="11">
          <cell r="E11">
            <v>2551.396666666667</v>
          </cell>
          <cell r="F11">
            <v>2577.42</v>
          </cell>
          <cell r="G11">
            <v>2641.31</v>
          </cell>
          <cell r="H11">
            <v>2647.7400000000002</v>
          </cell>
          <cell r="I11">
            <v>2691.6665753424659</v>
          </cell>
          <cell r="J11">
            <v>101.90650000728677</v>
          </cell>
          <cell r="K11">
            <v>101.65902148029889</v>
          </cell>
          <cell r="L11">
            <v>105.49776953573659</v>
          </cell>
          <cell r="M11">
            <v>104.43259442940871</v>
          </cell>
        </row>
        <row r="12">
          <cell r="E12">
            <v>2540.0200000000004</v>
          </cell>
          <cell r="F12">
            <v>2577.42</v>
          </cell>
          <cell r="G12">
            <v>2641.31</v>
          </cell>
          <cell r="H12">
            <v>2309.1200000000003</v>
          </cell>
          <cell r="I12">
            <v>2340.4700000000003</v>
          </cell>
          <cell r="J12">
            <v>88.610197212746726</v>
          </cell>
          <cell r="K12">
            <v>101.35766006097559</v>
          </cell>
          <cell r="L12">
            <v>92.14376264753821</v>
          </cell>
          <cell r="M12">
            <v>90.806698171039272</v>
          </cell>
        </row>
        <row r="13">
          <cell r="E13">
            <v>3231124.0040882714</v>
          </cell>
          <cell r="F13">
            <v>3553908.5603437559</v>
          </cell>
          <cell r="G13">
            <v>3557414.0686568497</v>
          </cell>
          <cell r="H13">
            <v>4095972.1760582412</v>
          </cell>
          <cell r="I13">
            <v>5011109.2046111999</v>
          </cell>
          <cell r="J13">
            <v>140.86381590387123</v>
          </cell>
          <cell r="K13">
            <v>122.34236438182158</v>
          </cell>
          <cell r="L13">
            <v>155.08873067919248</v>
          </cell>
          <cell r="M13">
            <v>141.00276131264599</v>
          </cell>
        </row>
        <row r="14">
          <cell r="E14">
            <v>1651039.0040882714</v>
          </cell>
          <cell r="F14">
            <v>2033568.5603437559</v>
          </cell>
          <cell r="G14">
            <v>1819752.0686568497</v>
          </cell>
          <cell r="H14">
            <v>2367611.1760582412</v>
          </cell>
          <cell r="I14">
            <v>2920748.2046111999</v>
          </cell>
          <cell r="J14">
            <v>160.50253520343517</v>
          </cell>
          <cell r="K14">
            <v>123.36266335225949</v>
          </cell>
          <cell r="L14">
            <v>176.90364657521104</v>
          </cell>
          <cell r="M14">
            <v>143.62673880626255</v>
          </cell>
        </row>
        <row r="15">
          <cell r="E15">
            <v>1569386.0040882714</v>
          </cell>
          <cell r="F15">
            <v>1781290.0568508545</v>
          </cell>
          <cell r="G15">
            <v>1732383.0686568497</v>
          </cell>
          <cell r="H15">
            <v>2214921.1760582412</v>
          </cell>
          <cell r="I15">
            <v>2726288.2046111999</v>
          </cell>
        </row>
        <row r="16">
          <cell r="F16">
            <v>123.16901995096859</v>
          </cell>
          <cell r="G16">
            <v>110.2185995697748</v>
          </cell>
          <cell r="H16">
            <v>130.10625001271538</v>
          </cell>
          <cell r="I16">
            <v>160.50253520343517</v>
          </cell>
        </row>
        <row r="17">
          <cell r="G17">
            <v>89.485651191875107</v>
          </cell>
          <cell r="H17">
            <v>116.42642506520747</v>
          </cell>
          <cell r="I17">
            <v>123.36266335225949</v>
          </cell>
          <cell r="J17">
            <v>137.85747961731352</v>
          </cell>
          <cell r="K17">
            <v>105.95761510599266</v>
          </cell>
        </row>
        <row r="18">
          <cell r="E18">
            <v>154469</v>
          </cell>
          <cell r="F18">
            <v>160390.88499999998</v>
          </cell>
          <cell r="G18">
            <v>165282</v>
          </cell>
          <cell r="H18">
            <v>170220.89899999998</v>
          </cell>
          <cell r="I18">
            <v>261624.12359999999</v>
          </cell>
          <cell r="J18">
            <v>158.28954368896794</v>
          </cell>
          <cell r="K18">
            <v>153.6968287307659</v>
          </cell>
          <cell r="L18">
            <v>169.36998595187382</v>
          </cell>
          <cell r="M18">
            <v>163.11657835169376</v>
          </cell>
        </row>
        <row r="19">
          <cell r="E19">
            <v>34499</v>
          </cell>
          <cell r="F19">
            <v>39165.076999999997</v>
          </cell>
          <cell r="G19">
            <v>36914</v>
          </cell>
          <cell r="H19">
            <v>48853.2</v>
          </cell>
          <cell r="I19">
            <v>58038.22359999999</v>
          </cell>
          <cell r="J19">
            <v>157.2255068537682</v>
          </cell>
          <cell r="K19">
            <v>118.80127320216485</v>
          </cell>
          <cell r="L19">
            <v>168.23161135105363</v>
          </cell>
          <cell r="M19">
            <v>148.18871312317347</v>
          </cell>
        </row>
        <row r="20">
          <cell r="E20">
            <v>119970</v>
          </cell>
          <cell r="F20">
            <v>121225.80799999999</v>
          </cell>
          <cell r="G20">
            <v>128368</v>
          </cell>
          <cell r="H20">
            <v>121367.69899999999</v>
          </cell>
          <cell r="I20">
            <v>203585.9</v>
          </cell>
          <cell r="J20">
            <v>158.59552224853545</v>
          </cell>
          <cell r="K20">
            <v>167.74306646449645</v>
          </cell>
          <cell r="L20">
            <v>169.69734100191712</v>
          </cell>
          <cell r="M20">
            <v>167.93940445420665</v>
          </cell>
        </row>
        <row r="21">
          <cell r="E21">
            <v>32762</v>
          </cell>
          <cell r="F21">
            <v>27456.92</v>
          </cell>
          <cell r="G21">
            <v>33759.300000000003</v>
          </cell>
          <cell r="H21">
            <v>33738</v>
          </cell>
          <cell r="I21">
            <v>38973.1</v>
          </cell>
          <cell r="J21">
            <v>115.44404060510732</v>
          </cell>
          <cell r="K21">
            <v>115.51692453613136</v>
          </cell>
          <cell r="L21">
            <v>118.95824430742934</v>
          </cell>
          <cell r="M21">
            <v>141.94272336445604</v>
          </cell>
        </row>
        <row r="22">
          <cell r="E22">
            <v>27749</v>
          </cell>
          <cell r="F22">
            <v>24008.92</v>
          </cell>
          <cell r="G22">
            <v>28459.3</v>
          </cell>
          <cell r="H22">
            <v>28492</v>
          </cell>
          <cell r="I22">
            <v>32846.1</v>
          </cell>
          <cell r="J22">
            <v>115.41429339442641</v>
          </cell>
          <cell r="K22">
            <v>115.28183349712199</v>
          </cell>
          <cell r="L22">
            <v>118.36858985909402</v>
          </cell>
          <cell r="M22">
            <v>136.80790306269503</v>
          </cell>
        </row>
        <row r="23">
          <cell r="E23">
            <v>5013</v>
          </cell>
          <cell r="F23">
            <v>3448</v>
          </cell>
          <cell r="G23">
            <v>5300</v>
          </cell>
          <cell r="H23">
            <v>5246</v>
          </cell>
          <cell r="I23">
            <v>6127</v>
          </cell>
          <cell r="J23">
            <v>115.60377358490565</v>
          </cell>
          <cell r="L23">
            <v>122.22222222222223</v>
          </cell>
        </row>
        <row r="24">
          <cell r="E24">
            <v>491639.99705554865</v>
          </cell>
          <cell r="F24">
            <v>514754.87010990002</v>
          </cell>
          <cell r="G24">
            <v>514628.5695741754</v>
          </cell>
          <cell r="H24">
            <v>628645.59675802384</v>
          </cell>
          <cell r="I24">
            <v>728284.51496439241</v>
          </cell>
          <cell r="J24">
            <v>141.51653406397639</v>
          </cell>
          <cell r="K24">
            <v>115.84977588647953</v>
          </cell>
          <cell r="L24">
            <v>148.13369931781733</v>
          </cell>
          <cell r="M24">
            <v>141.48181148998239</v>
          </cell>
        </row>
        <row r="25">
          <cell r="E25">
            <v>81920.897055548674</v>
          </cell>
          <cell r="F25">
            <v>85772.477779815206</v>
          </cell>
          <cell r="G25">
            <v>52563.572642039682</v>
          </cell>
          <cell r="H25">
            <v>187897.74938092055</v>
          </cell>
          <cell r="I25">
            <v>255065.37596915761</v>
          </cell>
          <cell r="J25">
            <v>485.25121704752536</v>
          </cell>
          <cell r="K25">
            <v>135.74690320109676</v>
          </cell>
          <cell r="L25">
            <v>311.35569206011462</v>
          </cell>
          <cell r="M25">
            <v>297.37438228604145</v>
          </cell>
        </row>
        <row r="26">
          <cell r="E26">
            <v>409719.1</v>
          </cell>
          <cell r="F26">
            <v>428982.39233008481</v>
          </cell>
          <cell r="G26">
            <v>462064.99693213572</v>
          </cell>
          <cell r="H26">
            <v>440747.84737710329</v>
          </cell>
          <cell r="I26">
            <v>473219.1389952348</v>
          </cell>
          <cell r="J26">
            <v>102.41397685112628</v>
          </cell>
          <cell r="K26">
            <v>107.36731712051883</v>
          </cell>
          <cell r="L26">
            <v>115.49843270553772</v>
          </cell>
          <cell r="M26">
            <v>110.31201920080478</v>
          </cell>
        </row>
        <row r="27">
          <cell r="E27">
            <v>109572.52470432474</v>
          </cell>
          <cell r="F27">
            <v>105514.28787430197</v>
          </cell>
          <cell r="G27">
            <v>115457.0433882059</v>
          </cell>
          <cell r="H27">
            <v>108963.84635360348</v>
          </cell>
          <cell r="I27">
            <v>195366.80179204751</v>
          </cell>
          <cell r="J27">
            <v>169.21167913087623</v>
          </cell>
          <cell r="K27">
            <v>179.29506742819441</v>
          </cell>
          <cell r="L27">
            <v>178.29907845897844</v>
          </cell>
          <cell r="M27">
            <v>185.15672685464727</v>
          </cell>
        </row>
        <row r="28">
          <cell r="E28">
            <v>78865.41710080429</v>
          </cell>
          <cell r="F28">
            <v>75605.284654130854</v>
          </cell>
          <cell r="G28">
            <v>82751.759029092078</v>
          </cell>
          <cell r="H28">
            <v>77582.096936154674</v>
          </cell>
          <cell r="I28">
            <v>85421.628908076935</v>
          </cell>
          <cell r="J28">
            <v>103.22636027355773</v>
          </cell>
          <cell r="K28">
            <v>110.10482093358951</v>
          </cell>
          <cell r="L28">
            <v>108.31316443669169</v>
          </cell>
          <cell r="M28">
            <v>112.98367475084923</v>
          </cell>
        </row>
        <row r="29">
          <cell r="E29">
            <v>159733.6457644834</v>
          </cell>
          <cell r="F29">
            <v>174100.60832198727</v>
          </cell>
          <cell r="G29">
            <v>182444.20588625676</v>
          </cell>
          <cell r="H29">
            <v>179108.53350126662</v>
          </cell>
          <cell r="I29">
            <v>117772.28014709819</v>
          </cell>
          <cell r="J29">
            <v>64.55249130823168</v>
          </cell>
          <cell r="K29">
            <v>65.754700708475923</v>
          </cell>
          <cell r="L29">
            <v>73.730415144186694</v>
          </cell>
          <cell r="M29">
            <v>67.64610490578319</v>
          </cell>
        </row>
        <row r="30">
          <cell r="E30">
            <v>61547.512430387571</v>
          </cell>
          <cell r="F30">
            <v>73762.203820224269</v>
          </cell>
          <cell r="G30">
            <v>81411.988628580977</v>
          </cell>
          <cell r="H30">
            <v>75093.370586078527</v>
          </cell>
          <cell r="I30">
            <v>74658.428148012128</v>
          </cell>
          <cell r="J30">
            <v>91.704464423071585</v>
          </cell>
          <cell r="K30">
            <v>99.420797821869201</v>
          </cell>
          <cell r="L30">
            <v>121.30210499157616</v>
          </cell>
          <cell r="M30">
            <v>101.21501837170182</v>
          </cell>
        </row>
        <row r="31">
          <cell r="E31">
            <v>524897.29923241911</v>
          </cell>
          <cell r="F31">
            <v>554594.06174095429</v>
          </cell>
          <cell r="G31">
            <v>565604.19908267423</v>
          </cell>
          <cell r="H31">
            <v>640408.07207621727</v>
          </cell>
          <cell r="I31">
            <v>810908.93104680744</v>
          </cell>
          <cell r="J31">
            <v>143.37038734188695</v>
          </cell>
          <cell r="K31">
            <v>126.62378355379292</v>
          </cell>
          <cell r="L31">
            <v>154.48906523859733</v>
          </cell>
          <cell r="M31">
            <v>146.21666313938562</v>
          </cell>
        </row>
        <row r="32">
          <cell r="E32">
            <v>136473.07780030358</v>
          </cell>
          <cell r="F32">
            <v>139088.818</v>
          </cell>
          <cell r="G32">
            <v>148379</v>
          </cell>
          <cell r="H32">
            <v>171852.33222399998</v>
          </cell>
          <cell r="I32">
            <v>209506.423404</v>
          </cell>
          <cell r="J32">
            <v>141.1968158593871</v>
          </cell>
          <cell r="K32">
            <v>121.9107245695799</v>
          </cell>
          <cell r="L32">
            <v>153.51483734437619</v>
          </cell>
          <cell r="M32">
            <v>150.62779770261619</v>
          </cell>
        </row>
        <row r="34">
          <cell r="E34">
            <v>1890882.63</v>
          </cell>
          <cell r="F34">
            <v>2157623.0054929014</v>
          </cell>
          <cell r="G34">
            <v>2129761</v>
          </cell>
          <cell r="H34">
            <v>2451107.2760000001</v>
          </cell>
          <cell r="I34">
            <v>2961812.1115960004</v>
          </cell>
          <cell r="J34">
            <v>139.0678161350499</v>
          </cell>
          <cell r="K34">
            <v>120.83567865823595</v>
          </cell>
          <cell r="L34">
            <v>156.63648629508012</v>
          </cell>
          <cell r="M34">
            <v>137.27199348800903</v>
          </cell>
        </row>
        <row r="35">
          <cell r="E35">
            <v>171410.62999999989</v>
          </cell>
          <cell r="F35">
            <v>267078.36600000015</v>
          </cell>
          <cell r="G35">
            <v>242955</v>
          </cell>
          <cell r="H35">
            <v>305773.27600000007</v>
          </cell>
          <cell r="I35">
            <v>391933.07272400009</v>
          </cell>
        </row>
        <row r="36">
          <cell r="E36">
            <v>171411</v>
          </cell>
          <cell r="F36">
            <v>247071.14600000001</v>
          </cell>
          <cell r="G36">
            <v>242955</v>
          </cell>
          <cell r="H36">
            <v>236051.804</v>
          </cell>
          <cell r="I36">
            <v>294623.64172399999</v>
          </cell>
        </row>
        <row r="37">
          <cell r="E37">
            <v>1580085</v>
          </cell>
          <cell r="F37">
            <v>1520340</v>
          </cell>
          <cell r="G37">
            <v>1737662</v>
          </cell>
          <cell r="H37">
            <v>1728361</v>
          </cell>
          <cell r="I37">
            <v>2090361</v>
          </cell>
          <cell r="J37">
            <v>120.29733055105079</v>
          </cell>
          <cell r="K37">
            <v>120.94469847445065</v>
          </cell>
          <cell r="L37">
            <v>132.2942120202394</v>
          </cell>
          <cell r="M37">
            <v>137.49299498796321</v>
          </cell>
        </row>
        <row r="38">
          <cell r="E38">
            <v>1580085</v>
          </cell>
          <cell r="F38">
            <v>1520340</v>
          </cell>
          <cell r="G38">
            <v>1737662</v>
          </cell>
          <cell r="H38">
            <v>1728361</v>
          </cell>
          <cell r="I38">
            <v>2090361</v>
          </cell>
          <cell r="J38">
            <v>120.29733055105079</v>
          </cell>
          <cell r="K38">
            <v>120.94469847445065</v>
          </cell>
          <cell r="L38">
            <v>132.2942120202394</v>
          </cell>
          <cell r="M38">
            <v>137.49299498796321</v>
          </cell>
        </row>
        <row r="42">
          <cell r="E42">
            <v>57734</v>
          </cell>
          <cell r="F42">
            <v>117926.13599999994</v>
          </cell>
          <cell r="G42">
            <v>61775</v>
          </cell>
          <cell r="H42">
            <v>264283</v>
          </cell>
          <cell r="I42">
            <v>285058.0388720003</v>
          </cell>
          <cell r="J42">
            <v>461.44563152084226</v>
          </cell>
          <cell r="K42">
            <v>107.86090625276702</v>
          </cell>
          <cell r="L42">
            <v>493.7437885336202</v>
          </cell>
          <cell r="M42">
            <v>241.72592144628604</v>
          </cell>
        </row>
        <row r="43">
          <cell r="E43">
            <v>0</v>
          </cell>
          <cell r="F43">
            <v>7365.7050000000017</v>
          </cell>
          <cell r="G43">
            <v>9525</v>
          </cell>
          <cell r="H43">
            <v>13950</v>
          </cell>
          <cell r="I43">
            <v>8878.1048999999948</v>
          </cell>
          <cell r="J43">
            <v>93.20845039370073</v>
          </cell>
          <cell r="K43">
            <v>63.642329032258026</v>
          </cell>
          <cell r="M43">
            <v>120.53299582321031</v>
          </cell>
        </row>
        <row r="44">
          <cell r="F44">
            <v>3314.2730000000001</v>
          </cell>
          <cell r="G44">
            <v>5135</v>
          </cell>
          <cell r="H44">
            <v>3481</v>
          </cell>
          <cell r="I44">
            <v>3718.0560999999998</v>
          </cell>
          <cell r="J44">
            <v>72.406155793573518</v>
          </cell>
          <cell r="K44">
            <v>106.81</v>
          </cell>
          <cell r="M44">
            <v>112.18315751297494</v>
          </cell>
        </row>
        <row r="45">
          <cell r="F45">
            <v>2268.799</v>
          </cell>
          <cell r="G45">
            <v>3061</v>
          </cell>
          <cell r="H45">
            <v>2806</v>
          </cell>
          <cell r="I45">
            <v>2997.0886</v>
          </cell>
          <cell r="J45">
            <v>97.91207448546227</v>
          </cell>
          <cell r="K45">
            <v>106.81</v>
          </cell>
          <cell r="M45">
            <v>132.10022571413333</v>
          </cell>
        </row>
        <row r="46">
          <cell r="F46">
            <v>1782.6330000000016</v>
          </cell>
          <cell r="G46">
            <v>1329</v>
          </cell>
          <cell r="H46">
            <v>7663</v>
          </cell>
          <cell r="I46">
            <v>2162.9601999999941</v>
          </cell>
          <cell r="J46">
            <v>162.75095560571816</v>
          </cell>
          <cell r="K46">
            <v>28.226023750489286</v>
          </cell>
          <cell r="M46">
            <v>121.33513740629687</v>
          </cell>
        </row>
        <row r="47">
          <cell r="E47">
            <v>253063.63</v>
          </cell>
          <cell r="F47">
            <v>511991.16449290136</v>
          </cell>
          <cell r="G47">
            <v>320799</v>
          </cell>
          <cell r="H47">
            <v>444513.27599999995</v>
          </cell>
          <cell r="I47">
            <v>577514.96782400017</v>
          </cell>
          <cell r="J47">
            <v>180.02393019429616</v>
          </cell>
          <cell r="K47">
            <v>129.9207468044217</v>
          </cell>
          <cell r="L47">
            <v>228.20939058844613</v>
          </cell>
          <cell r="M47">
            <v>112.79783868848527</v>
          </cell>
        </row>
        <row r="48">
          <cell r="F48">
            <v>8139.7549999999992</v>
          </cell>
          <cell r="G48">
            <v>9442</v>
          </cell>
          <cell r="H48">
            <v>8945</v>
          </cell>
          <cell r="I48">
            <v>13175.499</v>
          </cell>
          <cell r="J48">
            <v>139.54140012709172</v>
          </cell>
          <cell r="K48">
            <v>147.29456679709335</v>
          </cell>
          <cell r="M48">
            <v>161.86603896554627</v>
          </cell>
        </row>
        <row r="49">
          <cell r="F49">
            <v>22282.431</v>
          </cell>
          <cell r="G49">
            <v>22054</v>
          </cell>
          <cell r="H49">
            <v>22467</v>
          </cell>
          <cell r="I49">
            <v>25579</v>
          </cell>
          <cell r="J49">
            <v>115.98349505758591</v>
          </cell>
          <cell r="K49">
            <v>113.85142653669827</v>
          </cell>
          <cell r="M49">
            <v>114.79447641956122</v>
          </cell>
        </row>
        <row r="50">
          <cell r="F50">
            <v>9064.11</v>
          </cell>
          <cell r="G50">
            <v>3429</v>
          </cell>
          <cell r="H50">
            <v>11514</v>
          </cell>
          <cell r="I50">
            <v>15094.626124000002</v>
          </cell>
          <cell r="J50">
            <v>440.20490300379123</v>
          </cell>
          <cell r="K50">
            <v>131.09802087893001</v>
          </cell>
          <cell r="M50">
            <v>166.53180647631154</v>
          </cell>
        </row>
        <row r="51">
          <cell r="F51">
            <v>6286.4560000000001</v>
          </cell>
          <cell r="G51">
            <v>9630</v>
          </cell>
          <cell r="H51">
            <v>12262</v>
          </cell>
          <cell r="I51">
            <v>16838</v>
          </cell>
          <cell r="J51">
            <v>174.84942886812044</v>
          </cell>
          <cell r="K51">
            <v>137.31854509867884</v>
          </cell>
          <cell r="M51">
            <v>267.84566693857397</v>
          </cell>
        </row>
        <row r="52">
          <cell r="G52">
            <v>0</v>
          </cell>
        </row>
        <row r="53">
          <cell r="F53">
            <v>18354.839</v>
          </cell>
          <cell r="G53">
            <v>16835</v>
          </cell>
          <cell r="H53">
            <v>31514</v>
          </cell>
          <cell r="I53">
            <v>35608.8033</v>
          </cell>
          <cell r="J53">
            <v>211.51650311850312</v>
          </cell>
          <cell r="K53">
            <v>112.99360062194582</v>
          </cell>
          <cell r="M53">
            <v>194.00226447096594</v>
          </cell>
        </row>
        <row r="54">
          <cell r="F54">
            <v>7992.8949999999995</v>
          </cell>
          <cell r="G54">
            <v>8563</v>
          </cell>
          <cell r="H54">
            <v>13170</v>
          </cell>
          <cell r="I54">
            <v>19040.7274</v>
          </cell>
          <cell r="J54">
            <v>222.36047413289737</v>
          </cell>
          <cell r="K54">
            <v>144.5765178435839</v>
          </cell>
          <cell r="M54">
            <v>238.22066222563913</v>
          </cell>
        </row>
        <row r="55">
          <cell r="F55">
            <v>4175.4120000000003</v>
          </cell>
          <cell r="G55">
            <v>5286.4</v>
          </cell>
          <cell r="H55">
            <v>5286</v>
          </cell>
          <cell r="I55">
            <v>11604.421</v>
          </cell>
          <cell r="J55">
            <v>219.51462242736079</v>
          </cell>
          <cell r="K55">
            <v>219.5312334468407</v>
          </cell>
          <cell r="M55">
            <v>277.92277744088489</v>
          </cell>
        </row>
        <row r="56">
          <cell r="F56">
            <v>56548.748</v>
          </cell>
          <cell r="G56">
            <v>55963</v>
          </cell>
          <cell r="H56">
            <v>47350.603999999999</v>
          </cell>
          <cell r="I56">
            <v>50444</v>
          </cell>
          <cell r="J56">
            <v>90.138126976752503</v>
          </cell>
          <cell r="K56">
            <v>106.53295995970822</v>
          </cell>
          <cell r="M56">
            <v>89.204450644955031</v>
          </cell>
        </row>
        <row r="57">
          <cell r="F57">
            <v>0</v>
          </cell>
          <cell r="G57">
            <v>0</v>
          </cell>
        </row>
        <row r="58">
          <cell r="E58">
            <v>81653</v>
          </cell>
          <cell r="F58">
            <v>252278.50349290133</v>
          </cell>
          <cell r="G58">
            <v>87369</v>
          </cell>
          <cell r="H58">
            <v>152690</v>
          </cell>
          <cell r="I58">
            <v>194460</v>
          </cell>
          <cell r="J58">
            <v>222.57322391237167</v>
          </cell>
          <cell r="K58">
            <v>127.35608094832666</v>
          </cell>
          <cell r="L58">
            <v>238.15414008058494</v>
          </cell>
          <cell r="M58">
            <v>77.081478329552468</v>
          </cell>
        </row>
        <row r="59">
          <cell r="E59">
            <v>171410.63</v>
          </cell>
          <cell r="F59">
            <v>126868.01500000001</v>
          </cell>
          <cell r="G59">
            <v>102227.6</v>
          </cell>
          <cell r="H59">
            <v>139314.67199999999</v>
          </cell>
          <cell r="I59">
            <v>195669.89100000012</v>
          </cell>
          <cell r="J59">
            <v>191.40612809065274</v>
          </cell>
          <cell r="K59">
            <v>140.45174725028252</v>
          </cell>
          <cell r="L59">
            <v>114.15271678308405</v>
          </cell>
          <cell r="M59">
            <v>154.23106525312949</v>
          </cell>
        </row>
        <row r="60">
          <cell r="E60">
            <v>41679</v>
          </cell>
          <cell r="F60">
            <v>115943.33481</v>
          </cell>
          <cell r="G60">
            <v>46977</v>
          </cell>
          <cell r="H60">
            <v>108070.46445952081</v>
          </cell>
          <cell r="I60">
            <v>118184.53018425497</v>
          </cell>
          <cell r="J60">
            <v>251.57956060253946</v>
          </cell>
          <cell r="K60">
            <v>109.35876955402787</v>
          </cell>
          <cell r="L60">
            <v>283.55893899626903</v>
          </cell>
          <cell r="M60">
            <v>101.93300923932168</v>
          </cell>
        </row>
        <row r="61">
          <cell r="E61">
            <v>10361</v>
          </cell>
          <cell r="F61">
            <v>9833.2057880000011</v>
          </cell>
          <cell r="G61">
            <v>13613</v>
          </cell>
          <cell r="H61">
            <v>8575.4969857751785</v>
          </cell>
          <cell r="I61">
            <v>9623.6930063171476</v>
          </cell>
          <cell r="J61">
            <v>70.694872594704677</v>
          </cell>
          <cell r="K61">
            <v>112.22315187423762</v>
          </cell>
          <cell r="L61">
            <v>92.88382401618712</v>
          </cell>
          <cell r="M61">
            <v>97.869333905952288</v>
          </cell>
        </row>
        <row r="62">
          <cell r="E62">
            <v>8500</v>
          </cell>
          <cell r="F62">
            <v>52768.733634000004</v>
          </cell>
          <cell r="G62">
            <v>11167</v>
          </cell>
          <cell r="H62">
            <v>58045.57</v>
          </cell>
          <cell r="I62">
            <v>63850.127000000008</v>
          </cell>
          <cell r="J62">
            <v>571.77511417569633</v>
          </cell>
          <cell r="K62">
            <v>110.00000000000001</v>
          </cell>
          <cell r="L62">
            <v>751.17796470588246</v>
          </cell>
          <cell r="M62">
            <v>120.99992287641336</v>
          </cell>
        </row>
        <row r="63">
          <cell r="E63">
            <v>22818</v>
          </cell>
          <cell r="F63">
            <v>36356.112999999998</v>
          </cell>
          <cell r="G63">
            <v>22197</v>
          </cell>
          <cell r="H63">
            <v>40704</v>
          </cell>
          <cell r="I63">
            <v>44214.007799999999</v>
          </cell>
          <cell r="J63">
            <v>199.18911474523583</v>
          </cell>
          <cell r="K63">
            <v>108.62325029481133</v>
          </cell>
          <cell r="L63">
            <v>193.76811201682881</v>
          </cell>
          <cell r="M63">
            <v>121.61368240878775</v>
          </cell>
        </row>
        <row r="64">
          <cell r="E64">
            <v>6102.2926895604369</v>
          </cell>
          <cell r="F64">
            <v>8942.3004537070883</v>
          </cell>
          <cell r="G64">
            <v>5546.405828408615</v>
          </cell>
          <cell r="H64">
            <v>10063.042686133122</v>
          </cell>
          <cell r="I64">
            <v>10896.662733203537</v>
          </cell>
          <cell r="J64">
            <v>196.46349492478495</v>
          </cell>
          <cell r="K64">
            <v>108.28397606043293</v>
          </cell>
          <cell r="L64">
            <v>178.5667008703978</v>
          </cell>
          <cell r="M64">
            <v>121.8552517846373</v>
          </cell>
        </row>
        <row r="65">
          <cell r="E65">
            <v>4392.1581576405697</v>
          </cell>
          <cell r="F65">
            <v>6407.5224776259765</v>
          </cell>
          <cell r="G65">
            <v>3975.2866098154946</v>
          </cell>
          <cell r="H65">
            <v>7164.8714621794697</v>
          </cell>
          <cell r="I65">
            <v>7791.7144665064725</v>
          </cell>
          <cell r="J65">
            <v>196.00384151592306</v>
          </cell>
          <cell r="K65">
            <v>108.74883810038827</v>
          </cell>
          <cell r="L65">
            <v>177.40058957011956</v>
          </cell>
          <cell r="M65">
            <v>121.60260839839219</v>
          </cell>
        </row>
        <row r="66">
          <cell r="E66">
            <v>8895.8565247604565</v>
          </cell>
          <cell r="F66">
            <v>14754.968072599397</v>
          </cell>
          <cell r="G66">
            <v>8764.3817751727038</v>
          </cell>
          <cell r="H66">
            <v>16541.053554818322</v>
          </cell>
          <cell r="I66">
            <v>18026.408220567293</v>
          </cell>
          <cell r="J66">
            <v>205.67803506268504</v>
          </cell>
          <cell r="K66">
            <v>108.97980688368121</v>
          </cell>
          <cell r="L66">
            <v>202.63825265608921</v>
          </cell>
          <cell r="M66">
            <v>122.17178737270939</v>
          </cell>
        </row>
        <row r="67">
          <cell r="E67">
            <v>3427.6926280385355</v>
          </cell>
          <cell r="F67">
            <v>6251.3219960675378</v>
          </cell>
          <cell r="G67">
            <v>3910.9257866031867</v>
          </cell>
          <cell r="H67">
            <v>6935.0322968690925</v>
          </cell>
          <cell r="I67">
            <v>7499.2223797226952</v>
          </cell>
          <cell r="J67">
            <v>191.75056722914968</v>
          </cell>
          <cell r="K67">
            <v>108.13536345185175</v>
          </cell>
          <cell r="L67">
            <v>218.7833972736947</v>
          </cell>
          <cell r="M67">
            <v>119.96218374993582</v>
          </cell>
        </row>
        <row r="69">
          <cell r="F69">
            <v>16985.282388</v>
          </cell>
          <cell r="H69">
            <v>745.39747374562637</v>
          </cell>
          <cell r="I69">
            <v>496.70237793780967</v>
          </cell>
          <cell r="K69">
            <v>66.635908415664133</v>
          </cell>
          <cell r="M69">
            <v>2.9243103917349469</v>
          </cell>
        </row>
        <row r="70">
          <cell r="E70">
            <v>3272803.0120557193</v>
          </cell>
          <cell r="F70">
            <v>3669851.8951537558</v>
          </cell>
          <cell r="G70">
            <v>3604391.7051672023</v>
          </cell>
          <cell r="H70">
            <v>4204042.6405177619</v>
          </cell>
          <cell r="I70">
            <v>5129293.7347954549</v>
          </cell>
          <cell r="J70">
            <v>142.30677890647056</v>
          </cell>
          <cell r="K70">
            <v>122.00860394136586</v>
          </cell>
          <cell r="L70">
            <v>156.72479265941621</v>
          </cell>
          <cell r="M70">
            <v>139.76841249558254</v>
          </cell>
        </row>
        <row r="71">
          <cell r="E71">
            <v>2032774.1379811943</v>
          </cell>
          <cell r="F71">
            <v>2049042.8656443334</v>
          </cell>
          <cell r="G71">
            <v>2204105.2363293627</v>
          </cell>
          <cell r="H71">
            <v>2340411.1676937481</v>
          </cell>
          <cell r="I71">
            <v>2918054.9106552685</v>
          </cell>
          <cell r="J71">
            <v>132.39181426359167</v>
          </cell>
          <cell r="K71">
            <v>124.68129322467441</v>
          </cell>
          <cell r="L71">
            <v>143.55037562379022</v>
          </cell>
          <cell r="M71">
            <v>142.41063276817633</v>
          </cell>
        </row>
        <row r="72">
          <cell r="E72">
            <v>325825.45469522552</v>
          </cell>
          <cell r="F72">
            <v>378837.1362759287</v>
          </cell>
          <cell r="G72">
            <v>334314.7993465786</v>
          </cell>
          <cell r="H72">
            <v>435778.81131061725</v>
          </cell>
          <cell r="I72">
            <v>537570.36493170704</v>
          </cell>
          <cell r="J72">
            <v>160.79765717293802</v>
          </cell>
          <cell r="K72">
            <v>123.35853671153694</v>
          </cell>
          <cell r="L72">
            <v>164.98722158910081</v>
          </cell>
          <cell r="M72">
            <v>141.90012368274367</v>
          </cell>
        </row>
        <row r="73">
          <cell r="E73">
            <v>659925.34718754585</v>
          </cell>
          <cell r="F73">
            <v>872369.91676341975</v>
          </cell>
          <cell r="G73">
            <v>737069.50520975539</v>
          </cell>
          <cell r="H73">
            <v>1006053.0316549917</v>
          </cell>
          <cell r="I73">
            <v>1163834.4436172545</v>
          </cell>
          <cell r="J73">
            <v>157.90022994996249</v>
          </cell>
          <cell r="K73">
            <v>115.68321022826271</v>
          </cell>
          <cell r="L73">
            <v>176.35850002992862</v>
          </cell>
          <cell r="M73">
            <v>133.41065770988499</v>
          </cell>
        </row>
        <row r="74">
          <cell r="E74">
            <v>254278.0721917536</v>
          </cell>
          <cell r="F74">
            <v>369601.96881063347</v>
          </cell>
          <cell r="G74">
            <v>328902.16428150539</v>
          </cell>
          <cell r="H74">
            <v>421799.62985840545</v>
          </cell>
          <cell r="I74">
            <v>509834.01559122512</v>
          </cell>
          <cell r="J74">
            <v>155.01084242025883</v>
          </cell>
          <cell r="K74">
            <v>120.87113868790547</v>
          </cell>
          <cell r="L74">
            <v>200.50254872419919</v>
          </cell>
          <cell r="M74">
            <v>137.94136898995794</v>
          </cell>
        </row>
        <row r="75">
          <cell r="E75">
            <v>116408</v>
          </cell>
          <cell r="F75">
            <v>226958.54811199999</v>
          </cell>
          <cell r="G75">
            <v>153647</v>
          </cell>
          <cell r="H75">
            <v>171092.93515157275</v>
          </cell>
          <cell r="I75">
            <v>372341.02846019744</v>
          </cell>
          <cell r="J75">
            <v>242.33537163771337</v>
          </cell>
          <cell r="K75">
            <v>217.6250165621025</v>
          </cell>
          <cell r="L75">
            <v>319.85862523211239</v>
          </cell>
          <cell r="M75">
            <v>164.05684278366718</v>
          </cell>
        </row>
        <row r="76">
          <cell r="E76">
            <v>33898</v>
          </cell>
          <cell r="F76">
            <v>33898</v>
          </cell>
          <cell r="G76">
            <v>85315</v>
          </cell>
          <cell r="H76">
            <v>85315</v>
          </cell>
          <cell r="I76">
            <v>280000</v>
          </cell>
          <cell r="J76">
            <v>328.19551075426364</v>
          </cell>
          <cell r="K76">
            <v>328.19551075426364</v>
          </cell>
          <cell r="L76">
            <v>826.00743406690663</v>
          </cell>
          <cell r="M76">
            <v>826.00743406690663</v>
          </cell>
        </row>
        <row r="77">
          <cell r="E77">
            <v>33898</v>
          </cell>
          <cell r="F77">
            <v>33898</v>
          </cell>
          <cell r="G77">
            <v>85315</v>
          </cell>
          <cell r="H77">
            <v>85315</v>
          </cell>
          <cell r="I77">
            <v>280000</v>
          </cell>
          <cell r="J77">
            <v>328.19551075426364</v>
          </cell>
          <cell r="K77">
            <v>328.19551075426364</v>
          </cell>
          <cell r="L77">
            <v>826.00743406690663</v>
          </cell>
          <cell r="M77">
            <v>826.00743406690663</v>
          </cell>
        </row>
        <row r="81">
          <cell r="E81">
            <v>54299</v>
          </cell>
          <cell r="F81">
            <v>54299</v>
          </cell>
          <cell r="G81">
            <v>54299</v>
          </cell>
          <cell r="H81">
            <v>54299</v>
          </cell>
          <cell r="I81">
            <v>59728.9</v>
          </cell>
          <cell r="J81">
            <v>110.00000000000001</v>
          </cell>
          <cell r="K81">
            <v>110.00000000000001</v>
          </cell>
          <cell r="L81">
            <v>110.00000000000001</v>
          </cell>
          <cell r="M81">
            <v>110.00000000000001</v>
          </cell>
        </row>
        <row r="82">
          <cell r="E82">
            <v>22292</v>
          </cell>
          <cell r="F82">
            <v>21963.838448000002</v>
          </cell>
          <cell r="G82">
            <v>14033</v>
          </cell>
          <cell r="H82">
            <v>19622.550772915831</v>
          </cell>
          <cell r="I82">
            <v>21796.339365895114</v>
          </cell>
          <cell r="J82">
            <v>155.32202213279493</v>
          </cell>
          <cell r="K82">
            <v>111.07801232436951</v>
          </cell>
          <cell r="L82">
            <v>97.776508908555144</v>
          </cell>
          <cell r="M82">
            <v>99.237387023668717</v>
          </cell>
        </row>
        <row r="83">
          <cell r="H83">
            <v>3696.0775386457917</v>
          </cell>
          <cell r="I83">
            <v>4076.2619682947561</v>
          </cell>
        </row>
        <row r="84">
          <cell r="E84">
            <v>5919</v>
          </cell>
          <cell r="F84">
            <v>116797.70966399999</v>
          </cell>
          <cell r="G84">
            <v>0</v>
          </cell>
          <cell r="H84">
            <v>8160.3068400111288</v>
          </cell>
          <cell r="I84">
            <v>6739.5271260075297</v>
          </cell>
          <cell r="K84">
            <v>82.589138596635649</v>
          </cell>
          <cell r="L84">
            <v>113.86259716180993</v>
          </cell>
          <cell r="M84">
            <v>5.7702562365268895</v>
          </cell>
        </row>
        <row r="86">
          <cell r="E86">
            <v>491639.99997723661</v>
          </cell>
          <cell r="F86">
            <v>135895.28570901361</v>
          </cell>
          <cell r="G86">
            <v>514628.5695741754</v>
          </cell>
          <cell r="H86">
            <v>165962.43754411826</v>
          </cell>
          <cell r="I86">
            <v>192267.11195059959</v>
          </cell>
          <cell r="J86">
            <v>37.360364992889764</v>
          </cell>
          <cell r="K86">
            <v>115.84977588647953</v>
          </cell>
          <cell r="L86">
            <v>39.107296387499332</v>
          </cell>
          <cell r="M86">
            <v>141.48181148998239</v>
          </cell>
        </row>
        <row r="88">
          <cell r="E88">
            <v>153168.41720830539</v>
          </cell>
          <cell r="F88">
            <v>797129.12172748207</v>
          </cell>
          <cell r="G88">
            <v>202167.10526315789</v>
          </cell>
          <cell r="H88">
            <v>833915.91363878746</v>
          </cell>
          <cell r="I88">
            <v>1195208.4624657766</v>
          </cell>
          <cell r="J88">
            <v>591.19828664014926</v>
          </cell>
          <cell r="K88">
            <v>143.32481763664768</v>
          </cell>
          <cell r="L88">
            <v>780.32304847827845</v>
          </cell>
          <cell r="M88">
            <v>149.9391290429341</v>
          </cell>
        </row>
        <row r="89">
          <cell r="E89">
            <v>36760.42012999329</v>
          </cell>
          <cell r="F89">
            <v>191310.9892145957</v>
          </cell>
          <cell r="G89">
            <v>48520.105263157893</v>
          </cell>
          <cell r="H89">
            <v>200139.819273309</v>
          </cell>
          <cell r="I89">
            <v>286850.03099178639</v>
          </cell>
          <cell r="J89">
            <v>591.19828664014938</v>
          </cell>
          <cell r="K89">
            <v>143.32481763664768</v>
          </cell>
          <cell r="L89">
            <v>780.32304847827845</v>
          </cell>
          <cell r="M89">
            <v>149.93912904293413</v>
          </cell>
        </row>
        <row r="90">
          <cell r="E90">
            <v>17672.816695775313</v>
          </cell>
          <cell r="F90">
            <v>55127.320930464201</v>
          </cell>
          <cell r="G90">
            <v>32333.445601707444</v>
          </cell>
          <cell r="H90">
            <v>69760.498109197302</v>
          </cell>
          <cell r="I90">
            <v>137324.41519183351</v>
          </cell>
          <cell r="J90">
            <v>424.71321146355575</v>
          </cell>
          <cell r="K90">
            <v>196.85125380968074</v>
          </cell>
          <cell r="L90">
            <v>777.03751221875632</v>
          </cell>
          <cell r="M90">
            <v>249.10409734050029</v>
          </cell>
        </row>
        <row r="91">
          <cell r="E91">
            <v>5015.3889139378607</v>
          </cell>
          <cell r="F91">
            <v>31830.666170296379</v>
          </cell>
          <cell r="G91">
            <v>3864.5234366224786</v>
          </cell>
          <cell r="H91">
            <v>30487.006913596524</v>
          </cell>
          <cell r="I91">
            <v>34968.599731041082</v>
          </cell>
          <cell r="J91">
            <v>904.86188800560058</v>
          </cell>
          <cell r="K91">
            <v>114.70000918799892</v>
          </cell>
          <cell r="L91">
            <v>697.22608417988647</v>
          </cell>
          <cell r="M91">
            <v>109.85820888559645</v>
          </cell>
        </row>
        <row r="92">
          <cell r="E92">
            <v>10158.145174406201</v>
          </cell>
          <cell r="F92">
            <v>73298.293484302325</v>
          </cell>
          <cell r="G92">
            <v>8520.1803296476937</v>
          </cell>
          <cell r="H92">
            <v>70383.288345904017</v>
          </cell>
          <cell r="I92">
            <v>80901.097744665734</v>
          </cell>
          <cell r="J92">
            <v>949.52330366945375</v>
          </cell>
          <cell r="K92">
            <v>114.94361750629089</v>
          </cell>
          <cell r="L92">
            <v>796.41604205951739</v>
          </cell>
          <cell r="M92">
            <v>110.372416462863</v>
          </cell>
        </row>
        <row r="93">
          <cell r="E93">
            <v>3914.0693458739147</v>
          </cell>
          <cell r="F93">
            <v>31054.708629532779</v>
          </cell>
          <cell r="G93">
            <v>3801.9558951802724</v>
          </cell>
          <cell r="H93">
            <v>29509.025904611161</v>
          </cell>
          <cell r="I93">
            <v>33655.918324246064</v>
          </cell>
          <cell r="J93">
            <v>885.22642692703425</v>
          </cell>
          <cell r="K93">
            <v>114.05296275464958</v>
          </cell>
          <cell r="L93">
            <v>859.87026161723588</v>
          </cell>
          <cell r="M93">
            <v>108.37621671400758</v>
          </cell>
        </row>
        <row r="97">
          <cell r="E97">
            <v>153168.42012999329</v>
          </cell>
          <cell r="F97">
            <v>418269.53732659569</v>
          </cell>
          <cell r="G97">
            <v>202167.10526315789</v>
          </cell>
          <cell r="H97">
            <v>371232.75442488177</v>
          </cell>
          <cell r="I97">
            <v>659191.05945198378</v>
          </cell>
          <cell r="J97">
            <v>326.06247123829797</v>
          </cell>
          <cell r="K97">
            <v>177.56812985783284</v>
          </cell>
          <cell r="L97">
            <v>430.37008470318591</v>
          </cell>
          <cell r="M97">
            <v>157.59958606243666</v>
          </cell>
        </row>
        <row r="98">
          <cell r="E98">
            <v>73636.737013753736</v>
          </cell>
          <cell r="F98">
            <v>136511.29466409399</v>
          </cell>
          <cell r="G98">
            <v>134722.69000711438</v>
          </cell>
          <cell r="H98">
            <v>176281.94030059461</v>
          </cell>
          <cell r="I98">
            <v>440082.11334304977</v>
          </cell>
          <cell r="J98">
            <v>326.65775402778115</v>
          </cell>
          <cell r="K98">
            <v>249.64673782953892</v>
          </cell>
          <cell r="L98">
            <v>597.63934578042483</v>
          </cell>
          <cell r="M98">
            <v>322.37780355532936</v>
          </cell>
        </row>
        <row r="99">
          <cell r="E99">
            <v>20897.454370460055</v>
          </cell>
          <cell r="F99">
            <v>65856.300362005248</v>
          </cell>
          <cell r="G99">
            <v>16102.180985926996</v>
          </cell>
          <cell r="H99">
            <v>45585.962290271666</v>
          </cell>
          <cell r="I99">
            <v>51241.60828887207</v>
          </cell>
          <cell r="J99">
            <v>318.22775022623506</v>
          </cell>
          <cell r="K99">
            <v>112.40655174193253</v>
          </cell>
          <cell r="L99">
            <v>245.20502536091428</v>
          </cell>
          <cell r="M99">
            <v>77.808209703858651</v>
          </cell>
        </row>
        <row r="100">
          <cell r="E100">
            <v>42325.606032412397</v>
          </cell>
          <cell r="F100">
            <v>151651.0652305861</v>
          </cell>
          <cell r="G100">
            <v>35500.751373532054</v>
          </cell>
          <cell r="H100">
            <v>105241.22415476551</v>
          </cell>
          <cell r="I100">
            <v>118549.28114527889</v>
          </cell>
          <cell r="J100">
            <v>333.93456915299129</v>
          </cell>
          <cell r="K100">
            <v>112.6452890465649</v>
          </cell>
          <cell r="L100">
            <v>280.08879791229782</v>
          </cell>
          <cell r="M100">
            <v>78.172402524851506</v>
          </cell>
        </row>
        <row r="101">
          <cell r="E101">
            <v>16308.622713367105</v>
          </cell>
          <cell r="F101">
            <v>64250.877069910348</v>
          </cell>
          <cell r="G101">
            <v>15841.482896584468</v>
          </cell>
          <cell r="H101">
            <v>44123.627679250014</v>
          </cell>
          <cell r="I101">
            <v>49318.056674783074</v>
          </cell>
          <cell r="J101">
            <v>311.32222277888133</v>
          </cell>
          <cell r="K101">
            <v>111.77244317555477</v>
          </cell>
          <cell r="L101">
            <v>302.4047924927487</v>
          </cell>
          <cell r="M101">
            <v>76.758573460593993</v>
          </cell>
        </row>
        <row r="103">
          <cell r="E103">
            <v>3425971.4321857127</v>
          </cell>
          <cell r="F103">
            <v>4088121.4324803515</v>
          </cell>
          <cell r="G103">
            <v>3806558.81043036</v>
          </cell>
          <cell r="H103">
            <v>4575275.3949426441</v>
          </cell>
          <cell r="I103">
            <v>5788484.7942474391</v>
          </cell>
          <cell r="J103">
            <v>152.06608074427749</v>
          </cell>
          <cell r="K103">
            <v>126.51664205057112</v>
          </cell>
          <cell r="L103">
            <v>168.95893351201946</v>
          </cell>
          <cell r="M103">
            <v>141.59278020113607</v>
          </cell>
        </row>
        <row r="109">
          <cell r="E109">
            <v>4.6800378625227692</v>
          </cell>
          <cell r="F109">
            <v>11.397450068187872</v>
          </cell>
          <cell r="G109">
            <v>5.6089105125098957</v>
          </cell>
          <cell r="H109">
            <v>8.8303755734304694</v>
          </cell>
          <cell r="I109">
            <v>12.851497565449346</v>
          </cell>
          <cell r="J109">
            <v>229.12645043606713</v>
          </cell>
          <cell r="K109">
            <v>145.53738353007256</v>
          </cell>
          <cell r="L109">
            <v>274.60242722313706</v>
          </cell>
          <cell r="M109">
            <v>112.75765621750742</v>
          </cell>
        </row>
        <row r="110">
          <cell r="E110">
            <v>33.982734669046422</v>
          </cell>
          <cell r="F110">
            <v>34.547556962265638</v>
          </cell>
          <cell r="G110">
            <v>34.790384819010555</v>
          </cell>
          <cell r="H110">
            <v>39.258025616981726</v>
          </cell>
          <cell r="I110">
            <v>47.711169223151074</v>
          </cell>
        </row>
        <row r="111">
          <cell r="E111">
            <v>13.598520205188583</v>
          </cell>
          <cell r="F111">
            <v>19.096577883092603</v>
          </cell>
          <cell r="G111">
            <v>13.918615049354475</v>
          </cell>
          <cell r="H111">
            <v>20.116497438918632</v>
          </cell>
          <cell r="I111">
            <v>24.379669319008897</v>
          </cell>
          <cell r="J111">
            <v>175.15872974832786</v>
          </cell>
          <cell r="K111">
            <v>121.19241628934103</v>
          </cell>
          <cell r="L111">
            <v>179.28178177583405</v>
          </cell>
          <cell r="M111">
            <v>127.66512130214569</v>
          </cell>
        </row>
        <row r="112">
          <cell r="E112">
            <v>35.573139518278452</v>
          </cell>
          <cell r="F112">
            <v>38.485097516818627</v>
          </cell>
          <cell r="G112">
            <v>36.741746370466686</v>
          </cell>
          <cell r="H112">
            <v>42.724656721674762</v>
          </cell>
          <cell r="I112">
            <v>53.842768974311753</v>
          </cell>
          <cell r="J112">
            <v>146.5438480561474</v>
          </cell>
          <cell r="K112">
            <v>126.02270704025722</v>
          </cell>
          <cell r="L112">
            <v>151.35793383276129</v>
          </cell>
          <cell r="M112">
            <v>139.90550225520821</v>
          </cell>
        </row>
        <row r="114">
          <cell r="E114">
            <v>525537.99705554871</v>
          </cell>
          <cell r="F114">
            <v>1287021</v>
          </cell>
          <cell r="G114">
            <v>599943.5695741754</v>
          </cell>
          <cell r="H114">
            <v>1441139</v>
          </cell>
          <cell r="I114">
            <v>1888713</v>
          </cell>
          <cell r="J114">
            <v>314.81510858438907</v>
          </cell>
          <cell r="K114">
            <v>131.05696258306799</v>
          </cell>
          <cell r="L114">
            <v>359.38657348887477</v>
          </cell>
          <cell r="M114">
            <v>146.75075231872674</v>
          </cell>
        </row>
        <row r="116">
          <cell r="E116">
            <v>525537.99705554871</v>
          </cell>
          <cell r="F116">
            <v>528522</v>
          </cell>
          <cell r="G116">
            <v>599943.5695741754</v>
          </cell>
          <cell r="H116">
            <v>1328050</v>
          </cell>
          <cell r="I116">
            <v>1888713</v>
          </cell>
          <cell r="J116">
            <v>314.81510858438907</v>
          </cell>
          <cell r="K116">
            <v>142.21700990173562</v>
          </cell>
          <cell r="L116">
            <v>359.38657348887477</v>
          </cell>
          <cell r="M116">
            <v>357.35749883637766</v>
          </cell>
        </row>
        <row r="117">
          <cell r="E117">
            <v>491639.99705554865</v>
          </cell>
          <cell r="F117">
            <v>494624</v>
          </cell>
          <cell r="G117">
            <v>514628.5695741754</v>
          </cell>
          <cell r="H117">
            <v>580433</v>
          </cell>
          <cell r="I117">
            <v>708713</v>
          </cell>
          <cell r="J117">
            <v>137.71349705408272</v>
          </cell>
          <cell r="K117">
            <v>122.10074203224144</v>
          </cell>
          <cell r="L117">
            <v>144.15283627135915</v>
          </cell>
          <cell r="M117">
            <v>143.28318075952643</v>
          </cell>
        </row>
        <row r="119">
          <cell r="E119">
            <v>33898</v>
          </cell>
          <cell r="F119">
            <v>33898</v>
          </cell>
          <cell r="G119">
            <v>85315</v>
          </cell>
          <cell r="H119">
            <v>85315</v>
          </cell>
          <cell r="I119">
            <v>280000</v>
          </cell>
          <cell r="J119">
            <v>328.19551075426364</v>
          </cell>
          <cell r="K119">
            <v>328.19551075426364</v>
          </cell>
          <cell r="L119">
            <v>826.00743406690663</v>
          </cell>
          <cell r="M119">
            <v>826.00743406690663</v>
          </cell>
        </row>
        <row r="120">
          <cell r="H120">
            <v>662302</v>
          </cell>
          <cell r="I120">
            <v>900000</v>
          </cell>
        </row>
        <row r="123">
          <cell r="E123">
            <v>0</v>
          </cell>
          <cell r="F123">
            <v>758499</v>
          </cell>
          <cell r="G123">
            <v>0</v>
          </cell>
          <cell r="H123">
            <v>113089</v>
          </cell>
          <cell r="I123">
            <v>0</v>
          </cell>
        </row>
        <row r="124">
          <cell r="F124">
            <v>758499</v>
          </cell>
          <cell r="H124">
            <v>113089</v>
          </cell>
        </row>
        <row r="130">
          <cell r="E130">
            <v>24</v>
          </cell>
          <cell r="F130">
            <v>24</v>
          </cell>
          <cell r="G130">
            <v>24</v>
          </cell>
          <cell r="H130">
            <v>24</v>
          </cell>
          <cell r="I130">
            <v>24</v>
          </cell>
          <cell r="J130">
            <v>100</v>
          </cell>
          <cell r="K130">
            <v>100</v>
          </cell>
          <cell r="L130">
            <v>100</v>
          </cell>
          <cell r="M130">
            <v>100</v>
          </cell>
        </row>
        <row r="131">
          <cell r="E131">
            <v>25.999958087015173</v>
          </cell>
          <cell r="F131">
            <v>25.079391864272626</v>
          </cell>
          <cell r="G131">
            <v>26.233716128813867</v>
          </cell>
          <cell r="H131">
            <v>26.834816692246065</v>
          </cell>
          <cell r="I131">
            <v>25.835999010831813</v>
          </cell>
          <cell r="J131">
            <v>98.483946704198644</v>
          </cell>
          <cell r="K131">
            <v>96.277903840860375</v>
          </cell>
          <cell r="L131">
            <v>99.369387151953731</v>
          </cell>
          <cell r="M131">
            <v>103.01684805857285</v>
          </cell>
        </row>
        <row r="133">
          <cell r="E133">
            <v>96307.817599999995</v>
          </cell>
          <cell r="F133">
            <v>106226.09</v>
          </cell>
          <cell r="G133">
            <v>103603.099647166</v>
          </cell>
          <cell r="H133">
            <v>107087.46999999999</v>
          </cell>
          <cell r="I133">
            <v>107507.19</v>
          </cell>
          <cell r="J133">
            <v>103.76831423589633</v>
          </cell>
          <cell r="K133">
            <v>100.39194127940461</v>
          </cell>
          <cell r="L133">
            <v>111.62872618141438</v>
          </cell>
          <cell r="M133">
            <v>101.20601257186441</v>
          </cell>
        </row>
        <row r="134">
          <cell r="E134">
            <v>25755.916000000001</v>
          </cell>
          <cell r="F134">
            <v>26127.81</v>
          </cell>
          <cell r="G134">
            <v>25887.499920000002</v>
          </cell>
          <cell r="H134">
            <v>26474.69</v>
          </cell>
          <cell r="I134">
            <v>26495.439999999999</v>
          </cell>
          <cell r="J134">
            <v>102.3483923974069</v>
          </cell>
          <cell r="K134">
            <v>100.07837674397699</v>
          </cell>
          <cell r="L134">
            <v>102.87127819488151</v>
          </cell>
          <cell r="M134">
            <v>101.4070448307761</v>
          </cell>
        </row>
        <row r="135">
          <cell r="E135">
            <v>18537.959800000001</v>
          </cell>
          <cell r="F135">
            <v>18721.64</v>
          </cell>
          <cell r="G135">
            <v>18554.399908220003</v>
          </cell>
          <cell r="H135">
            <v>18849.939999999999</v>
          </cell>
          <cell r="I135">
            <v>18945.7</v>
          </cell>
          <cell r="J135">
            <v>102.10893423509022</v>
          </cell>
          <cell r="K135">
            <v>100.50801222709462</v>
          </cell>
          <cell r="L135">
            <v>102.1994879932796</v>
          </cell>
          <cell r="M135">
            <v>101.1967968618134</v>
          </cell>
        </row>
        <row r="136">
          <cell r="E136">
            <v>37546.696799999998</v>
          </cell>
          <cell r="F136">
            <v>43111.39</v>
          </cell>
          <cell r="G136">
            <v>40907.199999955999</v>
          </cell>
          <cell r="H136">
            <v>43517.58</v>
          </cell>
          <cell r="I136">
            <v>43831.55</v>
          </cell>
          <cell r="J136">
            <v>107.14874154194653</v>
          </cell>
          <cell r="K136">
            <v>100.72147853809885</v>
          </cell>
          <cell r="L136">
            <v>116.73876462016761</v>
          </cell>
          <cell r="M136">
            <v>101.67046342045572</v>
          </cell>
        </row>
        <row r="137">
          <cell r="E137">
            <v>14467.244999999997</v>
          </cell>
          <cell r="F137">
            <v>18265.25</v>
          </cell>
          <cell r="G137">
            <v>18253.99981899</v>
          </cell>
          <cell r="H137">
            <v>18245.259999999998</v>
          </cell>
          <cell r="I137">
            <v>18234.5</v>
          </cell>
          <cell r="J137">
            <v>99.893175089386631</v>
          </cell>
          <cell r="K137">
            <v>99.941025778750216</v>
          </cell>
          <cell r="L137">
            <v>126.03989218403369</v>
          </cell>
          <cell r="M137">
            <v>99.831647527408606</v>
          </cell>
        </row>
        <row r="161">
          <cell r="D161">
            <v>17956.727999999999</v>
          </cell>
          <cell r="E161">
            <v>1415.105</v>
          </cell>
          <cell r="F161">
            <v>717</v>
          </cell>
          <cell r="G161">
            <v>398.65</v>
          </cell>
        </row>
        <row r="166">
          <cell r="H166">
            <v>7825448.2226644345</v>
          </cell>
        </row>
        <row r="167">
          <cell r="H167">
            <v>6318004.6936644344</v>
          </cell>
        </row>
        <row r="168">
          <cell r="H168">
            <v>1507443.5289999996</v>
          </cell>
        </row>
        <row r="170">
          <cell r="D170">
            <v>-264.8259637017166</v>
          </cell>
          <cell r="E170">
            <v>-623.23991740725535</v>
          </cell>
          <cell r="F170">
            <v>-1838.0589117655411</v>
          </cell>
          <cell r="G170">
            <v>-3210.0906886984162</v>
          </cell>
        </row>
        <row r="171">
          <cell r="D171">
            <v>-4755407.7975295978</v>
          </cell>
          <cell r="E171">
            <v>-881949.92332259414</v>
          </cell>
          <cell r="F171">
            <v>-1317888.239735893</v>
          </cell>
          <cell r="G171">
            <v>-1279702.6530496236</v>
          </cell>
          <cell r="H171">
            <v>-8234948.6136377081</v>
          </cell>
        </row>
      </sheetData>
      <sheetData sheetId="24"/>
      <sheetData sheetId="25">
        <row r="8">
          <cell r="E8">
            <v>3717</v>
          </cell>
          <cell r="F8">
            <v>3717</v>
          </cell>
          <cell r="G8">
            <v>3717</v>
          </cell>
          <cell r="H8">
            <v>3205</v>
          </cell>
          <cell r="I8">
            <v>3209</v>
          </cell>
        </row>
        <row r="10">
          <cell r="E10">
            <v>3717</v>
          </cell>
          <cell r="F10">
            <v>3717</v>
          </cell>
          <cell r="G10">
            <v>3717</v>
          </cell>
          <cell r="H10">
            <v>3205</v>
          </cell>
          <cell r="I10">
            <v>3209</v>
          </cell>
        </row>
        <row r="13">
          <cell r="E13">
            <v>75.508474576271183</v>
          </cell>
          <cell r="F13">
            <v>75.421307506053267</v>
          </cell>
          <cell r="G13">
            <v>75.517890772128055</v>
          </cell>
          <cell r="H13">
            <v>88.091731669266764</v>
          </cell>
          <cell r="I13">
            <v>89.575319414147714</v>
          </cell>
        </row>
        <row r="14">
          <cell r="I14">
            <v>4</v>
          </cell>
        </row>
        <row r="17">
          <cell r="E17">
            <v>3482.01</v>
          </cell>
          <cell r="F17">
            <v>4155.3</v>
          </cell>
          <cell r="G17">
            <v>3725.75</v>
          </cell>
          <cell r="H17">
            <v>4747.5</v>
          </cell>
          <cell r="I17">
            <v>5134.9220000000005</v>
          </cell>
        </row>
        <row r="18">
          <cell r="E18">
            <v>5</v>
          </cell>
          <cell r="F18">
            <v>6.56</v>
          </cell>
          <cell r="G18">
            <v>5.2</v>
          </cell>
          <cell r="H18">
            <v>6.91</v>
          </cell>
          <cell r="I18">
            <v>6.9</v>
          </cell>
        </row>
        <row r="32">
          <cell r="B32" t="str">
            <v xml:space="preserve">  - сумма выплат</v>
          </cell>
        </row>
        <row r="35">
          <cell r="B35" t="str">
            <v xml:space="preserve">  - сумма выплат</v>
          </cell>
        </row>
        <row r="54">
          <cell r="E54">
            <v>0</v>
          </cell>
          <cell r="F54">
            <v>0</v>
          </cell>
          <cell r="G54">
            <v>0</v>
          </cell>
          <cell r="H54">
            <v>0</v>
          </cell>
          <cell r="I54">
            <v>0</v>
          </cell>
        </row>
        <row r="57">
          <cell r="E57">
            <v>0</v>
          </cell>
          <cell r="F57">
            <v>0</v>
          </cell>
          <cell r="G57">
            <v>0</v>
          </cell>
          <cell r="H57">
            <v>0</v>
          </cell>
          <cell r="I57">
            <v>0</v>
          </cell>
        </row>
      </sheetData>
      <sheetData sheetId="26"/>
      <sheetData sheetId="27">
        <row r="9">
          <cell r="D9">
            <v>1721524.7289999998</v>
          </cell>
          <cell r="E9">
            <v>96978</v>
          </cell>
          <cell r="F9">
            <v>0</v>
          </cell>
          <cell r="I9">
            <v>125415.4764222292</v>
          </cell>
        </row>
        <row r="10">
          <cell r="D10">
            <v>753786.228</v>
          </cell>
          <cell r="E10">
            <v>0</v>
          </cell>
          <cell r="F10">
            <v>0</v>
          </cell>
          <cell r="I10">
            <v>52885.845531925086</v>
          </cell>
        </row>
        <row r="11">
          <cell r="D11">
            <v>1014577.311</v>
          </cell>
          <cell r="E11">
            <v>19987</v>
          </cell>
          <cell r="F11">
            <v>0</v>
          </cell>
          <cell r="I11">
            <v>65238.031667344454</v>
          </cell>
        </row>
        <row r="12">
          <cell r="D12">
            <v>1050314.669</v>
          </cell>
          <cell r="E12">
            <v>87938</v>
          </cell>
          <cell r="F12">
            <v>0</v>
          </cell>
          <cell r="I12">
            <v>70287.084629891469</v>
          </cell>
        </row>
        <row r="14">
          <cell r="D14">
            <v>0</v>
          </cell>
          <cell r="E14">
            <v>0</v>
          </cell>
          <cell r="F14">
            <v>0</v>
          </cell>
          <cell r="I14">
            <v>0</v>
          </cell>
        </row>
        <row r="15">
          <cell r="D15">
            <v>18579.188999999998</v>
          </cell>
          <cell r="E15">
            <v>29105</v>
          </cell>
          <cell r="F15">
            <v>0</v>
          </cell>
          <cell r="I15">
            <v>1320.2482695338899</v>
          </cell>
        </row>
        <row r="16">
          <cell r="D16">
            <v>90962.198000000004</v>
          </cell>
          <cell r="E16">
            <v>0</v>
          </cell>
          <cell r="F16">
            <v>0</v>
          </cell>
          <cell r="I16">
            <v>6387.9717226276271</v>
          </cell>
        </row>
        <row r="17">
          <cell r="D17">
            <v>12989.738000000001</v>
          </cell>
          <cell r="E17">
            <v>0</v>
          </cell>
          <cell r="F17">
            <v>0</v>
          </cell>
          <cell r="I17">
            <v>911.19921125647238</v>
          </cell>
        </row>
        <row r="19">
          <cell r="D19">
            <v>1083043.2549999999</v>
          </cell>
          <cell r="E19">
            <v>252246</v>
          </cell>
          <cell r="F19">
            <v>0</v>
          </cell>
          <cell r="I19">
            <v>69951.325369818325</v>
          </cell>
        </row>
        <row r="20">
          <cell r="D20">
            <v>500759.3</v>
          </cell>
          <cell r="E20">
            <v>17600</v>
          </cell>
          <cell r="F20">
            <v>0</v>
          </cell>
          <cell r="I20">
            <v>31215.535106617965</v>
          </cell>
        </row>
        <row r="21">
          <cell r="D21">
            <v>945891.03600000008</v>
          </cell>
          <cell r="E21">
            <v>175474</v>
          </cell>
          <cell r="F21">
            <v>0</v>
          </cell>
          <cell r="I21">
            <v>46146.276757126107</v>
          </cell>
        </row>
        <row r="22">
          <cell r="D22">
            <v>48983.433000000005</v>
          </cell>
          <cell r="E22">
            <v>1798</v>
          </cell>
          <cell r="F22">
            <v>0</v>
          </cell>
          <cell r="I22">
            <v>3460.1443068641747</v>
          </cell>
        </row>
      </sheetData>
      <sheetData sheetId="28">
        <row r="8">
          <cell r="E8">
            <v>3272803.0120557193</v>
          </cell>
          <cell r="F8">
            <v>3669851.8874943149</v>
          </cell>
          <cell r="G8">
            <v>3604391.7051672023</v>
          </cell>
          <cell r="H8">
            <v>4204042.6405177629</v>
          </cell>
          <cell r="I8">
            <v>5129293.7347954549</v>
          </cell>
          <cell r="J8">
            <v>1.4230677890647057</v>
          </cell>
        </row>
        <row r="9">
          <cell r="E9">
            <v>2032774.1379811943</v>
          </cell>
          <cell r="F9">
            <v>2049042.8656443334</v>
          </cell>
          <cell r="G9">
            <v>2204105.2363293627</v>
          </cell>
          <cell r="H9">
            <v>2340411.1676937481</v>
          </cell>
          <cell r="I9">
            <v>2918054.9106552685</v>
          </cell>
          <cell r="J9">
            <v>1.3239181426359168</v>
          </cell>
        </row>
        <row r="10">
          <cell r="E10">
            <v>985750.80188277131</v>
          </cell>
          <cell r="F10">
            <v>1251207.0530393485</v>
          </cell>
          <cell r="G10">
            <v>1071384.3045563339</v>
          </cell>
          <cell r="H10">
            <v>1441831.8429656089</v>
          </cell>
          <cell r="I10">
            <v>1701404.8085489615</v>
          </cell>
          <cell r="J10">
            <v>1.5880434325137165</v>
          </cell>
        </row>
        <row r="12">
          <cell r="E12">
            <v>325825.45469522552</v>
          </cell>
          <cell r="F12">
            <v>378837.1362759287</v>
          </cell>
          <cell r="G12">
            <v>334314.7993465786</v>
          </cell>
          <cell r="H12">
            <v>435778.81131061725</v>
          </cell>
          <cell r="I12">
            <v>537570.36493170704</v>
          </cell>
          <cell r="J12">
            <v>1.6079765717293801</v>
          </cell>
        </row>
        <row r="13">
          <cell r="E13">
            <v>659925.34718754585</v>
          </cell>
          <cell r="F13">
            <v>872369.91676341975</v>
          </cell>
          <cell r="G13">
            <v>737069.50520975539</v>
          </cell>
          <cell r="H13">
            <v>1006053.0316549917</v>
          </cell>
          <cell r="I13">
            <v>1163834.4436172545</v>
          </cell>
          <cell r="J13">
            <v>1.5790022994996249</v>
          </cell>
        </row>
        <row r="14">
          <cell r="E14">
            <v>254278.0721917536</v>
          </cell>
          <cell r="F14">
            <v>369601.96881063347</v>
          </cell>
          <cell r="G14">
            <v>328902.16428150539</v>
          </cell>
          <cell r="H14">
            <v>421799.62985840545</v>
          </cell>
          <cell r="I14">
            <v>509834.01559122512</v>
          </cell>
          <cell r="J14">
            <v>1.5501084242025882</v>
          </cell>
        </row>
        <row r="15">
          <cell r="E15">
            <v>153168.42012999329</v>
          </cell>
          <cell r="F15">
            <v>418269.53732659569</v>
          </cell>
          <cell r="G15">
            <v>202167.10526315789</v>
          </cell>
          <cell r="H15">
            <v>371232.75442488183</v>
          </cell>
          <cell r="I15">
            <v>659191.05945198378</v>
          </cell>
          <cell r="J15">
            <v>3.2606247123829797</v>
          </cell>
        </row>
        <row r="16">
          <cell r="E16">
            <v>73636.737013753736</v>
          </cell>
          <cell r="F16">
            <v>136511.29466409399</v>
          </cell>
          <cell r="G16">
            <v>134722.69000711438</v>
          </cell>
          <cell r="H16">
            <v>176281.94030059461</v>
          </cell>
          <cell r="I16">
            <v>440082.11334304977</v>
          </cell>
          <cell r="J16">
            <v>1.3084799619966436</v>
          </cell>
        </row>
        <row r="17">
          <cell r="E17">
            <v>63223.060402872448</v>
          </cell>
          <cell r="F17">
            <v>217507.36559259135</v>
          </cell>
          <cell r="G17">
            <v>51602.932359459053</v>
          </cell>
          <cell r="H17">
            <v>150827.18644503719</v>
          </cell>
          <cell r="I17">
            <v>169790.88943415094</v>
          </cell>
          <cell r="J17">
            <v>2.922841388051272</v>
          </cell>
        </row>
        <row r="19">
          <cell r="E19">
            <v>20897.454370460055</v>
          </cell>
          <cell r="F19">
            <v>65856.300362005248</v>
          </cell>
          <cell r="G19">
            <v>16102.180985926996</v>
          </cell>
          <cell r="H19">
            <v>45585.962290271666</v>
          </cell>
          <cell r="I19">
            <v>51241.60828887207</v>
          </cell>
          <cell r="J19">
            <v>3.1822775022623504</v>
          </cell>
        </row>
        <row r="20">
          <cell r="E20">
            <v>42325.606032412397</v>
          </cell>
          <cell r="F20">
            <v>151651.0652305861</v>
          </cell>
          <cell r="G20">
            <v>35500.751373532054</v>
          </cell>
          <cell r="H20">
            <v>105241.22415476551</v>
          </cell>
          <cell r="I20">
            <v>118549.28114527889</v>
          </cell>
          <cell r="J20">
            <v>3.3393456915299127</v>
          </cell>
        </row>
        <row r="21">
          <cell r="E21">
            <v>16308.622713367105</v>
          </cell>
          <cell r="F21">
            <v>64250.877069910348</v>
          </cell>
          <cell r="G21">
            <v>15841.482896584468</v>
          </cell>
          <cell r="H21">
            <v>44123.627679250014</v>
          </cell>
          <cell r="I21">
            <v>49318.056674783074</v>
          </cell>
          <cell r="J21">
            <v>3.1132222277888131</v>
          </cell>
        </row>
        <row r="22">
          <cell r="E22">
            <v>4.6800378625227692</v>
          </cell>
          <cell r="F22">
            <v>11.397450091975781</v>
          </cell>
          <cell r="G22">
            <v>5.6089105125098957</v>
          </cell>
          <cell r="H22">
            <v>8.8303755734304676</v>
          </cell>
          <cell r="I22">
            <v>12.851497565449346</v>
          </cell>
          <cell r="J22">
            <v>2.2912645043606714</v>
          </cell>
        </row>
        <row r="23">
          <cell r="E23">
            <v>3425971.4321857127</v>
          </cell>
          <cell r="F23">
            <v>4088121.4248209107</v>
          </cell>
          <cell r="G23">
            <v>3806558.81043036</v>
          </cell>
          <cell r="H23">
            <v>4575275.394942645</v>
          </cell>
          <cell r="I23">
            <v>5788484.7942474391</v>
          </cell>
          <cell r="J23">
            <v>1.5206608074427748</v>
          </cell>
        </row>
        <row r="24">
          <cell r="E24">
            <v>2106410.874994948</v>
          </cell>
          <cell r="F24">
            <v>2185554.1603084272</v>
          </cell>
          <cell r="G24">
            <v>2338827.926336477</v>
          </cell>
          <cell r="H24">
            <v>2516693.1079943427</v>
          </cell>
          <cell r="I24">
            <v>3358137.0239983182</v>
          </cell>
          <cell r="J24">
            <v>1.435820474941258</v>
          </cell>
        </row>
        <row r="25">
          <cell r="E25">
            <v>1048973.8622856438</v>
          </cell>
          <cell r="F25">
            <v>1468714.4186319397</v>
          </cell>
          <cell r="G25">
            <v>1122987.236915793</v>
          </cell>
          <cell r="H25">
            <v>1592659.0294106461</v>
          </cell>
          <cell r="I25">
            <v>1871195.6979831124</v>
          </cell>
          <cell r="J25">
            <v>1.6662662196608951</v>
          </cell>
        </row>
        <row r="27">
          <cell r="E27">
            <v>346722.90906568558</v>
          </cell>
          <cell r="F27">
            <v>444693.43663793395</v>
          </cell>
          <cell r="G27">
            <v>350416.9803325056</v>
          </cell>
          <cell r="H27">
            <v>481364.7736008889</v>
          </cell>
          <cell r="I27">
            <v>588811.97322057909</v>
          </cell>
          <cell r="J27">
            <v>1.6803180389884758</v>
          </cell>
        </row>
        <row r="28">
          <cell r="E28">
            <v>702250.95321995823</v>
          </cell>
          <cell r="F28">
            <v>1024020.9819940059</v>
          </cell>
          <cell r="G28">
            <v>772570.25658328738</v>
          </cell>
          <cell r="H28">
            <v>1111294.2558097572</v>
          </cell>
          <cell r="I28">
            <v>1282383.7247625333</v>
          </cell>
          <cell r="J28">
            <v>1.6598926943342469</v>
          </cell>
        </row>
        <row r="29">
          <cell r="E29">
            <v>270586.6949051207</v>
          </cell>
          <cell r="F29">
            <v>433852.84588054381</v>
          </cell>
          <cell r="G29">
            <v>344743.64717808989</v>
          </cell>
          <cell r="H29">
            <v>465923.25753765547</v>
          </cell>
          <cell r="I29">
            <v>559152.07226600824</v>
          </cell>
          <cell r="J29">
            <v>1.6219358263537713</v>
          </cell>
        </row>
        <row r="30">
          <cell r="E30">
            <v>2956.4</v>
          </cell>
          <cell r="F30">
            <v>2982.66</v>
          </cell>
          <cell r="G30">
            <v>3054.27</v>
          </cell>
          <cell r="H30">
            <v>3061.6499999999996</v>
          </cell>
          <cell r="I30">
            <v>3109</v>
          </cell>
          <cell r="J30">
            <v>1.0179191754494528</v>
          </cell>
        </row>
        <row r="31">
          <cell r="E31">
            <v>475.2</v>
          </cell>
          <cell r="F31">
            <v>474.81000000000006</v>
          </cell>
          <cell r="G31">
            <v>488.09000000000003</v>
          </cell>
          <cell r="H31">
            <v>491.40999999999997</v>
          </cell>
          <cell r="I31">
            <v>515.19999999999993</v>
          </cell>
          <cell r="J31">
            <v>1.0555430350959862</v>
          </cell>
        </row>
        <row r="32">
          <cell r="E32">
            <v>248.10000000000002</v>
          </cell>
          <cell r="F32">
            <v>237.69000000000003</v>
          </cell>
          <cell r="G32">
            <v>250.08999999999997</v>
          </cell>
          <cell r="H32">
            <v>250.76999999999998</v>
          </cell>
          <cell r="I32">
            <v>253.31</v>
          </cell>
          <cell r="J32">
            <v>1.0128753648686475</v>
          </cell>
        </row>
        <row r="33">
          <cell r="E33">
            <v>69.3</v>
          </cell>
          <cell r="F33">
            <v>54.569999999999993</v>
          </cell>
          <cell r="G33">
            <v>55.36</v>
          </cell>
          <cell r="H33">
            <v>55.44</v>
          </cell>
          <cell r="I33">
            <v>55.42</v>
          </cell>
          <cell r="J33">
            <v>1.0010838150289019</v>
          </cell>
        </row>
        <row r="34">
          <cell r="J34">
            <v>0</v>
          </cell>
        </row>
        <row r="35">
          <cell r="E35">
            <v>70745.703523662887</v>
          </cell>
          <cell r="F35">
            <v>72623.76671612561</v>
          </cell>
          <cell r="G35">
            <v>75950.372614043605</v>
          </cell>
          <cell r="H35">
            <v>101994.75771343162</v>
          </cell>
          <cell r="I35">
            <v>123940.2772487089</v>
          </cell>
          <cell r="J35">
            <v>1.6318587122479991</v>
          </cell>
        </row>
        <row r="38">
          <cell r="E38">
            <v>166635.95016220582</v>
          </cell>
          <cell r="F38">
            <v>200233.20221937628</v>
          </cell>
          <cell r="G38">
            <v>169350.25001631086</v>
          </cell>
          <cell r="H38">
            <v>228874.5100148264</v>
          </cell>
          <cell r="I38">
            <v>266857.66384046047</v>
          </cell>
          <cell r="J38">
            <v>1.5757736632497339</v>
          </cell>
        </row>
        <row r="39">
          <cell r="E39">
            <v>437841.97032750282</v>
          </cell>
          <cell r="F39">
            <v>580756.89447540219</v>
          </cell>
          <cell r="G39">
            <v>436035.90950177744</v>
          </cell>
          <cell r="H39">
            <v>615984.77816335845</v>
          </cell>
          <cell r="I39">
            <v>708725.95413063304</v>
          </cell>
          <cell r="J39">
            <v>1.6253843747420624</v>
          </cell>
        </row>
        <row r="40">
          <cell r="E40">
            <v>868734.49769492971</v>
          </cell>
          <cell r="F40">
            <v>1358014.7860976036</v>
          </cell>
          <cell r="G40">
            <v>1020982.0472630799</v>
          </cell>
          <cell r="H40">
            <v>1409212.9685238132</v>
          </cell>
          <cell r="I40">
            <v>1656415.5066152851</v>
          </cell>
          <cell r="J40">
            <v>1.6223747626665868</v>
          </cell>
        </row>
        <row r="41">
          <cell r="J41">
            <v>0</v>
          </cell>
        </row>
        <row r="42">
          <cell r="E42">
            <v>110.32309225224893</v>
          </cell>
          <cell r="F42">
            <v>108.60848368106758</v>
          </cell>
          <cell r="G42">
            <v>116.89110481565351</v>
          </cell>
          <cell r="H42">
            <v>156.48119123172032</v>
          </cell>
          <cell r="I42">
            <v>190.1228616330651</v>
          </cell>
          <cell r="J42">
            <v>1.6264955484243548</v>
          </cell>
        </row>
        <row r="43">
          <cell r="J43">
            <v>0</v>
          </cell>
        </row>
        <row r="45">
          <cell r="E45">
            <v>289.95633708502322</v>
          </cell>
          <cell r="F45">
            <v>343.97445401891588</v>
          </cell>
          <cell r="G45">
            <v>290.47748674994199</v>
          </cell>
          <cell r="H45">
            <v>393.3577134808009</v>
          </cell>
          <cell r="I45">
            <v>467.71848005406582</v>
          </cell>
          <cell r="J45">
            <v>1.6101711884360319</v>
          </cell>
        </row>
        <row r="46">
          <cell r="E46">
            <v>812.499280381115</v>
          </cell>
          <cell r="F46">
            <v>1154.99201186082</v>
          </cell>
          <cell r="G46">
            <v>973.55882994392709</v>
          </cell>
          <cell r="H46">
            <v>1375.5988206541194</v>
          </cell>
          <cell r="I46">
            <v>1590.7487482587319</v>
          </cell>
          <cell r="J46">
            <v>1.6339523604858603</v>
          </cell>
        </row>
        <row r="47">
          <cell r="E47">
            <v>2813.2383500120854</v>
          </cell>
          <cell r="F47">
            <v>2304.1209746475733</v>
          </cell>
          <cell r="G47">
            <v>1703.5343481263478</v>
          </cell>
          <cell r="H47">
            <v>2368.9733511042891</v>
          </cell>
          <cell r="I47">
            <v>2763.28249973518</v>
          </cell>
          <cell r="J47">
            <v>1.6220879272404507</v>
          </cell>
        </row>
        <row r="49">
          <cell r="E49">
            <v>216399.78776632086</v>
          </cell>
          <cell r="F49">
            <v>250107.53771833051</v>
          </cell>
          <cell r="G49">
            <v>268426.84490745771</v>
          </cell>
          <cell r="H49">
            <v>361318.46909498563</v>
          </cell>
          <cell r="I49">
            <v>443730.98060582811</v>
          </cell>
          <cell r="J49">
            <v>1.6530797460246864</v>
          </cell>
        </row>
        <row r="52">
          <cell r="E52">
            <v>107393.38231635775</v>
          </cell>
          <cell r="F52">
            <v>125058.12628516823</v>
          </cell>
          <cell r="G52">
            <v>133247.33371407821</v>
          </cell>
          <cell r="H52">
            <v>179551.57147872495</v>
          </cell>
          <cell r="I52">
            <v>219894.83989465956</v>
          </cell>
          <cell r="J52">
            <v>1.6502757223383497</v>
          </cell>
        </row>
        <row r="53">
          <cell r="E53">
            <v>109006.40544996312</v>
          </cell>
          <cell r="F53">
            <v>125049.41143316228</v>
          </cell>
          <cell r="G53">
            <v>135179.5111933795</v>
          </cell>
          <cell r="H53">
            <v>181766.89761626069</v>
          </cell>
          <cell r="I53">
            <v>223836.14071116855</v>
          </cell>
          <cell r="J53">
            <v>1.655843690623813</v>
          </cell>
        </row>
        <row r="59">
          <cell r="E59">
            <v>128176.37286476872</v>
          </cell>
          <cell r="F59">
            <v>127108.03676886024</v>
          </cell>
          <cell r="G59">
            <v>111161.50411070645</v>
          </cell>
          <cell r="H59">
            <v>150782.52719776763</v>
          </cell>
          <cell r="I59">
            <v>176777.48328122962</v>
          </cell>
          <cell r="J59">
            <v>1.5902761004850727</v>
          </cell>
        </row>
        <row r="66">
          <cell r="E66">
            <v>451852.91337798291</v>
          </cell>
          <cell r="F66">
            <v>455429.55664761085</v>
          </cell>
          <cell r="G66">
            <v>333515.1464597194</v>
          </cell>
          <cell r="H66">
            <v>471597.946161867</v>
          </cell>
          <cell r="I66">
            <v>542430.49625342083</v>
          </cell>
          <cell r="J66">
            <v>1.6264043837629227</v>
          </cell>
        </row>
      </sheetData>
      <sheetData sheetId="29">
        <row r="8">
          <cell r="E8">
            <v>767.43</v>
          </cell>
          <cell r="F8">
            <v>767.43</v>
          </cell>
          <cell r="G8">
            <v>953.57</v>
          </cell>
          <cell r="H8">
            <v>953.57</v>
          </cell>
          <cell r="I8">
            <v>1074.443</v>
          </cell>
        </row>
        <row r="9">
          <cell r="E9">
            <v>767.43</v>
          </cell>
          <cell r="F9">
            <v>767.43</v>
          </cell>
          <cell r="G9">
            <v>953.57</v>
          </cell>
          <cell r="H9">
            <v>953.57</v>
          </cell>
          <cell r="I9">
            <v>1074.443</v>
          </cell>
        </row>
        <row r="10">
          <cell r="E10">
            <v>767.43</v>
          </cell>
          <cell r="F10">
            <v>767.43</v>
          </cell>
          <cell r="G10">
            <v>953.57</v>
          </cell>
          <cell r="H10">
            <v>953.57</v>
          </cell>
          <cell r="I10">
            <v>1074.443</v>
          </cell>
        </row>
        <row r="41">
          <cell r="E41">
            <v>0</v>
          </cell>
          <cell r="F41">
            <v>0</v>
          </cell>
          <cell r="G41">
            <v>0</v>
          </cell>
          <cell r="H41">
            <v>0</v>
          </cell>
          <cell r="I41">
            <v>0</v>
          </cell>
        </row>
      </sheetData>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6419F-664E-4594-9450-0135FA3525CE}">
  <sheetPr filterMode="1"/>
  <dimension ref="A1:AI8918"/>
  <sheetViews>
    <sheetView tabSelected="1" view="pageBreakPreview" topLeftCell="B1" zoomScale="60" zoomScaleNormal="70" workbookViewId="0">
      <selection activeCell="C730" sqref="C730:C733"/>
    </sheetView>
  </sheetViews>
  <sheetFormatPr defaultRowHeight="15" outlineLevelRow="1" x14ac:dyDescent="0.25"/>
  <cols>
    <col min="1" max="1" width="19.140625" style="181" customWidth="1"/>
    <col min="2" max="2" width="13.85546875" style="181" customWidth="1"/>
    <col min="3" max="3" width="75.140625" style="144" customWidth="1"/>
    <col min="4" max="4" width="20.85546875" style="145" customWidth="1"/>
    <col min="5" max="5" width="20.28515625" style="181" hidden="1" customWidth="1"/>
    <col min="6" max="6" width="17.140625" style="181" customWidth="1"/>
    <col min="7" max="7" width="37.42578125" style="181" customWidth="1"/>
    <col min="8" max="8" width="17.85546875" style="181" customWidth="1"/>
    <col min="9" max="9" width="27.28515625" style="181" customWidth="1"/>
    <col min="10" max="10" width="31.85546875" hidden="1" customWidth="1"/>
  </cols>
  <sheetData>
    <row r="1" spans="1:35" s="2" customFormat="1" ht="15.75" x14ac:dyDescent="0.25">
      <c r="A1" s="181"/>
      <c r="B1" s="243" t="s">
        <v>62</v>
      </c>
      <c r="C1" s="243"/>
      <c r="D1" s="244"/>
      <c r="E1" s="245"/>
      <c r="F1" s="243"/>
      <c r="G1" s="243"/>
      <c r="H1" s="243"/>
      <c r="I1" s="243"/>
    </row>
    <row r="2" spans="1:35" s="2" customFormat="1" ht="15.75" x14ac:dyDescent="0.25">
      <c r="A2" s="181"/>
      <c r="B2" s="243" t="s">
        <v>63</v>
      </c>
      <c r="C2" s="243"/>
      <c r="D2" s="244"/>
      <c r="E2" s="245"/>
      <c r="F2" s="243"/>
      <c r="G2" s="243"/>
      <c r="H2" s="243"/>
      <c r="I2" s="243"/>
    </row>
    <row r="3" spans="1:35" s="2" customFormat="1" ht="15.75" x14ac:dyDescent="0.25">
      <c r="A3" s="181"/>
      <c r="B3" s="243" t="s">
        <v>64</v>
      </c>
      <c r="C3" s="243"/>
      <c r="D3" s="244"/>
      <c r="E3" s="245"/>
      <c r="F3" s="243"/>
      <c r="G3" s="243"/>
      <c r="H3" s="243"/>
      <c r="I3" s="243"/>
    </row>
    <row r="4" spans="1:35" s="2" customFormat="1" ht="15" customHeight="1" x14ac:dyDescent="0.25">
      <c r="A4" s="181"/>
      <c r="B4" s="243" t="s">
        <v>65</v>
      </c>
      <c r="C4" s="243"/>
      <c r="D4" s="244"/>
      <c r="E4" s="245"/>
      <c r="F4" s="243"/>
      <c r="G4" s="243"/>
      <c r="H4" s="243"/>
      <c r="I4" s="243"/>
    </row>
    <row r="5" spans="1:35" s="2" customFormat="1" ht="15.75" x14ac:dyDescent="0.25">
      <c r="A5" s="181"/>
      <c r="B5" s="243" t="s">
        <v>66</v>
      </c>
      <c r="C5" s="243"/>
      <c r="D5" s="244"/>
      <c r="E5" s="245"/>
      <c r="F5" s="243"/>
      <c r="G5" s="243"/>
      <c r="H5" s="243"/>
      <c r="I5" s="243"/>
    </row>
    <row r="6" spans="1:35" ht="56.25" customHeight="1" x14ac:dyDescent="0.25">
      <c r="A6" s="246" t="s">
        <v>67</v>
      </c>
      <c r="B6" s="247"/>
      <c r="C6" s="247"/>
      <c r="D6" s="247"/>
      <c r="E6" s="247"/>
      <c r="F6" s="247"/>
      <c r="G6" s="247"/>
      <c r="H6" s="247"/>
      <c r="I6" s="247"/>
    </row>
    <row r="7" spans="1:35" s="7" customFormat="1" ht="121.5" customHeight="1" x14ac:dyDescent="0.25">
      <c r="A7" s="6" t="s">
        <v>68</v>
      </c>
      <c r="B7" s="6" t="s">
        <v>69</v>
      </c>
      <c r="C7" s="6" t="s">
        <v>70</v>
      </c>
      <c r="D7" s="6" t="s">
        <v>71</v>
      </c>
      <c r="E7" s="6" t="s">
        <v>71</v>
      </c>
      <c r="F7" s="6" t="s">
        <v>72</v>
      </c>
      <c r="G7" s="6" t="s">
        <v>73</v>
      </c>
      <c r="H7" s="6" t="s">
        <v>74</v>
      </c>
      <c r="I7" s="6" t="s">
        <v>75</v>
      </c>
    </row>
    <row r="8" spans="1:35" s="7" customFormat="1" ht="15.75" x14ac:dyDescent="0.25">
      <c r="A8" s="6"/>
      <c r="B8" s="6">
        <v>1</v>
      </c>
      <c r="C8" s="6">
        <v>2</v>
      </c>
      <c r="D8" s="6">
        <v>3</v>
      </c>
      <c r="E8" s="6">
        <v>3</v>
      </c>
      <c r="F8" s="6">
        <v>4</v>
      </c>
      <c r="G8" s="6">
        <v>5</v>
      </c>
      <c r="H8" s="6">
        <v>6</v>
      </c>
      <c r="I8" s="6">
        <v>7</v>
      </c>
    </row>
    <row r="9" spans="1:35" s="8" customFormat="1" ht="27" customHeight="1" x14ac:dyDescent="0.25">
      <c r="A9" s="6"/>
      <c r="B9" s="240" t="s">
        <v>76</v>
      </c>
      <c r="C9" s="241"/>
      <c r="D9" s="241"/>
      <c r="E9" s="241"/>
      <c r="F9" s="241"/>
      <c r="G9" s="241"/>
      <c r="H9" s="241"/>
      <c r="I9" s="242"/>
      <c r="J9" s="7"/>
      <c r="K9" s="7"/>
      <c r="L9" s="7"/>
      <c r="M9" s="7"/>
      <c r="N9" s="7"/>
      <c r="O9" s="7"/>
      <c r="P9" s="7"/>
      <c r="Q9" s="7"/>
      <c r="R9" s="7"/>
      <c r="S9" s="7"/>
      <c r="T9" s="7"/>
      <c r="U9" s="7"/>
      <c r="V9" s="7"/>
      <c r="W9" s="7"/>
      <c r="X9" s="7"/>
      <c r="Y9" s="7"/>
      <c r="Z9" s="7"/>
      <c r="AA9" s="7"/>
      <c r="AB9" s="7"/>
      <c r="AC9" s="7"/>
      <c r="AD9" s="7"/>
      <c r="AE9" s="7"/>
      <c r="AF9" s="7"/>
      <c r="AG9" s="7"/>
      <c r="AH9" s="7"/>
      <c r="AI9" s="7"/>
    </row>
    <row r="10" spans="1:35" s="7" customFormat="1" ht="12.75" customHeight="1" x14ac:dyDescent="0.25">
      <c r="A10" s="9"/>
      <c r="B10" s="186" t="s">
        <v>77</v>
      </c>
      <c r="C10" s="209" t="s">
        <v>78</v>
      </c>
      <c r="D10" s="172"/>
      <c r="E10" s="218"/>
      <c r="F10" s="186" t="s">
        <v>79</v>
      </c>
      <c r="G10" s="209"/>
      <c r="H10" s="209"/>
      <c r="I10" s="209"/>
    </row>
    <row r="11" spans="1:35" s="7" customFormat="1" ht="13.5" customHeight="1" x14ac:dyDescent="0.25">
      <c r="A11" s="9"/>
      <c r="B11" s="208"/>
      <c r="C11" s="228"/>
      <c r="D11" s="175"/>
      <c r="E11" s="229"/>
      <c r="F11" s="208"/>
      <c r="G11" s="228"/>
      <c r="H11" s="228"/>
      <c r="I11" s="228"/>
    </row>
    <row r="12" spans="1:35" s="7" customFormat="1" ht="15.75" x14ac:dyDescent="0.25">
      <c r="A12" s="9"/>
      <c r="B12" s="208"/>
      <c r="C12" s="228"/>
      <c r="D12" s="175"/>
      <c r="E12" s="229"/>
      <c r="F12" s="208"/>
      <c r="G12" s="228"/>
      <c r="H12" s="228"/>
      <c r="I12" s="228"/>
      <c r="J12" s="182">
        <f>[21]Лист1!E7</f>
        <v>3710946</v>
      </c>
    </row>
    <row r="13" spans="1:35" s="10" customFormat="1" ht="6.75" customHeight="1" x14ac:dyDescent="0.25">
      <c r="A13" s="9"/>
      <c r="B13" s="208"/>
      <c r="C13" s="228"/>
      <c r="D13" s="175"/>
      <c r="E13" s="229"/>
      <c r="F13" s="187"/>
      <c r="G13" s="228"/>
      <c r="H13" s="228"/>
      <c r="I13" s="228"/>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35" s="10" customFormat="1" ht="3" customHeight="1" x14ac:dyDescent="0.25">
      <c r="A14" s="9"/>
      <c r="B14" s="187"/>
      <c r="C14" s="231"/>
      <c r="D14" s="173"/>
      <c r="E14" s="236"/>
      <c r="F14" s="11"/>
      <c r="G14" s="231"/>
      <c r="H14" s="231"/>
      <c r="I14" s="231"/>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s="10" customFormat="1" ht="40.5" customHeight="1" x14ac:dyDescent="0.25">
      <c r="A15" s="9"/>
      <c r="B15" s="11" t="s">
        <v>77</v>
      </c>
      <c r="C15" s="12" t="s">
        <v>80</v>
      </c>
      <c r="D15" s="9">
        <v>2025</v>
      </c>
      <c r="E15" s="13">
        <v>2021</v>
      </c>
      <c r="F15" s="11" t="s">
        <v>79</v>
      </c>
      <c r="G15" s="11">
        <v>3875</v>
      </c>
      <c r="H15" s="14">
        <v>3348.7</v>
      </c>
      <c r="I15" s="14">
        <f>J12*G15/1000000</f>
        <v>14379.91575</v>
      </c>
      <c r="J15" s="7"/>
      <c r="K15" s="7"/>
      <c r="L15" s="7"/>
      <c r="M15" s="7"/>
      <c r="N15" s="7"/>
      <c r="O15" s="7"/>
      <c r="P15" s="7"/>
      <c r="Q15" s="7"/>
      <c r="R15" s="7"/>
      <c r="S15" s="7"/>
      <c r="T15" s="7"/>
      <c r="U15" s="7"/>
      <c r="V15" s="7"/>
      <c r="W15" s="7"/>
      <c r="X15" s="7"/>
      <c r="Y15" s="7"/>
      <c r="Z15" s="7"/>
      <c r="AA15" s="7"/>
      <c r="AB15" s="7"/>
      <c r="AC15" s="7"/>
      <c r="AD15" s="7"/>
      <c r="AE15" s="7"/>
      <c r="AF15" s="7"/>
      <c r="AG15" s="7"/>
      <c r="AH15" s="7"/>
      <c r="AI15" s="7"/>
    </row>
    <row r="16" spans="1:35" s="17" customFormat="1" ht="17.25" hidden="1" customHeight="1" x14ac:dyDescent="0.25">
      <c r="A16" s="6"/>
      <c r="B16" s="13" t="s">
        <v>77</v>
      </c>
      <c r="C16" s="15" t="s">
        <v>81</v>
      </c>
      <c r="D16" s="15"/>
      <c r="E16" s="13">
        <v>2022</v>
      </c>
      <c r="F16" s="13" t="s">
        <v>79</v>
      </c>
      <c r="G16" s="13">
        <f>SUMIF($E$18:$E$210,$E$16,$G$18:$G$210)</f>
        <v>22186</v>
      </c>
      <c r="H16" s="16">
        <f>SUMIF($E$18:$E$210,$E$16,$H$18:$H$210)</f>
        <v>4826.29</v>
      </c>
      <c r="I16" s="16" t="e">
        <f>SUMIF($E$18:$E$210,$E$16,$I$18:$I$210)</f>
        <v>#REF!</v>
      </c>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9" s="7" customFormat="1" ht="19.5" hidden="1" customHeight="1" x14ac:dyDescent="0.25">
      <c r="A17" s="6"/>
      <c r="B17" s="13" t="s">
        <v>77</v>
      </c>
      <c r="C17" s="15" t="s">
        <v>82</v>
      </c>
      <c r="D17" s="15"/>
      <c r="E17" s="13">
        <v>2023</v>
      </c>
      <c r="F17" s="13" t="s">
        <v>79</v>
      </c>
      <c r="G17" s="13">
        <f>SUMIF($E$18:$E$210,$E$17,$G$18:$G$210)</f>
        <v>0</v>
      </c>
      <c r="H17" s="16">
        <f>SUMIF($E$18:$E$210,$E$17,$H$18:$H$10277)</f>
        <v>0</v>
      </c>
      <c r="I17" s="16">
        <f>SUMIF($E$18:$E$210,$E$17,$I$18:$I$210)</f>
        <v>0</v>
      </c>
    </row>
    <row r="18" spans="1:9" s="7" customFormat="1" ht="15.75" hidden="1" outlineLevel="1" x14ac:dyDescent="0.25">
      <c r="A18" s="6">
        <v>2850</v>
      </c>
      <c r="B18" s="18" t="s">
        <v>77</v>
      </c>
      <c r="C18" s="19" t="s">
        <v>83</v>
      </c>
      <c r="D18" s="19"/>
      <c r="E18" s="18">
        <v>2022</v>
      </c>
      <c r="F18" s="18" t="s">
        <v>79</v>
      </c>
      <c r="G18" s="18">
        <v>190</v>
      </c>
      <c r="H18" s="18">
        <v>10</v>
      </c>
      <c r="I18" s="18" t="e">
        <f>G18/1000*#REF!</f>
        <v>#REF!</v>
      </c>
    </row>
    <row r="19" spans="1:9" s="7" customFormat="1" ht="15.75" hidden="1" outlineLevel="1" x14ac:dyDescent="0.25">
      <c r="A19" s="6">
        <v>2888</v>
      </c>
      <c r="B19" s="18" t="s">
        <v>77</v>
      </c>
      <c r="C19" s="19" t="s">
        <v>83</v>
      </c>
      <c r="D19" s="19"/>
      <c r="E19" s="18">
        <v>2022</v>
      </c>
      <c r="F19" s="18" t="s">
        <v>79</v>
      </c>
      <c r="G19" s="18">
        <v>104</v>
      </c>
      <c r="H19" s="18">
        <v>15</v>
      </c>
      <c r="I19" s="18" t="e">
        <f>G19/1000*#REF!</f>
        <v>#REF!</v>
      </c>
    </row>
    <row r="20" spans="1:9" s="7" customFormat="1" ht="15.75" hidden="1" outlineLevel="1" x14ac:dyDescent="0.25">
      <c r="A20" s="6">
        <v>2927</v>
      </c>
      <c r="B20" s="18" t="s">
        <v>77</v>
      </c>
      <c r="C20" s="19" t="s">
        <v>83</v>
      </c>
      <c r="D20" s="19"/>
      <c r="E20" s="18">
        <v>2022</v>
      </c>
      <c r="F20" s="18" t="s">
        <v>79</v>
      </c>
      <c r="G20" s="18">
        <v>42</v>
      </c>
      <c r="H20" s="18">
        <v>10</v>
      </c>
      <c r="I20" s="18" t="e">
        <f>G20/1000*#REF!</f>
        <v>#REF!</v>
      </c>
    </row>
    <row r="21" spans="1:9" s="7" customFormat="1" ht="15.75" hidden="1" outlineLevel="1" x14ac:dyDescent="0.25">
      <c r="A21" s="6">
        <v>2732</v>
      </c>
      <c r="B21" s="18" t="s">
        <v>77</v>
      </c>
      <c r="C21" s="19" t="s">
        <v>83</v>
      </c>
      <c r="D21" s="19"/>
      <c r="E21" s="18">
        <v>2022</v>
      </c>
      <c r="F21" s="18" t="s">
        <v>79</v>
      </c>
      <c r="G21" s="18">
        <v>128</v>
      </c>
      <c r="H21" s="18">
        <v>10</v>
      </c>
      <c r="I21" s="18" t="e">
        <f>G21/1000*#REF!</f>
        <v>#REF!</v>
      </c>
    </row>
    <row r="22" spans="1:9" s="7" customFormat="1" ht="15.75" hidden="1" outlineLevel="1" x14ac:dyDescent="0.25">
      <c r="A22" s="6">
        <v>2750</v>
      </c>
      <c r="B22" s="18" t="s">
        <v>77</v>
      </c>
      <c r="C22" s="19" t="s">
        <v>83</v>
      </c>
      <c r="D22" s="19"/>
      <c r="E22" s="18">
        <v>2022</v>
      </c>
      <c r="F22" s="18" t="s">
        <v>79</v>
      </c>
      <c r="G22" s="18">
        <v>25</v>
      </c>
      <c r="H22" s="18">
        <v>10</v>
      </c>
      <c r="I22" s="18" t="e">
        <f>G22/1000*#REF!</f>
        <v>#REF!</v>
      </c>
    </row>
    <row r="23" spans="1:9" s="7" customFormat="1" ht="15.75" hidden="1" outlineLevel="1" x14ac:dyDescent="0.25">
      <c r="A23" s="6">
        <v>2776</v>
      </c>
      <c r="B23" s="18" t="s">
        <v>77</v>
      </c>
      <c r="C23" s="19" t="s">
        <v>83</v>
      </c>
      <c r="D23" s="19"/>
      <c r="E23" s="18">
        <v>2022</v>
      </c>
      <c r="F23" s="18" t="s">
        <v>79</v>
      </c>
      <c r="G23" s="18">
        <v>98</v>
      </c>
      <c r="H23" s="18">
        <v>10</v>
      </c>
      <c r="I23" s="18" t="e">
        <f>G23/1000*#REF!</f>
        <v>#REF!</v>
      </c>
    </row>
    <row r="24" spans="1:9" s="7" customFormat="1" ht="15.75" hidden="1" outlineLevel="1" x14ac:dyDescent="0.25">
      <c r="A24" s="6">
        <v>2777</v>
      </c>
      <c r="B24" s="18" t="s">
        <v>77</v>
      </c>
      <c r="C24" s="19" t="s">
        <v>83</v>
      </c>
      <c r="D24" s="19"/>
      <c r="E24" s="18">
        <v>2022</v>
      </c>
      <c r="F24" s="18" t="s">
        <v>79</v>
      </c>
      <c r="G24" s="18">
        <v>43</v>
      </c>
      <c r="H24" s="18">
        <v>10</v>
      </c>
      <c r="I24" s="18" t="e">
        <f>G24/1000*#REF!</f>
        <v>#REF!</v>
      </c>
    </row>
    <row r="25" spans="1:9" s="7" customFormat="1" ht="15.75" hidden="1" outlineLevel="1" x14ac:dyDescent="0.25">
      <c r="A25" s="6">
        <v>2778</v>
      </c>
      <c r="B25" s="18" t="s">
        <v>77</v>
      </c>
      <c r="C25" s="19" t="s">
        <v>83</v>
      </c>
      <c r="D25" s="19"/>
      <c r="E25" s="18">
        <v>2022</v>
      </c>
      <c r="F25" s="18" t="s">
        <v>79</v>
      </c>
      <c r="G25" s="18">
        <v>116</v>
      </c>
      <c r="H25" s="18">
        <v>15</v>
      </c>
      <c r="I25" s="18" t="e">
        <f>G25/1000*#REF!</f>
        <v>#REF!</v>
      </c>
    </row>
    <row r="26" spans="1:9" s="7" customFormat="1" ht="15.75" hidden="1" outlineLevel="1" x14ac:dyDescent="0.25">
      <c r="A26" s="6">
        <v>2783</v>
      </c>
      <c r="B26" s="18" t="s">
        <v>77</v>
      </c>
      <c r="C26" s="19" t="s">
        <v>83</v>
      </c>
      <c r="D26" s="19"/>
      <c r="E26" s="18">
        <v>2022</v>
      </c>
      <c r="F26" s="18" t="s">
        <v>79</v>
      </c>
      <c r="G26" s="18">
        <v>34</v>
      </c>
      <c r="H26" s="18">
        <v>10</v>
      </c>
      <c r="I26" s="18" t="e">
        <f>G26/1000*#REF!</f>
        <v>#REF!</v>
      </c>
    </row>
    <row r="27" spans="1:9" s="7" customFormat="1" ht="15.75" hidden="1" outlineLevel="1" x14ac:dyDescent="0.25">
      <c r="A27" s="6">
        <v>2795</v>
      </c>
      <c r="B27" s="18" t="s">
        <v>77</v>
      </c>
      <c r="C27" s="19" t="s">
        <v>83</v>
      </c>
      <c r="D27" s="19"/>
      <c r="E27" s="18">
        <v>2022</v>
      </c>
      <c r="F27" s="18" t="s">
        <v>79</v>
      </c>
      <c r="G27" s="18">
        <v>3</v>
      </c>
      <c r="H27" s="18">
        <v>15</v>
      </c>
      <c r="I27" s="18" t="e">
        <f>G27/1000*#REF!</f>
        <v>#REF!</v>
      </c>
    </row>
    <row r="28" spans="1:9" s="7" customFormat="1" ht="15.75" hidden="1" outlineLevel="1" x14ac:dyDescent="0.25">
      <c r="A28" s="6">
        <v>2797</v>
      </c>
      <c r="B28" s="18" t="s">
        <v>77</v>
      </c>
      <c r="C28" s="19" t="s">
        <v>84</v>
      </c>
      <c r="D28" s="19"/>
      <c r="E28" s="18">
        <v>2022</v>
      </c>
      <c r="F28" s="18" t="s">
        <v>79</v>
      </c>
      <c r="G28" s="18">
        <v>27</v>
      </c>
      <c r="H28" s="18">
        <v>10</v>
      </c>
      <c r="I28" s="18" t="e">
        <f>G28/1000*#REF!</f>
        <v>#REF!</v>
      </c>
    </row>
    <row r="29" spans="1:9" s="7" customFormat="1" ht="15.75" hidden="1" outlineLevel="1" x14ac:dyDescent="0.25">
      <c r="A29" s="6">
        <v>2798</v>
      </c>
      <c r="B29" s="18" t="s">
        <v>77</v>
      </c>
      <c r="C29" s="19" t="s">
        <v>83</v>
      </c>
      <c r="D29" s="19"/>
      <c r="E29" s="18">
        <v>2022</v>
      </c>
      <c r="F29" s="18" t="s">
        <v>79</v>
      </c>
      <c r="G29" s="18">
        <v>31</v>
      </c>
      <c r="H29" s="18">
        <v>68</v>
      </c>
      <c r="I29" s="18" t="e">
        <f>G29/1000*#REF!</f>
        <v>#REF!</v>
      </c>
    </row>
    <row r="30" spans="1:9" s="7" customFormat="1" ht="15.75" hidden="1" outlineLevel="1" x14ac:dyDescent="0.25">
      <c r="A30" s="6">
        <v>2799</v>
      </c>
      <c r="B30" s="18" t="s">
        <v>77</v>
      </c>
      <c r="C30" s="19" t="s">
        <v>85</v>
      </c>
      <c r="D30" s="19"/>
      <c r="E30" s="18">
        <v>2022</v>
      </c>
      <c r="F30" s="18" t="s">
        <v>79</v>
      </c>
      <c r="G30" s="18">
        <v>35</v>
      </c>
      <c r="H30" s="18">
        <v>10</v>
      </c>
      <c r="I30" s="18" t="e">
        <f>G30/1000*#REF!</f>
        <v>#REF!</v>
      </c>
    </row>
    <row r="31" spans="1:9" s="7" customFormat="1" ht="15.75" hidden="1" outlineLevel="1" x14ac:dyDescent="0.25">
      <c r="A31" s="6">
        <v>2814</v>
      </c>
      <c r="B31" s="18" t="s">
        <v>77</v>
      </c>
      <c r="C31" s="19" t="s">
        <v>83</v>
      </c>
      <c r="D31" s="19"/>
      <c r="E31" s="18">
        <v>2022</v>
      </c>
      <c r="F31" s="18" t="s">
        <v>79</v>
      </c>
      <c r="G31" s="18">
        <v>7</v>
      </c>
      <c r="H31" s="18">
        <v>60</v>
      </c>
      <c r="I31" s="18" t="e">
        <f>G31/1000*#REF!</f>
        <v>#REF!</v>
      </c>
    </row>
    <row r="32" spans="1:9" s="7" customFormat="1" ht="15.75" hidden="1" outlineLevel="1" x14ac:dyDescent="0.25">
      <c r="A32" s="6">
        <v>2843</v>
      </c>
      <c r="B32" s="18" t="s">
        <v>77</v>
      </c>
      <c r="C32" s="19" t="s">
        <v>83</v>
      </c>
      <c r="D32" s="19"/>
      <c r="E32" s="18">
        <v>2022</v>
      </c>
      <c r="F32" s="18" t="s">
        <v>79</v>
      </c>
      <c r="G32" s="18">
        <v>106</v>
      </c>
      <c r="H32" s="18">
        <v>15</v>
      </c>
      <c r="I32" s="18" t="e">
        <f>G32/1000*#REF!</f>
        <v>#REF!</v>
      </c>
    </row>
    <row r="33" spans="1:9" s="7" customFormat="1" ht="15.75" hidden="1" outlineLevel="1" x14ac:dyDescent="0.25">
      <c r="A33" s="6">
        <v>2845</v>
      </c>
      <c r="B33" s="18" t="s">
        <v>77</v>
      </c>
      <c r="C33" s="19" t="s">
        <v>84</v>
      </c>
      <c r="D33" s="19"/>
      <c r="E33" s="18">
        <v>2022</v>
      </c>
      <c r="F33" s="18" t="s">
        <v>79</v>
      </c>
      <c r="G33" s="18">
        <v>380</v>
      </c>
      <c r="H33" s="18">
        <v>15</v>
      </c>
      <c r="I33" s="18" t="e">
        <f>G33/1000*#REF!</f>
        <v>#REF!</v>
      </c>
    </row>
    <row r="34" spans="1:9" s="7" customFormat="1" ht="15.75" hidden="1" outlineLevel="1" x14ac:dyDescent="0.25">
      <c r="A34" s="6">
        <v>2852</v>
      </c>
      <c r="B34" s="18" t="s">
        <v>77</v>
      </c>
      <c r="C34" s="19" t="s">
        <v>83</v>
      </c>
      <c r="D34" s="19"/>
      <c r="E34" s="18">
        <v>2022</v>
      </c>
      <c r="F34" s="18" t="s">
        <v>79</v>
      </c>
      <c r="G34" s="18">
        <v>64</v>
      </c>
      <c r="H34" s="18">
        <v>10</v>
      </c>
      <c r="I34" s="18" t="e">
        <f>G34/1000*#REF!</f>
        <v>#REF!</v>
      </c>
    </row>
    <row r="35" spans="1:9" s="7" customFormat="1" ht="15.75" hidden="1" outlineLevel="1" x14ac:dyDescent="0.25">
      <c r="A35" s="6">
        <v>2992</v>
      </c>
      <c r="B35" s="18" t="s">
        <v>77</v>
      </c>
      <c r="C35" s="19" t="s">
        <v>83</v>
      </c>
      <c r="D35" s="19"/>
      <c r="E35" s="18">
        <v>2022</v>
      </c>
      <c r="F35" s="18" t="s">
        <v>79</v>
      </c>
      <c r="G35" s="18">
        <v>215</v>
      </c>
      <c r="H35" s="18">
        <v>15</v>
      </c>
      <c r="I35" s="18" t="e">
        <f>G35/1000*#REF!</f>
        <v>#REF!</v>
      </c>
    </row>
    <row r="36" spans="1:9" s="7" customFormat="1" ht="15.75" hidden="1" outlineLevel="1" x14ac:dyDescent="0.25">
      <c r="A36" s="6">
        <v>2996</v>
      </c>
      <c r="B36" s="18" t="s">
        <v>77</v>
      </c>
      <c r="C36" s="19" t="s">
        <v>83</v>
      </c>
      <c r="D36" s="19"/>
      <c r="E36" s="18">
        <v>2022</v>
      </c>
      <c r="F36" s="18" t="s">
        <v>79</v>
      </c>
      <c r="G36" s="18">
        <v>25</v>
      </c>
      <c r="H36" s="18">
        <v>6</v>
      </c>
      <c r="I36" s="18" t="e">
        <f>G36/1000*#REF!</f>
        <v>#REF!</v>
      </c>
    </row>
    <row r="37" spans="1:9" s="7" customFormat="1" ht="15.75" hidden="1" outlineLevel="1" x14ac:dyDescent="0.25">
      <c r="A37" s="6">
        <v>3001</v>
      </c>
      <c r="B37" s="18" t="s">
        <v>77</v>
      </c>
      <c r="C37" s="19" t="s">
        <v>83</v>
      </c>
      <c r="D37" s="19"/>
      <c r="E37" s="18">
        <v>2022</v>
      </c>
      <c r="F37" s="18" t="s">
        <v>79</v>
      </c>
      <c r="G37" s="18">
        <v>243</v>
      </c>
      <c r="H37" s="18">
        <v>15</v>
      </c>
      <c r="I37" s="18" t="e">
        <f>G37/1000*#REF!</f>
        <v>#REF!</v>
      </c>
    </row>
    <row r="38" spans="1:9" s="7" customFormat="1" ht="15.75" hidden="1" outlineLevel="1" x14ac:dyDescent="0.25">
      <c r="A38" s="6">
        <v>3001</v>
      </c>
      <c r="B38" s="18" t="s">
        <v>77</v>
      </c>
      <c r="C38" s="19" t="s">
        <v>86</v>
      </c>
      <c r="D38" s="19"/>
      <c r="E38" s="18">
        <v>2022</v>
      </c>
      <c r="F38" s="18" t="s">
        <v>79</v>
      </c>
      <c r="G38" s="18">
        <v>208</v>
      </c>
      <c r="H38" s="18">
        <v>15</v>
      </c>
      <c r="I38" s="18" t="e">
        <f>G38/1000*#REF!</f>
        <v>#REF!</v>
      </c>
    </row>
    <row r="39" spans="1:9" s="7" customFormat="1" ht="15.75" hidden="1" outlineLevel="1" x14ac:dyDescent="0.25">
      <c r="A39" s="6">
        <v>3006</v>
      </c>
      <c r="B39" s="18" t="s">
        <v>77</v>
      </c>
      <c r="C39" s="19" t="s">
        <v>83</v>
      </c>
      <c r="D39" s="19"/>
      <c r="E39" s="18">
        <v>2022</v>
      </c>
      <c r="F39" s="18" t="s">
        <v>79</v>
      </c>
      <c r="G39" s="18">
        <v>188</v>
      </c>
      <c r="H39" s="18">
        <v>15</v>
      </c>
      <c r="I39" s="18" t="e">
        <f>G39/1000*#REF!</f>
        <v>#REF!</v>
      </c>
    </row>
    <row r="40" spans="1:9" s="7" customFormat="1" ht="15.75" hidden="1" outlineLevel="1" x14ac:dyDescent="0.25">
      <c r="A40" s="6">
        <v>2729</v>
      </c>
      <c r="B40" s="18" t="s">
        <v>77</v>
      </c>
      <c r="C40" s="19" t="s">
        <v>83</v>
      </c>
      <c r="D40" s="19"/>
      <c r="E40" s="18">
        <v>2022</v>
      </c>
      <c r="F40" s="18" t="s">
        <v>79</v>
      </c>
      <c r="G40" s="18">
        <v>154</v>
      </c>
      <c r="H40" s="18">
        <v>15</v>
      </c>
      <c r="I40" s="18" t="e">
        <f>G40/1000*#REF!</f>
        <v>#REF!</v>
      </c>
    </row>
    <row r="41" spans="1:9" s="7" customFormat="1" ht="15.75" hidden="1" outlineLevel="1" x14ac:dyDescent="0.25">
      <c r="A41" s="6">
        <v>2730</v>
      </c>
      <c r="B41" s="18" t="s">
        <v>77</v>
      </c>
      <c r="C41" s="19" t="s">
        <v>84</v>
      </c>
      <c r="D41" s="19"/>
      <c r="E41" s="18">
        <v>2022</v>
      </c>
      <c r="F41" s="18" t="s">
        <v>79</v>
      </c>
      <c r="G41" s="18">
        <v>241</v>
      </c>
      <c r="H41" s="18">
        <v>10</v>
      </c>
      <c r="I41" s="18" t="e">
        <f>G41/1000*#REF!</f>
        <v>#REF!</v>
      </c>
    </row>
    <row r="42" spans="1:9" s="7" customFormat="1" ht="15.75" hidden="1" outlineLevel="1" x14ac:dyDescent="0.25">
      <c r="A42" s="6">
        <v>2846</v>
      </c>
      <c r="B42" s="18" t="s">
        <v>77</v>
      </c>
      <c r="C42" s="19" t="s">
        <v>83</v>
      </c>
      <c r="D42" s="19"/>
      <c r="E42" s="18">
        <v>2022</v>
      </c>
      <c r="F42" s="18" t="s">
        <v>79</v>
      </c>
      <c r="G42" s="18">
        <v>352</v>
      </c>
      <c r="H42" s="18">
        <v>15</v>
      </c>
      <c r="I42" s="18" t="e">
        <f>G42/1000*#REF!</f>
        <v>#REF!</v>
      </c>
    </row>
    <row r="43" spans="1:9" s="7" customFormat="1" ht="15.75" hidden="1" outlineLevel="1" x14ac:dyDescent="0.25">
      <c r="A43" s="6">
        <v>2851</v>
      </c>
      <c r="B43" s="18" t="s">
        <v>77</v>
      </c>
      <c r="C43" s="19" t="s">
        <v>83</v>
      </c>
      <c r="D43" s="19"/>
      <c r="E43" s="18">
        <v>2022</v>
      </c>
      <c r="F43" s="18" t="s">
        <v>79</v>
      </c>
      <c r="G43" s="18">
        <v>256</v>
      </c>
      <c r="H43" s="18">
        <v>136.52000000000001</v>
      </c>
      <c r="I43" s="18" t="e">
        <f>G43/1000*#REF!</f>
        <v>#REF!</v>
      </c>
    </row>
    <row r="44" spans="1:9" s="7" customFormat="1" ht="15.75" hidden="1" outlineLevel="1" x14ac:dyDescent="0.25">
      <c r="A44" s="6">
        <v>2912</v>
      </c>
      <c r="B44" s="18" t="s">
        <v>77</v>
      </c>
      <c r="C44" s="19" t="s">
        <v>83</v>
      </c>
      <c r="D44" s="19"/>
      <c r="E44" s="18">
        <v>2022</v>
      </c>
      <c r="F44" s="18" t="s">
        <v>79</v>
      </c>
      <c r="G44" s="18">
        <v>331</v>
      </c>
      <c r="H44" s="18">
        <v>15</v>
      </c>
      <c r="I44" s="18" t="e">
        <f>G44/1000*#REF!</f>
        <v>#REF!</v>
      </c>
    </row>
    <row r="45" spans="1:9" s="7" customFormat="1" ht="15.75" hidden="1" outlineLevel="1" x14ac:dyDescent="0.25">
      <c r="A45" s="6">
        <v>2914</v>
      </c>
      <c r="B45" s="18" t="s">
        <v>77</v>
      </c>
      <c r="C45" s="19" t="s">
        <v>83</v>
      </c>
      <c r="D45" s="19"/>
      <c r="E45" s="18">
        <v>2022</v>
      </c>
      <c r="F45" s="18" t="s">
        <v>79</v>
      </c>
      <c r="G45" s="18">
        <v>181</v>
      </c>
      <c r="H45" s="18">
        <v>120</v>
      </c>
      <c r="I45" s="18" t="e">
        <f>G45/1000*#REF!</f>
        <v>#REF!</v>
      </c>
    </row>
    <row r="46" spans="1:9" s="7" customFormat="1" ht="15.75" hidden="1" outlineLevel="1" x14ac:dyDescent="0.25">
      <c r="A46" s="6">
        <v>2916</v>
      </c>
      <c r="B46" s="18" t="s">
        <v>77</v>
      </c>
      <c r="C46" s="19" t="s">
        <v>83</v>
      </c>
      <c r="D46" s="19"/>
      <c r="E46" s="18">
        <v>2022</v>
      </c>
      <c r="F46" s="18" t="s">
        <v>79</v>
      </c>
      <c r="G46" s="18">
        <v>9</v>
      </c>
      <c r="H46" s="18">
        <v>85</v>
      </c>
      <c r="I46" s="18" t="e">
        <f>G46/1000*#REF!</f>
        <v>#REF!</v>
      </c>
    </row>
    <row r="47" spans="1:9" s="7" customFormat="1" ht="15.75" hidden="1" outlineLevel="1" x14ac:dyDescent="0.25">
      <c r="A47" s="6">
        <v>2858</v>
      </c>
      <c r="B47" s="18" t="s">
        <v>77</v>
      </c>
      <c r="C47" s="19" t="s">
        <v>83</v>
      </c>
      <c r="D47" s="19"/>
      <c r="E47" s="18">
        <v>2022</v>
      </c>
      <c r="F47" s="18" t="s">
        <v>79</v>
      </c>
      <c r="G47" s="18">
        <v>15</v>
      </c>
      <c r="H47" s="18">
        <v>150</v>
      </c>
      <c r="I47" s="18">
        <f>0.0536*(1000)</f>
        <v>53.6</v>
      </c>
    </row>
    <row r="48" spans="1:9" s="7" customFormat="1" ht="15.75" hidden="1" outlineLevel="1" x14ac:dyDescent="0.25">
      <c r="A48" s="6">
        <v>2842</v>
      </c>
      <c r="B48" s="18" t="s">
        <v>77</v>
      </c>
      <c r="C48" s="19" t="s">
        <v>83</v>
      </c>
      <c r="D48" s="19"/>
      <c r="E48" s="18">
        <v>2022</v>
      </c>
      <c r="F48" s="18" t="s">
        <v>79</v>
      </c>
      <c r="G48" s="18">
        <v>15</v>
      </c>
      <c r="H48" s="18">
        <v>30</v>
      </c>
      <c r="I48" s="18">
        <f>0.035682*(1000)</f>
        <v>35.681999999999995</v>
      </c>
    </row>
    <row r="49" spans="1:9" s="7" customFormat="1" ht="15.75" hidden="1" outlineLevel="1" x14ac:dyDescent="0.25">
      <c r="A49" s="6">
        <v>2918</v>
      </c>
      <c r="B49" s="18" t="s">
        <v>77</v>
      </c>
      <c r="C49" s="19" t="s">
        <v>83</v>
      </c>
      <c r="D49" s="19"/>
      <c r="E49" s="18">
        <v>2022</v>
      </c>
      <c r="F49" s="18" t="s">
        <v>79</v>
      </c>
      <c r="G49" s="18">
        <v>180</v>
      </c>
      <c r="H49" s="18">
        <v>15</v>
      </c>
      <c r="I49" s="18">
        <f>0.348071*(1000)</f>
        <v>348.07100000000003</v>
      </c>
    </row>
    <row r="50" spans="1:9" s="7" customFormat="1" ht="15.75" hidden="1" outlineLevel="1" x14ac:dyDescent="0.25">
      <c r="A50" s="6">
        <v>4112</v>
      </c>
      <c r="B50" s="18" t="s">
        <v>77</v>
      </c>
      <c r="C50" s="19" t="s">
        <v>84</v>
      </c>
      <c r="D50" s="19"/>
      <c r="E50" s="18">
        <v>2022</v>
      </c>
      <c r="F50" s="18" t="s">
        <v>79</v>
      </c>
      <c r="G50" s="18">
        <v>140</v>
      </c>
      <c r="H50" s="18">
        <v>45</v>
      </c>
      <c r="I50" s="18">
        <f>0.320771*(1000)</f>
        <v>320.77099999999996</v>
      </c>
    </row>
    <row r="51" spans="1:9" s="7" customFormat="1" ht="15.75" hidden="1" outlineLevel="1" x14ac:dyDescent="0.25">
      <c r="A51" s="6">
        <v>4114</v>
      </c>
      <c r="B51" s="18" t="s">
        <v>77</v>
      </c>
      <c r="C51" s="19" t="s">
        <v>87</v>
      </c>
      <c r="D51" s="19"/>
      <c r="E51" s="18">
        <v>2022</v>
      </c>
      <c r="F51" s="18" t="s">
        <v>79</v>
      </c>
      <c r="G51" s="18">
        <v>73</v>
      </c>
      <c r="H51" s="18">
        <v>15</v>
      </c>
      <c r="I51" s="18">
        <f>0.24000699*(1000)</f>
        <v>240.00699</v>
      </c>
    </row>
    <row r="52" spans="1:9" s="7" customFormat="1" ht="15.75" hidden="1" outlineLevel="1" x14ac:dyDescent="0.25">
      <c r="A52" s="6">
        <v>2717</v>
      </c>
      <c r="B52" s="18" t="s">
        <v>77</v>
      </c>
      <c r="C52" s="19" t="s">
        <v>83</v>
      </c>
      <c r="D52" s="19"/>
      <c r="E52" s="18">
        <v>2022</v>
      </c>
      <c r="F52" s="18" t="s">
        <v>79</v>
      </c>
      <c r="G52" s="18">
        <v>3</v>
      </c>
      <c r="H52" s="18">
        <v>15</v>
      </c>
      <c r="I52" s="18">
        <f>0.0849185*(1000)</f>
        <v>84.918499999999995</v>
      </c>
    </row>
    <row r="53" spans="1:9" s="7" customFormat="1" ht="15.75" hidden="1" outlineLevel="1" x14ac:dyDescent="0.25">
      <c r="A53" s="6">
        <v>2786</v>
      </c>
      <c r="B53" s="18" t="s">
        <v>77</v>
      </c>
      <c r="C53" s="19" t="s">
        <v>84</v>
      </c>
      <c r="D53" s="19"/>
      <c r="E53" s="18">
        <v>2022</v>
      </c>
      <c r="F53" s="18" t="s">
        <v>79</v>
      </c>
      <c r="G53" s="18">
        <v>3</v>
      </c>
      <c r="H53" s="18">
        <v>60</v>
      </c>
      <c r="I53" s="18">
        <f>0.07778227*(1000)</f>
        <v>77.782269999999997</v>
      </c>
    </row>
    <row r="54" spans="1:9" s="7" customFormat="1" ht="15.75" hidden="1" outlineLevel="1" x14ac:dyDescent="0.25">
      <c r="A54" s="6">
        <v>2859</v>
      </c>
      <c r="B54" s="18" t="s">
        <v>77</v>
      </c>
      <c r="C54" s="19" t="s">
        <v>83</v>
      </c>
      <c r="D54" s="19"/>
      <c r="E54" s="18">
        <v>2022</v>
      </c>
      <c r="F54" s="18" t="s">
        <v>79</v>
      </c>
      <c r="G54" s="18">
        <v>11</v>
      </c>
      <c r="H54" s="18">
        <v>100</v>
      </c>
      <c r="I54" s="18">
        <f>0.0562825*(1000)</f>
        <v>56.282499999999999</v>
      </c>
    </row>
    <row r="55" spans="1:9" s="7" customFormat="1" ht="15.75" hidden="1" outlineLevel="1" x14ac:dyDescent="0.25">
      <c r="A55" s="6">
        <v>2861</v>
      </c>
      <c r="B55" s="18" t="s">
        <v>77</v>
      </c>
      <c r="C55" s="19" t="s">
        <v>83</v>
      </c>
      <c r="D55" s="19"/>
      <c r="E55" s="18">
        <v>2022</v>
      </c>
      <c r="F55" s="18" t="s">
        <v>79</v>
      </c>
      <c r="G55" s="18">
        <v>3</v>
      </c>
      <c r="H55" s="18">
        <v>100</v>
      </c>
      <c r="I55" s="18">
        <f>0.08696506*(1000)</f>
        <v>86.965059999999994</v>
      </c>
    </row>
    <row r="56" spans="1:9" s="7" customFormat="1" ht="15.75" hidden="1" outlineLevel="1" x14ac:dyDescent="0.25">
      <c r="A56" s="6">
        <v>2862</v>
      </c>
      <c r="B56" s="18" t="s">
        <v>77</v>
      </c>
      <c r="C56" s="19" t="s">
        <v>83</v>
      </c>
      <c r="D56" s="19"/>
      <c r="E56" s="18">
        <v>2022</v>
      </c>
      <c r="F56" s="18" t="s">
        <v>79</v>
      </c>
      <c r="G56" s="18">
        <v>4</v>
      </c>
      <c r="H56" s="18">
        <v>50</v>
      </c>
      <c r="I56" s="18">
        <f>0.05833789*(1000)</f>
        <v>58.337890000000002</v>
      </c>
    </row>
    <row r="57" spans="1:9" s="7" customFormat="1" ht="15.75" hidden="1" outlineLevel="1" x14ac:dyDescent="0.25">
      <c r="A57" s="6">
        <v>2867</v>
      </c>
      <c r="B57" s="18" t="s">
        <v>77</v>
      </c>
      <c r="C57" s="19" t="s">
        <v>83</v>
      </c>
      <c r="D57" s="19"/>
      <c r="E57" s="18">
        <v>2022</v>
      </c>
      <c r="F57" s="18" t="s">
        <v>79</v>
      </c>
      <c r="G57" s="18">
        <v>13</v>
      </c>
      <c r="H57" s="18">
        <v>100</v>
      </c>
      <c r="I57" s="18">
        <f>0.062777722*(1000)</f>
        <v>62.777721999999997</v>
      </c>
    </row>
    <row r="58" spans="1:9" s="7" customFormat="1" ht="15.75" hidden="1" outlineLevel="1" x14ac:dyDescent="0.25">
      <c r="A58" s="6">
        <v>2910</v>
      </c>
      <c r="B58" s="18" t="s">
        <v>77</v>
      </c>
      <c r="C58" s="19" t="s">
        <v>83</v>
      </c>
      <c r="D58" s="19"/>
      <c r="E58" s="18">
        <v>2022</v>
      </c>
      <c r="F58" s="18" t="s">
        <v>79</v>
      </c>
      <c r="G58" s="18">
        <v>11</v>
      </c>
      <c r="H58" s="18">
        <v>100</v>
      </c>
      <c r="I58" s="18">
        <f>0.03894668*(1000)</f>
        <v>38.946680000000001</v>
      </c>
    </row>
    <row r="59" spans="1:9" s="7" customFormat="1" ht="15.75" hidden="1" outlineLevel="1" x14ac:dyDescent="0.25">
      <c r="A59" s="6">
        <v>2915</v>
      </c>
      <c r="B59" s="18" t="s">
        <v>77</v>
      </c>
      <c r="C59" s="19" t="s">
        <v>84</v>
      </c>
      <c r="D59" s="19"/>
      <c r="E59" s="18">
        <v>2022</v>
      </c>
      <c r="F59" s="18" t="s">
        <v>79</v>
      </c>
      <c r="G59" s="18">
        <v>11</v>
      </c>
      <c r="H59" s="18">
        <v>80</v>
      </c>
      <c r="I59" s="18">
        <f>0.05662644*(1000)</f>
        <v>56.626440000000002</v>
      </c>
    </row>
    <row r="60" spans="1:9" s="7" customFormat="1" ht="15.75" hidden="1" outlineLevel="1" x14ac:dyDescent="0.25">
      <c r="A60" s="6">
        <v>4118</v>
      </c>
      <c r="B60" s="18" t="s">
        <v>77</v>
      </c>
      <c r="C60" s="19" t="s">
        <v>88</v>
      </c>
      <c r="D60" s="19"/>
      <c r="E60" s="18">
        <v>2022</v>
      </c>
      <c r="F60" s="18" t="s">
        <v>79</v>
      </c>
      <c r="G60" s="18">
        <v>211</v>
      </c>
      <c r="H60" s="18">
        <v>15</v>
      </c>
      <c r="I60" s="18">
        <f>0.42912088*(1000)</f>
        <v>429.12088</v>
      </c>
    </row>
    <row r="61" spans="1:9" s="7" customFormat="1" ht="15.75" hidden="1" outlineLevel="1" x14ac:dyDescent="0.25">
      <c r="A61" s="6">
        <v>4119</v>
      </c>
      <c r="B61" s="18" t="s">
        <v>77</v>
      </c>
      <c r="C61" s="19" t="s">
        <v>83</v>
      </c>
      <c r="D61" s="19"/>
      <c r="E61" s="18">
        <v>2022</v>
      </c>
      <c r="F61" s="18" t="s">
        <v>79</v>
      </c>
      <c r="G61" s="18">
        <v>236</v>
      </c>
      <c r="H61" s="18">
        <v>6</v>
      </c>
      <c r="I61" s="18">
        <f>0.23440994*(1000)</f>
        <v>234.40994000000001</v>
      </c>
    </row>
    <row r="62" spans="1:9" s="7" customFormat="1" ht="15.75" hidden="1" outlineLevel="1" x14ac:dyDescent="0.25">
      <c r="A62" s="6">
        <v>4120</v>
      </c>
      <c r="B62" s="18" t="s">
        <v>77</v>
      </c>
      <c r="C62" s="19" t="s">
        <v>89</v>
      </c>
      <c r="D62" s="19"/>
      <c r="E62" s="18">
        <v>2022</v>
      </c>
      <c r="F62" s="18" t="s">
        <v>79</v>
      </c>
      <c r="G62" s="18">
        <v>302</v>
      </c>
      <c r="H62" s="18">
        <v>11</v>
      </c>
      <c r="I62" s="18">
        <f>0.52266293*(1000)</f>
        <v>522.66292999999996</v>
      </c>
    </row>
    <row r="63" spans="1:9" s="7" customFormat="1" ht="15.75" hidden="1" outlineLevel="1" x14ac:dyDescent="0.25">
      <c r="A63" s="6">
        <v>4121</v>
      </c>
      <c r="B63" s="18" t="s">
        <v>77</v>
      </c>
      <c r="C63" s="19" t="s">
        <v>87</v>
      </c>
      <c r="D63" s="19"/>
      <c r="E63" s="18">
        <v>2022</v>
      </c>
      <c r="F63" s="18" t="s">
        <v>79</v>
      </c>
      <c r="G63" s="18">
        <v>222</v>
      </c>
      <c r="H63" s="18">
        <v>30</v>
      </c>
      <c r="I63" s="18">
        <f>0.52417374*(1000)</f>
        <v>524.17374000000007</v>
      </c>
    </row>
    <row r="64" spans="1:9" s="7" customFormat="1" ht="15.75" hidden="1" outlineLevel="1" x14ac:dyDescent="0.25">
      <c r="A64" s="6">
        <v>4122</v>
      </c>
      <c r="B64" s="18" t="s">
        <v>77</v>
      </c>
      <c r="C64" s="19" t="s">
        <v>83</v>
      </c>
      <c r="D64" s="19"/>
      <c r="E64" s="18">
        <v>2022</v>
      </c>
      <c r="F64" s="18" t="s">
        <v>79</v>
      </c>
      <c r="G64" s="18">
        <v>207</v>
      </c>
      <c r="H64" s="18">
        <v>15</v>
      </c>
      <c r="I64" s="18">
        <f>0.49236967*(1000)</f>
        <v>492.36966999999999</v>
      </c>
    </row>
    <row r="65" spans="1:9" s="7" customFormat="1" ht="15.75" hidden="1" outlineLevel="1" x14ac:dyDescent="0.25">
      <c r="A65" s="6">
        <v>4123</v>
      </c>
      <c r="B65" s="18" t="s">
        <v>77</v>
      </c>
      <c r="C65" s="19" t="s">
        <v>83</v>
      </c>
      <c r="D65" s="19"/>
      <c r="E65" s="18">
        <v>2022</v>
      </c>
      <c r="F65" s="18" t="s">
        <v>79</v>
      </c>
      <c r="G65" s="18">
        <v>340</v>
      </c>
      <c r="H65" s="18">
        <v>75</v>
      </c>
      <c r="I65" s="18">
        <f>0.59601215*(1000)</f>
        <v>596.01215000000002</v>
      </c>
    </row>
    <row r="66" spans="1:9" s="7" customFormat="1" ht="15.75" hidden="1" outlineLevel="1" x14ac:dyDescent="0.25">
      <c r="A66" s="6">
        <v>4124</v>
      </c>
      <c r="B66" s="18" t="s">
        <v>77</v>
      </c>
      <c r="C66" s="19" t="s">
        <v>83</v>
      </c>
      <c r="D66" s="19"/>
      <c r="E66" s="18">
        <v>2022</v>
      </c>
      <c r="F66" s="18" t="s">
        <v>79</v>
      </c>
      <c r="G66" s="18">
        <v>275</v>
      </c>
      <c r="H66" s="18">
        <v>108.67</v>
      </c>
      <c r="I66" s="18">
        <f>0.27393707*(1000)</f>
        <v>273.93707000000001</v>
      </c>
    </row>
    <row r="67" spans="1:9" s="7" customFormat="1" ht="15.75" hidden="1" outlineLevel="1" x14ac:dyDescent="0.25">
      <c r="A67" s="6">
        <v>4126</v>
      </c>
      <c r="B67" s="18" t="s">
        <v>77</v>
      </c>
      <c r="C67" s="19" t="s">
        <v>84</v>
      </c>
      <c r="D67" s="19"/>
      <c r="E67" s="18">
        <v>2022</v>
      </c>
      <c r="F67" s="18" t="s">
        <v>79</v>
      </c>
      <c r="G67" s="18">
        <v>499</v>
      </c>
      <c r="H67" s="18">
        <v>80</v>
      </c>
      <c r="I67" s="18">
        <f>0.58140267*(1000)</f>
        <v>581.40267000000006</v>
      </c>
    </row>
    <row r="68" spans="1:9" s="7" customFormat="1" ht="15.75" hidden="1" outlineLevel="1" x14ac:dyDescent="0.25">
      <c r="A68" s="6">
        <v>4128</v>
      </c>
      <c r="B68" s="18" t="s">
        <v>77</v>
      </c>
      <c r="C68" s="19" t="s">
        <v>88</v>
      </c>
      <c r="D68" s="19"/>
      <c r="E68" s="18">
        <v>2022</v>
      </c>
      <c r="F68" s="18" t="s">
        <v>79</v>
      </c>
      <c r="G68" s="18">
        <v>416</v>
      </c>
      <c r="H68" s="18">
        <v>34</v>
      </c>
      <c r="I68" s="18">
        <f>0.69146134*(1000)</f>
        <v>691.46134000000006</v>
      </c>
    </row>
    <row r="69" spans="1:9" s="7" customFormat="1" ht="15.75" hidden="1" outlineLevel="1" x14ac:dyDescent="0.25">
      <c r="A69" s="6">
        <v>2721</v>
      </c>
      <c r="B69" s="18" t="s">
        <v>77</v>
      </c>
      <c r="C69" s="19" t="s">
        <v>83</v>
      </c>
      <c r="D69" s="19"/>
      <c r="E69" s="18">
        <v>2022</v>
      </c>
      <c r="F69" s="18" t="s">
        <v>79</v>
      </c>
      <c r="G69" s="18">
        <v>31</v>
      </c>
      <c r="H69" s="18">
        <v>15</v>
      </c>
      <c r="I69" s="18">
        <f>0.09171643*(1000)</f>
        <v>91.716430000000003</v>
      </c>
    </row>
    <row r="70" spans="1:9" s="7" customFormat="1" ht="15.75" hidden="1" outlineLevel="1" x14ac:dyDescent="0.25">
      <c r="A70" s="6">
        <v>2723</v>
      </c>
      <c r="B70" s="18" t="s">
        <v>77</v>
      </c>
      <c r="C70" s="19" t="s">
        <v>83</v>
      </c>
      <c r="D70" s="19"/>
      <c r="E70" s="18">
        <v>2022</v>
      </c>
      <c r="F70" s="18" t="s">
        <v>79</v>
      </c>
      <c r="G70" s="18">
        <v>133</v>
      </c>
      <c r="H70" s="18">
        <v>15</v>
      </c>
      <c r="I70" s="18">
        <f>0.170489*(1000)</f>
        <v>170.489</v>
      </c>
    </row>
    <row r="71" spans="1:9" s="7" customFormat="1" ht="15.75" hidden="1" outlineLevel="1" x14ac:dyDescent="0.25">
      <c r="A71" s="6">
        <v>2724</v>
      </c>
      <c r="B71" s="18" t="s">
        <v>77</v>
      </c>
      <c r="C71" s="19" t="s">
        <v>83</v>
      </c>
      <c r="D71" s="19"/>
      <c r="E71" s="18">
        <v>2022</v>
      </c>
      <c r="F71" s="18" t="s">
        <v>79</v>
      </c>
      <c r="G71" s="18">
        <v>256</v>
      </c>
      <c r="H71" s="18">
        <v>12</v>
      </c>
      <c r="I71" s="18">
        <f>0.29360088*(1000)</f>
        <v>293.60088000000002</v>
      </c>
    </row>
    <row r="72" spans="1:9" s="7" customFormat="1" ht="15.75" hidden="1" outlineLevel="1" x14ac:dyDescent="0.25">
      <c r="A72" s="6">
        <v>2726</v>
      </c>
      <c r="B72" s="18" t="s">
        <v>77</v>
      </c>
      <c r="C72" s="19" t="s">
        <v>83</v>
      </c>
      <c r="D72" s="19"/>
      <c r="E72" s="18">
        <v>2022</v>
      </c>
      <c r="F72" s="18" t="s">
        <v>79</v>
      </c>
      <c r="G72" s="18">
        <v>62</v>
      </c>
      <c r="H72" s="18">
        <v>34</v>
      </c>
      <c r="I72" s="18">
        <f>0.14105109*(1000)</f>
        <v>141.05108999999999</v>
      </c>
    </row>
    <row r="73" spans="1:9" s="7" customFormat="1" ht="15.75" hidden="1" outlineLevel="1" x14ac:dyDescent="0.25">
      <c r="A73" s="6">
        <v>2760</v>
      </c>
      <c r="B73" s="18" t="s">
        <v>77</v>
      </c>
      <c r="C73" s="19" t="s">
        <v>83</v>
      </c>
      <c r="D73" s="19"/>
      <c r="E73" s="18">
        <v>2022</v>
      </c>
      <c r="F73" s="18" t="s">
        <v>79</v>
      </c>
      <c r="G73" s="18">
        <v>64</v>
      </c>
      <c r="H73" s="18">
        <v>15</v>
      </c>
      <c r="I73" s="18">
        <f>0.10864299*(1000)</f>
        <v>108.64299</v>
      </c>
    </row>
    <row r="74" spans="1:9" s="7" customFormat="1" ht="15.75" hidden="1" outlineLevel="1" x14ac:dyDescent="0.25">
      <c r="A74" s="6">
        <v>2765</v>
      </c>
      <c r="B74" s="18" t="s">
        <v>77</v>
      </c>
      <c r="C74" s="19" t="s">
        <v>84</v>
      </c>
      <c r="D74" s="19"/>
      <c r="E74" s="18">
        <v>2022</v>
      </c>
      <c r="F74" s="18" t="s">
        <v>79</v>
      </c>
      <c r="G74" s="18">
        <v>50</v>
      </c>
      <c r="H74" s="18">
        <v>25</v>
      </c>
      <c r="I74" s="18">
        <f>0.0781236*(1000)</f>
        <v>78.123599999999996</v>
      </c>
    </row>
    <row r="75" spans="1:9" s="7" customFormat="1" ht="15.75" hidden="1" outlineLevel="1" x14ac:dyDescent="0.25">
      <c r="A75" s="6">
        <v>2841</v>
      </c>
      <c r="B75" s="18" t="s">
        <v>77</v>
      </c>
      <c r="C75" s="19" t="s">
        <v>84</v>
      </c>
      <c r="D75" s="19"/>
      <c r="E75" s="18">
        <v>2022</v>
      </c>
      <c r="F75" s="18" t="s">
        <v>79</v>
      </c>
      <c r="G75" s="18">
        <v>70</v>
      </c>
      <c r="H75" s="18">
        <v>10</v>
      </c>
      <c r="I75" s="18">
        <f>0.07813181*(1000)</f>
        <v>78.131810000000002</v>
      </c>
    </row>
    <row r="76" spans="1:9" s="7" customFormat="1" ht="15.75" hidden="1" outlineLevel="1" x14ac:dyDescent="0.25">
      <c r="A76" s="6">
        <v>2847</v>
      </c>
      <c r="B76" s="18" t="s">
        <v>77</v>
      </c>
      <c r="C76" s="19" t="s">
        <v>84</v>
      </c>
      <c r="D76" s="19"/>
      <c r="E76" s="18">
        <v>2022</v>
      </c>
      <c r="F76" s="18" t="s">
        <v>79</v>
      </c>
      <c r="G76" s="18">
        <v>145</v>
      </c>
      <c r="H76" s="18">
        <v>25</v>
      </c>
      <c r="I76" s="18">
        <f>0.14008525*(1000)</f>
        <v>140.08525</v>
      </c>
    </row>
    <row r="77" spans="1:9" s="7" customFormat="1" ht="15.75" hidden="1" outlineLevel="1" x14ac:dyDescent="0.25">
      <c r="A77" s="6">
        <v>2848</v>
      </c>
      <c r="B77" s="18" t="s">
        <v>77</v>
      </c>
      <c r="C77" s="19" t="s">
        <v>84</v>
      </c>
      <c r="D77" s="19"/>
      <c r="E77" s="18">
        <v>2022</v>
      </c>
      <c r="F77" s="18" t="s">
        <v>79</v>
      </c>
      <c r="G77" s="18">
        <v>36</v>
      </c>
      <c r="H77" s="18">
        <v>11</v>
      </c>
      <c r="I77" s="18">
        <f>0.07077792*(1000)</f>
        <v>70.777919999999995</v>
      </c>
    </row>
    <row r="78" spans="1:9" s="7" customFormat="1" ht="15.75" hidden="1" outlineLevel="1" x14ac:dyDescent="0.25">
      <c r="A78" s="6">
        <v>2860</v>
      </c>
      <c r="B78" s="18" t="s">
        <v>77</v>
      </c>
      <c r="C78" s="19" t="s">
        <v>84</v>
      </c>
      <c r="D78" s="19"/>
      <c r="E78" s="18">
        <v>2022</v>
      </c>
      <c r="F78" s="18" t="s">
        <v>79</v>
      </c>
      <c r="G78" s="18">
        <v>40</v>
      </c>
      <c r="H78" s="18">
        <v>6</v>
      </c>
      <c r="I78" s="18">
        <f>0.07908444*(1000)</f>
        <v>79.084440000000001</v>
      </c>
    </row>
    <row r="79" spans="1:9" s="7" customFormat="1" ht="15.75" hidden="1" outlineLevel="1" x14ac:dyDescent="0.25">
      <c r="A79" s="6">
        <v>2869</v>
      </c>
      <c r="B79" s="18" t="s">
        <v>77</v>
      </c>
      <c r="C79" s="19" t="s">
        <v>84</v>
      </c>
      <c r="D79" s="19"/>
      <c r="E79" s="18">
        <v>2022</v>
      </c>
      <c r="F79" s="18" t="s">
        <v>79</v>
      </c>
      <c r="G79" s="18">
        <v>57</v>
      </c>
      <c r="H79" s="18">
        <v>30</v>
      </c>
      <c r="I79" s="18">
        <f>0.05700358*(1000)</f>
        <v>57.003579999999999</v>
      </c>
    </row>
    <row r="80" spans="1:9" s="7" customFormat="1" ht="15.75" hidden="1" outlineLevel="1" x14ac:dyDescent="0.25">
      <c r="A80" s="6">
        <v>2870</v>
      </c>
      <c r="B80" s="18" t="s">
        <v>77</v>
      </c>
      <c r="C80" s="19" t="s">
        <v>84</v>
      </c>
      <c r="D80" s="19"/>
      <c r="E80" s="18">
        <v>2022</v>
      </c>
      <c r="F80" s="18" t="s">
        <v>79</v>
      </c>
      <c r="G80" s="18">
        <v>163</v>
      </c>
      <c r="H80" s="18">
        <v>10</v>
      </c>
      <c r="I80" s="18">
        <f>0.06899167*(1000)</f>
        <v>68.991669999999999</v>
      </c>
    </row>
    <row r="81" spans="1:9" s="7" customFormat="1" ht="15.75" hidden="1" outlineLevel="1" x14ac:dyDescent="0.25">
      <c r="A81" s="6">
        <v>2880</v>
      </c>
      <c r="B81" s="18" t="s">
        <v>77</v>
      </c>
      <c r="C81" s="19" t="s">
        <v>84</v>
      </c>
      <c r="D81" s="19"/>
      <c r="E81" s="18">
        <v>2022</v>
      </c>
      <c r="F81" s="18" t="s">
        <v>79</v>
      </c>
      <c r="G81" s="18">
        <v>62</v>
      </c>
      <c r="H81" s="18">
        <v>40</v>
      </c>
      <c r="I81" s="18">
        <f>0.09690833*(1000)</f>
        <v>96.908330000000007</v>
      </c>
    </row>
    <row r="82" spans="1:9" s="7" customFormat="1" ht="15.75" hidden="1" outlineLevel="1" x14ac:dyDescent="0.25">
      <c r="A82" s="6">
        <v>2882</v>
      </c>
      <c r="B82" s="18" t="s">
        <v>77</v>
      </c>
      <c r="C82" s="19" t="s">
        <v>84</v>
      </c>
      <c r="D82" s="19"/>
      <c r="E82" s="18">
        <v>2022</v>
      </c>
      <c r="F82" s="18" t="s">
        <v>79</v>
      </c>
      <c r="G82" s="18">
        <v>33</v>
      </c>
      <c r="H82" s="18">
        <v>30</v>
      </c>
      <c r="I82" s="18">
        <f>0.08269476*(1000)</f>
        <v>82.694760000000002</v>
      </c>
    </row>
    <row r="83" spans="1:9" s="7" customFormat="1" ht="15.75" hidden="1" outlineLevel="1" x14ac:dyDescent="0.25">
      <c r="A83" s="6">
        <v>2883</v>
      </c>
      <c r="B83" s="18" t="s">
        <v>77</v>
      </c>
      <c r="C83" s="19" t="s">
        <v>84</v>
      </c>
      <c r="D83" s="19"/>
      <c r="E83" s="18">
        <v>2022</v>
      </c>
      <c r="F83" s="18" t="s">
        <v>79</v>
      </c>
      <c r="G83" s="18">
        <v>25</v>
      </c>
      <c r="H83" s="18">
        <v>8</v>
      </c>
      <c r="I83" s="18">
        <f>0.04740273*(1000)</f>
        <v>47.402729999999998</v>
      </c>
    </row>
    <row r="84" spans="1:9" s="7" customFormat="1" ht="15.75" hidden="1" outlineLevel="1" x14ac:dyDescent="0.25">
      <c r="A84" s="6">
        <v>2884</v>
      </c>
      <c r="B84" s="18" t="s">
        <v>77</v>
      </c>
      <c r="C84" s="19" t="s">
        <v>84</v>
      </c>
      <c r="D84" s="19"/>
      <c r="E84" s="18">
        <v>2022</v>
      </c>
      <c r="F84" s="18" t="s">
        <v>79</v>
      </c>
      <c r="G84" s="18">
        <v>55</v>
      </c>
      <c r="H84" s="18">
        <v>24</v>
      </c>
      <c r="I84" s="18">
        <f>0.07836966*(1000)</f>
        <v>78.369659999999996</v>
      </c>
    </row>
    <row r="85" spans="1:9" s="7" customFormat="1" ht="15.75" hidden="1" outlineLevel="1" x14ac:dyDescent="0.25">
      <c r="A85" s="6">
        <v>2894</v>
      </c>
      <c r="B85" s="18" t="s">
        <v>77</v>
      </c>
      <c r="C85" s="19" t="s">
        <v>84</v>
      </c>
      <c r="D85" s="19"/>
      <c r="E85" s="18">
        <v>2022</v>
      </c>
      <c r="F85" s="18" t="s">
        <v>79</v>
      </c>
      <c r="G85" s="18">
        <v>113</v>
      </c>
      <c r="H85" s="18">
        <v>15</v>
      </c>
      <c r="I85" s="18">
        <f>0.14001619*(1000)</f>
        <v>140.01619000000002</v>
      </c>
    </row>
    <row r="86" spans="1:9" s="7" customFormat="1" ht="15.75" hidden="1" outlineLevel="1" x14ac:dyDescent="0.25">
      <c r="A86" s="6">
        <v>2895</v>
      </c>
      <c r="B86" s="18" t="s">
        <v>77</v>
      </c>
      <c r="C86" s="19" t="s">
        <v>84</v>
      </c>
      <c r="D86" s="19"/>
      <c r="E86" s="18">
        <v>2022</v>
      </c>
      <c r="F86" s="18" t="s">
        <v>79</v>
      </c>
      <c r="G86" s="18">
        <v>86</v>
      </c>
      <c r="H86" s="18">
        <v>15</v>
      </c>
      <c r="I86" s="18">
        <f>0.0874887*(1000)</f>
        <v>87.488700000000009</v>
      </c>
    </row>
    <row r="87" spans="1:9" s="7" customFormat="1" ht="15.75" hidden="1" outlineLevel="1" x14ac:dyDescent="0.25">
      <c r="A87" s="6">
        <v>2986</v>
      </c>
      <c r="B87" s="18" t="s">
        <v>77</v>
      </c>
      <c r="C87" s="19" t="s">
        <v>84</v>
      </c>
      <c r="D87" s="19"/>
      <c r="E87" s="18">
        <v>2022</v>
      </c>
      <c r="F87" s="18" t="s">
        <v>79</v>
      </c>
      <c r="G87" s="18">
        <v>54</v>
      </c>
      <c r="H87" s="18">
        <v>15</v>
      </c>
      <c r="I87" s="18">
        <f>0.09627225*(1000)</f>
        <v>96.27225</v>
      </c>
    </row>
    <row r="88" spans="1:9" s="7" customFormat="1" ht="15.75" hidden="1" outlineLevel="1" x14ac:dyDescent="0.25">
      <c r="A88" s="6">
        <v>2989</v>
      </c>
      <c r="B88" s="18" t="s">
        <v>77</v>
      </c>
      <c r="C88" s="19" t="s">
        <v>84</v>
      </c>
      <c r="D88" s="19"/>
      <c r="E88" s="18">
        <v>2022</v>
      </c>
      <c r="F88" s="18" t="s">
        <v>79</v>
      </c>
      <c r="G88" s="18">
        <v>52</v>
      </c>
      <c r="H88" s="18">
        <v>15</v>
      </c>
      <c r="I88" s="18">
        <f>0.07468244*(1000)</f>
        <v>74.68244</v>
      </c>
    </row>
    <row r="89" spans="1:9" s="7" customFormat="1" ht="15.75" hidden="1" outlineLevel="1" x14ac:dyDescent="0.25">
      <c r="A89" s="6">
        <v>2994</v>
      </c>
      <c r="B89" s="18" t="s">
        <v>77</v>
      </c>
      <c r="C89" s="19" t="s">
        <v>84</v>
      </c>
      <c r="D89" s="19"/>
      <c r="E89" s="18">
        <v>2022</v>
      </c>
      <c r="F89" s="18" t="s">
        <v>79</v>
      </c>
      <c r="G89" s="18">
        <v>36</v>
      </c>
      <c r="H89" s="18">
        <v>15</v>
      </c>
      <c r="I89" s="18">
        <f>0.06075359*(1000)</f>
        <v>60.753590000000003</v>
      </c>
    </row>
    <row r="90" spans="1:9" s="7" customFormat="1" ht="15.75" hidden="1" outlineLevel="1" x14ac:dyDescent="0.25">
      <c r="A90" s="6">
        <v>2995</v>
      </c>
      <c r="B90" s="18" t="s">
        <v>77</v>
      </c>
      <c r="C90" s="19" t="s">
        <v>84</v>
      </c>
      <c r="D90" s="19"/>
      <c r="E90" s="18">
        <v>2022</v>
      </c>
      <c r="F90" s="18" t="s">
        <v>79</v>
      </c>
      <c r="G90" s="18">
        <v>19</v>
      </c>
      <c r="H90" s="18">
        <v>15</v>
      </c>
      <c r="I90" s="18">
        <f>0.04752097*(1000)</f>
        <v>47.520970000000005</v>
      </c>
    </row>
    <row r="91" spans="1:9" s="7" customFormat="1" ht="15.75" hidden="1" outlineLevel="1" x14ac:dyDescent="0.25">
      <c r="A91" s="6">
        <v>2997</v>
      </c>
      <c r="B91" s="18" t="s">
        <v>77</v>
      </c>
      <c r="C91" s="19" t="s">
        <v>84</v>
      </c>
      <c r="D91" s="19"/>
      <c r="E91" s="18">
        <v>2022</v>
      </c>
      <c r="F91" s="18" t="s">
        <v>79</v>
      </c>
      <c r="G91" s="18">
        <v>80</v>
      </c>
      <c r="H91" s="18">
        <v>10</v>
      </c>
      <c r="I91" s="18">
        <f>0.09551211*(1000)</f>
        <v>95.512109999999993</v>
      </c>
    </row>
    <row r="92" spans="1:9" s="7" customFormat="1" ht="15.75" hidden="1" outlineLevel="1" x14ac:dyDescent="0.25">
      <c r="A92" s="6">
        <v>2998</v>
      </c>
      <c r="B92" s="18" t="s">
        <v>77</v>
      </c>
      <c r="C92" s="19" t="s">
        <v>84</v>
      </c>
      <c r="D92" s="19"/>
      <c r="E92" s="18">
        <v>2022</v>
      </c>
      <c r="F92" s="18" t="s">
        <v>79</v>
      </c>
      <c r="G92" s="18">
        <v>148</v>
      </c>
      <c r="H92" s="18">
        <v>15</v>
      </c>
      <c r="I92" s="18">
        <f>0.13341841*(1000)</f>
        <v>133.41840999999999</v>
      </c>
    </row>
    <row r="93" spans="1:9" s="7" customFormat="1" ht="15.75" hidden="1" outlineLevel="1" x14ac:dyDescent="0.25">
      <c r="A93" s="6">
        <v>2999</v>
      </c>
      <c r="B93" s="18" t="s">
        <v>77</v>
      </c>
      <c r="C93" s="19" t="s">
        <v>84</v>
      </c>
      <c r="D93" s="19"/>
      <c r="E93" s="18">
        <v>2022</v>
      </c>
      <c r="F93" s="18" t="s">
        <v>79</v>
      </c>
      <c r="G93" s="18">
        <v>43</v>
      </c>
      <c r="H93" s="18">
        <v>10</v>
      </c>
      <c r="I93" s="18">
        <f>0.05039641*(1000)</f>
        <v>50.396410000000003</v>
      </c>
    </row>
    <row r="94" spans="1:9" s="7" customFormat="1" ht="15.75" hidden="1" outlineLevel="1" x14ac:dyDescent="0.25">
      <c r="A94" s="6">
        <v>3007</v>
      </c>
      <c r="B94" s="18" t="s">
        <v>77</v>
      </c>
      <c r="C94" s="19" t="s">
        <v>84</v>
      </c>
      <c r="D94" s="19"/>
      <c r="E94" s="18">
        <v>2022</v>
      </c>
      <c r="F94" s="18" t="s">
        <v>79</v>
      </c>
      <c r="G94" s="18">
        <v>57</v>
      </c>
      <c r="H94" s="18">
        <v>15</v>
      </c>
      <c r="I94" s="18">
        <f>0.06233135*(1000)</f>
        <v>62.33135</v>
      </c>
    </row>
    <row r="95" spans="1:9" s="7" customFormat="1" ht="15.75" hidden="1" outlineLevel="1" x14ac:dyDescent="0.25">
      <c r="A95" s="6">
        <v>3008</v>
      </c>
      <c r="B95" s="18" t="s">
        <v>77</v>
      </c>
      <c r="C95" s="19" t="s">
        <v>84</v>
      </c>
      <c r="D95" s="19"/>
      <c r="E95" s="18">
        <v>2022</v>
      </c>
      <c r="F95" s="18" t="s">
        <v>79</v>
      </c>
      <c r="G95" s="18">
        <v>51</v>
      </c>
      <c r="H95" s="18">
        <v>15</v>
      </c>
      <c r="I95" s="18">
        <f>0.07356509*(1000)</f>
        <v>73.565089999999998</v>
      </c>
    </row>
    <row r="96" spans="1:9" s="7" customFormat="1" ht="15.75" hidden="1" outlineLevel="1" x14ac:dyDescent="0.25">
      <c r="A96" s="6">
        <v>3012</v>
      </c>
      <c r="B96" s="18" t="s">
        <v>77</v>
      </c>
      <c r="C96" s="19" t="s">
        <v>84</v>
      </c>
      <c r="D96" s="19"/>
      <c r="E96" s="18">
        <v>2022</v>
      </c>
      <c r="F96" s="18" t="s">
        <v>79</v>
      </c>
      <c r="G96" s="18">
        <v>40</v>
      </c>
      <c r="H96" s="18">
        <v>55</v>
      </c>
      <c r="I96" s="18">
        <f>0.05838645*(1000)</f>
        <v>58.386449999999996</v>
      </c>
    </row>
    <row r="97" spans="1:9" s="7" customFormat="1" ht="15.75" hidden="1" outlineLevel="1" x14ac:dyDescent="0.25">
      <c r="A97" s="6">
        <v>3013</v>
      </c>
      <c r="B97" s="18" t="s">
        <v>77</v>
      </c>
      <c r="C97" s="19" t="s">
        <v>84</v>
      </c>
      <c r="D97" s="19"/>
      <c r="E97" s="18">
        <v>2022</v>
      </c>
      <c r="F97" s="18" t="s">
        <v>79</v>
      </c>
      <c r="G97" s="18">
        <v>111</v>
      </c>
      <c r="H97" s="18">
        <v>8</v>
      </c>
      <c r="I97" s="18">
        <f>0.09577523*(1000)</f>
        <v>95.775230000000008</v>
      </c>
    </row>
    <row r="98" spans="1:9" s="7" customFormat="1" ht="15.75" hidden="1" outlineLevel="1" x14ac:dyDescent="0.25">
      <c r="A98" s="6">
        <v>3014</v>
      </c>
      <c r="B98" s="18" t="s">
        <v>77</v>
      </c>
      <c r="C98" s="19" t="s">
        <v>84</v>
      </c>
      <c r="D98" s="19"/>
      <c r="E98" s="18">
        <v>2022</v>
      </c>
      <c r="F98" s="18" t="s">
        <v>79</v>
      </c>
      <c r="G98" s="18">
        <v>59</v>
      </c>
      <c r="H98" s="18">
        <v>15</v>
      </c>
      <c r="I98" s="18">
        <f>0.05291875*(1000)</f>
        <v>52.918750000000003</v>
      </c>
    </row>
    <row r="99" spans="1:9" s="7" customFormat="1" ht="15.75" hidden="1" outlineLevel="1" x14ac:dyDescent="0.25">
      <c r="A99" s="6">
        <v>4115</v>
      </c>
      <c r="B99" s="18" t="s">
        <v>77</v>
      </c>
      <c r="C99" s="19" t="s">
        <v>84</v>
      </c>
      <c r="D99" s="19"/>
      <c r="E99" s="18">
        <v>2022</v>
      </c>
      <c r="F99" s="18" t="s">
        <v>79</v>
      </c>
      <c r="G99" s="18">
        <v>102</v>
      </c>
      <c r="H99" s="18">
        <v>15</v>
      </c>
      <c r="I99" s="18">
        <f>0.12105616*(1000)</f>
        <v>121.05615999999999</v>
      </c>
    </row>
    <row r="100" spans="1:9" s="7" customFormat="1" ht="15.75" hidden="1" outlineLevel="1" x14ac:dyDescent="0.25">
      <c r="A100" s="6">
        <v>4222</v>
      </c>
      <c r="B100" s="18" t="s">
        <v>77</v>
      </c>
      <c r="C100" s="19" t="s">
        <v>84</v>
      </c>
      <c r="D100" s="19"/>
      <c r="E100" s="18">
        <v>2022</v>
      </c>
      <c r="F100" s="18" t="s">
        <v>79</v>
      </c>
      <c r="G100" s="18">
        <v>36</v>
      </c>
      <c r="H100" s="18">
        <v>15</v>
      </c>
      <c r="I100" s="18">
        <f>0.05007441*(1000)</f>
        <v>50.07441</v>
      </c>
    </row>
    <row r="101" spans="1:9" s="7" customFormat="1" ht="15.75" hidden="1" outlineLevel="1" x14ac:dyDescent="0.25">
      <c r="A101" s="6">
        <v>4223</v>
      </c>
      <c r="B101" s="18" t="s">
        <v>77</v>
      </c>
      <c r="C101" s="19" t="s">
        <v>84</v>
      </c>
      <c r="D101" s="19"/>
      <c r="E101" s="18">
        <v>2022</v>
      </c>
      <c r="F101" s="18" t="s">
        <v>79</v>
      </c>
      <c r="G101" s="18">
        <v>19</v>
      </c>
      <c r="H101" s="18">
        <v>90</v>
      </c>
      <c r="I101" s="18">
        <f>0.13040747*(1000)</f>
        <v>130.40746999999999</v>
      </c>
    </row>
    <row r="102" spans="1:9" s="7" customFormat="1" ht="15.75" hidden="1" outlineLevel="1" x14ac:dyDescent="0.25">
      <c r="A102" s="6">
        <v>4225</v>
      </c>
      <c r="B102" s="18" t="s">
        <v>77</v>
      </c>
      <c r="C102" s="19" t="s">
        <v>84</v>
      </c>
      <c r="D102" s="19"/>
      <c r="E102" s="18">
        <v>2022</v>
      </c>
      <c r="F102" s="18" t="s">
        <v>79</v>
      </c>
      <c r="G102" s="18">
        <v>209</v>
      </c>
      <c r="H102" s="18">
        <v>50</v>
      </c>
      <c r="I102" s="18">
        <f>0.4362876*(1000)</f>
        <v>436.2876</v>
      </c>
    </row>
    <row r="103" spans="1:9" s="7" customFormat="1" ht="15.75" hidden="1" outlineLevel="1" x14ac:dyDescent="0.25">
      <c r="A103" s="6">
        <v>4226</v>
      </c>
      <c r="B103" s="18" t="s">
        <v>77</v>
      </c>
      <c r="C103" s="19" t="s">
        <v>84</v>
      </c>
      <c r="D103" s="19"/>
      <c r="E103" s="18">
        <v>2022</v>
      </c>
      <c r="F103" s="18" t="s">
        <v>79</v>
      </c>
      <c r="G103" s="18">
        <v>123</v>
      </c>
      <c r="H103" s="18">
        <v>12</v>
      </c>
      <c r="I103" s="18">
        <f>0.21825248*(1000)</f>
        <v>218.25247999999999</v>
      </c>
    </row>
    <row r="104" spans="1:9" s="7" customFormat="1" ht="15.75" hidden="1" outlineLevel="1" x14ac:dyDescent="0.25">
      <c r="A104" s="6">
        <v>4227</v>
      </c>
      <c r="B104" s="18" t="s">
        <v>77</v>
      </c>
      <c r="C104" s="19" t="s">
        <v>84</v>
      </c>
      <c r="D104" s="19"/>
      <c r="E104" s="18">
        <v>2022</v>
      </c>
      <c r="F104" s="18" t="s">
        <v>79</v>
      </c>
      <c r="G104" s="18">
        <v>210</v>
      </c>
      <c r="H104" s="18">
        <v>4.5</v>
      </c>
      <c r="I104" s="18">
        <f>0.29992875*(1000)</f>
        <v>299.92875000000004</v>
      </c>
    </row>
    <row r="105" spans="1:9" s="7" customFormat="1" ht="15.75" hidden="1" outlineLevel="1" x14ac:dyDescent="0.25">
      <c r="A105" s="6">
        <v>4229</v>
      </c>
      <c r="B105" s="18" t="s">
        <v>77</v>
      </c>
      <c r="C105" s="19" t="s">
        <v>84</v>
      </c>
      <c r="D105" s="19"/>
      <c r="E105" s="18">
        <v>2022</v>
      </c>
      <c r="F105" s="18" t="s">
        <v>79</v>
      </c>
      <c r="G105" s="18">
        <v>203</v>
      </c>
      <c r="H105" s="18">
        <v>25</v>
      </c>
      <c r="I105" s="18">
        <f>0.57383546*(1000)</f>
        <v>573.83546000000001</v>
      </c>
    </row>
    <row r="106" spans="1:9" s="7" customFormat="1" ht="15.75" hidden="1" outlineLevel="1" x14ac:dyDescent="0.25">
      <c r="A106" s="6">
        <v>2810</v>
      </c>
      <c r="B106" s="18" t="s">
        <v>77</v>
      </c>
      <c r="C106" s="19" t="s">
        <v>84</v>
      </c>
      <c r="D106" s="19"/>
      <c r="E106" s="18">
        <v>2022</v>
      </c>
      <c r="F106" s="18" t="s">
        <v>79</v>
      </c>
      <c r="G106" s="18">
        <v>170</v>
      </c>
      <c r="H106" s="18">
        <v>10</v>
      </c>
      <c r="I106" s="18">
        <f>0.200853*(1000)</f>
        <v>200.85300000000001</v>
      </c>
    </row>
    <row r="107" spans="1:9" s="7" customFormat="1" ht="15.75" hidden="1" outlineLevel="1" x14ac:dyDescent="0.25">
      <c r="A107" s="6">
        <v>2844</v>
      </c>
      <c r="B107" s="18" t="s">
        <v>77</v>
      </c>
      <c r="C107" s="19" t="s">
        <v>84</v>
      </c>
      <c r="D107" s="19"/>
      <c r="E107" s="18">
        <v>2022</v>
      </c>
      <c r="F107" s="18" t="s">
        <v>79</v>
      </c>
      <c r="G107" s="18">
        <v>140</v>
      </c>
      <c r="H107" s="18">
        <v>80</v>
      </c>
      <c r="I107" s="18">
        <f>0.164055*(1000)</f>
        <v>164.05500000000001</v>
      </c>
    </row>
    <row r="108" spans="1:9" s="7" customFormat="1" ht="15.75" hidden="1" outlineLevel="1" x14ac:dyDescent="0.25">
      <c r="A108" s="6">
        <v>2887</v>
      </c>
      <c r="B108" s="18" t="s">
        <v>77</v>
      </c>
      <c r="C108" s="19" t="s">
        <v>84</v>
      </c>
      <c r="D108" s="19"/>
      <c r="E108" s="18">
        <v>2022</v>
      </c>
      <c r="F108" s="18" t="s">
        <v>79</v>
      </c>
      <c r="G108" s="18">
        <v>101</v>
      </c>
      <c r="H108" s="18">
        <v>100</v>
      </c>
      <c r="I108" s="18">
        <f>0.123499*(1000)</f>
        <v>123.499</v>
      </c>
    </row>
    <row r="109" spans="1:9" s="7" customFormat="1" ht="15.75" hidden="1" outlineLevel="1" x14ac:dyDescent="0.25">
      <c r="A109" s="6">
        <v>2868</v>
      </c>
      <c r="B109" s="18" t="s">
        <v>77</v>
      </c>
      <c r="C109" s="19" t="s">
        <v>84</v>
      </c>
      <c r="D109" s="19"/>
      <c r="E109" s="18">
        <v>2022</v>
      </c>
      <c r="F109" s="18" t="s">
        <v>79</v>
      </c>
      <c r="G109" s="18">
        <v>11</v>
      </c>
      <c r="H109" s="18">
        <v>150</v>
      </c>
      <c r="I109" s="18">
        <f>0.050853*(1000)</f>
        <v>50.853000000000002</v>
      </c>
    </row>
    <row r="110" spans="1:9" s="7" customFormat="1" ht="15.75" hidden="1" outlineLevel="1" x14ac:dyDescent="0.25">
      <c r="A110" s="6">
        <v>3015</v>
      </c>
      <c r="B110" s="18" t="s">
        <v>77</v>
      </c>
      <c r="C110" s="19" t="s">
        <v>84</v>
      </c>
      <c r="D110" s="19"/>
      <c r="E110" s="18">
        <v>2022</v>
      </c>
      <c r="F110" s="18" t="s">
        <v>79</v>
      </c>
      <c r="G110" s="18">
        <v>533</v>
      </c>
      <c r="H110" s="18">
        <v>24</v>
      </c>
      <c r="I110" s="18">
        <f>0.796748*(1000)</f>
        <v>796.74800000000005</v>
      </c>
    </row>
    <row r="111" spans="1:9" s="7" customFormat="1" ht="15.75" hidden="1" outlineLevel="1" x14ac:dyDescent="0.25">
      <c r="A111" s="6">
        <v>3016</v>
      </c>
      <c r="B111" s="18" t="s">
        <v>77</v>
      </c>
      <c r="C111" s="19" t="s">
        <v>84</v>
      </c>
      <c r="D111" s="19"/>
      <c r="E111" s="18">
        <v>2022</v>
      </c>
      <c r="F111" s="18" t="s">
        <v>79</v>
      </c>
      <c r="G111" s="18">
        <v>388</v>
      </c>
      <c r="H111" s="18">
        <v>24</v>
      </c>
      <c r="I111" s="18">
        <f>0.612183*(1000)</f>
        <v>612.18299999999999</v>
      </c>
    </row>
    <row r="112" spans="1:9" s="7" customFormat="1" ht="15.75" hidden="1" outlineLevel="1" x14ac:dyDescent="0.25">
      <c r="A112" s="6">
        <v>4127</v>
      </c>
      <c r="B112" s="18" t="s">
        <v>77</v>
      </c>
      <c r="C112" s="19" t="s">
        <v>84</v>
      </c>
      <c r="D112" s="19"/>
      <c r="E112" s="18">
        <v>2022</v>
      </c>
      <c r="F112" s="18" t="s">
        <v>79</v>
      </c>
      <c r="G112" s="18">
        <v>24</v>
      </c>
      <c r="H112" s="18">
        <v>15</v>
      </c>
      <c r="I112" s="18">
        <v>196.947</v>
      </c>
    </row>
    <row r="113" spans="1:9" s="7" customFormat="1" ht="15.75" hidden="1" outlineLevel="1" x14ac:dyDescent="0.25">
      <c r="A113" s="6">
        <v>1488</v>
      </c>
      <c r="B113" s="18" t="s">
        <v>77</v>
      </c>
      <c r="C113" s="19" t="s">
        <v>84</v>
      </c>
      <c r="D113" s="20"/>
      <c r="E113" s="21">
        <v>2022</v>
      </c>
      <c r="F113" s="21" t="s">
        <v>79</v>
      </c>
      <c r="G113" s="22">
        <v>6</v>
      </c>
      <c r="H113" s="21">
        <v>50</v>
      </c>
      <c r="I113" s="21">
        <v>58.307679999999998</v>
      </c>
    </row>
    <row r="114" spans="1:9" s="7" customFormat="1" ht="15.75" hidden="1" outlineLevel="1" x14ac:dyDescent="0.25">
      <c r="A114" s="6">
        <v>1291</v>
      </c>
      <c r="B114" s="18" t="s">
        <v>77</v>
      </c>
      <c r="C114" s="19" t="s">
        <v>84</v>
      </c>
      <c r="D114" s="20"/>
      <c r="E114" s="21">
        <v>2022</v>
      </c>
      <c r="F114" s="21" t="s">
        <v>79</v>
      </c>
      <c r="G114" s="22">
        <v>27</v>
      </c>
      <c r="H114" s="21">
        <v>15</v>
      </c>
      <c r="I114" s="21">
        <v>98.850759999999994</v>
      </c>
    </row>
    <row r="115" spans="1:9" s="7" customFormat="1" ht="15.75" hidden="1" outlineLevel="1" x14ac:dyDescent="0.25">
      <c r="A115" s="6">
        <v>1079</v>
      </c>
      <c r="B115" s="18" t="s">
        <v>77</v>
      </c>
      <c r="C115" s="19" t="s">
        <v>84</v>
      </c>
      <c r="D115" s="20"/>
      <c r="E115" s="21">
        <v>2022</v>
      </c>
      <c r="F115" s="21" t="s">
        <v>79</v>
      </c>
      <c r="G115" s="22">
        <v>270</v>
      </c>
      <c r="H115" s="21">
        <v>35</v>
      </c>
      <c r="I115" s="21">
        <v>349.04273000000001</v>
      </c>
    </row>
    <row r="116" spans="1:9" s="7" customFormat="1" ht="15.75" hidden="1" outlineLevel="1" x14ac:dyDescent="0.25">
      <c r="A116" s="6">
        <v>1094</v>
      </c>
      <c r="B116" s="18" t="s">
        <v>77</v>
      </c>
      <c r="C116" s="19" t="s">
        <v>84</v>
      </c>
      <c r="D116" s="20"/>
      <c r="E116" s="21">
        <v>2022</v>
      </c>
      <c r="F116" s="21" t="s">
        <v>79</v>
      </c>
      <c r="G116" s="22">
        <v>54</v>
      </c>
      <c r="H116" s="21">
        <v>10</v>
      </c>
      <c r="I116" s="21">
        <v>129.69319999999999</v>
      </c>
    </row>
    <row r="117" spans="1:9" s="7" customFormat="1" ht="15.75" hidden="1" outlineLevel="1" x14ac:dyDescent="0.25">
      <c r="A117" s="6">
        <v>1138</v>
      </c>
      <c r="B117" s="18" t="s">
        <v>77</v>
      </c>
      <c r="C117" s="19" t="s">
        <v>84</v>
      </c>
      <c r="D117" s="20"/>
      <c r="E117" s="21">
        <v>2022</v>
      </c>
      <c r="F117" s="21" t="s">
        <v>79</v>
      </c>
      <c r="G117" s="22">
        <v>61</v>
      </c>
      <c r="H117" s="21">
        <v>10</v>
      </c>
      <c r="I117" s="21">
        <v>178.76346000000001</v>
      </c>
    </row>
    <row r="118" spans="1:9" s="7" customFormat="1" ht="15.75" hidden="1" outlineLevel="1" x14ac:dyDescent="0.25">
      <c r="A118" s="6">
        <v>1547</v>
      </c>
      <c r="B118" s="18" t="s">
        <v>77</v>
      </c>
      <c r="C118" s="19" t="s">
        <v>84</v>
      </c>
      <c r="D118" s="20"/>
      <c r="E118" s="21">
        <v>2022</v>
      </c>
      <c r="F118" s="21" t="s">
        <v>79</v>
      </c>
      <c r="G118" s="22">
        <v>495</v>
      </c>
      <c r="H118" s="21">
        <v>52</v>
      </c>
      <c r="I118" s="21">
        <v>564.81379000000004</v>
      </c>
    </row>
    <row r="119" spans="1:9" s="7" customFormat="1" ht="15.75" hidden="1" outlineLevel="1" x14ac:dyDescent="0.25">
      <c r="A119" s="6">
        <v>1135</v>
      </c>
      <c r="B119" s="18" t="s">
        <v>77</v>
      </c>
      <c r="C119" s="19" t="s">
        <v>84</v>
      </c>
      <c r="D119" s="20"/>
      <c r="E119" s="21">
        <v>2022</v>
      </c>
      <c r="F119" s="21" t="s">
        <v>79</v>
      </c>
      <c r="G119" s="22">
        <v>70</v>
      </c>
      <c r="H119" s="21">
        <v>0.5</v>
      </c>
      <c r="I119" s="21">
        <v>122.67453</v>
      </c>
    </row>
    <row r="120" spans="1:9" s="7" customFormat="1" ht="15.75" hidden="1" outlineLevel="1" x14ac:dyDescent="0.25">
      <c r="A120" s="6">
        <v>1105</v>
      </c>
      <c r="B120" s="18" t="s">
        <v>77</v>
      </c>
      <c r="C120" s="19" t="s">
        <v>84</v>
      </c>
      <c r="D120" s="20"/>
      <c r="E120" s="21">
        <v>2022</v>
      </c>
      <c r="F120" s="21" t="s">
        <v>79</v>
      </c>
      <c r="G120" s="22">
        <v>132</v>
      </c>
      <c r="H120" s="21">
        <v>8</v>
      </c>
      <c r="I120" s="21">
        <v>207.82971000000001</v>
      </c>
    </row>
    <row r="121" spans="1:9" s="7" customFormat="1" ht="15.75" hidden="1" outlineLevel="1" x14ac:dyDescent="0.25">
      <c r="A121" s="6">
        <v>1066</v>
      </c>
      <c r="B121" s="18" t="s">
        <v>77</v>
      </c>
      <c r="C121" s="19" t="s">
        <v>84</v>
      </c>
      <c r="D121" s="20"/>
      <c r="E121" s="21">
        <v>2022</v>
      </c>
      <c r="F121" s="21" t="s">
        <v>79</v>
      </c>
      <c r="G121" s="22">
        <v>368</v>
      </c>
      <c r="H121" s="21">
        <v>13</v>
      </c>
      <c r="I121" s="21">
        <v>483.03219000000001</v>
      </c>
    </row>
    <row r="122" spans="1:9" s="7" customFormat="1" ht="15.75" hidden="1" outlineLevel="1" x14ac:dyDescent="0.25">
      <c r="A122" s="6">
        <v>1358</v>
      </c>
      <c r="B122" s="18" t="s">
        <v>77</v>
      </c>
      <c r="C122" s="19" t="s">
        <v>84</v>
      </c>
      <c r="D122" s="87"/>
      <c r="E122" s="21">
        <v>2022</v>
      </c>
      <c r="F122" s="21" t="s">
        <v>79</v>
      </c>
      <c r="G122" s="22">
        <v>21</v>
      </c>
      <c r="H122" s="21">
        <v>15</v>
      </c>
      <c r="I122" s="23">
        <v>82.743279999999999</v>
      </c>
    </row>
    <row r="123" spans="1:9" s="7" customFormat="1" ht="15.75" hidden="1" outlineLevel="1" x14ac:dyDescent="0.25">
      <c r="A123" s="6">
        <v>1221</v>
      </c>
      <c r="B123" s="18" t="s">
        <v>77</v>
      </c>
      <c r="C123" s="19" t="s">
        <v>84</v>
      </c>
      <c r="D123" s="24"/>
      <c r="E123" s="21">
        <v>2022</v>
      </c>
      <c r="F123" s="21" t="s">
        <v>79</v>
      </c>
      <c r="G123" s="22">
        <v>15</v>
      </c>
      <c r="H123" s="21">
        <v>15</v>
      </c>
      <c r="I123" s="23">
        <v>72.833489999999998</v>
      </c>
    </row>
    <row r="124" spans="1:9" s="7" customFormat="1" ht="15.75" hidden="1" outlineLevel="1" x14ac:dyDescent="0.25">
      <c r="A124" s="6">
        <v>1195</v>
      </c>
      <c r="B124" s="18" t="s">
        <v>77</v>
      </c>
      <c r="C124" s="19" t="s">
        <v>84</v>
      </c>
      <c r="D124" s="24"/>
      <c r="E124" s="21">
        <v>2022</v>
      </c>
      <c r="F124" s="21" t="s">
        <v>79</v>
      </c>
      <c r="G124" s="22">
        <v>72</v>
      </c>
      <c r="H124" s="21">
        <v>15</v>
      </c>
      <c r="I124" s="23">
        <v>184.59378000000001</v>
      </c>
    </row>
    <row r="125" spans="1:9" s="7" customFormat="1" ht="15.75" hidden="1" outlineLevel="1" x14ac:dyDescent="0.25">
      <c r="A125" s="6">
        <v>1316</v>
      </c>
      <c r="B125" s="18" t="s">
        <v>77</v>
      </c>
      <c r="C125" s="19" t="s">
        <v>84</v>
      </c>
      <c r="D125" s="24"/>
      <c r="E125" s="21">
        <v>2022</v>
      </c>
      <c r="F125" s="21" t="s">
        <v>79</v>
      </c>
      <c r="G125" s="22">
        <v>513</v>
      </c>
      <c r="H125" s="21">
        <v>50</v>
      </c>
      <c r="I125" s="23">
        <v>680.32929999999999</v>
      </c>
    </row>
    <row r="126" spans="1:9" s="7" customFormat="1" ht="15.75" hidden="1" outlineLevel="1" x14ac:dyDescent="0.25">
      <c r="A126" s="6">
        <v>1465</v>
      </c>
      <c r="B126" s="18" t="s">
        <v>77</v>
      </c>
      <c r="C126" s="19" t="s">
        <v>84</v>
      </c>
      <c r="D126" s="25"/>
      <c r="E126" s="21">
        <v>2022</v>
      </c>
      <c r="F126" s="21" t="s">
        <v>79</v>
      </c>
      <c r="G126" s="22">
        <v>5</v>
      </c>
      <c r="H126" s="21">
        <v>15</v>
      </c>
      <c r="I126" s="23">
        <v>65.031700000000001</v>
      </c>
    </row>
    <row r="127" spans="1:9" s="7" customFormat="1" ht="15.75" hidden="1" outlineLevel="1" x14ac:dyDescent="0.25">
      <c r="A127" s="6">
        <v>1466</v>
      </c>
      <c r="B127" s="18" t="s">
        <v>77</v>
      </c>
      <c r="C127" s="19" t="s">
        <v>84</v>
      </c>
      <c r="D127" s="25"/>
      <c r="E127" s="21">
        <v>2022</v>
      </c>
      <c r="F127" s="21" t="s">
        <v>79</v>
      </c>
      <c r="G127" s="22">
        <v>471</v>
      </c>
      <c r="H127" s="21">
        <v>15</v>
      </c>
      <c r="I127" s="23">
        <v>944.27883999999995</v>
      </c>
    </row>
    <row r="128" spans="1:9" s="7" customFormat="1" ht="15.75" hidden="1" outlineLevel="1" x14ac:dyDescent="0.25">
      <c r="A128" s="6">
        <v>1467</v>
      </c>
      <c r="B128" s="18" t="s">
        <v>77</v>
      </c>
      <c r="C128" s="19" t="s">
        <v>84</v>
      </c>
      <c r="D128" s="20"/>
      <c r="E128" s="21">
        <v>2022</v>
      </c>
      <c r="F128" s="21" t="s">
        <v>79</v>
      </c>
      <c r="G128" s="22">
        <v>6</v>
      </c>
      <c r="H128" s="21">
        <v>15</v>
      </c>
      <c r="I128" s="26">
        <v>49.929139999999997</v>
      </c>
    </row>
    <row r="129" spans="1:9" s="7" customFormat="1" ht="15.75" hidden="1" outlineLevel="1" x14ac:dyDescent="0.25">
      <c r="A129" s="6">
        <v>1230</v>
      </c>
      <c r="B129" s="18" t="s">
        <v>77</v>
      </c>
      <c r="C129" s="19" t="s">
        <v>84</v>
      </c>
      <c r="D129" s="20"/>
      <c r="E129" s="21">
        <v>2022</v>
      </c>
      <c r="F129" s="21" t="s">
        <v>79</v>
      </c>
      <c r="G129" s="22">
        <v>6</v>
      </c>
      <c r="H129" s="21">
        <v>1</v>
      </c>
      <c r="I129" s="26">
        <v>26.53492</v>
      </c>
    </row>
    <row r="130" spans="1:9" s="7" customFormat="1" ht="15.75" hidden="1" outlineLevel="1" x14ac:dyDescent="0.25">
      <c r="A130" s="6">
        <v>1431</v>
      </c>
      <c r="B130" s="18" t="s">
        <v>77</v>
      </c>
      <c r="C130" s="19" t="s">
        <v>84</v>
      </c>
      <c r="D130" s="168"/>
      <c r="E130" s="21">
        <v>2022</v>
      </c>
      <c r="F130" s="21" t="s">
        <v>79</v>
      </c>
      <c r="G130" s="22">
        <v>301</v>
      </c>
      <c r="H130" s="21">
        <v>10</v>
      </c>
      <c r="I130" s="26">
        <v>457.78095000000002</v>
      </c>
    </row>
    <row r="131" spans="1:9" s="7" customFormat="1" ht="15.75" hidden="1" outlineLevel="1" x14ac:dyDescent="0.25">
      <c r="A131" s="6">
        <v>1432</v>
      </c>
      <c r="B131" s="18" t="s">
        <v>77</v>
      </c>
      <c r="C131" s="19" t="s">
        <v>84</v>
      </c>
      <c r="D131" s="168"/>
      <c r="E131" s="21">
        <v>2022</v>
      </c>
      <c r="F131" s="21" t="s">
        <v>79</v>
      </c>
      <c r="G131" s="22">
        <v>369</v>
      </c>
      <c r="H131" s="21">
        <v>10</v>
      </c>
      <c r="I131" s="26">
        <v>516.13333999999998</v>
      </c>
    </row>
    <row r="132" spans="1:9" s="7" customFormat="1" ht="15.75" hidden="1" outlineLevel="1" x14ac:dyDescent="0.25">
      <c r="A132" s="6">
        <v>1546</v>
      </c>
      <c r="B132" s="18" t="s">
        <v>77</v>
      </c>
      <c r="C132" s="19" t="s">
        <v>84</v>
      </c>
      <c r="D132" s="168"/>
      <c r="E132" s="21">
        <v>2022</v>
      </c>
      <c r="F132" s="21" t="s">
        <v>79</v>
      </c>
      <c r="G132" s="22">
        <v>730</v>
      </c>
      <c r="H132" s="21">
        <v>10</v>
      </c>
      <c r="I132" s="26">
        <v>1210.0360900000001</v>
      </c>
    </row>
    <row r="133" spans="1:9" s="7" customFormat="1" ht="15.75" hidden="1" outlineLevel="1" x14ac:dyDescent="0.25">
      <c r="A133" s="6">
        <v>1592</v>
      </c>
      <c r="B133" s="18" t="s">
        <v>77</v>
      </c>
      <c r="C133" s="19" t="s">
        <v>84</v>
      </c>
      <c r="D133" s="27"/>
      <c r="E133" s="21">
        <v>2022</v>
      </c>
      <c r="F133" s="21" t="s">
        <v>79</v>
      </c>
      <c r="G133" s="22">
        <v>10</v>
      </c>
      <c r="H133" s="21">
        <v>30</v>
      </c>
      <c r="I133" s="26">
        <v>55.217120000000001</v>
      </c>
    </row>
    <row r="134" spans="1:9" s="7" customFormat="1" ht="15.75" hidden="1" outlineLevel="1" x14ac:dyDescent="0.25">
      <c r="A134" s="6">
        <v>1374</v>
      </c>
      <c r="B134" s="18" t="s">
        <v>77</v>
      </c>
      <c r="C134" s="19" t="s">
        <v>84</v>
      </c>
      <c r="D134" s="27"/>
      <c r="E134" s="21">
        <v>2022</v>
      </c>
      <c r="F134" s="21" t="s">
        <v>79</v>
      </c>
      <c r="G134" s="22">
        <v>490</v>
      </c>
      <c r="H134" s="21">
        <v>15</v>
      </c>
      <c r="I134" s="26">
        <v>531.60736999999995</v>
      </c>
    </row>
    <row r="135" spans="1:9" s="7" customFormat="1" ht="15.75" hidden="1" outlineLevel="1" x14ac:dyDescent="0.25">
      <c r="A135" s="6">
        <v>1196</v>
      </c>
      <c r="B135" s="18" t="s">
        <v>77</v>
      </c>
      <c r="C135" s="19" t="s">
        <v>84</v>
      </c>
      <c r="D135" s="27"/>
      <c r="E135" s="21">
        <v>2022</v>
      </c>
      <c r="F135" s="21" t="s">
        <v>79</v>
      </c>
      <c r="G135" s="22">
        <v>6</v>
      </c>
      <c r="H135" s="21">
        <v>15</v>
      </c>
      <c r="I135" s="26">
        <v>67.540199999999999</v>
      </c>
    </row>
    <row r="136" spans="1:9" s="7" customFormat="1" ht="15.75" hidden="1" outlineLevel="1" x14ac:dyDescent="0.25">
      <c r="A136" s="6">
        <v>1590</v>
      </c>
      <c r="B136" s="18" t="s">
        <v>77</v>
      </c>
      <c r="C136" s="19" t="s">
        <v>84</v>
      </c>
      <c r="D136" s="27"/>
      <c r="E136" s="21">
        <v>2022</v>
      </c>
      <c r="F136" s="21" t="s">
        <v>79</v>
      </c>
      <c r="G136" s="22">
        <v>120</v>
      </c>
      <c r="H136" s="21">
        <v>30</v>
      </c>
      <c r="I136" s="26">
        <v>203.51443</v>
      </c>
    </row>
    <row r="137" spans="1:9" s="7" customFormat="1" ht="15.75" hidden="1" outlineLevel="1" x14ac:dyDescent="0.25">
      <c r="A137" s="6">
        <v>1150</v>
      </c>
      <c r="B137" s="18" t="s">
        <v>77</v>
      </c>
      <c r="C137" s="19" t="s">
        <v>84</v>
      </c>
      <c r="D137" s="27"/>
      <c r="E137" s="21">
        <v>2022</v>
      </c>
      <c r="F137" s="21" t="s">
        <v>79</v>
      </c>
      <c r="G137" s="22">
        <v>10</v>
      </c>
      <c r="H137" s="21">
        <v>15</v>
      </c>
      <c r="I137" s="26">
        <v>67.14</v>
      </c>
    </row>
    <row r="138" spans="1:9" s="7" customFormat="1" ht="15.75" hidden="1" outlineLevel="1" x14ac:dyDescent="0.25">
      <c r="A138" s="6">
        <v>1591</v>
      </c>
      <c r="B138" s="18" t="s">
        <v>77</v>
      </c>
      <c r="C138" s="19" t="s">
        <v>84</v>
      </c>
      <c r="D138" s="27"/>
      <c r="E138" s="21">
        <v>2022</v>
      </c>
      <c r="F138" s="21" t="s">
        <v>79</v>
      </c>
      <c r="G138" s="22">
        <v>7</v>
      </c>
      <c r="H138" s="21">
        <v>25</v>
      </c>
      <c r="I138" s="26">
        <v>60.606380000000001</v>
      </c>
    </row>
    <row r="139" spans="1:9" s="7" customFormat="1" ht="15.75" hidden="1" outlineLevel="1" x14ac:dyDescent="0.25">
      <c r="A139" s="6">
        <v>1589</v>
      </c>
      <c r="B139" s="18" t="s">
        <v>77</v>
      </c>
      <c r="C139" s="19" t="s">
        <v>84</v>
      </c>
      <c r="D139" s="27"/>
      <c r="E139" s="21">
        <v>2022</v>
      </c>
      <c r="F139" s="21" t="s">
        <v>79</v>
      </c>
      <c r="G139" s="22">
        <v>7</v>
      </c>
      <c r="H139" s="21">
        <v>100.6</v>
      </c>
      <c r="I139" s="26">
        <v>52.821129999999997</v>
      </c>
    </row>
    <row r="140" spans="1:9" s="7" customFormat="1" ht="15.75" hidden="1" outlineLevel="1" x14ac:dyDescent="0.25">
      <c r="A140" s="6">
        <v>1162</v>
      </c>
      <c r="B140" s="18" t="s">
        <v>77</v>
      </c>
      <c r="C140" s="19" t="s">
        <v>84</v>
      </c>
      <c r="D140" s="27"/>
      <c r="E140" s="21">
        <v>2022</v>
      </c>
      <c r="F140" s="21" t="s">
        <v>79</v>
      </c>
      <c r="G140" s="22">
        <v>6</v>
      </c>
      <c r="H140" s="21">
        <v>15</v>
      </c>
      <c r="I140" s="26">
        <v>61.047179999999997</v>
      </c>
    </row>
    <row r="141" spans="1:9" s="7" customFormat="1" ht="15.75" hidden="1" outlineLevel="1" x14ac:dyDescent="0.25">
      <c r="A141" s="6">
        <v>1335</v>
      </c>
      <c r="B141" s="18" t="s">
        <v>77</v>
      </c>
      <c r="C141" s="19" t="s">
        <v>84</v>
      </c>
      <c r="D141" s="169"/>
      <c r="E141" s="21">
        <v>2022</v>
      </c>
      <c r="F141" s="21" t="s">
        <v>79</v>
      </c>
      <c r="G141" s="28">
        <v>30</v>
      </c>
      <c r="H141" s="21">
        <v>15</v>
      </c>
      <c r="I141" s="29">
        <v>65.526439999999994</v>
      </c>
    </row>
    <row r="142" spans="1:9" s="7" customFormat="1" ht="15.75" hidden="1" outlineLevel="1" x14ac:dyDescent="0.25">
      <c r="A142" s="6">
        <v>1519</v>
      </c>
      <c r="B142" s="18" t="s">
        <v>77</v>
      </c>
      <c r="C142" s="19" t="s">
        <v>84</v>
      </c>
      <c r="D142" s="169"/>
      <c r="E142" s="21">
        <v>2022</v>
      </c>
      <c r="F142" s="21" t="s">
        <v>79</v>
      </c>
      <c r="G142" s="28">
        <v>16</v>
      </c>
      <c r="H142" s="21">
        <v>15</v>
      </c>
      <c r="I142" s="29">
        <v>77.717740000000006</v>
      </c>
    </row>
    <row r="143" spans="1:9" s="7" customFormat="1" ht="15.75" hidden="1" outlineLevel="1" x14ac:dyDescent="0.25">
      <c r="A143" s="6">
        <v>1038</v>
      </c>
      <c r="B143" s="18" t="s">
        <v>77</v>
      </c>
      <c r="C143" s="19" t="s">
        <v>84</v>
      </c>
      <c r="D143" s="30"/>
      <c r="E143" s="21">
        <v>2022</v>
      </c>
      <c r="F143" s="21" t="s">
        <v>79</v>
      </c>
      <c r="G143" s="28">
        <v>35</v>
      </c>
      <c r="H143" s="21">
        <v>8</v>
      </c>
      <c r="I143" s="29">
        <v>121.66546</v>
      </c>
    </row>
    <row r="144" spans="1:9" s="7" customFormat="1" ht="15.75" hidden="1" outlineLevel="1" x14ac:dyDescent="0.25">
      <c r="A144" s="6">
        <v>1110</v>
      </c>
      <c r="B144" s="18" t="s">
        <v>77</v>
      </c>
      <c r="C144" s="19" t="s">
        <v>84</v>
      </c>
      <c r="D144" s="169"/>
      <c r="E144" s="21">
        <v>2022</v>
      </c>
      <c r="F144" s="21" t="s">
        <v>79</v>
      </c>
      <c r="G144" s="28">
        <v>125</v>
      </c>
      <c r="H144" s="21">
        <v>15</v>
      </c>
      <c r="I144" s="29">
        <v>263.42653000000001</v>
      </c>
    </row>
    <row r="145" spans="1:9" s="7" customFormat="1" ht="15.75" hidden="1" outlineLevel="1" x14ac:dyDescent="0.25">
      <c r="A145" s="6">
        <v>1039</v>
      </c>
      <c r="B145" s="18" t="s">
        <v>77</v>
      </c>
      <c r="C145" s="19" t="s">
        <v>84</v>
      </c>
      <c r="D145" s="30"/>
      <c r="E145" s="21">
        <v>2022</v>
      </c>
      <c r="F145" s="21" t="s">
        <v>79</v>
      </c>
      <c r="G145" s="28">
        <v>190</v>
      </c>
      <c r="H145" s="21">
        <v>10</v>
      </c>
      <c r="I145" s="29">
        <v>278.64314999999999</v>
      </c>
    </row>
    <row r="146" spans="1:9" s="7" customFormat="1" ht="15.75" hidden="1" outlineLevel="1" x14ac:dyDescent="0.25">
      <c r="A146" s="6">
        <v>1104</v>
      </c>
      <c r="B146" s="18" t="s">
        <v>77</v>
      </c>
      <c r="C146" s="19" t="s">
        <v>84</v>
      </c>
      <c r="D146" s="169"/>
      <c r="E146" s="21">
        <v>2022</v>
      </c>
      <c r="F146" s="21" t="s">
        <v>79</v>
      </c>
      <c r="G146" s="28">
        <v>90</v>
      </c>
      <c r="H146" s="21">
        <v>10</v>
      </c>
      <c r="I146" s="29">
        <v>134.97262000000001</v>
      </c>
    </row>
    <row r="147" spans="1:9" s="7" customFormat="1" ht="15.75" hidden="1" outlineLevel="1" x14ac:dyDescent="0.25">
      <c r="A147" s="6">
        <v>1469</v>
      </c>
      <c r="B147" s="18" t="s">
        <v>77</v>
      </c>
      <c r="C147" s="19" t="s">
        <v>84</v>
      </c>
      <c r="D147" s="169"/>
      <c r="E147" s="21">
        <v>2022</v>
      </c>
      <c r="F147" s="21" t="s">
        <v>79</v>
      </c>
      <c r="G147" s="28">
        <v>30</v>
      </c>
      <c r="H147" s="21">
        <v>15</v>
      </c>
      <c r="I147" s="29">
        <v>82.092389999999995</v>
      </c>
    </row>
    <row r="148" spans="1:9" s="7" customFormat="1" ht="15.75" hidden="1" outlineLevel="1" x14ac:dyDescent="0.25">
      <c r="A148" s="6">
        <v>1434</v>
      </c>
      <c r="B148" s="18" t="s">
        <v>77</v>
      </c>
      <c r="C148" s="19" t="s">
        <v>84</v>
      </c>
      <c r="D148" s="169"/>
      <c r="E148" s="21">
        <v>2022</v>
      </c>
      <c r="F148" s="21" t="s">
        <v>79</v>
      </c>
      <c r="G148" s="28">
        <v>6</v>
      </c>
      <c r="H148" s="21">
        <v>25</v>
      </c>
      <c r="I148" s="29">
        <v>79.259</v>
      </c>
    </row>
    <row r="149" spans="1:9" s="7" customFormat="1" ht="15.75" hidden="1" outlineLevel="1" x14ac:dyDescent="0.25">
      <c r="A149" s="6">
        <v>1050</v>
      </c>
      <c r="B149" s="18" t="s">
        <v>77</v>
      </c>
      <c r="C149" s="19" t="s">
        <v>84</v>
      </c>
      <c r="D149" s="169"/>
      <c r="E149" s="21">
        <v>2022</v>
      </c>
      <c r="F149" s="21" t="s">
        <v>79</v>
      </c>
      <c r="G149" s="28">
        <v>60</v>
      </c>
      <c r="H149" s="21">
        <v>15</v>
      </c>
      <c r="I149" s="29">
        <v>124.62909000000001</v>
      </c>
    </row>
    <row r="150" spans="1:9" s="7" customFormat="1" ht="15.75" hidden="1" outlineLevel="1" x14ac:dyDescent="0.25">
      <c r="A150" s="6">
        <v>1109</v>
      </c>
      <c r="B150" s="18" t="s">
        <v>77</v>
      </c>
      <c r="C150" s="19" t="s">
        <v>84</v>
      </c>
      <c r="D150" s="169"/>
      <c r="E150" s="21">
        <v>2022</v>
      </c>
      <c r="F150" s="21" t="s">
        <v>79</v>
      </c>
      <c r="G150" s="28">
        <v>80</v>
      </c>
      <c r="H150" s="21">
        <v>5</v>
      </c>
      <c r="I150" s="29">
        <v>193.83853999999999</v>
      </c>
    </row>
    <row r="151" spans="1:9" s="7" customFormat="1" ht="15.75" hidden="1" outlineLevel="1" x14ac:dyDescent="0.25">
      <c r="A151" s="6">
        <v>1490</v>
      </c>
      <c r="B151" s="18" t="s">
        <v>77</v>
      </c>
      <c r="C151" s="19" t="s">
        <v>84</v>
      </c>
      <c r="D151" s="169"/>
      <c r="E151" s="21">
        <v>2022</v>
      </c>
      <c r="F151" s="21" t="s">
        <v>79</v>
      </c>
      <c r="G151" s="28">
        <v>96</v>
      </c>
      <c r="H151" s="21">
        <v>80</v>
      </c>
      <c r="I151" s="29">
        <v>222.73652000000001</v>
      </c>
    </row>
    <row r="152" spans="1:9" s="7" customFormat="1" ht="15.75" hidden="1" outlineLevel="1" x14ac:dyDescent="0.25">
      <c r="A152" s="6">
        <v>1054</v>
      </c>
      <c r="B152" s="18" t="s">
        <v>77</v>
      </c>
      <c r="C152" s="19" t="s">
        <v>84</v>
      </c>
      <c r="D152" s="30"/>
      <c r="E152" s="21">
        <v>2022</v>
      </c>
      <c r="F152" s="21" t="s">
        <v>79</v>
      </c>
      <c r="G152" s="28">
        <v>532</v>
      </c>
      <c r="H152" s="21">
        <v>10</v>
      </c>
      <c r="I152" s="29">
        <v>724.92328999999995</v>
      </c>
    </row>
    <row r="153" spans="1:9" s="7" customFormat="1" ht="15.75" hidden="1" outlineLevel="1" x14ac:dyDescent="0.25">
      <c r="A153" s="6">
        <v>1040</v>
      </c>
      <c r="B153" s="18" t="s">
        <v>77</v>
      </c>
      <c r="C153" s="19" t="s">
        <v>84</v>
      </c>
      <c r="D153" s="30"/>
      <c r="E153" s="21">
        <v>2022</v>
      </c>
      <c r="F153" s="21" t="s">
        <v>79</v>
      </c>
      <c r="G153" s="28">
        <v>70</v>
      </c>
      <c r="H153" s="21">
        <v>10</v>
      </c>
      <c r="I153" s="29">
        <v>209.29751999999999</v>
      </c>
    </row>
    <row r="154" spans="1:9" s="7" customFormat="1" ht="15.75" hidden="1" outlineLevel="1" x14ac:dyDescent="0.25">
      <c r="A154" s="6">
        <v>1520</v>
      </c>
      <c r="B154" s="18" t="s">
        <v>77</v>
      </c>
      <c r="C154" s="19" t="s">
        <v>84</v>
      </c>
      <c r="D154" s="169"/>
      <c r="E154" s="21">
        <v>2022</v>
      </c>
      <c r="F154" s="21" t="s">
        <v>79</v>
      </c>
      <c r="G154" s="28">
        <v>6</v>
      </c>
      <c r="H154" s="21">
        <v>50</v>
      </c>
      <c r="I154" s="29">
        <v>162.46024</v>
      </c>
    </row>
    <row r="155" spans="1:9" s="7" customFormat="1" ht="15.75" hidden="1" outlineLevel="1" x14ac:dyDescent="0.25">
      <c r="A155" s="6">
        <v>1329</v>
      </c>
      <c r="B155" s="18" t="s">
        <v>77</v>
      </c>
      <c r="C155" s="19" t="s">
        <v>84</v>
      </c>
      <c r="D155" s="169"/>
      <c r="E155" s="21">
        <v>2022</v>
      </c>
      <c r="F155" s="21" t="s">
        <v>79</v>
      </c>
      <c r="G155" s="28">
        <v>22</v>
      </c>
      <c r="H155" s="21">
        <v>15</v>
      </c>
      <c r="I155" s="29">
        <v>102.10052</v>
      </c>
    </row>
    <row r="156" spans="1:9" s="7" customFormat="1" ht="15.75" hidden="1" outlineLevel="1" x14ac:dyDescent="0.25">
      <c r="A156" s="6">
        <v>1254</v>
      </c>
      <c r="B156" s="18" t="s">
        <v>77</v>
      </c>
      <c r="C156" s="19" t="s">
        <v>84</v>
      </c>
      <c r="D156" s="169"/>
      <c r="E156" s="21">
        <v>2022</v>
      </c>
      <c r="F156" s="21" t="s">
        <v>79</v>
      </c>
      <c r="G156" s="28">
        <v>90</v>
      </c>
      <c r="H156" s="21">
        <v>70</v>
      </c>
      <c r="I156" s="29">
        <v>207.93158</v>
      </c>
    </row>
    <row r="157" spans="1:9" s="7" customFormat="1" ht="15.75" hidden="1" outlineLevel="1" x14ac:dyDescent="0.25">
      <c r="A157" s="6">
        <v>1309</v>
      </c>
      <c r="B157" s="18" t="s">
        <v>77</v>
      </c>
      <c r="C157" s="19" t="s">
        <v>84</v>
      </c>
      <c r="D157" s="24"/>
      <c r="E157" s="21">
        <v>2022</v>
      </c>
      <c r="F157" s="21" t="s">
        <v>79</v>
      </c>
      <c r="G157" s="28">
        <v>20</v>
      </c>
      <c r="H157" s="21">
        <v>10</v>
      </c>
      <c r="I157" s="29">
        <v>69.370990000000006</v>
      </c>
    </row>
    <row r="158" spans="1:9" s="7" customFormat="1" ht="15.75" hidden="1" outlineLevel="1" x14ac:dyDescent="0.25">
      <c r="A158" s="6">
        <v>1170</v>
      </c>
      <c r="B158" s="18" t="s">
        <v>77</v>
      </c>
      <c r="C158" s="19" t="s">
        <v>84</v>
      </c>
      <c r="D158" s="24"/>
      <c r="E158" s="21">
        <v>2022</v>
      </c>
      <c r="F158" s="21" t="s">
        <v>79</v>
      </c>
      <c r="G158" s="28">
        <v>32</v>
      </c>
      <c r="H158" s="21">
        <v>15</v>
      </c>
      <c r="I158" s="29">
        <v>93.180710000000005</v>
      </c>
    </row>
    <row r="159" spans="1:9" s="7" customFormat="1" ht="15.75" hidden="1" outlineLevel="1" x14ac:dyDescent="0.25">
      <c r="A159" s="6">
        <v>1397</v>
      </c>
      <c r="B159" s="18" t="s">
        <v>77</v>
      </c>
      <c r="C159" s="19" t="s">
        <v>84</v>
      </c>
      <c r="D159" s="24"/>
      <c r="E159" s="21">
        <v>2022</v>
      </c>
      <c r="F159" s="21" t="s">
        <v>79</v>
      </c>
      <c r="G159" s="28">
        <v>32</v>
      </c>
      <c r="H159" s="21">
        <v>15</v>
      </c>
      <c r="I159" s="29">
        <v>84.193770000000001</v>
      </c>
    </row>
    <row r="160" spans="1:9" s="7" customFormat="1" ht="15.75" hidden="1" outlineLevel="1" x14ac:dyDescent="0.25">
      <c r="A160" s="6">
        <v>1450</v>
      </c>
      <c r="B160" s="18" t="s">
        <v>77</v>
      </c>
      <c r="C160" s="19" t="s">
        <v>84</v>
      </c>
      <c r="D160" s="24"/>
      <c r="E160" s="21">
        <v>2022</v>
      </c>
      <c r="F160" s="21" t="s">
        <v>79</v>
      </c>
      <c r="G160" s="28">
        <v>97</v>
      </c>
      <c r="H160" s="21">
        <v>15</v>
      </c>
      <c r="I160" s="29">
        <v>181.66131999999999</v>
      </c>
    </row>
    <row r="161" spans="1:9" s="7" customFormat="1" ht="15.75" hidden="1" outlineLevel="1" x14ac:dyDescent="0.25">
      <c r="A161" s="6">
        <v>1242</v>
      </c>
      <c r="B161" s="18" t="s">
        <v>77</v>
      </c>
      <c r="C161" s="19" t="s">
        <v>84</v>
      </c>
      <c r="D161" s="24"/>
      <c r="E161" s="21">
        <v>2022</v>
      </c>
      <c r="F161" s="21" t="s">
        <v>79</v>
      </c>
      <c r="G161" s="28">
        <v>17</v>
      </c>
      <c r="H161" s="21">
        <v>15</v>
      </c>
      <c r="I161" s="29">
        <v>76.44838</v>
      </c>
    </row>
    <row r="162" spans="1:9" s="7" customFormat="1" ht="15.75" hidden="1" outlineLevel="1" x14ac:dyDescent="0.25">
      <c r="A162" s="6">
        <v>1093</v>
      </c>
      <c r="B162" s="18" t="s">
        <v>77</v>
      </c>
      <c r="C162" s="19" t="s">
        <v>84</v>
      </c>
      <c r="D162" s="24"/>
      <c r="E162" s="21">
        <v>2022</v>
      </c>
      <c r="F162" s="21" t="s">
        <v>79</v>
      </c>
      <c r="G162" s="28">
        <v>90</v>
      </c>
      <c r="H162" s="21">
        <v>10</v>
      </c>
      <c r="I162" s="29">
        <v>132.26285999999999</v>
      </c>
    </row>
    <row r="163" spans="1:9" s="7" customFormat="1" ht="15.75" hidden="1" outlineLevel="1" x14ac:dyDescent="0.25">
      <c r="A163" s="6">
        <v>1095</v>
      </c>
      <c r="B163" s="18" t="s">
        <v>77</v>
      </c>
      <c r="C163" s="19" t="s">
        <v>84</v>
      </c>
      <c r="D163" s="24"/>
      <c r="E163" s="21">
        <v>2022</v>
      </c>
      <c r="F163" s="21" t="s">
        <v>79</v>
      </c>
      <c r="G163" s="28">
        <v>74</v>
      </c>
      <c r="H163" s="21">
        <v>15</v>
      </c>
      <c r="I163" s="29">
        <v>160.95400000000001</v>
      </c>
    </row>
    <row r="164" spans="1:9" s="7" customFormat="1" ht="15.75" hidden="1" outlineLevel="1" x14ac:dyDescent="0.25">
      <c r="A164" s="6">
        <v>1449</v>
      </c>
      <c r="B164" s="18" t="s">
        <v>77</v>
      </c>
      <c r="C164" s="19" t="s">
        <v>84</v>
      </c>
      <c r="D164" s="87"/>
      <c r="E164" s="21">
        <v>2022</v>
      </c>
      <c r="F164" s="21" t="s">
        <v>79</v>
      </c>
      <c r="G164" s="28">
        <v>31</v>
      </c>
      <c r="H164" s="21">
        <v>14</v>
      </c>
      <c r="I164" s="29">
        <v>104.49771</v>
      </c>
    </row>
    <row r="165" spans="1:9" s="7" customFormat="1" ht="15.75" hidden="1" outlineLevel="1" x14ac:dyDescent="0.25">
      <c r="A165" s="6">
        <v>1139</v>
      </c>
      <c r="B165" s="18" t="s">
        <v>77</v>
      </c>
      <c r="C165" s="19" t="s">
        <v>84</v>
      </c>
      <c r="D165" s="87"/>
      <c r="E165" s="21">
        <v>2022</v>
      </c>
      <c r="F165" s="21" t="s">
        <v>79</v>
      </c>
      <c r="G165" s="28">
        <v>30</v>
      </c>
      <c r="H165" s="21">
        <v>10</v>
      </c>
      <c r="I165" s="29">
        <v>124.80813000000001</v>
      </c>
    </row>
    <row r="166" spans="1:9" s="7" customFormat="1" ht="15.75" hidden="1" outlineLevel="1" x14ac:dyDescent="0.25">
      <c r="A166" s="6">
        <v>1128</v>
      </c>
      <c r="B166" s="18" t="s">
        <v>77</v>
      </c>
      <c r="C166" s="19" t="s">
        <v>84</v>
      </c>
      <c r="D166" s="24"/>
      <c r="E166" s="21">
        <v>2022</v>
      </c>
      <c r="F166" s="21" t="s">
        <v>79</v>
      </c>
      <c r="G166" s="28">
        <v>62</v>
      </c>
      <c r="H166" s="21">
        <v>15</v>
      </c>
      <c r="I166" s="29">
        <v>156.12772000000001</v>
      </c>
    </row>
    <row r="167" spans="1:9" s="7" customFormat="1" ht="15.75" hidden="1" outlineLevel="1" x14ac:dyDescent="0.25">
      <c r="A167" s="6">
        <v>1183</v>
      </c>
      <c r="B167" s="18" t="s">
        <v>77</v>
      </c>
      <c r="C167" s="19" t="s">
        <v>84</v>
      </c>
      <c r="D167" s="87"/>
      <c r="E167" s="21">
        <v>2022</v>
      </c>
      <c r="F167" s="21" t="s">
        <v>79</v>
      </c>
      <c r="G167" s="28">
        <v>462</v>
      </c>
      <c r="H167" s="21">
        <v>30</v>
      </c>
      <c r="I167" s="29">
        <v>523.42544999999996</v>
      </c>
    </row>
    <row r="168" spans="1:9" s="7" customFormat="1" ht="15.75" hidden="1" outlineLevel="1" x14ac:dyDescent="0.25">
      <c r="A168" s="6">
        <v>1468</v>
      </c>
      <c r="B168" s="18" t="s">
        <v>77</v>
      </c>
      <c r="C168" s="19" t="s">
        <v>84</v>
      </c>
      <c r="D168" s="168"/>
      <c r="E168" s="21">
        <v>2022</v>
      </c>
      <c r="F168" s="21" t="s">
        <v>79</v>
      </c>
      <c r="G168" s="28">
        <v>30</v>
      </c>
      <c r="H168" s="21">
        <v>10</v>
      </c>
      <c r="I168" s="29">
        <v>81.782709999999994</v>
      </c>
    </row>
    <row r="169" spans="1:9" s="7" customFormat="1" ht="15.75" hidden="1" outlineLevel="1" x14ac:dyDescent="0.25">
      <c r="A169" s="6">
        <v>1719</v>
      </c>
      <c r="B169" s="18" t="s">
        <v>77</v>
      </c>
      <c r="C169" s="19" t="s">
        <v>84</v>
      </c>
      <c r="D169" s="168"/>
      <c r="E169" s="21">
        <v>2022</v>
      </c>
      <c r="F169" s="21" t="s">
        <v>79</v>
      </c>
      <c r="G169" s="28">
        <v>430</v>
      </c>
      <c r="H169" s="21">
        <v>15</v>
      </c>
      <c r="I169" s="29">
        <v>874.45014000000003</v>
      </c>
    </row>
    <row r="170" spans="1:9" s="7" customFormat="1" ht="15.75" hidden="1" outlineLevel="1" x14ac:dyDescent="0.25">
      <c r="A170" s="6">
        <v>1229</v>
      </c>
      <c r="B170" s="18" t="s">
        <v>77</v>
      </c>
      <c r="C170" s="19" t="s">
        <v>84</v>
      </c>
      <c r="D170" s="168"/>
      <c r="E170" s="21">
        <v>2022</v>
      </c>
      <c r="F170" s="21" t="s">
        <v>79</v>
      </c>
      <c r="G170" s="28">
        <v>60</v>
      </c>
      <c r="H170" s="21">
        <v>15</v>
      </c>
      <c r="I170" s="29">
        <v>226.11572000000001</v>
      </c>
    </row>
    <row r="171" spans="1:9" s="7" customFormat="1" ht="15.75" hidden="1" outlineLevel="1" x14ac:dyDescent="0.25">
      <c r="A171" s="6">
        <v>1320</v>
      </c>
      <c r="B171" s="18" t="s">
        <v>77</v>
      </c>
      <c r="C171" s="19" t="s">
        <v>84</v>
      </c>
      <c r="D171" s="168"/>
      <c r="E171" s="21">
        <v>2022</v>
      </c>
      <c r="F171" s="21" t="s">
        <v>79</v>
      </c>
      <c r="G171" s="28">
        <v>170</v>
      </c>
      <c r="H171" s="21">
        <v>15</v>
      </c>
      <c r="I171" s="29">
        <v>284.27116999999998</v>
      </c>
    </row>
    <row r="172" spans="1:9" s="7" customFormat="1" ht="15.75" hidden="1" outlineLevel="1" x14ac:dyDescent="0.25">
      <c r="A172" s="6">
        <v>1664</v>
      </c>
      <c r="B172" s="18" t="s">
        <v>77</v>
      </c>
      <c r="C172" s="19" t="s">
        <v>84</v>
      </c>
      <c r="D172" s="168"/>
      <c r="E172" s="21">
        <v>2022</v>
      </c>
      <c r="F172" s="21" t="s">
        <v>79</v>
      </c>
      <c r="G172" s="28">
        <v>455</v>
      </c>
      <c r="H172" s="21">
        <v>15</v>
      </c>
      <c r="I172" s="29">
        <v>1000.89307</v>
      </c>
    </row>
    <row r="173" spans="1:9" s="7" customFormat="1" ht="15.75" hidden="1" outlineLevel="1" x14ac:dyDescent="0.25">
      <c r="A173" s="6">
        <v>1231</v>
      </c>
      <c r="B173" s="18" t="s">
        <v>77</v>
      </c>
      <c r="C173" s="19" t="s">
        <v>84</v>
      </c>
      <c r="D173" s="87"/>
      <c r="E173" s="21">
        <v>2022</v>
      </c>
      <c r="F173" s="21" t="s">
        <v>79</v>
      </c>
      <c r="G173" s="28">
        <v>58</v>
      </c>
      <c r="H173" s="21">
        <v>6</v>
      </c>
      <c r="I173" s="29">
        <v>138.43532999999999</v>
      </c>
    </row>
    <row r="174" spans="1:9" s="7" customFormat="1" ht="15.75" hidden="1" outlineLevel="1" x14ac:dyDescent="0.25">
      <c r="A174" s="6">
        <v>1057</v>
      </c>
      <c r="B174" s="18" t="s">
        <v>77</v>
      </c>
      <c r="C174" s="19" t="s">
        <v>84</v>
      </c>
      <c r="D174" s="87"/>
      <c r="E174" s="21">
        <v>2022</v>
      </c>
      <c r="F174" s="21" t="s">
        <v>79</v>
      </c>
      <c r="G174" s="28">
        <v>6</v>
      </c>
      <c r="H174" s="21">
        <v>15</v>
      </c>
      <c r="I174" s="29">
        <v>69.200140000000005</v>
      </c>
    </row>
    <row r="175" spans="1:9" s="7" customFormat="1" ht="15.75" hidden="1" outlineLevel="1" x14ac:dyDescent="0.25">
      <c r="A175" s="6">
        <v>1132</v>
      </c>
      <c r="B175" s="18" t="s">
        <v>77</v>
      </c>
      <c r="C175" s="19" t="s">
        <v>84</v>
      </c>
      <c r="D175" s="87"/>
      <c r="E175" s="21">
        <v>2022</v>
      </c>
      <c r="F175" s="21" t="s">
        <v>79</v>
      </c>
      <c r="G175" s="28">
        <v>10</v>
      </c>
      <c r="H175" s="21">
        <v>15</v>
      </c>
      <c r="I175" s="29">
        <v>68.830119999999994</v>
      </c>
    </row>
    <row r="176" spans="1:9" s="7" customFormat="1" ht="15.75" hidden="1" outlineLevel="1" x14ac:dyDescent="0.25">
      <c r="A176" s="6">
        <v>1075</v>
      </c>
      <c r="B176" s="18" t="s">
        <v>77</v>
      </c>
      <c r="C176" s="19" t="s">
        <v>84</v>
      </c>
      <c r="D176" s="87"/>
      <c r="E176" s="21">
        <v>2022</v>
      </c>
      <c r="F176" s="21" t="s">
        <v>79</v>
      </c>
      <c r="G176" s="28">
        <v>50</v>
      </c>
      <c r="H176" s="21">
        <v>15</v>
      </c>
      <c r="I176" s="29">
        <v>140.03085999999999</v>
      </c>
    </row>
    <row r="177" spans="1:9" s="7" customFormat="1" ht="15.75" hidden="1" outlineLevel="1" x14ac:dyDescent="0.25">
      <c r="A177" s="6">
        <v>1042</v>
      </c>
      <c r="B177" s="18" t="s">
        <v>77</v>
      </c>
      <c r="C177" s="19" t="s">
        <v>84</v>
      </c>
      <c r="D177" s="87"/>
      <c r="E177" s="21">
        <v>2022</v>
      </c>
      <c r="F177" s="21" t="s">
        <v>79</v>
      </c>
      <c r="G177" s="28">
        <v>51</v>
      </c>
      <c r="H177" s="21">
        <v>15</v>
      </c>
      <c r="I177" s="29">
        <v>167.02641</v>
      </c>
    </row>
    <row r="178" spans="1:9" s="7" customFormat="1" ht="15.75" hidden="1" outlineLevel="1" x14ac:dyDescent="0.25">
      <c r="A178" s="6">
        <v>1491</v>
      </c>
      <c r="B178" s="18" t="s">
        <v>77</v>
      </c>
      <c r="C178" s="19" t="s">
        <v>84</v>
      </c>
      <c r="D178" s="87"/>
      <c r="E178" s="21">
        <v>2022</v>
      </c>
      <c r="F178" s="21" t="s">
        <v>79</v>
      </c>
      <c r="G178" s="28">
        <v>6</v>
      </c>
      <c r="H178" s="21">
        <v>15</v>
      </c>
      <c r="I178" s="29">
        <v>62.659460000000003</v>
      </c>
    </row>
    <row r="179" spans="1:9" s="7" customFormat="1" ht="15.75" hidden="1" outlineLevel="1" x14ac:dyDescent="0.25">
      <c r="A179" s="6">
        <v>1263</v>
      </c>
      <c r="B179" s="18" t="s">
        <v>77</v>
      </c>
      <c r="C179" s="19" t="s">
        <v>84</v>
      </c>
      <c r="D179" s="87"/>
      <c r="E179" s="21">
        <v>2022</v>
      </c>
      <c r="F179" s="21" t="s">
        <v>79</v>
      </c>
      <c r="G179" s="28">
        <v>59</v>
      </c>
      <c r="H179" s="21">
        <v>15</v>
      </c>
      <c r="I179" s="29">
        <v>223.33950999999999</v>
      </c>
    </row>
    <row r="180" spans="1:9" s="7" customFormat="1" ht="15.75" hidden="1" outlineLevel="1" x14ac:dyDescent="0.25">
      <c r="A180" s="6">
        <v>1317</v>
      </c>
      <c r="B180" s="18" t="s">
        <v>77</v>
      </c>
      <c r="C180" s="19" t="s">
        <v>84</v>
      </c>
      <c r="D180" s="87"/>
      <c r="E180" s="21">
        <v>2022</v>
      </c>
      <c r="F180" s="21" t="s">
        <v>79</v>
      </c>
      <c r="G180" s="28">
        <v>239</v>
      </c>
      <c r="H180" s="21">
        <v>11.5</v>
      </c>
      <c r="I180" s="29">
        <v>457.06058999999999</v>
      </c>
    </row>
    <row r="181" spans="1:9" s="7" customFormat="1" ht="15.75" hidden="1" outlineLevel="1" x14ac:dyDescent="0.25">
      <c r="A181" s="6">
        <v>1366</v>
      </c>
      <c r="B181" s="18" t="s">
        <v>77</v>
      </c>
      <c r="C181" s="19" t="s">
        <v>84</v>
      </c>
      <c r="D181" s="24"/>
      <c r="E181" s="21">
        <v>2022</v>
      </c>
      <c r="F181" s="21" t="s">
        <v>79</v>
      </c>
      <c r="G181" s="28">
        <v>30</v>
      </c>
      <c r="H181" s="21">
        <v>12</v>
      </c>
      <c r="I181" s="29">
        <v>115.87991</v>
      </c>
    </row>
    <row r="182" spans="1:9" s="7" customFormat="1" ht="15.75" hidden="1" outlineLevel="1" x14ac:dyDescent="0.25">
      <c r="A182" s="6">
        <v>1099</v>
      </c>
      <c r="B182" s="18" t="s">
        <v>77</v>
      </c>
      <c r="C182" s="19" t="s">
        <v>84</v>
      </c>
      <c r="D182" s="20"/>
      <c r="E182" s="21">
        <v>2022</v>
      </c>
      <c r="F182" s="21" t="s">
        <v>79</v>
      </c>
      <c r="G182" s="28">
        <v>120</v>
      </c>
      <c r="H182" s="21">
        <v>10</v>
      </c>
      <c r="I182" s="29">
        <v>361.58058999999997</v>
      </c>
    </row>
    <row r="183" spans="1:9" s="7" customFormat="1" ht="15.75" hidden="1" outlineLevel="1" x14ac:dyDescent="0.25">
      <c r="A183" s="6">
        <v>1665</v>
      </c>
      <c r="B183" s="18" t="s">
        <v>77</v>
      </c>
      <c r="C183" s="19" t="s">
        <v>84</v>
      </c>
      <c r="D183" s="87"/>
      <c r="E183" s="21">
        <v>2022</v>
      </c>
      <c r="F183" s="21" t="s">
        <v>79</v>
      </c>
      <c r="G183" s="28">
        <v>262</v>
      </c>
      <c r="H183" s="21">
        <v>10</v>
      </c>
      <c r="I183" s="29">
        <v>635.91540999999995</v>
      </c>
    </row>
    <row r="184" spans="1:9" s="7" customFormat="1" ht="15.75" hidden="1" outlineLevel="1" x14ac:dyDescent="0.25">
      <c r="A184" s="6">
        <v>1384</v>
      </c>
      <c r="B184" s="18" t="s">
        <v>77</v>
      </c>
      <c r="C184" s="19" t="s">
        <v>84</v>
      </c>
      <c r="D184" s="87"/>
      <c r="E184" s="21">
        <v>2022</v>
      </c>
      <c r="F184" s="21" t="s">
        <v>79</v>
      </c>
      <c r="G184" s="28">
        <v>13</v>
      </c>
      <c r="H184" s="21">
        <v>15</v>
      </c>
      <c r="I184" s="29">
        <v>99.452460000000002</v>
      </c>
    </row>
    <row r="185" spans="1:9" s="7" customFormat="1" ht="15.75" hidden="1" outlineLevel="1" x14ac:dyDescent="0.25">
      <c r="A185" s="6">
        <v>1124</v>
      </c>
      <c r="B185" s="18" t="s">
        <v>77</v>
      </c>
      <c r="C185" s="19" t="s">
        <v>84</v>
      </c>
      <c r="D185" s="170"/>
      <c r="E185" s="21">
        <v>2022</v>
      </c>
      <c r="F185" s="21" t="s">
        <v>79</v>
      </c>
      <c r="G185" s="28">
        <v>30</v>
      </c>
      <c r="H185" s="21">
        <v>15</v>
      </c>
      <c r="I185" s="29">
        <v>86.695989999999995</v>
      </c>
    </row>
    <row r="186" spans="1:9" s="7" customFormat="1" ht="15.75" hidden="1" outlineLevel="1" x14ac:dyDescent="0.25">
      <c r="A186" s="6">
        <v>1545</v>
      </c>
      <c r="B186" s="18" t="s">
        <v>77</v>
      </c>
      <c r="C186" s="19" t="s">
        <v>84</v>
      </c>
      <c r="D186" s="169"/>
      <c r="E186" s="21">
        <v>2022</v>
      </c>
      <c r="F186" s="21" t="s">
        <v>79</v>
      </c>
      <c r="G186" s="28">
        <v>127</v>
      </c>
      <c r="H186" s="21">
        <v>13</v>
      </c>
      <c r="I186" s="29">
        <v>228.57637</v>
      </c>
    </row>
    <row r="187" spans="1:9" s="7" customFormat="1" ht="15.75" hidden="1" outlineLevel="1" x14ac:dyDescent="0.25">
      <c r="A187" s="6">
        <v>1047</v>
      </c>
      <c r="B187" s="18" t="s">
        <v>77</v>
      </c>
      <c r="C187" s="19" t="s">
        <v>84</v>
      </c>
      <c r="D187" s="170"/>
      <c r="E187" s="21">
        <v>2022</v>
      </c>
      <c r="F187" s="21" t="s">
        <v>79</v>
      </c>
      <c r="G187" s="28">
        <v>30</v>
      </c>
      <c r="H187" s="21">
        <v>15</v>
      </c>
      <c r="I187" s="29">
        <v>117.46265</v>
      </c>
    </row>
    <row r="188" spans="1:9" s="7" customFormat="1" ht="15.75" hidden="1" outlineLevel="1" x14ac:dyDescent="0.25">
      <c r="A188" s="6">
        <v>1232</v>
      </c>
      <c r="B188" s="18" t="s">
        <v>77</v>
      </c>
      <c r="C188" s="19" t="s">
        <v>84</v>
      </c>
      <c r="D188" s="170"/>
      <c r="E188" s="21">
        <v>2022</v>
      </c>
      <c r="F188" s="21" t="s">
        <v>79</v>
      </c>
      <c r="G188" s="28">
        <v>30</v>
      </c>
      <c r="H188" s="21">
        <v>15</v>
      </c>
      <c r="I188" s="29">
        <v>61.667909999999999</v>
      </c>
    </row>
    <row r="189" spans="1:9" s="7" customFormat="1" ht="15.75" hidden="1" outlineLevel="1" x14ac:dyDescent="0.25">
      <c r="A189" s="6">
        <v>1492</v>
      </c>
      <c r="B189" s="18" t="s">
        <v>77</v>
      </c>
      <c r="C189" s="19" t="s">
        <v>84</v>
      </c>
      <c r="D189" s="171"/>
      <c r="E189" s="21">
        <v>2022</v>
      </c>
      <c r="F189" s="21" t="s">
        <v>79</v>
      </c>
      <c r="G189" s="28">
        <v>7</v>
      </c>
      <c r="H189" s="21">
        <v>15</v>
      </c>
      <c r="I189" s="29">
        <v>46.947130000000001</v>
      </c>
    </row>
    <row r="190" spans="1:9" s="7" customFormat="1" ht="15.75" hidden="1" outlineLevel="1" x14ac:dyDescent="0.25">
      <c r="A190" s="6">
        <v>1351</v>
      </c>
      <c r="B190" s="18" t="s">
        <v>77</v>
      </c>
      <c r="C190" s="19" t="s">
        <v>84</v>
      </c>
      <c r="D190" s="87"/>
      <c r="E190" s="21">
        <v>2022</v>
      </c>
      <c r="F190" s="21" t="s">
        <v>79</v>
      </c>
      <c r="G190" s="28">
        <v>75</v>
      </c>
      <c r="H190" s="21">
        <v>15</v>
      </c>
      <c r="I190" s="29">
        <v>130.15012999999999</v>
      </c>
    </row>
    <row r="191" spans="1:9" s="7" customFormat="1" ht="15.75" hidden="1" outlineLevel="1" x14ac:dyDescent="0.25">
      <c r="A191" s="6">
        <v>1045</v>
      </c>
      <c r="B191" s="18" t="s">
        <v>77</v>
      </c>
      <c r="C191" s="19" t="s">
        <v>84</v>
      </c>
      <c r="D191" s="87"/>
      <c r="E191" s="21">
        <v>2022</v>
      </c>
      <c r="F191" s="21" t="s">
        <v>79</v>
      </c>
      <c r="G191" s="28">
        <v>35</v>
      </c>
      <c r="H191" s="21">
        <v>15</v>
      </c>
      <c r="I191" s="29">
        <v>61.319600000000001</v>
      </c>
    </row>
    <row r="192" spans="1:9" s="7" customFormat="1" ht="15.75" hidden="1" outlineLevel="1" x14ac:dyDescent="0.25">
      <c r="A192" s="6">
        <v>1265</v>
      </c>
      <c r="B192" s="18" t="s">
        <v>77</v>
      </c>
      <c r="C192" s="19" t="s">
        <v>84</v>
      </c>
      <c r="D192" s="87"/>
      <c r="E192" s="21">
        <v>2022</v>
      </c>
      <c r="F192" s="21" t="s">
        <v>79</v>
      </c>
      <c r="G192" s="28">
        <v>85</v>
      </c>
      <c r="H192" s="21">
        <v>5</v>
      </c>
      <c r="I192" s="29">
        <v>187.06885</v>
      </c>
    </row>
    <row r="193" spans="1:9" s="7" customFormat="1" ht="15.75" hidden="1" outlineLevel="1" x14ac:dyDescent="0.25">
      <c r="A193" s="6">
        <v>1106</v>
      </c>
      <c r="B193" s="18" t="s">
        <v>77</v>
      </c>
      <c r="C193" s="19" t="s">
        <v>84</v>
      </c>
      <c r="D193" s="87"/>
      <c r="E193" s="21">
        <v>2022</v>
      </c>
      <c r="F193" s="21" t="s">
        <v>79</v>
      </c>
      <c r="G193" s="28">
        <v>212</v>
      </c>
      <c r="H193" s="21">
        <v>15</v>
      </c>
      <c r="I193" s="29">
        <v>381.50468000000001</v>
      </c>
    </row>
    <row r="194" spans="1:9" s="7" customFormat="1" ht="15.75" hidden="1" outlineLevel="1" x14ac:dyDescent="0.25">
      <c r="A194" s="6">
        <v>1385</v>
      </c>
      <c r="B194" s="18" t="s">
        <v>77</v>
      </c>
      <c r="C194" s="19" t="s">
        <v>84</v>
      </c>
      <c r="D194" s="87"/>
      <c r="E194" s="21">
        <v>2022</v>
      </c>
      <c r="F194" s="21" t="s">
        <v>79</v>
      </c>
      <c r="G194" s="28">
        <v>17</v>
      </c>
      <c r="H194" s="21">
        <v>15</v>
      </c>
      <c r="I194" s="29">
        <v>60.987769999999998</v>
      </c>
    </row>
    <row r="195" spans="1:9" s="7" customFormat="1" ht="15.75" hidden="1" outlineLevel="1" x14ac:dyDescent="0.25">
      <c r="A195" s="6">
        <v>1163</v>
      </c>
      <c r="B195" s="18" t="s">
        <v>77</v>
      </c>
      <c r="C195" s="19" t="s">
        <v>84</v>
      </c>
      <c r="D195" s="87"/>
      <c r="E195" s="21">
        <v>2022</v>
      </c>
      <c r="F195" s="21" t="s">
        <v>79</v>
      </c>
      <c r="G195" s="28">
        <v>62</v>
      </c>
      <c r="H195" s="21">
        <v>15</v>
      </c>
      <c r="I195" s="29">
        <v>134.59009</v>
      </c>
    </row>
    <row r="196" spans="1:9" s="7" customFormat="1" ht="15.75" hidden="1" outlineLevel="1" x14ac:dyDescent="0.25">
      <c r="A196" s="6">
        <v>1198</v>
      </c>
      <c r="B196" s="18" t="s">
        <v>77</v>
      </c>
      <c r="C196" s="19" t="s">
        <v>84</v>
      </c>
      <c r="D196" s="87"/>
      <c r="E196" s="21">
        <v>2022</v>
      </c>
      <c r="F196" s="21" t="s">
        <v>79</v>
      </c>
      <c r="G196" s="28">
        <v>25</v>
      </c>
      <c r="H196" s="21">
        <v>10</v>
      </c>
      <c r="I196" s="29">
        <v>73.342529999999996</v>
      </c>
    </row>
    <row r="197" spans="1:9" s="7" customFormat="1" ht="15.75" hidden="1" outlineLevel="1" x14ac:dyDescent="0.25">
      <c r="A197" s="6">
        <v>1197</v>
      </c>
      <c r="B197" s="18" t="s">
        <v>77</v>
      </c>
      <c r="C197" s="19" t="s">
        <v>84</v>
      </c>
      <c r="D197" s="87"/>
      <c r="E197" s="21">
        <v>2022</v>
      </c>
      <c r="F197" s="21" t="s">
        <v>79</v>
      </c>
      <c r="G197" s="28">
        <v>20</v>
      </c>
      <c r="H197" s="21">
        <v>5</v>
      </c>
      <c r="I197" s="29">
        <v>77.268770000000004</v>
      </c>
    </row>
    <row r="198" spans="1:9" s="7" customFormat="1" ht="15.75" hidden="1" outlineLevel="1" x14ac:dyDescent="0.25">
      <c r="A198" s="6">
        <v>1264</v>
      </c>
      <c r="B198" s="18" t="s">
        <v>77</v>
      </c>
      <c r="C198" s="19" t="s">
        <v>84</v>
      </c>
      <c r="D198" s="87"/>
      <c r="E198" s="21">
        <v>2022</v>
      </c>
      <c r="F198" s="21" t="s">
        <v>79</v>
      </c>
      <c r="G198" s="28">
        <v>17</v>
      </c>
      <c r="H198" s="21">
        <v>15</v>
      </c>
      <c r="I198" s="29">
        <v>64.073170000000005</v>
      </c>
    </row>
    <row r="199" spans="1:9" s="7" customFormat="1" ht="15.75" hidden="1" outlineLevel="1" x14ac:dyDescent="0.25">
      <c r="A199" s="6">
        <v>1046</v>
      </c>
      <c r="B199" s="18" t="s">
        <v>77</v>
      </c>
      <c r="C199" s="19" t="s">
        <v>84</v>
      </c>
      <c r="D199" s="87"/>
      <c r="E199" s="21">
        <v>2022</v>
      </c>
      <c r="F199" s="21" t="s">
        <v>79</v>
      </c>
      <c r="G199" s="28">
        <v>22</v>
      </c>
      <c r="H199" s="21">
        <v>0.5</v>
      </c>
      <c r="I199" s="29">
        <v>74.944710000000001</v>
      </c>
    </row>
    <row r="200" spans="1:9" s="7" customFormat="1" ht="15.75" hidden="1" outlineLevel="1" x14ac:dyDescent="0.25">
      <c r="A200" s="6">
        <v>1288</v>
      </c>
      <c r="B200" s="18" t="s">
        <v>77</v>
      </c>
      <c r="C200" s="19" t="s">
        <v>84</v>
      </c>
      <c r="D200" s="87"/>
      <c r="E200" s="21">
        <v>2022</v>
      </c>
      <c r="F200" s="21" t="s">
        <v>79</v>
      </c>
      <c r="G200" s="28">
        <v>17</v>
      </c>
      <c r="H200" s="21">
        <v>5</v>
      </c>
      <c r="I200" s="29">
        <v>74.034189999999995</v>
      </c>
    </row>
    <row r="201" spans="1:9" s="7" customFormat="1" ht="15.75" hidden="1" outlineLevel="1" x14ac:dyDescent="0.25">
      <c r="A201" s="6">
        <v>1489</v>
      </c>
      <c r="B201" s="18" t="s">
        <v>77</v>
      </c>
      <c r="C201" s="19" t="s">
        <v>84</v>
      </c>
      <c r="D201" s="87"/>
      <c r="E201" s="21">
        <v>2022</v>
      </c>
      <c r="F201" s="21" t="s">
        <v>79</v>
      </c>
      <c r="G201" s="28">
        <v>30</v>
      </c>
      <c r="H201" s="21">
        <v>5</v>
      </c>
      <c r="I201" s="29">
        <v>76.537700000000001</v>
      </c>
    </row>
    <row r="202" spans="1:9" s="7" customFormat="1" ht="15.75" hidden="1" outlineLevel="1" x14ac:dyDescent="0.25">
      <c r="A202" s="6">
        <v>1357</v>
      </c>
      <c r="B202" s="18" t="s">
        <v>77</v>
      </c>
      <c r="C202" s="19" t="s">
        <v>84</v>
      </c>
      <c r="D202" s="168"/>
      <c r="E202" s="21">
        <v>2022</v>
      </c>
      <c r="F202" s="21" t="s">
        <v>79</v>
      </c>
      <c r="G202" s="28">
        <v>20</v>
      </c>
      <c r="H202" s="21">
        <v>15</v>
      </c>
      <c r="I202" s="29">
        <v>82.552530000000004</v>
      </c>
    </row>
    <row r="203" spans="1:9" s="7" customFormat="1" ht="15.75" hidden="1" outlineLevel="1" x14ac:dyDescent="0.25">
      <c r="A203" s="6">
        <v>1345</v>
      </c>
      <c r="B203" s="18" t="s">
        <v>77</v>
      </c>
      <c r="C203" s="19" t="s">
        <v>84</v>
      </c>
      <c r="D203" s="31"/>
      <c r="E203" s="21">
        <v>2022</v>
      </c>
      <c r="F203" s="21" t="s">
        <v>79</v>
      </c>
      <c r="G203" s="28">
        <v>25</v>
      </c>
      <c r="H203" s="21">
        <v>10</v>
      </c>
      <c r="I203" s="29">
        <v>75.88973</v>
      </c>
    </row>
    <row r="204" spans="1:9" s="7" customFormat="1" ht="15.75" hidden="1" outlineLevel="1" x14ac:dyDescent="0.25">
      <c r="A204" s="6">
        <v>1323</v>
      </c>
      <c r="B204" s="18" t="s">
        <v>77</v>
      </c>
      <c r="C204" s="19" t="s">
        <v>84</v>
      </c>
      <c r="D204" s="168"/>
      <c r="E204" s="21">
        <v>2022</v>
      </c>
      <c r="F204" s="21" t="s">
        <v>79</v>
      </c>
      <c r="G204" s="28">
        <v>25</v>
      </c>
      <c r="H204" s="21">
        <v>10</v>
      </c>
      <c r="I204" s="29">
        <v>92.326949999999997</v>
      </c>
    </row>
    <row r="205" spans="1:9" s="7" customFormat="1" ht="15.75" hidden="1" outlineLevel="1" x14ac:dyDescent="0.25">
      <c r="A205" s="6">
        <v>1048</v>
      </c>
      <c r="B205" s="18" t="s">
        <v>77</v>
      </c>
      <c r="C205" s="19" t="s">
        <v>84</v>
      </c>
      <c r="D205" s="168"/>
      <c r="E205" s="21">
        <v>2022</v>
      </c>
      <c r="F205" s="21" t="s">
        <v>79</v>
      </c>
      <c r="G205" s="28">
        <v>27</v>
      </c>
      <c r="H205" s="21">
        <v>10</v>
      </c>
      <c r="I205" s="29">
        <v>54.958919999999999</v>
      </c>
    </row>
    <row r="206" spans="1:9" s="7" customFormat="1" ht="15.75" hidden="1" outlineLevel="1" x14ac:dyDescent="0.25">
      <c r="A206" s="6">
        <v>1350</v>
      </c>
      <c r="B206" s="18" t="s">
        <v>77</v>
      </c>
      <c r="C206" s="19" t="s">
        <v>84</v>
      </c>
      <c r="D206" s="168"/>
      <c r="E206" s="21">
        <v>2022</v>
      </c>
      <c r="F206" s="21" t="s">
        <v>79</v>
      </c>
      <c r="G206" s="28">
        <v>60</v>
      </c>
      <c r="H206" s="21">
        <v>7</v>
      </c>
      <c r="I206" s="29">
        <v>125.75944</v>
      </c>
    </row>
    <row r="207" spans="1:9" s="7" customFormat="1" ht="15.75" hidden="1" outlineLevel="1" x14ac:dyDescent="0.25">
      <c r="A207" s="6">
        <v>1181</v>
      </c>
      <c r="B207" s="18" t="s">
        <v>77</v>
      </c>
      <c r="C207" s="19" t="s">
        <v>84</v>
      </c>
      <c r="D207" s="168"/>
      <c r="E207" s="21">
        <v>2022</v>
      </c>
      <c r="F207" s="21" t="s">
        <v>79</v>
      </c>
      <c r="G207" s="28">
        <v>100</v>
      </c>
      <c r="H207" s="21">
        <v>11.5</v>
      </c>
      <c r="I207" s="29">
        <v>166.99093999999999</v>
      </c>
    </row>
    <row r="208" spans="1:9" s="7" customFormat="1" ht="15.75" hidden="1" outlineLevel="1" x14ac:dyDescent="0.25">
      <c r="A208" s="6">
        <v>1174</v>
      </c>
      <c r="B208" s="18" t="s">
        <v>77</v>
      </c>
      <c r="C208" s="19" t="s">
        <v>84</v>
      </c>
      <c r="D208" s="87"/>
      <c r="E208" s="21">
        <v>2022</v>
      </c>
      <c r="F208" s="21" t="s">
        <v>79</v>
      </c>
      <c r="G208" s="28">
        <v>10</v>
      </c>
      <c r="H208" s="21">
        <v>15</v>
      </c>
      <c r="I208" s="29">
        <v>55.794989999999999</v>
      </c>
    </row>
    <row r="209" spans="1:35" s="7" customFormat="1" ht="15.75" hidden="1" outlineLevel="1" x14ac:dyDescent="0.25">
      <c r="A209" s="6">
        <v>1212</v>
      </c>
      <c r="B209" s="18" t="s">
        <v>77</v>
      </c>
      <c r="C209" s="19" t="s">
        <v>84</v>
      </c>
      <c r="D209" s="168"/>
      <c r="E209" s="21">
        <v>2022</v>
      </c>
      <c r="F209" s="21" t="s">
        <v>79</v>
      </c>
      <c r="G209" s="28">
        <v>295</v>
      </c>
      <c r="H209" s="21">
        <v>15</v>
      </c>
      <c r="I209" s="29">
        <v>435.79489999999998</v>
      </c>
    </row>
    <row r="210" spans="1:35" s="7" customFormat="1" ht="15.75" hidden="1" outlineLevel="1" x14ac:dyDescent="0.25">
      <c r="A210" s="6">
        <v>1153</v>
      </c>
      <c r="B210" s="18" t="s">
        <v>77</v>
      </c>
      <c r="C210" s="19" t="s">
        <v>84</v>
      </c>
      <c r="D210" s="168"/>
      <c r="E210" s="21">
        <v>2022</v>
      </c>
      <c r="F210" s="21" t="s">
        <v>79</v>
      </c>
      <c r="G210" s="28">
        <v>135</v>
      </c>
      <c r="H210" s="21">
        <v>15</v>
      </c>
      <c r="I210" s="29">
        <v>181.67346000000001</v>
      </c>
    </row>
    <row r="211" spans="1:35" s="7" customFormat="1" ht="7.5" hidden="1" customHeight="1" collapsed="1" x14ac:dyDescent="0.25">
      <c r="A211" s="6"/>
      <c r="B211" s="161"/>
      <c r="C211" s="162"/>
      <c r="D211" s="162"/>
      <c r="E211" s="162"/>
      <c r="F211" s="161" t="s">
        <v>90</v>
      </c>
      <c r="G211" s="161"/>
      <c r="H211" s="161"/>
      <c r="I211" s="161"/>
    </row>
    <row r="212" spans="1:35" s="17" customFormat="1" ht="17.25" hidden="1" customHeight="1" x14ac:dyDescent="0.25">
      <c r="A212" s="6"/>
      <c r="B212" s="13" t="s">
        <v>77</v>
      </c>
      <c r="C212" s="15" t="s">
        <v>81</v>
      </c>
      <c r="D212" s="15"/>
      <c r="E212" s="13">
        <v>2022</v>
      </c>
      <c r="F212" s="13" t="s">
        <v>90</v>
      </c>
      <c r="G212" s="13" t="e">
        <f>SUMIF(#REF!,$E$212,#REF!)</f>
        <v>#REF!</v>
      </c>
      <c r="H212" s="16" t="e">
        <f>SUMIF(#REF!,$E$212,#REF!)</f>
        <v>#REF!</v>
      </c>
      <c r="I212" s="16" t="e">
        <f>SUMIF(#REF!,$E$212,#REF!)</f>
        <v>#REF!</v>
      </c>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row>
    <row r="213" spans="1:35" s="17" customFormat="1" ht="15.75" hidden="1" x14ac:dyDescent="0.25">
      <c r="A213" s="6"/>
      <c r="B213" s="13" t="s">
        <v>77</v>
      </c>
      <c r="C213" s="15" t="s">
        <v>82</v>
      </c>
      <c r="D213" s="15"/>
      <c r="E213" s="13">
        <v>2023</v>
      </c>
      <c r="F213" s="13" t="s">
        <v>90</v>
      </c>
      <c r="G213" s="13" t="e">
        <f>SUMIF(#REF!,$E$213,#REF!)</f>
        <v>#REF!</v>
      </c>
      <c r="H213" s="16" t="e">
        <f>SUMIF(#REF!,$E$213,#REF!)</f>
        <v>#REF!</v>
      </c>
      <c r="I213" s="16" t="e">
        <f>SUMIF(#REF!,$E$213,#REF!)</f>
        <v>#REF!</v>
      </c>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row>
    <row r="214" spans="1:35" s="7" customFormat="1" ht="15.75" customHeight="1" x14ac:dyDescent="0.25">
      <c r="A214" s="9"/>
      <c r="B214" s="209" t="s">
        <v>91</v>
      </c>
      <c r="C214" s="209" t="s">
        <v>92</v>
      </c>
      <c r="D214" s="172"/>
      <c r="E214" s="215"/>
      <c r="F214" s="186" t="s">
        <v>79</v>
      </c>
      <c r="G214" s="186"/>
      <c r="H214" s="192"/>
      <c r="I214" s="192"/>
    </row>
    <row r="215" spans="1:35" s="7" customFormat="1" ht="18.75" customHeight="1" x14ac:dyDescent="0.25">
      <c r="A215" s="9"/>
      <c r="B215" s="228"/>
      <c r="C215" s="228"/>
      <c r="D215" s="175"/>
      <c r="E215" s="230"/>
      <c r="F215" s="208"/>
      <c r="G215" s="208"/>
      <c r="H215" s="213"/>
      <c r="I215" s="213"/>
      <c r="J215" s="182">
        <f>[21]Лист1!E9</f>
        <v>3844304</v>
      </c>
    </row>
    <row r="216" spans="1:35" s="32" customFormat="1" ht="17.25" customHeight="1" x14ac:dyDescent="0.25">
      <c r="A216" s="9"/>
      <c r="B216" s="231"/>
      <c r="C216" s="231"/>
      <c r="D216" s="173"/>
      <c r="E216" s="232"/>
      <c r="F216" s="187"/>
      <c r="G216" s="187"/>
      <c r="H216" s="193"/>
      <c r="I216" s="193"/>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row>
    <row r="217" spans="1:35" s="7" customFormat="1" ht="33.75" customHeight="1" x14ac:dyDescent="0.25">
      <c r="A217" s="9"/>
      <c r="B217" s="11" t="s">
        <v>91</v>
      </c>
      <c r="C217" s="12" t="s">
        <v>80</v>
      </c>
      <c r="D217" s="9">
        <v>2025</v>
      </c>
      <c r="E217" s="33">
        <v>2021</v>
      </c>
      <c r="F217" s="11" t="s">
        <v>79</v>
      </c>
      <c r="G217" s="11">
        <v>15580.4</v>
      </c>
      <c r="H217" s="14">
        <v>5403.2</v>
      </c>
      <c r="I217" s="14">
        <f>J215*G217/1000000</f>
        <v>59895.794041599998</v>
      </c>
    </row>
    <row r="218" spans="1:35" s="17" customFormat="1" ht="17.25" hidden="1" customHeight="1" x14ac:dyDescent="0.25">
      <c r="A218" s="6"/>
      <c r="B218" s="33" t="s">
        <v>91</v>
      </c>
      <c r="C218" s="34" t="s">
        <v>81</v>
      </c>
      <c r="D218" s="34"/>
      <c r="E218" s="33">
        <v>2022</v>
      </c>
      <c r="F218" s="33" t="s">
        <v>79</v>
      </c>
      <c r="G218" s="33">
        <f>SUMIF($E$220:$E$555,$E$218,$G$220:$G$555)</f>
        <v>24805</v>
      </c>
      <c r="H218" s="35">
        <f>SUMIF($E$220:$E$555,$E$218,$H$220:$H$555)</f>
        <v>9287.7000000000007</v>
      </c>
      <c r="I218" s="35">
        <f>SUMIF($E$220:$E$555,$E$218,$I$220:$I$555)</f>
        <v>48063.872039999987</v>
      </c>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row>
    <row r="219" spans="1:35" s="17" customFormat="1" ht="15.75" hidden="1" x14ac:dyDescent="0.25">
      <c r="A219" s="6"/>
      <c r="B219" s="33" t="s">
        <v>91</v>
      </c>
      <c r="C219" s="34" t="s">
        <v>81</v>
      </c>
      <c r="D219" s="34"/>
      <c r="E219" s="33">
        <v>2023</v>
      </c>
      <c r="F219" s="33" t="s">
        <v>79</v>
      </c>
      <c r="G219" s="33">
        <f>SUMIF($E$220:$E$555,$E$219,$G$220:$G$555)</f>
        <v>38542.6</v>
      </c>
      <c r="H219" s="35">
        <f>SUMIF($E$220:$E$555,$E$219,$H$220:$H$555)</f>
        <v>16635.099999999999</v>
      </c>
      <c r="I219" s="35">
        <f>SUMIF($E$220:$E$555,$E$219,$I$220:$I$555)</f>
        <v>76416.669749999986</v>
      </c>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row>
    <row r="220" spans="1:35" s="7" customFormat="1" ht="22.5" hidden="1" customHeight="1" outlineLevel="1" x14ac:dyDescent="0.25">
      <c r="A220" s="6">
        <v>2983</v>
      </c>
      <c r="B220" s="6" t="s">
        <v>91</v>
      </c>
      <c r="C220" s="19" t="s">
        <v>93</v>
      </c>
      <c r="D220" s="19"/>
      <c r="E220" s="6">
        <v>2022</v>
      </c>
      <c r="F220" s="6" t="s">
        <v>79</v>
      </c>
      <c r="G220" s="6">
        <v>124</v>
      </c>
      <c r="H220" s="6">
        <v>10</v>
      </c>
      <c r="I220" s="6">
        <v>149.155</v>
      </c>
    </row>
    <row r="221" spans="1:35" s="7" customFormat="1" ht="22.5" hidden="1" customHeight="1" outlineLevel="1" x14ac:dyDescent="0.25">
      <c r="A221" s="6">
        <v>2985</v>
      </c>
      <c r="B221" s="6" t="s">
        <v>91</v>
      </c>
      <c r="C221" s="19" t="s">
        <v>94</v>
      </c>
      <c r="D221" s="19"/>
      <c r="E221" s="6">
        <v>2022</v>
      </c>
      <c r="F221" s="6" t="s">
        <v>79</v>
      </c>
      <c r="G221" s="6">
        <v>4</v>
      </c>
      <c r="H221" s="6">
        <v>150</v>
      </c>
      <c r="I221" s="6">
        <f>0.107896*(1000)</f>
        <v>107.896</v>
      </c>
    </row>
    <row r="222" spans="1:35" s="7" customFormat="1" ht="22.5" hidden="1" customHeight="1" outlineLevel="1" x14ac:dyDescent="0.25">
      <c r="A222" s="6">
        <v>2815</v>
      </c>
      <c r="B222" s="6" t="s">
        <v>91</v>
      </c>
      <c r="C222" s="19" t="s">
        <v>95</v>
      </c>
      <c r="D222" s="19"/>
      <c r="E222" s="6">
        <v>2022</v>
      </c>
      <c r="F222" s="6" t="s">
        <v>79</v>
      </c>
      <c r="G222" s="6">
        <v>281</v>
      </c>
      <c r="H222" s="6">
        <v>15</v>
      </c>
      <c r="I222" s="6">
        <f>0.55991*(1000)</f>
        <v>559.91</v>
      </c>
    </row>
    <row r="223" spans="1:35" s="7" customFormat="1" ht="22.5" hidden="1" customHeight="1" outlineLevel="1" x14ac:dyDescent="0.25">
      <c r="A223" s="6">
        <v>2839</v>
      </c>
      <c r="B223" s="6" t="s">
        <v>91</v>
      </c>
      <c r="C223" s="19" t="s">
        <v>96</v>
      </c>
      <c r="D223" s="19"/>
      <c r="E223" s="6">
        <v>2022</v>
      </c>
      <c r="F223" s="6" t="s">
        <v>79</v>
      </c>
      <c r="G223" s="6">
        <v>693</v>
      </c>
      <c r="H223" s="6">
        <v>55</v>
      </c>
      <c r="I223" s="6">
        <f>1.48097*(1000)</f>
        <v>1480.9699999999998</v>
      </c>
    </row>
    <row r="224" spans="1:35" s="7" customFormat="1" ht="22.5" hidden="1" customHeight="1" outlineLevel="1" x14ac:dyDescent="0.25">
      <c r="A224" s="6">
        <v>2922</v>
      </c>
      <c r="B224" s="6" t="s">
        <v>91</v>
      </c>
      <c r="C224" s="19" t="s">
        <v>97</v>
      </c>
      <c r="D224" s="19"/>
      <c r="E224" s="6">
        <v>2022</v>
      </c>
      <c r="F224" s="6" t="s">
        <v>79</v>
      </c>
      <c r="G224" s="6">
        <v>241</v>
      </c>
      <c r="H224" s="6">
        <v>15</v>
      </c>
      <c r="I224" s="6">
        <f>0.571178*(1000)</f>
        <v>571.178</v>
      </c>
    </row>
    <row r="225" spans="1:9" s="7" customFormat="1" ht="22.5" hidden="1" customHeight="1" outlineLevel="1" x14ac:dyDescent="0.25">
      <c r="A225" s="6">
        <v>2923</v>
      </c>
      <c r="B225" s="6" t="s">
        <v>91</v>
      </c>
      <c r="C225" s="19" t="s">
        <v>98</v>
      </c>
      <c r="D225" s="19"/>
      <c r="E225" s="6">
        <v>2022</v>
      </c>
      <c r="F225" s="6" t="s">
        <v>79</v>
      </c>
      <c r="G225" s="6">
        <v>492</v>
      </c>
      <c r="H225" s="6">
        <v>185</v>
      </c>
      <c r="I225" s="6">
        <f>0.846673*(1000)</f>
        <v>846.673</v>
      </c>
    </row>
    <row r="226" spans="1:9" s="7" customFormat="1" ht="22.5" hidden="1" customHeight="1" outlineLevel="1" x14ac:dyDescent="0.25">
      <c r="A226" s="6">
        <v>2925</v>
      </c>
      <c r="B226" s="6" t="s">
        <v>91</v>
      </c>
      <c r="C226" s="19" t="s">
        <v>99</v>
      </c>
      <c r="D226" s="19"/>
      <c r="E226" s="6">
        <v>2022</v>
      </c>
      <c r="F226" s="6" t="s">
        <v>79</v>
      </c>
      <c r="G226" s="6">
        <v>212</v>
      </c>
      <c r="H226" s="6">
        <v>10</v>
      </c>
      <c r="I226" s="6">
        <f>0.383587*(1000)</f>
        <v>383.58699999999999</v>
      </c>
    </row>
    <row r="227" spans="1:9" s="7" customFormat="1" ht="22.5" hidden="1" customHeight="1" outlineLevel="1" x14ac:dyDescent="0.25">
      <c r="A227" s="6">
        <v>2710</v>
      </c>
      <c r="B227" s="6" t="s">
        <v>91</v>
      </c>
      <c r="C227" s="19" t="s">
        <v>100</v>
      </c>
      <c r="D227" s="19"/>
      <c r="E227" s="6">
        <v>2022</v>
      </c>
      <c r="F227" s="6" t="s">
        <v>79</v>
      </c>
      <c r="G227" s="6">
        <v>10</v>
      </c>
      <c r="H227" s="6">
        <v>208.3</v>
      </c>
      <c r="I227" s="6">
        <f>0.070715*(1000)</f>
        <v>70.715000000000003</v>
      </c>
    </row>
    <row r="228" spans="1:9" s="7" customFormat="1" ht="22.5" hidden="1" customHeight="1" outlineLevel="1" x14ac:dyDescent="0.25">
      <c r="A228" s="6">
        <v>2722</v>
      </c>
      <c r="B228" s="6" t="s">
        <v>91</v>
      </c>
      <c r="C228" s="19" t="s">
        <v>101</v>
      </c>
      <c r="D228" s="19"/>
      <c r="E228" s="6">
        <v>2022</v>
      </c>
      <c r="F228" s="6" t="s">
        <v>79</v>
      </c>
      <c r="G228" s="6">
        <v>360</v>
      </c>
      <c r="H228" s="6">
        <v>28</v>
      </c>
      <c r="I228" s="6">
        <f>0.32012*(1000)</f>
        <v>320.12</v>
      </c>
    </row>
    <row r="229" spans="1:9" s="7" customFormat="1" ht="22.5" hidden="1" customHeight="1" outlineLevel="1" x14ac:dyDescent="0.25">
      <c r="A229" s="6">
        <v>2785</v>
      </c>
      <c r="B229" s="6" t="s">
        <v>91</v>
      </c>
      <c r="C229" s="19" t="s">
        <v>102</v>
      </c>
      <c r="D229" s="19"/>
      <c r="E229" s="6">
        <v>2022</v>
      </c>
      <c r="F229" s="6" t="s">
        <v>79</v>
      </c>
      <c r="G229" s="6">
        <v>293</v>
      </c>
      <c r="H229" s="6">
        <v>150</v>
      </c>
      <c r="I229" s="6">
        <f>0.300512*(1000)</f>
        <v>300.512</v>
      </c>
    </row>
    <row r="230" spans="1:9" s="7" customFormat="1" ht="22.5" hidden="1" customHeight="1" outlineLevel="1" x14ac:dyDescent="0.25">
      <c r="A230" s="6">
        <v>2802</v>
      </c>
      <c r="B230" s="6" t="s">
        <v>91</v>
      </c>
      <c r="C230" s="19" t="s">
        <v>103</v>
      </c>
      <c r="D230" s="19"/>
      <c r="E230" s="6">
        <v>2022</v>
      </c>
      <c r="F230" s="6" t="s">
        <v>79</v>
      </c>
      <c r="G230" s="6">
        <v>90</v>
      </c>
      <c r="H230" s="6">
        <v>300</v>
      </c>
      <c r="I230" s="6">
        <f>0.415138*(1000)</f>
        <v>415.13800000000003</v>
      </c>
    </row>
    <row r="231" spans="1:9" s="7" customFormat="1" ht="22.5" hidden="1" customHeight="1" outlineLevel="1" x14ac:dyDescent="0.25">
      <c r="A231" s="6">
        <v>2840</v>
      </c>
      <c r="B231" s="6" t="s">
        <v>91</v>
      </c>
      <c r="C231" s="19" t="s">
        <v>104</v>
      </c>
      <c r="D231" s="19"/>
      <c r="E231" s="6">
        <v>2022</v>
      </c>
      <c r="F231" s="6" t="s">
        <v>79</v>
      </c>
      <c r="G231" s="6">
        <v>101</v>
      </c>
      <c r="H231" s="6">
        <v>150</v>
      </c>
      <c r="I231" s="6">
        <f>0.149757*(1000)</f>
        <v>149.75700000000001</v>
      </c>
    </row>
    <row r="232" spans="1:9" s="7" customFormat="1" ht="22.5" hidden="1" customHeight="1" outlineLevel="1" x14ac:dyDescent="0.25">
      <c r="A232" s="6">
        <v>2886</v>
      </c>
      <c r="B232" s="6" t="s">
        <v>91</v>
      </c>
      <c r="C232" s="19" t="s">
        <v>105</v>
      </c>
      <c r="D232" s="19"/>
      <c r="E232" s="6">
        <v>2022</v>
      </c>
      <c r="F232" s="6" t="s">
        <v>79</v>
      </c>
      <c r="G232" s="6">
        <v>2</v>
      </c>
      <c r="H232" s="6">
        <v>150</v>
      </c>
      <c r="I232" s="6">
        <f>0.052974*(1000)</f>
        <v>52.974000000000004</v>
      </c>
    </row>
    <row r="233" spans="1:9" s="7" customFormat="1" ht="22.5" hidden="1" customHeight="1" outlineLevel="1" x14ac:dyDescent="0.25">
      <c r="A233" s="6">
        <v>2993</v>
      </c>
      <c r="B233" s="6" t="s">
        <v>91</v>
      </c>
      <c r="C233" s="19" t="s">
        <v>106</v>
      </c>
      <c r="D233" s="19"/>
      <c r="E233" s="6">
        <v>2022</v>
      </c>
      <c r="F233" s="6" t="s">
        <v>79</v>
      </c>
      <c r="G233" s="6">
        <v>488</v>
      </c>
      <c r="H233" s="6">
        <v>15</v>
      </c>
      <c r="I233" s="6">
        <f>0.960191*(1000)</f>
        <v>960.19100000000003</v>
      </c>
    </row>
    <row r="234" spans="1:9" s="7" customFormat="1" ht="22.5" hidden="1" customHeight="1" outlineLevel="1" x14ac:dyDescent="0.25">
      <c r="A234" s="6">
        <v>3004</v>
      </c>
      <c r="B234" s="6" t="s">
        <v>91</v>
      </c>
      <c r="C234" s="19" t="s">
        <v>107</v>
      </c>
      <c r="D234" s="19"/>
      <c r="E234" s="6">
        <v>2022</v>
      </c>
      <c r="F234" s="6" t="s">
        <v>79</v>
      </c>
      <c r="G234" s="6">
        <v>221</v>
      </c>
      <c r="H234" s="6">
        <v>15</v>
      </c>
      <c r="I234" s="6">
        <f>0.589733*(1000)</f>
        <v>589.73299999999995</v>
      </c>
    </row>
    <row r="235" spans="1:9" s="7" customFormat="1" ht="22.5" hidden="1" customHeight="1" outlineLevel="1" x14ac:dyDescent="0.25">
      <c r="A235" s="6">
        <v>3005</v>
      </c>
      <c r="B235" s="6" t="s">
        <v>91</v>
      </c>
      <c r="C235" s="19" t="s">
        <v>108</v>
      </c>
      <c r="D235" s="19"/>
      <c r="E235" s="6">
        <v>2022</v>
      </c>
      <c r="F235" s="6" t="s">
        <v>79</v>
      </c>
      <c r="G235" s="6">
        <v>456</v>
      </c>
      <c r="H235" s="6">
        <v>30</v>
      </c>
      <c r="I235" s="6">
        <f>0.997065*(1000)</f>
        <v>997.06499999999994</v>
      </c>
    </row>
    <row r="236" spans="1:9" s="7" customFormat="1" ht="22.5" hidden="1" customHeight="1" outlineLevel="1" x14ac:dyDescent="0.25">
      <c r="A236" s="6">
        <v>2733</v>
      </c>
      <c r="B236" s="6" t="s">
        <v>91</v>
      </c>
      <c r="C236" s="19" t="s">
        <v>109</v>
      </c>
      <c r="D236" s="19"/>
      <c r="E236" s="6">
        <v>2022</v>
      </c>
      <c r="F236" s="6" t="s">
        <v>79</v>
      </c>
      <c r="G236" s="6">
        <v>10</v>
      </c>
      <c r="H236" s="6">
        <v>150</v>
      </c>
      <c r="I236" s="6">
        <f>0.082817*(1000)</f>
        <v>82.817000000000007</v>
      </c>
    </row>
    <row r="237" spans="1:9" s="7" customFormat="1" ht="22.5" hidden="1" customHeight="1" outlineLevel="1" x14ac:dyDescent="0.25">
      <c r="A237" s="6">
        <v>2768</v>
      </c>
      <c r="B237" s="6" t="s">
        <v>91</v>
      </c>
      <c r="C237" s="19" t="s">
        <v>110</v>
      </c>
      <c r="D237" s="19"/>
      <c r="E237" s="6">
        <v>2022</v>
      </c>
      <c r="F237" s="6" t="s">
        <v>79</v>
      </c>
      <c r="G237" s="6">
        <v>946</v>
      </c>
      <c r="H237" s="6">
        <v>75</v>
      </c>
      <c r="I237" s="6">
        <f>1.526081*(1000)</f>
        <v>1526.0810000000001</v>
      </c>
    </row>
    <row r="238" spans="1:9" s="7" customFormat="1" ht="22.5" hidden="1" customHeight="1" outlineLevel="1" x14ac:dyDescent="0.25">
      <c r="A238" s="6">
        <v>2769</v>
      </c>
      <c r="B238" s="6" t="s">
        <v>91</v>
      </c>
      <c r="C238" s="19" t="s">
        <v>111</v>
      </c>
      <c r="D238" s="19"/>
      <c r="E238" s="6">
        <v>2022</v>
      </c>
      <c r="F238" s="6" t="s">
        <v>79</v>
      </c>
      <c r="G238" s="6">
        <v>550</v>
      </c>
      <c r="H238" s="6">
        <v>60</v>
      </c>
      <c r="I238" s="6">
        <f>0.819945*(1000)</f>
        <v>819.94500000000005</v>
      </c>
    </row>
    <row r="239" spans="1:9" s="7" customFormat="1" ht="22.5" hidden="1" customHeight="1" outlineLevel="1" x14ac:dyDescent="0.25">
      <c r="A239" s="6">
        <v>2811</v>
      </c>
      <c r="B239" s="6" t="s">
        <v>91</v>
      </c>
      <c r="C239" s="19" t="s">
        <v>112</v>
      </c>
      <c r="D239" s="19"/>
      <c r="E239" s="6">
        <v>2022</v>
      </c>
      <c r="F239" s="6" t="s">
        <v>79</v>
      </c>
      <c r="G239" s="6">
        <v>287</v>
      </c>
      <c r="H239" s="6">
        <v>45</v>
      </c>
      <c r="I239" s="6">
        <f>0.450629*(1000)</f>
        <v>450.62900000000002</v>
      </c>
    </row>
    <row r="240" spans="1:9" s="7" customFormat="1" ht="22.5" hidden="1" customHeight="1" outlineLevel="1" x14ac:dyDescent="0.25">
      <c r="A240" s="6">
        <v>2919</v>
      </c>
      <c r="B240" s="6" t="s">
        <v>91</v>
      </c>
      <c r="C240" s="19" t="s">
        <v>113</v>
      </c>
      <c r="D240" s="19"/>
      <c r="E240" s="6">
        <v>2022</v>
      </c>
      <c r="F240" s="6" t="s">
        <v>79</v>
      </c>
      <c r="G240" s="6">
        <v>134</v>
      </c>
      <c r="H240" s="6">
        <v>30</v>
      </c>
      <c r="I240" s="6">
        <f>0.337714*(1000)</f>
        <v>337.714</v>
      </c>
    </row>
    <row r="241" spans="1:9" s="7" customFormat="1" ht="22.5" hidden="1" customHeight="1" outlineLevel="1" x14ac:dyDescent="0.25">
      <c r="A241" s="6">
        <v>2920</v>
      </c>
      <c r="B241" s="6" t="s">
        <v>91</v>
      </c>
      <c r="C241" s="19" t="s">
        <v>114</v>
      </c>
      <c r="D241" s="19"/>
      <c r="E241" s="6">
        <v>2022</v>
      </c>
      <c r="F241" s="6" t="s">
        <v>79</v>
      </c>
      <c r="G241" s="6">
        <v>79</v>
      </c>
      <c r="H241" s="6">
        <v>15</v>
      </c>
      <c r="I241" s="6">
        <f>0.227158*(1000)</f>
        <v>227.15799999999999</v>
      </c>
    </row>
    <row r="242" spans="1:9" s="7" customFormat="1" ht="22.5" hidden="1" customHeight="1" outlineLevel="1" x14ac:dyDescent="0.25">
      <c r="A242" s="6">
        <v>2731</v>
      </c>
      <c r="B242" s="6" t="s">
        <v>91</v>
      </c>
      <c r="C242" s="19" t="s">
        <v>115</v>
      </c>
      <c r="D242" s="19"/>
      <c r="E242" s="6">
        <v>2022</v>
      </c>
      <c r="F242" s="6" t="s">
        <v>79</v>
      </c>
      <c r="G242" s="6">
        <v>420</v>
      </c>
      <c r="H242" s="6">
        <v>215</v>
      </c>
      <c r="I242" s="6">
        <f>0.8557861*(1000)</f>
        <v>855.78610000000003</v>
      </c>
    </row>
    <row r="243" spans="1:9" s="7" customFormat="1" ht="22.5" hidden="1" customHeight="1" outlineLevel="1" x14ac:dyDescent="0.25">
      <c r="A243" s="6">
        <v>4113</v>
      </c>
      <c r="B243" s="6" t="s">
        <v>91</v>
      </c>
      <c r="C243" s="19" t="s">
        <v>116</v>
      </c>
      <c r="D243" s="19"/>
      <c r="E243" s="6">
        <v>2022</v>
      </c>
      <c r="F243" s="6" t="s">
        <v>79</v>
      </c>
      <c r="G243" s="6">
        <v>93</v>
      </c>
      <c r="H243" s="6">
        <v>138</v>
      </c>
      <c r="I243" s="6">
        <f>0.4588638*(1000)</f>
        <v>458.86379999999997</v>
      </c>
    </row>
    <row r="244" spans="1:9" s="7" customFormat="1" ht="22.5" hidden="1" customHeight="1" outlineLevel="1" x14ac:dyDescent="0.25">
      <c r="A244" s="6">
        <v>4117</v>
      </c>
      <c r="B244" s="6" t="s">
        <v>91</v>
      </c>
      <c r="C244" s="19" t="s">
        <v>117</v>
      </c>
      <c r="D244" s="19"/>
      <c r="E244" s="6">
        <v>2022</v>
      </c>
      <c r="F244" s="6" t="s">
        <v>79</v>
      </c>
      <c r="G244" s="6">
        <v>864</v>
      </c>
      <c r="H244" s="6">
        <v>300</v>
      </c>
      <c r="I244" s="6">
        <f>1.45908565*(1000)</f>
        <v>1459.08565</v>
      </c>
    </row>
    <row r="245" spans="1:9" s="7" customFormat="1" ht="22.5" hidden="1" customHeight="1" outlineLevel="1" x14ac:dyDescent="0.25">
      <c r="A245" s="6">
        <v>2991</v>
      </c>
      <c r="B245" s="6" t="s">
        <v>91</v>
      </c>
      <c r="C245" s="19" t="s">
        <v>118</v>
      </c>
      <c r="D245" s="19"/>
      <c r="E245" s="6">
        <v>2022</v>
      </c>
      <c r="F245" s="6" t="s">
        <v>79</v>
      </c>
      <c r="G245" s="6">
        <v>4</v>
      </c>
      <c r="H245" s="6">
        <v>80</v>
      </c>
      <c r="I245" s="6">
        <f>0.07980699*(1000)</f>
        <v>79.806989999999999</v>
      </c>
    </row>
    <row r="246" spans="1:9" s="7" customFormat="1" ht="22.5" hidden="1" customHeight="1" outlineLevel="1" x14ac:dyDescent="0.25">
      <c r="A246" s="6">
        <v>4125</v>
      </c>
      <c r="B246" s="6" t="s">
        <v>91</v>
      </c>
      <c r="C246" s="19" t="s">
        <v>119</v>
      </c>
      <c r="D246" s="19"/>
      <c r="E246" s="6">
        <v>2022</v>
      </c>
      <c r="F246" s="6" t="s">
        <v>79</v>
      </c>
      <c r="G246" s="6">
        <v>183</v>
      </c>
      <c r="H246" s="6">
        <v>90</v>
      </c>
      <c r="I246" s="6">
        <f>0.2427585*(1000)</f>
        <v>242.7585</v>
      </c>
    </row>
    <row r="247" spans="1:9" s="7" customFormat="1" ht="22.5" hidden="1" customHeight="1" outlineLevel="1" x14ac:dyDescent="0.25">
      <c r="A247" s="6">
        <v>2719</v>
      </c>
      <c r="B247" s="6" t="s">
        <v>91</v>
      </c>
      <c r="C247" s="19" t="s">
        <v>120</v>
      </c>
      <c r="D247" s="19"/>
      <c r="E247" s="6">
        <v>2022</v>
      </c>
      <c r="F247" s="6" t="s">
        <v>79</v>
      </c>
      <c r="G247" s="6">
        <v>143</v>
      </c>
      <c r="H247" s="6">
        <v>15</v>
      </c>
      <c r="I247" s="6">
        <f>0.20096355*(1000)</f>
        <v>200.96355</v>
      </c>
    </row>
    <row r="248" spans="1:9" s="7" customFormat="1" ht="22.5" hidden="1" customHeight="1" outlineLevel="1" x14ac:dyDescent="0.25">
      <c r="A248" s="6">
        <v>2727</v>
      </c>
      <c r="B248" s="6" t="s">
        <v>91</v>
      </c>
      <c r="C248" s="19" t="s">
        <v>121</v>
      </c>
      <c r="D248" s="19"/>
      <c r="E248" s="6">
        <v>2022</v>
      </c>
      <c r="F248" s="6" t="s">
        <v>79</v>
      </c>
      <c r="G248" s="6">
        <v>60</v>
      </c>
      <c r="H248" s="6">
        <v>58</v>
      </c>
      <c r="I248" s="6">
        <f>0.13020589*(1000)</f>
        <v>130.20588999999998</v>
      </c>
    </row>
    <row r="249" spans="1:9" s="7" customFormat="1" ht="22.5" hidden="1" customHeight="1" outlineLevel="1" x14ac:dyDescent="0.25">
      <c r="A249" s="6">
        <v>2866</v>
      </c>
      <c r="B249" s="6" t="s">
        <v>91</v>
      </c>
      <c r="C249" s="19" t="s">
        <v>122</v>
      </c>
      <c r="D249" s="19"/>
      <c r="E249" s="6">
        <v>2022</v>
      </c>
      <c r="F249" s="6" t="s">
        <v>79</v>
      </c>
      <c r="G249" s="6">
        <v>51</v>
      </c>
      <c r="H249" s="6">
        <v>15</v>
      </c>
      <c r="I249" s="6">
        <f>0.08350566*(1000)</f>
        <v>83.505659999999992</v>
      </c>
    </row>
    <row r="250" spans="1:9" s="7" customFormat="1" ht="22.5" hidden="1" customHeight="1" outlineLevel="1" x14ac:dyDescent="0.25">
      <c r="A250" s="6">
        <v>4224</v>
      </c>
      <c r="B250" s="6" t="s">
        <v>91</v>
      </c>
      <c r="C250" s="19" t="s">
        <v>123</v>
      </c>
      <c r="D250" s="19"/>
      <c r="E250" s="6">
        <v>2022</v>
      </c>
      <c r="F250" s="6" t="s">
        <v>79</v>
      </c>
      <c r="G250" s="6">
        <v>437</v>
      </c>
      <c r="H250" s="6">
        <v>99</v>
      </c>
      <c r="I250" s="6">
        <f>0.72903087*(1000)</f>
        <v>729.03087000000005</v>
      </c>
    </row>
    <row r="251" spans="1:9" s="7" customFormat="1" ht="22.5" hidden="1" customHeight="1" outlineLevel="1" x14ac:dyDescent="0.25">
      <c r="A251" s="6">
        <v>4228</v>
      </c>
      <c r="B251" s="6" t="s">
        <v>91</v>
      </c>
      <c r="C251" s="19" t="s">
        <v>124</v>
      </c>
      <c r="D251" s="19"/>
      <c r="E251" s="6">
        <v>2022</v>
      </c>
      <c r="F251" s="6" t="s">
        <v>79</v>
      </c>
      <c r="G251" s="6">
        <v>343</v>
      </c>
      <c r="H251" s="6">
        <v>175</v>
      </c>
      <c r="I251" s="6">
        <f>0.63464896*(1000)</f>
        <v>634.64895999999999</v>
      </c>
    </row>
    <row r="252" spans="1:9" s="7" customFormat="1" ht="22.5" hidden="1" customHeight="1" outlineLevel="1" x14ac:dyDescent="0.25">
      <c r="A252" s="6">
        <v>4547</v>
      </c>
      <c r="B252" s="6" t="s">
        <v>91</v>
      </c>
      <c r="C252" s="19" t="s">
        <v>125</v>
      </c>
      <c r="D252" s="19"/>
      <c r="E252" s="6">
        <v>2022</v>
      </c>
      <c r="F252" s="6" t="s">
        <v>79</v>
      </c>
      <c r="G252" s="6">
        <v>102</v>
      </c>
      <c r="H252" s="6">
        <v>140</v>
      </c>
      <c r="I252" s="6">
        <f>0.21612972*(1000)</f>
        <v>216.12971999999999</v>
      </c>
    </row>
    <row r="253" spans="1:9" s="7" customFormat="1" ht="22.5" hidden="1" customHeight="1" outlineLevel="1" x14ac:dyDescent="0.25">
      <c r="A253" s="6">
        <v>4548</v>
      </c>
      <c r="B253" s="6" t="s">
        <v>91</v>
      </c>
      <c r="C253" s="19" t="s">
        <v>126</v>
      </c>
      <c r="D253" s="19"/>
      <c r="E253" s="6">
        <v>2022</v>
      </c>
      <c r="F253" s="6" t="s">
        <v>79</v>
      </c>
      <c r="G253" s="6">
        <v>156</v>
      </c>
      <c r="H253" s="6">
        <v>149</v>
      </c>
      <c r="I253" s="6">
        <f>0.46560881*(1000)</f>
        <v>465.60881000000001</v>
      </c>
    </row>
    <row r="254" spans="1:9" s="7" customFormat="1" ht="22.5" hidden="1" customHeight="1" outlineLevel="1" x14ac:dyDescent="0.25">
      <c r="A254" s="6">
        <v>2712</v>
      </c>
      <c r="B254" s="6" t="s">
        <v>91</v>
      </c>
      <c r="C254" s="19" t="s">
        <v>127</v>
      </c>
      <c r="D254" s="19"/>
      <c r="E254" s="6">
        <v>2022</v>
      </c>
      <c r="F254" s="6" t="s">
        <v>79</v>
      </c>
      <c r="G254" s="6">
        <v>6</v>
      </c>
      <c r="H254" s="6">
        <v>300</v>
      </c>
      <c r="I254" s="6">
        <f>0.098595*(1000)</f>
        <v>98.594999999999999</v>
      </c>
    </row>
    <row r="255" spans="1:9" s="7" customFormat="1" ht="22.5" hidden="1" customHeight="1" outlineLevel="1" x14ac:dyDescent="0.25">
      <c r="A255" s="6">
        <v>2881</v>
      </c>
      <c r="B255" s="6" t="s">
        <v>91</v>
      </c>
      <c r="C255" s="19" t="s">
        <v>128</v>
      </c>
      <c r="D255" s="19"/>
      <c r="E255" s="6">
        <v>2022</v>
      </c>
      <c r="F255" s="6" t="s">
        <v>79</v>
      </c>
      <c r="G255" s="6">
        <v>16</v>
      </c>
      <c r="H255" s="6">
        <v>130</v>
      </c>
      <c r="I255" s="6">
        <f>0.107297*(1000)</f>
        <v>107.297</v>
      </c>
    </row>
    <row r="256" spans="1:9" s="7" customFormat="1" ht="22.5" hidden="1" customHeight="1" outlineLevel="1" x14ac:dyDescent="0.25">
      <c r="A256" s="6">
        <v>1433</v>
      </c>
      <c r="B256" s="6" t="s">
        <v>91</v>
      </c>
      <c r="C256" s="19" t="s">
        <v>129</v>
      </c>
      <c r="D256" s="19"/>
      <c r="E256" s="6">
        <v>2022</v>
      </c>
      <c r="F256" s="6" t="s">
        <v>79</v>
      </c>
      <c r="G256" s="6">
        <v>536</v>
      </c>
      <c r="H256" s="6">
        <v>180</v>
      </c>
      <c r="I256" s="6">
        <v>1105.5056500000001</v>
      </c>
    </row>
    <row r="257" spans="1:9" s="7" customFormat="1" ht="22.5" hidden="1" customHeight="1" outlineLevel="1" x14ac:dyDescent="0.25">
      <c r="A257" s="6">
        <v>1487</v>
      </c>
      <c r="B257" s="6" t="s">
        <v>91</v>
      </c>
      <c r="C257" s="19" t="s">
        <v>130</v>
      </c>
      <c r="D257" s="19"/>
      <c r="E257" s="6">
        <v>2022</v>
      </c>
      <c r="F257" s="6" t="s">
        <v>79</v>
      </c>
      <c r="G257" s="6">
        <v>13</v>
      </c>
      <c r="H257" s="6">
        <v>150</v>
      </c>
      <c r="I257" s="6">
        <v>57.103389999999997</v>
      </c>
    </row>
    <row r="258" spans="1:9" s="7" customFormat="1" ht="22.5" hidden="1" customHeight="1" outlineLevel="1" x14ac:dyDescent="0.25">
      <c r="A258" s="6">
        <v>1486</v>
      </c>
      <c r="B258" s="6" t="s">
        <v>91</v>
      </c>
      <c r="C258" s="19" t="s">
        <v>131</v>
      </c>
      <c r="D258" s="19"/>
      <c r="E258" s="6">
        <v>2022</v>
      </c>
      <c r="F258" s="6" t="s">
        <v>79</v>
      </c>
      <c r="G258" s="6">
        <v>25</v>
      </c>
      <c r="H258" s="6">
        <v>40</v>
      </c>
      <c r="I258" s="6">
        <v>91.676680000000005</v>
      </c>
    </row>
    <row r="259" spans="1:9" s="7" customFormat="1" ht="22.5" hidden="1" customHeight="1" outlineLevel="1" x14ac:dyDescent="0.25">
      <c r="A259" s="6">
        <v>1206</v>
      </c>
      <c r="B259" s="6" t="s">
        <v>91</v>
      </c>
      <c r="C259" s="19" t="s">
        <v>132</v>
      </c>
      <c r="D259" s="19"/>
      <c r="E259" s="6">
        <v>2022</v>
      </c>
      <c r="F259" s="6" t="s">
        <v>79</v>
      </c>
      <c r="G259" s="6">
        <v>43</v>
      </c>
      <c r="H259" s="6">
        <v>150</v>
      </c>
      <c r="I259" s="6">
        <v>201.99943999999999</v>
      </c>
    </row>
    <row r="260" spans="1:9" s="7" customFormat="1" ht="22.5" hidden="1" customHeight="1" outlineLevel="1" x14ac:dyDescent="0.25">
      <c r="A260" s="6">
        <v>1344</v>
      </c>
      <c r="B260" s="6" t="s">
        <v>91</v>
      </c>
      <c r="C260" s="19" t="s">
        <v>133</v>
      </c>
      <c r="D260" s="19"/>
      <c r="E260" s="6">
        <v>2022</v>
      </c>
      <c r="F260" s="6" t="s">
        <v>79</v>
      </c>
      <c r="G260" s="6">
        <v>521</v>
      </c>
      <c r="H260" s="6">
        <v>35</v>
      </c>
      <c r="I260" s="6">
        <v>905.91094999999996</v>
      </c>
    </row>
    <row r="261" spans="1:9" s="7" customFormat="1" ht="22.5" hidden="1" customHeight="1" outlineLevel="1" x14ac:dyDescent="0.25">
      <c r="A261" s="6">
        <v>1464</v>
      </c>
      <c r="B261" s="6" t="s">
        <v>91</v>
      </c>
      <c r="C261" s="19" t="s">
        <v>134</v>
      </c>
      <c r="D261" s="19"/>
      <c r="E261" s="6">
        <v>2022</v>
      </c>
      <c r="F261" s="6" t="s">
        <v>79</v>
      </c>
      <c r="G261" s="6">
        <v>1405</v>
      </c>
      <c r="H261" s="6">
        <v>15</v>
      </c>
      <c r="I261" s="6">
        <v>2626.9262800000001</v>
      </c>
    </row>
    <row r="262" spans="1:9" s="7" customFormat="1" ht="22.5" hidden="1" customHeight="1" outlineLevel="1" x14ac:dyDescent="0.25">
      <c r="A262" s="6">
        <v>1041</v>
      </c>
      <c r="B262" s="6" t="s">
        <v>91</v>
      </c>
      <c r="C262" s="19" t="s">
        <v>135</v>
      </c>
      <c r="D262" s="19"/>
      <c r="E262" s="6">
        <v>2022</v>
      </c>
      <c r="F262" s="6" t="s">
        <v>79</v>
      </c>
      <c r="G262" s="6">
        <v>22</v>
      </c>
      <c r="H262" s="6">
        <v>15</v>
      </c>
      <c r="I262" s="6">
        <v>95.551180000000002</v>
      </c>
    </row>
    <row r="263" spans="1:9" s="7" customFormat="1" ht="22.5" hidden="1" customHeight="1" outlineLevel="1" x14ac:dyDescent="0.25">
      <c r="A263" s="6">
        <v>1720</v>
      </c>
      <c r="B263" s="6" t="s">
        <v>91</v>
      </c>
      <c r="C263" s="19" t="s">
        <v>136</v>
      </c>
      <c r="D263" s="19"/>
      <c r="E263" s="6">
        <v>2022</v>
      </c>
      <c r="F263" s="6" t="s">
        <v>79</v>
      </c>
      <c r="G263" s="6">
        <v>985</v>
      </c>
      <c r="H263" s="6">
        <v>11.5</v>
      </c>
      <c r="I263" s="6">
        <v>1571.93254</v>
      </c>
    </row>
    <row r="264" spans="1:9" s="7" customFormat="1" ht="22.5" hidden="1" customHeight="1" outlineLevel="1" x14ac:dyDescent="0.25">
      <c r="A264" s="6">
        <v>1663</v>
      </c>
      <c r="B264" s="6" t="s">
        <v>91</v>
      </c>
      <c r="C264" s="19" t="s">
        <v>137</v>
      </c>
      <c r="D264" s="19"/>
      <c r="E264" s="6">
        <v>2022</v>
      </c>
      <c r="F264" s="6" t="s">
        <v>79</v>
      </c>
      <c r="G264" s="6">
        <v>5</v>
      </c>
      <c r="H264" s="6">
        <v>15</v>
      </c>
      <c r="I264" s="6">
        <v>37.34102</v>
      </c>
    </row>
    <row r="265" spans="1:9" s="7" customFormat="1" ht="22.5" hidden="1" customHeight="1" outlineLevel="1" x14ac:dyDescent="0.25">
      <c r="A265" s="6">
        <v>451</v>
      </c>
      <c r="B265" s="6" t="s">
        <v>91</v>
      </c>
      <c r="C265" s="19" t="s">
        <v>138</v>
      </c>
      <c r="D265" s="19"/>
      <c r="E265" s="6">
        <v>2022</v>
      </c>
      <c r="F265" s="6" t="s">
        <v>79</v>
      </c>
      <c r="G265" s="6">
        <v>5</v>
      </c>
      <c r="H265" s="6">
        <v>150</v>
      </c>
      <c r="I265" s="6">
        <v>47.984319999999997</v>
      </c>
    </row>
    <row r="266" spans="1:9" s="7" customFormat="1" ht="22.5" hidden="1" customHeight="1" outlineLevel="1" x14ac:dyDescent="0.25">
      <c r="A266" s="6">
        <v>533</v>
      </c>
      <c r="B266" s="6" t="s">
        <v>91</v>
      </c>
      <c r="C266" s="19" t="s">
        <v>139</v>
      </c>
      <c r="D266" s="19"/>
      <c r="E266" s="6">
        <v>2022</v>
      </c>
      <c r="F266" s="6" t="s">
        <v>79</v>
      </c>
      <c r="G266" s="6">
        <v>756</v>
      </c>
      <c r="H266" s="6">
        <v>15</v>
      </c>
      <c r="I266" s="6">
        <v>1179.8443299999999</v>
      </c>
    </row>
    <row r="267" spans="1:9" s="7" customFormat="1" ht="22.5" hidden="1" customHeight="1" outlineLevel="1" x14ac:dyDescent="0.25">
      <c r="A267" s="6">
        <v>454</v>
      </c>
      <c r="B267" s="6" t="s">
        <v>91</v>
      </c>
      <c r="C267" s="19" t="s">
        <v>140</v>
      </c>
      <c r="D267" s="19"/>
      <c r="E267" s="6">
        <v>2022</v>
      </c>
      <c r="F267" s="6" t="s">
        <v>79</v>
      </c>
      <c r="G267" s="6">
        <v>5</v>
      </c>
      <c r="H267" s="6">
        <v>150</v>
      </c>
      <c r="I267" s="6">
        <v>62.345739999999999</v>
      </c>
    </row>
    <row r="268" spans="1:9" s="7" customFormat="1" ht="22.5" hidden="1" customHeight="1" outlineLevel="1" x14ac:dyDescent="0.25">
      <c r="A268" s="6">
        <v>452</v>
      </c>
      <c r="B268" s="6" t="s">
        <v>91</v>
      </c>
      <c r="C268" s="19" t="s">
        <v>141</v>
      </c>
      <c r="D268" s="19"/>
      <c r="E268" s="6">
        <v>2022</v>
      </c>
      <c r="F268" s="6" t="s">
        <v>79</v>
      </c>
      <c r="G268" s="6">
        <v>5</v>
      </c>
      <c r="H268" s="6">
        <v>150</v>
      </c>
      <c r="I268" s="6">
        <v>98.051509999999993</v>
      </c>
    </row>
    <row r="269" spans="1:9" s="7" customFormat="1" ht="22.5" hidden="1" customHeight="1" outlineLevel="1" x14ac:dyDescent="0.25">
      <c r="A269" s="6">
        <v>450</v>
      </c>
      <c r="B269" s="6" t="s">
        <v>91</v>
      </c>
      <c r="C269" s="19" t="s">
        <v>142</v>
      </c>
      <c r="D269" s="19"/>
      <c r="E269" s="6">
        <v>2022</v>
      </c>
      <c r="F269" s="6" t="s">
        <v>79</v>
      </c>
      <c r="G269" s="6">
        <v>5</v>
      </c>
      <c r="H269" s="6">
        <v>150</v>
      </c>
      <c r="I269" s="6">
        <v>50.135429999999999</v>
      </c>
    </row>
    <row r="270" spans="1:9" s="7" customFormat="1" ht="22.5" hidden="1" customHeight="1" outlineLevel="1" x14ac:dyDescent="0.25">
      <c r="A270" s="6">
        <v>449</v>
      </c>
      <c r="B270" s="6" t="s">
        <v>91</v>
      </c>
      <c r="C270" s="19" t="s">
        <v>143</v>
      </c>
      <c r="D270" s="19"/>
      <c r="E270" s="6">
        <v>2022</v>
      </c>
      <c r="F270" s="6" t="s">
        <v>79</v>
      </c>
      <c r="G270" s="6">
        <v>5</v>
      </c>
      <c r="H270" s="6">
        <v>149</v>
      </c>
      <c r="I270" s="6">
        <v>71.815870000000004</v>
      </c>
    </row>
    <row r="271" spans="1:9" s="7" customFormat="1" ht="22.5" hidden="1" customHeight="1" outlineLevel="1" x14ac:dyDescent="0.25">
      <c r="A271" s="6">
        <v>455</v>
      </c>
      <c r="B271" s="6" t="s">
        <v>91</v>
      </c>
      <c r="C271" s="19" t="s">
        <v>144</v>
      </c>
      <c r="D271" s="19"/>
      <c r="E271" s="6">
        <v>2022</v>
      </c>
      <c r="F271" s="6" t="s">
        <v>79</v>
      </c>
      <c r="G271" s="6">
        <v>3</v>
      </c>
      <c r="H271" s="6">
        <v>100</v>
      </c>
      <c r="I271" s="6">
        <v>65.233199999999997</v>
      </c>
    </row>
    <row r="272" spans="1:9" s="7" customFormat="1" ht="22.5" hidden="1" customHeight="1" outlineLevel="1" x14ac:dyDescent="0.25">
      <c r="A272" s="6">
        <v>456</v>
      </c>
      <c r="B272" s="6" t="s">
        <v>91</v>
      </c>
      <c r="C272" s="19" t="s">
        <v>145</v>
      </c>
      <c r="D272" s="19"/>
      <c r="E272" s="6">
        <v>2022</v>
      </c>
      <c r="F272" s="6" t="s">
        <v>79</v>
      </c>
      <c r="G272" s="6">
        <v>8</v>
      </c>
      <c r="H272" s="6">
        <v>15</v>
      </c>
      <c r="I272" s="6">
        <v>109.3719</v>
      </c>
    </row>
    <row r="273" spans="1:9" s="7" customFormat="1" ht="22.5" hidden="1" customHeight="1" outlineLevel="1" x14ac:dyDescent="0.25">
      <c r="A273" s="6">
        <v>479</v>
      </c>
      <c r="B273" s="6" t="s">
        <v>91</v>
      </c>
      <c r="C273" s="19" t="s">
        <v>146</v>
      </c>
      <c r="D273" s="19"/>
      <c r="E273" s="6">
        <v>2022</v>
      </c>
      <c r="F273" s="6" t="s">
        <v>79</v>
      </c>
      <c r="G273" s="6">
        <v>70</v>
      </c>
      <c r="H273" s="6">
        <v>10</v>
      </c>
      <c r="I273" s="6">
        <v>105.50449999999999</v>
      </c>
    </row>
    <row r="274" spans="1:9" s="7" customFormat="1" ht="22.5" hidden="1" customHeight="1" outlineLevel="1" x14ac:dyDescent="0.25">
      <c r="A274" s="6">
        <v>561</v>
      </c>
      <c r="B274" s="6" t="s">
        <v>91</v>
      </c>
      <c r="C274" s="19" t="s">
        <v>147</v>
      </c>
      <c r="D274" s="19"/>
      <c r="E274" s="6">
        <v>2022</v>
      </c>
      <c r="F274" s="6" t="s">
        <v>79</v>
      </c>
      <c r="G274" s="6">
        <v>307</v>
      </c>
      <c r="H274" s="6">
        <v>15</v>
      </c>
      <c r="I274" s="6">
        <v>483.40895999999998</v>
      </c>
    </row>
    <row r="275" spans="1:9" s="7" customFormat="1" ht="22.5" hidden="1" customHeight="1" outlineLevel="1" x14ac:dyDescent="0.25">
      <c r="A275" s="6">
        <v>562</v>
      </c>
      <c r="B275" s="6" t="s">
        <v>91</v>
      </c>
      <c r="C275" s="19" t="s">
        <v>148</v>
      </c>
      <c r="D275" s="19"/>
      <c r="E275" s="6">
        <v>2022</v>
      </c>
      <c r="F275" s="6" t="s">
        <v>79</v>
      </c>
      <c r="G275" s="6">
        <v>783</v>
      </c>
      <c r="H275" s="6">
        <v>10.5</v>
      </c>
      <c r="I275" s="6">
        <v>1359.11429</v>
      </c>
    </row>
    <row r="276" spans="1:9" s="7" customFormat="1" ht="22.5" hidden="1" customHeight="1" outlineLevel="1" x14ac:dyDescent="0.25">
      <c r="A276" s="6">
        <v>461</v>
      </c>
      <c r="B276" s="6" t="s">
        <v>91</v>
      </c>
      <c r="C276" s="19" t="s">
        <v>149</v>
      </c>
      <c r="D276" s="19"/>
      <c r="E276" s="6">
        <v>2022</v>
      </c>
      <c r="F276" s="6" t="s">
        <v>79</v>
      </c>
      <c r="G276" s="6">
        <v>481</v>
      </c>
      <c r="H276" s="6">
        <v>81</v>
      </c>
      <c r="I276" s="6">
        <v>1104.7075400000001</v>
      </c>
    </row>
    <row r="277" spans="1:9" s="7" customFormat="1" ht="22.5" hidden="1" customHeight="1" outlineLevel="1" x14ac:dyDescent="0.25">
      <c r="A277" s="6">
        <v>564</v>
      </c>
      <c r="B277" s="6" t="s">
        <v>91</v>
      </c>
      <c r="C277" s="19" t="s">
        <v>150</v>
      </c>
      <c r="D277" s="19"/>
      <c r="E277" s="6">
        <v>2022</v>
      </c>
      <c r="F277" s="6" t="s">
        <v>79</v>
      </c>
      <c r="G277" s="6">
        <v>368</v>
      </c>
      <c r="H277" s="6">
        <v>15</v>
      </c>
      <c r="I277" s="6">
        <v>910.81111999999996</v>
      </c>
    </row>
    <row r="278" spans="1:9" s="7" customFormat="1" ht="22.5" hidden="1" customHeight="1" outlineLevel="1" x14ac:dyDescent="0.25">
      <c r="A278" s="6">
        <v>464</v>
      </c>
      <c r="B278" s="6" t="s">
        <v>91</v>
      </c>
      <c r="C278" s="19" t="s">
        <v>151</v>
      </c>
      <c r="D278" s="19"/>
      <c r="E278" s="6">
        <v>2022</v>
      </c>
      <c r="F278" s="6" t="s">
        <v>79</v>
      </c>
      <c r="G278" s="6">
        <v>18</v>
      </c>
      <c r="H278" s="6">
        <v>150</v>
      </c>
      <c r="I278" s="6">
        <v>162.90213</v>
      </c>
    </row>
    <row r="279" spans="1:9" s="7" customFormat="1" ht="22.5" hidden="1" customHeight="1" outlineLevel="1" x14ac:dyDescent="0.25">
      <c r="A279" s="6">
        <v>471</v>
      </c>
      <c r="B279" s="6" t="s">
        <v>91</v>
      </c>
      <c r="C279" s="19" t="s">
        <v>152</v>
      </c>
      <c r="D279" s="19"/>
      <c r="E279" s="6">
        <v>2022</v>
      </c>
      <c r="F279" s="6" t="s">
        <v>79</v>
      </c>
      <c r="G279" s="6">
        <v>3</v>
      </c>
      <c r="H279" s="6">
        <v>150</v>
      </c>
      <c r="I279" s="6">
        <v>63.11383</v>
      </c>
    </row>
    <row r="280" spans="1:9" s="7" customFormat="1" ht="22.5" hidden="1" customHeight="1" outlineLevel="1" x14ac:dyDescent="0.25">
      <c r="A280" s="6">
        <v>472</v>
      </c>
      <c r="B280" s="6" t="s">
        <v>91</v>
      </c>
      <c r="C280" s="19" t="s">
        <v>153</v>
      </c>
      <c r="D280" s="19"/>
      <c r="E280" s="6">
        <v>2022</v>
      </c>
      <c r="F280" s="6" t="s">
        <v>79</v>
      </c>
      <c r="G280" s="6">
        <v>344</v>
      </c>
      <c r="H280" s="6">
        <v>100</v>
      </c>
      <c r="I280" s="6">
        <v>835.93847000000005</v>
      </c>
    </row>
    <row r="281" spans="1:9" s="7" customFormat="1" ht="22.5" hidden="1" customHeight="1" outlineLevel="1" x14ac:dyDescent="0.25">
      <c r="A281" s="6">
        <v>579</v>
      </c>
      <c r="B281" s="6" t="s">
        <v>91</v>
      </c>
      <c r="C281" s="19" t="s">
        <v>154</v>
      </c>
      <c r="D281" s="19"/>
      <c r="E281" s="6">
        <v>2022</v>
      </c>
      <c r="F281" s="6" t="s">
        <v>79</v>
      </c>
      <c r="G281" s="6">
        <v>523</v>
      </c>
      <c r="H281" s="6">
        <v>9</v>
      </c>
      <c r="I281" s="6">
        <v>1223.0452700000001</v>
      </c>
    </row>
    <row r="282" spans="1:9" s="7" customFormat="1" ht="22.5" hidden="1" customHeight="1" outlineLevel="1" x14ac:dyDescent="0.25">
      <c r="A282" s="6">
        <v>5421</v>
      </c>
      <c r="B282" s="6" t="s">
        <v>91</v>
      </c>
      <c r="C282" s="19" t="s">
        <v>155</v>
      </c>
      <c r="D282" s="19"/>
      <c r="E282" s="6">
        <v>2022</v>
      </c>
      <c r="F282" s="6" t="s">
        <v>79</v>
      </c>
      <c r="G282" s="6">
        <v>5</v>
      </c>
      <c r="H282" s="6">
        <v>130</v>
      </c>
      <c r="I282" s="6">
        <v>108.735</v>
      </c>
    </row>
    <row r="283" spans="1:9" s="7" customFormat="1" ht="22.5" hidden="1" customHeight="1" outlineLevel="1" x14ac:dyDescent="0.25">
      <c r="A283" s="6">
        <v>5417</v>
      </c>
      <c r="B283" s="6" t="s">
        <v>91</v>
      </c>
      <c r="C283" s="19" t="s">
        <v>156</v>
      </c>
      <c r="D283" s="19"/>
      <c r="E283" s="6">
        <v>2022</v>
      </c>
      <c r="F283" s="6" t="s">
        <v>79</v>
      </c>
      <c r="G283" s="6">
        <v>53</v>
      </c>
      <c r="H283" s="6">
        <v>159.69999999999999</v>
      </c>
      <c r="I283" s="6">
        <v>467.64600000000002</v>
      </c>
    </row>
    <row r="284" spans="1:9" s="7" customFormat="1" ht="22.5" hidden="1" customHeight="1" outlineLevel="1" x14ac:dyDescent="0.25">
      <c r="A284" s="6">
        <v>5861</v>
      </c>
      <c r="B284" s="6" t="s">
        <v>91</v>
      </c>
      <c r="C284" s="19" t="s">
        <v>157</v>
      </c>
      <c r="D284" s="19"/>
      <c r="E284" s="6">
        <v>2022</v>
      </c>
      <c r="F284" s="6" t="s">
        <v>79</v>
      </c>
      <c r="G284" s="6">
        <v>5</v>
      </c>
      <c r="H284" s="6">
        <v>150</v>
      </c>
      <c r="I284" s="6">
        <v>81.314999999999998</v>
      </c>
    </row>
    <row r="285" spans="1:9" s="7" customFormat="1" ht="22.5" hidden="1" customHeight="1" outlineLevel="1" x14ac:dyDescent="0.25">
      <c r="A285" s="6">
        <v>5421</v>
      </c>
      <c r="B285" s="6" t="s">
        <v>91</v>
      </c>
      <c r="C285" s="19" t="s">
        <v>155</v>
      </c>
      <c r="D285" s="19"/>
      <c r="E285" s="6">
        <v>2022</v>
      </c>
      <c r="F285" s="6" t="s">
        <v>79</v>
      </c>
      <c r="G285" s="6">
        <v>5</v>
      </c>
      <c r="H285" s="6">
        <v>130</v>
      </c>
      <c r="I285" s="6">
        <v>108.735</v>
      </c>
    </row>
    <row r="286" spans="1:9" s="7" customFormat="1" ht="22.5" hidden="1" customHeight="1" outlineLevel="1" x14ac:dyDescent="0.25">
      <c r="A286" s="6">
        <v>5417</v>
      </c>
      <c r="B286" s="6" t="s">
        <v>91</v>
      </c>
      <c r="C286" s="19" t="s">
        <v>156</v>
      </c>
      <c r="D286" s="19"/>
      <c r="E286" s="6">
        <v>2022</v>
      </c>
      <c r="F286" s="6" t="s">
        <v>79</v>
      </c>
      <c r="G286" s="6">
        <v>53</v>
      </c>
      <c r="H286" s="6">
        <v>159.69999999999999</v>
      </c>
      <c r="I286" s="6">
        <v>467.64600000000002</v>
      </c>
    </row>
    <row r="287" spans="1:9" s="7" customFormat="1" ht="22.5" hidden="1" customHeight="1" outlineLevel="1" x14ac:dyDescent="0.25">
      <c r="A287" s="6">
        <v>5861</v>
      </c>
      <c r="B287" s="6" t="s">
        <v>91</v>
      </c>
      <c r="C287" s="19" t="s">
        <v>157</v>
      </c>
      <c r="D287" s="19"/>
      <c r="E287" s="6">
        <v>2022</v>
      </c>
      <c r="F287" s="6" t="s">
        <v>79</v>
      </c>
      <c r="G287" s="6">
        <v>5</v>
      </c>
      <c r="H287" s="6">
        <v>150</v>
      </c>
      <c r="I287" s="6">
        <v>81.314999999999998</v>
      </c>
    </row>
    <row r="288" spans="1:9" s="7" customFormat="1" ht="22.5" hidden="1" customHeight="1" outlineLevel="1" x14ac:dyDescent="0.25">
      <c r="A288" s="6">
        <v>139</v>
      </c>
      <c r="B288" s="6" t="s">
        <v>91</v>
      </c>
      <c r="C288" s="19" t="s">
        <v>158</v>
      </c>
      <c r="D288" s="19"/>
      <c r="E288" s="6">
        <v>2022</v>
      </c>
      <c r="F288" s="6" t="s">
        <v>79</v>
      </c>
      <c r="G288" s="6">
        <v>791</v>
      </c>
      <c r="H288" s="6">
        <v>15</v>
      </c>
      <c r="I288" s="6">
        <v>625</v>
      </c>
    </row>
    <row r="289" spans="1:9" s="7" customFormat="1" ht="22.5" hidden="1" customHeight="1" outlineLevel="1" x14ac:dyDescent="0.25">
      <c r="A289" s="6">
        <v>180</v>
      </c>
      <c r="B289" s="6" t="s">
        <v>91</v>
      </c>
      <c r="C289" s="19" t="s">
        <v>159</v>
      </c>
      <c r="D289" s="19"/>
      <c r="E289" s="6">
        <v>2022</v>
      </c>
      <c r="F289" s="6" t="s">
        <v>79</v>
      </c>
      <c r="G289" s="6">
        <v>5</v>
      </c>
      <c r="H289" s="6">
        <v>50</v>
      </c>
      <c r="I289" s="6">
        <v>59</v>
      </c>
    </row>
    <row r="290" spans="1:9" s="7" customFormat="1" ht="22.5" hidden="1" customHeight="1" outlineLevel="1" x14ac:dyDescent="0.25">
      <c r="A290" s="6">
        <v>100</v>
      </c>
      <c r="B290" s="6" t="s">
        <v>91</v>
      </c>
      <c r="C290" s="19" t="s">
        <v>160</v>
      </c>
      <c r="D290" s="19"/>
      <c r="E290" s="6">
        <v>2022</v>
      </c>
      <c r="F290" s="6" t="s">
        <v>79</v>
      </c>
      <c r="G290" s="6">
        <v>3</v>
      </c>
      <c r="H290" s="6">
        <v>150</v>
      </c>
      <c r="I290" s="6">
        <v>37</v>
      </c>
    </row>
    <row r="291" spans="1:9" s="7" customFormat="1" ht="22.5" hidden="1" customHeight="1" outlineLevel="1" x14ac:dyDescent="0.25">
      <c r="A291" s="6">
        <v>17</v>
      </c>
      <c r="B291" s="6" t="s">
        <v>91</v>
      </c>
      <c r="C291" s="19" t="s">
        <v>161</v>
      </c>
      <c r="D291" s="19"/>
      <c r="E291" s="6">
        <v>2022</v>
      </c>
      <c r="F291" s="6" t="s">
        <v>79</v>
      </c>
      <c r="G291" s="6">
        <v>259</v>
      </c>
      <c r="H291" s="6">
        <v>265</v>
      </c>
      <c r="I291" s="6">
        <v>641</v>
      </c>
    </row>
    <row r="292" spans="1:9" s="7" customFormat="1" ht="22.5" hidden="1" customHeight="1" outlineLevel="1" x14ac:dyDescent="0.25">
      <c r="A292" s="6">
        <v>130</v>
      </c>
      <c r="B292" s="6" t="s">
        <v>91</v>
      </c>
      <c r="C292" s="19" t="s">
        <v>162</v>
      </c>
      <c r="D292" s="19"/>
      <c r="E292" s="6">
        <v>2022</v>
      </c>
      <c r="F292" s="6" t="s">
        <v>79</v>
      </c>
      <c r="G292" s="6">
        <v>269</v>
      </c>
      <c r="H292" s="6">
        <v>30</v>
      </c>
      <c r="I292" s="6">
        <v>612</v>
      </c>
    </row>
    <row r="293" spans="1:9" s="7" customFormat="1" ht="22.5" hidden="1" customHeight="1" outlineLevel="1" x14ac:dyDescent="0.25">
      <c r="A293" s="6">
        <v>153</v>
      </c>
      <c r="B293" s="6" t="s">
        <v>91</v>
      </c>
      <c r="C293" s="19" t="s">
        <v>163</v>
      </c>
      <c r="D293" s="19"/>
      <c r="E293" s="6">
        <v>2022</v>
      </c>
      <c r="F293" s="6" t="s">
        <v>79</v>
      </c>
      <c r="G293" s="6">
        <v>5</v>
      </c>
      <c r="H293" s="6">
        <v>150</v>
      </c>
      <c r="I293" s="6">
        <v>72</v>
      </c>
    </row>
    <row r="294" spans="1:9" s="7" customFormat="1" ht="22.5" hidden="1" customHeight="1" outlineLevel="1" x14ac:dyDescent="0.25">
      <c r="A294" s="6">
        <v>282</v>
      </c>
      <c r="B294" s="6" t="s">
        <v>91</v>
      </c>
      <c r="C294" s="19" t="s">
        <v>164</v>
      </c>
      <c r="D294" s="19"/>
      <c r="E294" s="6">
        <v>2022</v>
      </c>
      <c r="F294" s="6" t="s">
        <v>79</v>
      </c>
      <c r="G294" s="6">
        <v>3569</v>
      </c>
      <c r="H294" s="6">
        <v>160</v>
      </c>
      <c r="I294" s="6">
        <v>5036</v>
      </c>
    </row>
    <row r="295" spans="1:9" s="7" customFormat="1" ht="22.5" hidden="1" customHeight="1" outlineLevel="1" x14ac:dyDescent="0.25">
      <c r="A295" s="6">
        <v>284</v>
      </c>
      <c r="B295" s="6" t="s">
        <v>91</v>
      </c>
      <c r="C295" s="19" t="s">
        <v>165</v>
      </c>
      <c r="D295" s="19"/>
      <c r="E295" s="6">
        <v>2022</v>
      </c>
      <c r="F295" s="6" t="s">
        <v>79</v>
      </c>
      <c r="G295" s="6">
        <v>3</v>
      </c>
      <c r="H295" s="6">
        <v>150</v>
      </c>
      <c r="I295" s="6">
        <v>60</v>
      </c>
    </row>
    <row r="296" spans="1:9" s="7" customFormat="1" ht="22.5" hidden="1" customHeight="1" outlineLevel="1" x14ac:dyDescent="0.25">
      <c r="A296" s="6">
        <v>224</v>
      </c>
      <c r="B296" s="6" t="s">
        <v>91</v>
      </c>
      <c r="C296" s="19" t="s">
        <v>166</v>
      </c>
      <c r="D296" s="19"/>
      <c r="E296" s="6">
        <v>2022</v>
      </c>
      <c r="F296" s="6" t="s">
        <v>79</v>
      </c>
      <c r="G296" s="6">
        <v>3</v>
      </c>
      <c r="H296" s="6">
        <v>15</v>
      </c>
      <c r="I296" s="6">
        <v>68</v>
      </c>
    </row>
    <row r="297" spans="1:9" s="7" customFormat="1" ht="22.5" hidden="1" customHeight="1" outlineLevel="1" x14ac:dyDescent="0.25">
      <c r="A297" s="6">
        <v>261</v>
      </c>
      <c r="B297" s="6" t="s">
        <v>91</v>
      </c>
      <c r="C297" s="19" t="s">
        <v>167</v>
      </c>
      <c r="D297" s="19"/>
      <c r="E297" s="6">
        <v>2022</v>
      </c>
      <c r="F297" s="6" t="s">
        <v>79</v>
      </c>
      <c r="G297" s="6">
        <v>5</v>
      </c>
      <c r="H297" s="6">
        <v>25</v>
      </c>
      <c r="I297" s="6">
        <v>35</v>
      </c>
    </row>
    <row r="298" spans="1:9" s="7" customFormat="1" ht="22.5" hidden="1" customHeight="1" outlineLevel="1" x14ac:dyDescent="0.25">
      <c r="A298" s="6">
        <v>302</v>
      </c>
      <c r="B298" s="6" t="s">
        <v>91</v>
      </c>
      <c r="C298" s="19" t="s">
        <v>168</v>
      </c>
      <c r="D298" s="19"/>
      <c r="E298" s="6">
        <v>2022</v>
      </c>
      <c r="F298" s="6" t="s">
        <v>79</v>
      </c>
      <c r="G298" s="6">
        <v>300</v>
      </c>
      <c r="H298" s="6">
        <v>150</v>
      </c>
      <c r="I298" s="6">
        <v>170</v>
      </c>
    </row>
    <row r="299" spans="1:9" s="7" customFormat="1" ht="22.5" hidden="1" customHeight="1" outlineLevel="1" x14ac:dyDescent="0.25">
      <c r="A299" s="6">
        <v>400</v>
      </c>
      <c r="B299" s="6" t="s">
        <v>91</v>
      </c>
      <c r="C299" s="19" t="s">
        <v>169</v>
      </c>
      <c r="D299" s="19"/>
      <c r="E299" s="6">
        <v>2022</v>
      </c>
      <c r="F299" s="6" t="s">
        <v>79</v>
      </c>
      <c r="G299" s="6">
        <v>3</v>
      </c>
      <c r="H299" s="6">
        <v>300</v>
      </c>
      <c r="I299" s="6">
        <v>110</v>
      </c>
    </row>
    <row r="300" spans="1:9" s="7" customFormat="1" ht="22.5" hidden="1" customHeight="1" outlineLevel="1" x14ac:dyDescent="0.25">
      <c r="A300" s="6">
        <v>402</v>
      </c>
      <c r="B300" s="6" t="s">
        <v>91</v>
      </c>
      <c r="C300" s="19" t="s">
        <v>170</v>
      </c>
      <c r="D300" s="19"/>
      <c r="E300" s="6">
        <v>2022</v>
      </c>
      <c r="F300" s="6" t="s">
        <v>79</v>
      </c>
      <c r="G300" s="6">
        <v>802</v>
      </c>
      <c r="H300" s="6">
        <v>447</v>
      </c>
      <c r="I300" s="6">
        <v>2024</v>
      </c>
    </row>
    <row r="301" spans="1:9" s="7" customFormat="1" ht="22.5" hidden="1" customHeight="1" outlineLevel="1" x14ac:dyDescent="0.25">
      <c r="A301" s="6">
        <v>399</v>
      </c>
      <c r="B301" s="6" t="s">
        <v>91</v>
      </c>
      <c r="C301" s="19" t="s">
        <v>171</v>
      </c>
      <c r="D301" s="19"/>
      <c r="E301" s="6">
        <v>2022</v>
      </c>
      <c r="F301" s="6" t="s">
        <v>79</v>
      </c>
      <c r="G301" s="6">
        <v>6</v>
      </c>
      <c r="H301" s="6">
        <v>150</v>
      </c>
      <c r="I301" s="6">
        <v>100</v>
      </c>
    </row>
    <row r="302" spans="1:9" s="7" customFormat="1" ht="22.5" hidden="1" customHeight="1" outlineLevel="1" x14ac:dyDescent="0.25">
      <c r="A302" s="6">
        <v>431</v>
      </c>
      <c r="B302" s="6" t="s">
        <v>91</v>
      </c>
      <c r="C302" s="19" t="s">
        <v>172</v>
      </c>
      <c r="D302" s="19"/>
      <c r="E302" s="6">
        <v>2022</v>
      </c>
      <c r="F302" s="6" t="s">
        <v>79</v>
      </c>
      <c r="G302" s="6">
        <v>1649</v>
      </c>
      <c r="H302" s="6">
        <v>405</v>
      </c>
      <c r="I302" s="6">
        <v>3878</v>
      </c>
    </row>
    <row r="303" spans="1:9" s="7" customFormat="1" ht="22.5" hidden="1" customHeight="1" outlineLevel="1" x14ac:dyDescent="0.25">
      <c r="A303" s="6">
        <v>423</v>
      </c>
      <c r="B303" s="6" t="s">
        <v>91</v>
      </c>
      <c r="C303" s="19" t="s">
        <v>173</v>
      </c>
      <c r="D303" s="19"/>
      <c r="E303" s="6">
        <v>2022</v>
      </c>
      <c r="F303" s="6" t="s">
        <v>79</v>
      </c>
      <c r="G303" s="6">
        <v>257</v>
      </c>
      <c r="H303" s="6">
        <v>45</v>
      </c>
      <c r="I303" s="6">
        <v>532</v>
      </c>
    </row>
    <row r="304" spans="1:9" s="7" customFormat="1" ht="22.5" hidden="1" customHeight="1" outlineLevel="1" x14ac:dyDescent="0.25">
      <c r="A304" s="6">
        <v>424</v>
      </c>
      <c r="B304" s="6" t="s">
        <v>91</v>
      </c>
      <c r="C304" s="19" t="s">
        <v>174</v>
      </c>
      <c r="D304" s="19"/>
      <c r="E304" s="6">
        <v>2022</v>
      </c>
      <c r="F304" s="6" t="s">
        <v>79</v>
      </c>
      <c r="G304" s="6">
        <v>32</v>
      </c>
      <c r="H304" s="6">
        <v>15</v>
      </c>
      <c r="I304" s="6">
        <v>139</v>
      </c>
    </row>
    <row r="305" spans="1:9" s="7" customFormat="1" ht="22.5" hidden="1" customHeight="1" outlineLevel="1" x14ac:dyDescent="0.25">
      <c r="A305" s="6">
        <v>297</v>
      </c>
      <c r="B305" s="6" t="s">
        <v>91</v>
      </c>
      <c r="C305" s="19" t="s">
        <v>175</v>
      </c>
      <c r="D305" s="19"/>
      <c r="E305" s="6">
        <v>2022</v>
      </c>
      <c r="F305" s="6" t="s">
        <v>79</v>
      </c>
      <c r="G305" s="6">
        <v>130</v>
      </c>
      <c r="H305" s="6">
        <v>15</v>
      </c>
      <c r="I305" s="6">
        <v>148</v>
      </c>
    </row>
    <row r="306" spans="1:9" s="7" customFormat="1" ht="22.5" hidden="1" customHeight="1" outlineLevel="1" x14ac:dyDescent="0.25">
      <c r="A306" s="6">
        <v>295</v>
      </c>
      <c r="B306" s="6" t="s">
        <v>91</v>
      </c>
      <c r="C306" s="19" t="s">
        <v>176</v>
      </c>
      <c r="D306" s="19"/>
      <c r="E306" s="6">
        <v>2022</v>
      </c>
      <c r="F306" s="6" t="s">
        <v>79</v>
      </c>
      <c r="G306" s="6">
        <v>60</v>
      </c>
      <c r="H306" s="6">
        <v>15</v>
      </c>
      <c r="I306" s="6">
        <v>75</v>
      </c>
    </row>
    <row r="307" spans="1:9" s="7" customFormat="1" ht="22.5" hidden="1" customHeight="1" outlineLevel="1" x14ac:dyDescent="0.25">
      <c r="A307" s="6">
        <v>303</v>
      </c>
      <c r="B307" s="6" t="s">
        <v>91</v>
      </c>
      <c r="C307" s="19" t="s">
        <v>177</v>
      </c>
      <c r="D307" s="19"/>
      <c r="E307" s="6">
        <v>2022</v>
      </c>
      <c r="F307" s="6" t="s">
        <v>79</v>
      </c>
      <c r="G307" s="6">
        <v>60</v>
      </c>
      <c r="H307" s="6">
        <v>15</v>
      </c>
      <c r="I307" s="6">
        <v>73</v>
      </c>
    </row>
    <row r="308" spans="1:9" s="7" customFormat="1" ht="22.5" hidden="1" customHeight="1" outlineLevel="1" x14ac:dyDescent="0.25">
      <c r="A308" s="6">
        <v>301</v>
      </c>
      <c r="B308" s="6" t="s">
        <v>91</v>
      </c>
      <c r="C308" s="19" t="s">
        <v>178</v>
      </c>
      <c r="D308" s="19"/>
      <c r="E308" s="6">
        <v>2022</v>
      </c>
      <c r="F308" s="6" t="s">
        <v>79</v>
      </c>
      <c r="G308" s="6">
        <v>50</v>
      </c>
      <c r="H308" s="6">
        <v>15</v>
      </c>
      <c r="I308" s="6">
        <v>72</v>
      </c>
    </row>
    <row r="309" spans="1:9" s="7" customFormat="1" ht="22.5" hidden="1" customHeight="1" outlineLevel="1" x14ac:dyDescent="0.25">
      <c r="A309" s="6">
        <v>304</v>
      </c>
      <c r="B309" s="6" t="s">
        <v>91</v>
      </c>
      <c r="C309" s="19" t="s">
        <v>179</v>
      </c>
      <c r="D309" s="19"/>
      <c r="E309" s="6">
        <v>2022</v>
      </c>
      <c r="F309" s="6" t="s">
        <v>79</v>
      </c>
      <c r="G309" s="6">
        <v>90</v>
      </c>
      <c r="H309" s="6">
        <v>15</v>
      </c>
      <c r="I309" s="6">
        <v>122</v>
      </c>
    </row>
    <row r="310" spans="1:9" s="7" customFormat="1" ht="22.5" hidden="1" customHeight="1" outlineLevel="1" x14ac:dyDescent="0.25">
      <c r="A310" s="6">
        <v>432</v>
      </c>
      <c r="B310" s="6" t="s">
        <v>91</v>
      </c>
      <c r="C310" s="19" t="s">
        <v>180</v>
      </c>
      <c r="D310" s="19"/>
      <c r="E310" s="6">
        <v>2022</v>
      </c>
      <c r="F310" s="6" t="s">
        <v>79</v>
      </c>
      <c r="G310" s="6">
        <v>132</v>
      </c>
      <c r="H310" s="6">
        <v>15</v>
      </c>
      <c r="I310" s="6">
        <v>271</v>
      </c>
    </row>
    <row r="311" spans="1:9" s="7" customFormat="1" ht="22.5" hidden="1" customHeight="1" outlineLevel="1" x14ac:dyDescent="0.25">
      <c r="A311" s="6">
        <v>2818</v>
      </c>
      <c r="B311" s="18" t="s">
        <v>91</v>
      </c>
      <c r="C311" s="19" t="s">
        <v>181</v>
      </c>
      <c r="D311" s="19"/>
      <c r="E311" s="18">
        <v>2023</v>
      </c>
      <c r="F311" s="18" t="s">
        <v>79</v>
      </c>
      <c r="G311" s="18">
        <v>493</v>
      </c>
      <c r="H311" s="36">
        <v>240</v>
      </c>
      <c r="I311" s="36">
        <v>1779.83412</v>
      </c>
    </row>
    <row r="312" spans="1:9" s="7" customFormat="1" ht="22.5" hidden="1" customHeight="1" outlineLevel="1" x14ac:dyDescent="0.25">
      <c r="A312" s="6">
        <v>3090</v>
      </c>
      <c r="B312" s="18" t="s">
        <v>91</v>
      </c>
      <c r="C312" s="19" t="s">
        <v>182</v>
      </c>
      <c r="D312" s="19"/>
      <c r="E312" s="18">
        <v>2023</v>
      </c>
      <c r="F312" s="18" t="s">
        <v>79</v>
      </c>
      <c r="G312" s="18">
        <v>6</v>
      </c>
      <c r="H312" s="36">
        <v>150</v>
      </c>
      <c r="I312" s="36">
        <v>50.278169999999996</v>
      </c>
    </row>
    <row r="313" spans="1:9" s="7" customFormat="1" ht="22.5" hidden="1" customHeight="1" outlineLevel="1" x14ac:dyDescent="0.25">
      <c r="A313" s="6">
        <v>4162</v>
      </c>
      <c r="B313" s="18" t="s">
        <v>91</v>
      </c>
      <c r="C313" s="19" t="s">
        <v>183</v>
      </c>
      <c r="D313" s="19"/>
      <c r="E313" s="18">
        <v>2023</v>
      </c>
      <c r="F313" s="18" t="s">
        <v>79</v>
      </c>
      <c r="G313" s="18">
        <v>6</v>
      </c>
      <c r="H313" s="36">
        <v>140.5</v>
      </c>
      <c r="I313" s="36">
        <v>100.70222</v>
      </c>
    </row>
    <row r="314" spans="1:9" s="7" customFormat="1" ht="22.5" hidden="1" customHeight="1" outlineLevel="1" x14ac:dyDescent="0.25">
      <c r="A314" s="6">
        <v>3038</v>
      </c>
      <c r="B314" s="18" t="s">
        <v>91</v>
      </c>
      <c r="C314" s="19" t="s">
        <v>184</v>
      </c>
      <c r="D314" s="19"/>
      <c r="E314" s="18">
        <v>2023</v>
      </c>
      <c r="F314" s="18" t="s">
        <v>79</v>
      </c>
      <c r="G314" s="18">
        <v>6</v>
      </c>
      <c r="H314" s="36">
        <v>150</v>
      </c>
      <c r="I314" s="36">
        <v>74.116370000000003</v>
      </c>
    </row>
    <row r="315" spans="1:9" s="7" customFormat="1" ht="22.5" hidden="1" customHeight="1" outlineLevel="1" x14ac:dyDescent="0.25">
      <c r="A315" s="6">
        <v>3083</v>
      </c>
      <c r="B315" s="18" t="s">
        <v>91</v>
      </c>
      <c r="C315" s="19" t="s">
        <v>185</v>
      </c>
      <c r="D315" s="19"/>
      <c r="E315" s="18">
        <v>2023</v>
      </c>
      <c r="F315" s="18" t="s">
        <v>79</v>
      </c>
      <c r="G315" s="18">
        <v>6</v>
      </c>
      <c r="H315" s="36">
        <v>150</v>
      </c>
      <c r="I315" s="36">
        <v>68.637840000000011</v>
      </c>
    </row>
    <row r="316" spans="1:9" s="7" customFormat="1" ht="22.5" hidden="1" customHeight="1" outlineLevel="1" x14ac:dyDescent="0.25">
      <c r="A316" s="6">
        <v>3195</v>
      </c>
      <c r="B316" s="18" t="s">
        <v>91</v>
      </c>
      <c r="C316" s="19" t="s">
        <v>186</v>
      </c>
      <c r="D316" s="19"/>
      <c r="E316" s="18">
        <v>2023</v>
      </c>
      <c r="F316" s="18" t="s">
        <v>79</v>
      </c>
      <c r="G316" s="18">
        <v>650</v>
      </c>
      <c r="H316" s="36">
        <v>15</v>
      </c>
      <c r="I316" s="36">
        <v>1136.347</v>
      </c>
    </row>
    <row r="317" spans="1:9" s="7" customFormat="1" ht="22.5" hidden="1" customHeight="1" outlineLevel="1" x14ac:dyDescent="0.25">
      <c r="A317" s="6">
        <v>3082</v>
      </c>
      <c r="B317" s="18" t="s">
        <v>91</v>
      </c>
      <c r="C317" s="19" t="s">
        <v>187</v>
      </c>
      <c r="D317" s="19"/>
      <c r="E317" s="18">
        <v>2023</v>
      </c>
      <c r="F317" s="18" t="s">
        <v>79</v>
      </c>
      <c r="G317" s="18">
        <v>313</v>
      </c>
      <c r="H317" s="36">
        <v>200</v>
      </c>
      <c r="I317" s="36">
        <v>543.84500000000003</v>
      </c>
    </row>
    <row r="318" spans="1:9" s="7" customFormat="1" ht="22.5" hidden="1" customHeight="1" outlineLevel="1" x14ac:dyDescent="0.25">
      <c r="A318" s="6">
        <v>675</v>
      </c>
      <c r="B318" s="18" t="s">
        <v>91</v>
      </c>
      <c r="C318" s="19" t="s">
        <v>188</v>
      </c>
      <c r="D318" s="19"/>
      <c r="E318" s="18">
        <v>2023</v>
      </c>
      <c r="F318" s="18" t="s">
        <v>79</v>
      </c>
      <c r="G318" s="18">
        <v>493</v>
      </c>
      <c r="H318" s="36">
        <v>45</v>
      </c>
      <c r="I318" s="36">
        <v>650.62199999999996</v>
      </c>
    </row>
    <row r="319" spans="1:9" s="7" customFormat="1" ht="22.5" hidden="1" customHeight="1" outlineLevel="1" x14ac:dyDescent="0.25">
      <c r="A319" s="6">
        <v>783</v>
      </c>
      <c r="B319" s="18" t="s">
        <v>91</v>
      </c>
      <c r="C319" s="19" t="s">
        <v>189</v>
      </c>
      <c r="D319" s="19"/>
      <c r="E319" s="18">
        <v>2023</v>
      </c>
      <c r="F319" s="18" t="s">
        <v>79</v>
      </c>
      <c r="G319" s="18">
        <v>267</v>
      </c>
      <c r="H319" s="36">
        <v>30</v>
      </c>
      <c r="I319" s="36">
        <v>347.26499999999999</v>
      </c>
    </row>
    <row r="320" spans="1:9" s="7" customFormat="1" ht="22.5" hidden="1" customHeight="1" outlineLevel="1" x14ac:dyDescent="0.25">
      <c r="A320" s="6">
        <v>3066</v>
      </c>
      <c r="B320" s="18" t="s">
        <v>91</v>
      </c>
      <c r="C320" s="19" t="s">
        <v>190</v>
      </c>
      <c r="D320" s="19"/>
      <c r="E320" s="18">
        <v>2023</v>
      </c>
      <c r="F320" s="18" t="s">
        <v>79</v>
      </c>
      <c r="G320" s="18">
        <v>5</v>
      </c>
      <c r="H320" s="36">
        <v>150</v>
      </c>
      <c r="I320" s="36">
        <v>84.783000000000001</v>
      </c>
    </row>
    <row r="321" spans="1:9" s="7" customFormat="1" ht="22.5" hidden="1" customHeight="1" outlineLevel="1" x14ac:dyDescent="0.25">
      <c r="A321" s="6">
        <v>3070</v>
      </c>
      <c r="B321" s="18" t="s">
        <v>91</v>
      </c>
      <c r="C321" s="19" t="s">
        <v>191</v>
      </c>
      <c r="D321" s="19"/>
      <c r="E321" s="18">
        <v>2023</v>
      </c>
      <c r="F321" s="18" t="s">
        <v>79</v>
      </c>
      <c r="G321" s="18">
        <v>5</v>
      </c>
      <c r="H321" s="36">
        <v>150</v>
      </c>
      <c r="I321" s="36">
        <v>94.423000000000002</v>
      </c>
    </row>
    <row r="322" spans="1:9" s="7" customFormat="1" ht="22.5" hidden="1" customHeight="1" outlineLevel="1" x14ac:dyDescent="0.25">
      <c r="A322" s="6">
        <v>3084</v>
      </c>
      <c r="B322" s="18" t="s">
        <v>91</v>
      </c>
      <c r="C322" s="19" t="s">
        <v>192</v>
      </c>
      <c r="D322" s="19"/>
      <c r="E322" s="18">
        <v>2023</v>
      </c>
      <c r="F322" s="18" t="s">
        <v>79</v>
      </c>
      <c r="G322" s="18">
        <v>50</v>
      </c>
      <c r="H322" s="36">
        <v>150</v>
      </c>
      <c r="I322" s="36">
        <v>171.512</v>
      </c>
    </row>
    <row r="323" spans="1:9" s="7" customFormat="1" ht="22.5" hidden="1" customHeight="1" outlineLevel="1" x14ac:dyDescent="0.25">
      <c r="A323" s="6">
        <v>3099</v>
      </c>
      <c r="B323" s="18" t="s">
        <v>91</v>
      </c>
      <c r="C323" s="19" t="s">
        <v>193</v>
      </c>
      <c r="D323" s="19"/>
      <c r="E323" s="18">
        <v>2023</v>
      </c>
      <c r="F323" s="18" t="s">
        <v>79</v>
      </c>
      <c r="G323" s="18">
        <v>320</v>
      </c>
      <c r="H323" s="36">
        <v>145</v>
      </c>
      <c r="I323" s="36">
        <v>254.54</v>
      </c>
    </row>
    <row r="324" spans="1:9" s="7" customFormat="1" ht="22.5" hidden="1" customHeight="1" outlineLevel="1" x14ac:dyDescent="0.25">
      <c r="A324" s="6">
        <v>3119</v>
      </c>
      <c r="B324" s="18" t="s">
        <v>91</v>
      </c>
      <c r="C324" s="19" t="s">
        <v>194</v>
      </c>
      <c r="D324" s="19"/>
      <c r="E324" s="18">
        <v>2023</v>
      </c>
      <c r="F324" s="18" t="s">
        <v>79</v>
      </c>
      <c r="G324" s="18">
        <v>5</v>
      </c>
      <c r="H324" s="36">
        <v>150</v>
      </c>
      <c r="I324" s="36">
        <v>86.016999999999996</v>
      </c>
    </row>
    <row r="325" spans="1:9" s="7" customFormat="1" ht="22.5" hidden="1" customHeight="1" outlineLevel="1" x14ac:dyDescent="0.25">
      <c r="A325" s="6">
        <v>4833</v>
      </c>
      <c r="B325" s="18" t="s">
        <v>91</v>
      </c>
      <c r="C325" s="19" t="s">
        <v>195</v>
      </c>
      <c r="D325" s="19"/>
      <c r="E325" s="18">
        <v>2023</v>
      </c>
      <c r="F325" s="18" t="s">
        <v>79</v>
      </c>
      <c r="G325" s="18">
        <v>7</v>
      </c>
      <c r="H325" s="36">
        <v>150</v>
      </c>
      <c r="I325" s="36">
        <v>101.00700000000001</v>
      </c>
    </row>
    <row r="326" spans="1:9" s="7" customFormat="1" ht="22.5" hidden="1" customHeight="1" outlineLevel="1" x14ac:dyDescent="0.25">
      <c r="A326" s="6">
        <v>3158</v>
      </c>
      <c r="B326" s="18" t="s">
        <v>91</v>
      </c>
      <c r="C326" s="19" t="s">
        <v>196</v>
      </c>
      <c r="D326" s="19"/>
      <c r="E326" s="18">
        <v>2023</v>
      </c>
      <c r="F326" s="18" t="s">
        <v>79</v>
      </c>
      <c r="G326" s="18">
        <v>5</v>
      </c>
      <c r="H326" s="36">
        <v>150</v>
      </c>
      <c r="I326" s="36">
        <v>92.695999999999998</v>
      </c>
    </row>
    <row r="327" spans="1:9" s="7" customFormat="1" ht="22.5" hidden="1" customHeight="1" outlineLevel="1" x14ac:dyDescent="0.25">
      <c r="A327" s="6">
        <v>3343</v>
      </c>
      <c r="B327" s="18" t="s">
        <v>91</v>
      </c>
      <c r="C327" s="19" t="s">
        <v>197</v>
      </c>
      <c r="D327" s="19"/>
      <c r="E327" s="18">
        <v>2023</v>
      </c>
      <c r="F327" s="18" t="s">
        <v>79</v>
      </c>
      <c r="G327" s="18">
        <v>3</v>
      </c>
      <c r="H327" s="36">
        <v>150</v>
      </c>
      <c r="I327" s="36">
        <v>110.90382</v>
      </c>
    </row>
    <row r="328" spans="1:9" s="7" customFormat="1" ht="22.5" hidden="1" customHeight="1" outlineLevel="1" x14ac:dyDescent="0.25">
      <c r="A328" s="6">
        <v>3035</v>
      </c>
      <c r="B328" s="18" t="s">
        <v>91</v>
      </c>
      <c r="C328" s="19" t="s">
        <v>198</v>
      </c>
      <c r="D328" s="19"/>
      <c r="E328" s="18">
        <v>2023</v>
      </c>
      <c r="F328" s="18" t="s">
        <v>79</v>
      </c>
      <c r="G328" s="18">
        <v>66</v>
      </c>
      <c r="H328" s="36">
        <v>120</v>
      </c>
      <c r="I328" s="36">
        <v>330.19470999999999</v>
      </c>
    </row>
    <row r="329" spans="1:9" s="7" customFormat="1" ht="22.5" hidden="1" customHeight="1" outlineLevel="1" x14ac:dyDescent="0.25">
      <c r="A329" s="6">
        <v>3347</v>
      </c>
      <c r="B329" s="18" t="s">
        <v>91</v>
      </c>
      <c r="C329" s="19" t="s">
        <v>199</v>
      </c>
      <c r="D329" s="19"/>
      <c r="E329" s="18">
        <v>2023</v>
      </c>
      <c r="F329" s="18" t="s">
        <v>79</v>
      </c>
      <c r="G329" s="18">
        <v>3</v>
      </c>
      <c r="H329" s="36">
        <v>150</v>
      </c>
      <c r="I329" s="36">
        <v>129.61840999999998</v>
      </c>
    </row>
    <row r="330" spans="1:9" s="7" customFormat="1" ht="22.5" hidden="1" customHeight="1" outlineLevel="1" x14ac:dyDescent="0.25">
      <c r="A330" s="6">
        <v>3050</v>
      </c>
      <c r="B330" s="18" t="s">
        <v>91</v>
      </c>
      <c r="C330" s="19" t="s">
        <v>200</v>
      </c>
      <c r="D330" s="19"/>
      <c r="E330" s="18">
        <v>2023</v>
      </c>
      <c r="F330" s="18" t="s">
        <v>79</v>
      </c>
      <c r="G330" s="18">
        <v>11</v>
      </c>
      <c r="H330" s="36">
        <v>150</v>
      </c>
      <c r="I330" s="36">
        <v>114.51326</v>
      </c>
    </row>
    <row r="331" spans="1:9" s="7" customFormat="1" ht="22.5" hidden="1" customHeight="1" outlineLevel="1" x14ac:dyDescent="0.25">
      <c r="A331" s="6">
        <v>3080</v>
      </c>
      <c r="B331" s="18" t="s">
        <v>91</v>
      </c>
      <c r="C331" s="19" t="s">
        <v>201</v>
      </c>
      <c r="D331" s="19"/>
      <c r="E331" s="18">
        <v>2023</v>
      </c>
      <c r="F331" s="18" t="s">
        <v>79</v>
      </c>
      <c r="G331" s="18">
        <v>3</v>
      </c>
      <c r="H331" s="36">
        <v>130</v>
      </c>
      <c r="I331" s="36">
        <v>112.02450999999999</v>
      </c>
    </row>
    <row r="332" spans="1:9" s="7" customFormat="1" ht="22.5" hidden="1" customHeight="1" outlineLevel="1" x14ac:dyDescent="0.25">
      <c r="A332" s="6">
        <v>4239</v>
      </c>
      <c r="B332" s="18" t="s">
        <v>91</v>
      </c>
      <c r="C332" s="19" t="s">
        <v>202</v>
      </c>
      <c r="D332" s="19"/>
      <c r="E332" s="18">
        <v>2023</v>
      </c>
      <c r="F332" s="18" t="s">
        <v>79</v>
      </c>
      <c r="G332" s="18">
        <v>7</v>
      </c>
      <c r="H332" s="36">
        <v>150</v>
      </c>
      <c r="I332" s="36">
        <v>101.73179</v>
      </c>
    </row>
    <row r="333" spans="1:9" s="7" customFormat="1" ht="22.5" hidden="1" customHeight="1" outlineLevel="1" x14ac:dyDescent="0.25">
      <c r="A333" s="6">
        <v>3087</v>
      </c>
      <c r="B333" s="18" t="s">
        <v>91</v>
      </c>
      <c r="C333" s="19" t="s">
        <v>203</v>
      </c>
      <c r="D333" s="19"/>
      <c r="E333" s="18">
        <v>2023</v>
      </c>
      <c r="F333" s="18" t="s">
        <v>79</v>
      </c>
      <c r="G333" s="18">
        <v>6</v>
      </c>
      <c r="H333" s="36">
        <v>150</v>
      </c>
      <c r="I333" s="36">
        <v>134.51443</v>
      </c>
    </row>
    <row r="334" spans="1:9" s="7" customFormat="1" ht="22.5" hidden="1" customHeight="1" outlineLevel="1" x14ac:dyDescent="0.25">
      <c r="A334" s="6">
        <v>3341</v>
      </c>
      <c r="B334" s="18" t="s">
        <v>91</v>
      </c>
      <c r="C334" s="19" t="s">
        <v>204</v>
      </c>
      <c r="D334" s="19"/>
      <c r="E334" s="18">
        <v>2023</v>
      </c>
      <c r="F334" s="18" t="s">
        <v>79</v>
      </c>
      <c r="G334" s="18">
        <v>5</v>
      </c>
      <c r="H334" s="36">
        <v>100</v>
      </c>
      <c r="I334" s="36">
        <v>111.33493</v>
      </c>
    </row>
    <row r="335" spans="1:9" s="7" customFormat="1" ht="22.5" hidden="1" customHeight="1" outlineLevel="1" x14ac:dyDescent="0.25">
      <c r="A335" s="6">
        <v>4240</v>
      </c>
      <c r="B335" s="18" t="s">
        <v>91</v>
      </c>
      <c r="C335" s="19" t="s">
        <v>205</v>
      </c>
      <c r="D335" s="19"/>
      <c r="E335" s="18">
        <v>2023</v>
      </c>
      <c r="F335" s="18" t="s">
        <v>79</v>
      </c>
      <c r="G335" s="18">
        <v>5</v>
      </c>
      <c r="H335" s="36">
        <v>150</v>
      </c>
      <c r="I335" s="36">
        <v>75.070229999999995</v>
      </c>
    </row>
    <row r="336" spans="1:9" s="7" customFormat="1" ht="22.5" hidden="1" customHeight="1" outlineLevel="1" x14ac:dyDescent="0.25">
      <c r="A336" s="6">
        <v>4241</v>
      </c>
      <c r="B336" s="18" t="s">
        <v>91</v>
      </c>
      <c r="C336" s="19" t="s">
        <v>206</v>
      </c>
      <c r="D336" s="19"/>
      <c r="E336" s="18">
        <v>2023</v>
      </c>
      <c r="F336" s="18" t="s">
        <v>79</v>
      </c>
      <c r="G336" s="18">
        <v>18</v>
      </c>
      <c r="H336" s="36">
        <v>150</v>
      </c>
      <c r="I336" s="36">
        <v>129.15447999999998</v>
      </c>
    </row>
    <row r="337" spans="1:9" s="7" customFormat="1" ht="22.5" hidden="1" customHeight="1" outlineLevel="1" x14ac:dyDescent="0.25">
      <c r="A337" s="6">
        <v>4237</v>
      </c>
      <c r="B337" s="18" t="s">
        <v>91</v>
      </c>
      <c r="C337" s="19" t="s">
        <v>207</v>
      </c>
      <c r="D337" s="19"/>
      <c r="E337" s="18">
        <v>2023</v>
      </c>
      <c r="F337" s="18" t="s">
        <v>79</v>
      </c>
      <c r="G337" s="18">
        <v>1020</v>
      </c>
      <c r="H337" s="36">
        <v>700</v>
      </c>
      <c r="I337" s="36">
        <v>1807.85043</v>
      </c>
    </row>
    <row r="338" spans="1:9" s="7" customFormat="1" ht="22.5" hidden="1" customHeight="1" outlineLevel="1" x14ac:dyDescent="0.25">
      <c r="A338" s="6">
        <v>3149</v>
      </c>
      <c r="B338" s="18" t="s">
        <v>91</v>
      </c>
      <c r="C338" s="19" t="s">
        <v>208</v>
      </c>
      <c r="D338" s="19"/>
      <c r="E338" s="18">
        <v>2023</v>
      </c>
      <c r="F338" s="18" t="s">
        <v>79</v>
      </c>
      <c r="G338" s="18">
        <v>5</v>
      </c>
      <c r="H338" s="36">
        <v>100</v>
      </c>
      <c r="I338" s="36">
        <v>67.759399999999999</v>
      </c>
    </row>
    <row r="339" spans="1:9" s="7" customFormat="1" ht="22.5" hidden="1" customHeight="1" outlineLevel="1" x14ac:dyDescent="0.25">
      <c r="A339" s="6">
        <v>4236</v>
      </c>
      <c r="B339" s="18" t="s">
        <v>91</v>
      </c>
      <c r="C339" s="19" t="s">
        <v>209</v>
      </c>
      <c r="D339" s="19"/>
      <c r="E339" s="18">
        <v>2023</v>
      </c>
      <c r="F339" s="18" t="s">
        <v>79</v>
      </c>
      <c r="G339" s="18">
        <v>5</v>
      </c>
      <c r="H339" s="36">
        <v>135</v>
      </c>
      <c r="I339" s="36">
        <v>24.589949999999998</v>
      </c>
    </row>
    <row r="340" spans="1:9" s="7" customFormat="1" ht="22.5" hidden="1" customHeight="1" outlineLevel="1" x14ac:dyDescent="0.25">
      <c r="A340" s="6">
        <v>3374</v>
      </c>
      <c r="B340" s="18" t="s">
        <v>91</v>
      </c>
      <c r="C340" s="19" t="s">
        <v>210</v>
      </c>
      <c r="D340" s="19"/>
      <c r="E340" s="18">
        <v>2023</v>
      </c>
      <c r="F340" s="18" t="s">
        <v>79</v>
      </c>
      <c r="G340" s="18">
        <v>392</v>
      </c>
      <c r="H340" s="36">
        <v>150</v>
      </c>
      <c r="I340" s="36">
        <v>234.02634</v>
      </c>
    </row>
    <row r="341" spans="1:9" s="7" customFormat="1" ht="22.5" hidden="1" customHeight="1" outlineLevel="1" x14ac:dyDescent="0.25">
      <c r="A341" s="6">
        <v>471</v>
      </c>
      <c r="B341" s="18" t="s">
        <v>91</v>
      </c>
      <c r="C341" s="19" t="s">
        <v>211</v>
      </c>
      <c r="D341" s="19"/>
      <c r="E341" s="18">
        <v>2023</v>
      </c>
      <c r="F341" s="18" t="s">
        <v>79</v>
      </c>
      <c r="G341" s="18">
        <v>447</v>
      </c>
      <c r="H341" s="36">
        <v>140</v>
      </c>
      <c r="I341" s="36">
        <v>910.02300000000002</v>
      </c>
    </row>
    <row r="342" spans="1:9" s="7" customFormat="1" ht="22.5" hidden="1" customHeight="1" outlineLevel="1" x14ac:dyDescent="0.25">
      <c r="A342" s="6">
        <v>287</v>
      </c>
      <c r="B342" s="18" t="s">
        <v>91</v>
      </c>
      <c r="C342" s="19" t="s">
        <v>212</v>
      </c>
      <c r="D342" s="19"/>
      <c r="E342" s="18">
        <v>2023</v>
      </c>
      <c r="F342" s="18" t="s">
        <v>79</v>
      </c>
      <c r="G342" s="18">
        <v>265</v>
      </c>
      <c r="H342" s="36">
        <v>82</v>
      </c>
      <c r="I342" s="36">
        <v>584.59780999999998</v>
      </c>
    </row>
    <row r="343" spans="1:9" s="7" customFormat="1" ht="22.5" hidden="1" customHeight="1" outlineLevel="1" x14ac:dyDescent="0.25">
      <c r="A343" s="6">
        <v>459</v>
      </c>
      <c r="B343" s="18" t="s">
        <v>91</v>
      </c>
      <c r="C343" s="19" t="s">
        <v>213</v>
      </c>
      <c r="D343" s="19"/>
      <c r="E343" s="18">
        <v>2023</v>
      </c>
      <c r="F343" s="18" t="s">
        <v>79</v>
      </c>
      <c r="G343" s="18">
        <v>649</v>
      </c>
      <c r="H343" s="36">
        <v>195</v>
      </c>
      <c r="I343" s="36">
        <v>1211.4006900000002</v>
      </c>
    </row>
    <row r="344" spans="1:9" s="7" customFormat="1" ht="22.5" hidden="1" customHeight="1" outlineLevel="1" x14ac:dyDescent="0.25">
      <c r="A344" s="6">
        <v>427</v>
      </c>
      <c r="B344" s="18" t="s">
        <v>91</v>
      </c>
      <c r="C344" s="19" t="s">
        <v>214</v>
      </c>
      <c r="D344" s="19"/>
      <c r="E344" s="18">
        <v>2023</v>
      </c>
      <c r="F344" s="18" t="s">
        <v>79</v>
      </c>
      <c r="G344" s="18">
        <v>632</v>
      </c>
      <c r="H344" s="36">
        <v>165</v>
      </c>
      <c r="I344" s="36">
        <v>923.68981999999994</v>
      </c>
    </row>
    <row r="345" spans="1:9" s="7" customFormat="1" ht="22.5" hidden="1" customHeight="1" outlineLevel="1" x14ac:dyDescent="0.25">
      <c r="A345" s="6">
        <v>472</v>
      </c>
      <c r="B345" s="18" t="s">
        <v>91</v>
      </c>
      <c r="C345" s="19" t="s">
        <v>215</v>
      </c>
      <c r="D345" s="19"/>
      <c r="E345" s="18">
        <v>2023</v>
      </c>
      <c r="F345" s="18" t="s">
        <v>79</v>
      </c>
      <c r="G345" s="18">
        <v>277</v>
      </c>
      <c r="H345" s="36">
        <v>43</v>
      </c>
      <c r="I345" s="36">
        <v>533.56717000000003</v>
      </c>
    </row>
    <row r="346" spans="1:9" s="7" customFormat="1" ht="22.5" hidden="1" customHeight="1" outlineLevel="1" x14ac:dyDescent="0.25">
      <c r="A346" s="6">
        <v>114</v>
      </c>
      <c r="B346" s="18" t="s">
        <v>91</v>
      </c>
      <c r="C346" s="19" t="s">
        <v>216</v>
      </c>
      <c r="D346" s="19"/>
      <c r="E346" s="18">
        <v>2023</v>
      </c>
      <c r="F346" s="18" t="s">
        <v>79</v>
      </c>
      <c r="G346" s="18">
        <v>146</v>
      </c>
      <c r="H346" s="36">
        <v>12</v>
      </c>
      <c r="I346" s="36">
        <v>288.62708999999995</v>
      </c>
    </row>
    <row r="347" spans="1:9" s="7" customFormat="1" ht="22.5" hidden="1" customHeight="1" outlineLevel="1" x14ac:dyDescent="0.25">
      <c r="A347" s="6">
        <v>5053</v>
      </c>
      <c r="B347" s="18" t="s">
        <v>91</v>
      </c>
      <c r="C347" s="19" t="s">
        <v>217</v>
      </c>
      <c r="D347" s="19"/>
      <c r="E347" s="18">
        <v>2023</v>
      </c>
      <c r="F347" s="18" t="s">
        <v>79</v>
      </c>
      <c r="G347" s="18">
        <v>238</v>
      </c>
      <c r="H347" s="36">
        <v>115</v>
      </c>
      <c r="I347" s="36">
        <v>532.36866000000009</v>
      </c>
    </row>
    <row r="348" spans="1:9" s="7" customFormat="1" ht="22.5" hidden="1" customHeight="1" outlineLevel="1" x14ac:dyDescent="0.25">
      <c r="A348" s="6">
        <v>3014</v>
      </c>
      <c r="B348" s="18" t="s">
        <v>91</v>
      </c>
      <c r="C348" s="19" t="s">
        <v>218</v>
      </c>
      <c r="D348" s="19"/>
      <c r="E348" s="18">
        <v>2023</v>
      </c>
      <c r="F348" s="18" t="s">
        <v>79</v>
      </c>
      <c r="G348" s="18">
        <v>98</v>
      </c>
      <c r="H348" s="36">
        <v>150</v>
      </c>
      <c r="I348" s="36">
        <v>371.85438999999997</v>
      </c>
    </row>
    <row r="349" spans="1:9" s="7" customFormat="1" ht="22.5" hidden="1" customHeight="1" outlineLevel="1" x14ac:dyDescent="0.25">
      <c r="A349" s="6">
        <v>2979</v>
      </c>
      <c r="B349" s="18" t="s">
        <v>91</v>
      </c>
      <c r="C349" s="19" t="s">
        <v>219</v>
      </c>
      <c r="D349" s="19"/>
      <c r="E349" s="18">
        <v>2023</v>
      </c>
      <c r="F349" s="18" t="s">
        <v>79</v>
      </c>
      <c r="G349" s="18">
        <v>192</v>
      </c>
      <c r="H349" s="36">
        <v>150</v>
      </c>
      <c r="I349" s="36">
        <v>259.63824</v>
      </c>
    </row>
    <row r="350" spans="1:9" s="7" customFormat="1" ht="22.5" hidden="1" customHeight="1" outlineLevel="1" x14ac:dyDescent="0.25">
      <c r="A350" s="6">
        <v>551</v>
      </c>
      <c r="B350" s="18" t="s">
        <v>91</v>
      </c>
      <c r="C350" s="19" t="s">
        <v>220</v>
      </c>
      <c r="D350" s="19"/>
      <c r="E350" s="18">
        <v>2023</v>
      </c>
      <c r="F350" s="18" t="s">
        <v>79</v>
      </c>
      <c r="G350" s="18">
        <v>1984</v>
      </c>
      <c r="H350" s="36">
        <v>90</v>
      </c>
      <c r="I350" s="36">
        <v>3802.71389</v>
      </c>
    </row>
    <row r="351" spans="1:9" s="7" customFormat="1" ht="22.5" hidden="1" customHeight="1" outlineLevel="1" x14ac:dyDescent="0.25">
      <c r="A351" s="6">
        <v>565</v>
      </c>
      <c r="B351" s="18" t="s">
        <v>91</v>
      </c>
      <c r="C351" s="19" t="s">
        <v>221</v>
      </c>
      <c r="D351" s="19"/>
      <c r="E351" s="18">
        <v>2023</v>
      </c>
      <c r="F351" s="18" t="s">
        <v>79</v>
      </c>
      <c r="G351" s="18">
        <v>1107</v>
      </c>
      <c r="H351" s="36">
        <v>90</v>
      </c>
      <c r="I351" s="36">
        <v>2223.15148</v>
      </c>
    </row>
    <row r="352" spans="1:9" s="7" customFormat="1" ht="22.5" hidden="1" customHeight="1" outlineLevel="1" x14ac:dyDescent="0.25">
      <c r="A352" s="6">
        <v>2969</v>
      </c>
      <c r="B352" s="18" t="s">
        <v>91</v>
      </c>
      <c r="C352" s="19" t="s">
        <v>222</v>
      </c>
      <c r="D352" s="19"/>
      <c r="E352" s="18">
        <v>2023</v>
      </c>
      <c r="F352" s="18" t="s">
        <v>79</v>
      </c>
      <c r="G352" s="18">
        <v>5</v>
      </c>
      <c r="H352" s="36">
        <v>150</v>
      </c>
      <c r="I352" s="36">
        <v>141.74661999999998</v>
      </c>
    </row>
    <row r="353" spans="1:9" s="7" customFormat="1" ht="22.5" hidden="1" customHeight="1" outlineLevel="1" x14ac:dyDescent="0.25">
      <c r="A353" s="6">
        <v>369</v>
      </c>
      <c r="B353" s="18" t="s">
        <v>91</v>
      </c>
      <c r="C353" s="19" t="s">
        <v>223</v>
      </c>
      <c r="D353" s="19"/>
      <c r="E353" s="18">
        <v>2023</v>
      </c>
      <c r="F353" s="18" t="s">
        <v>79</v>
      </c>
      <c r="G353" s="18">
        <v>625</v>
      </c>
      <c r="H353" s="36">
        <v>62.8</v>
      </c>
      <c r="I353" s="36">
        <v>1034.50692</v>
      </c>
    </row>
    <row r="354" spans="1:9" s="7" customFormat="1" ht="22.5" hidden="1" customHeight="1" outlineLevel="1" x14ac:dyDescent="0.25">
      <c r="A354" s="6">
        <v>5160</v>
      </c>
      <c r="B354" s="18" t="s">
        <v>91</v>
      </c>
      <c r="C354" s="19" t="s">
        <v>224</v>
      </c>
      <c r="D354" s="19"/>
      <c r="E354" s="18">
        <v>2023</v>
      </c>
      <c r="F354" s="18" t="s">
        <v>79</v>
      </c>
      <c r="G354" s="18">
        <v>256</v>
      </c>
      <c r="H354" s="36">
        <v>30</v>
      </c>
      <c r="I354" s="36">
        <v>399.32326999999998</v>
      </c>
    </row>
    <row r="355" spans="1:9" s="7" customFormat="1" ht="22.5" hidden="1" customHeight="1" outlineLevel="1" x14ac:dyDescent="0.25">
      <c r="A355" s="6">
        <v>1077</v>
      </c>
      <c r="B355" s="18" t="s">
        <v>91</v>
      </c>
      <c r="C355" s="19" t="s">
        <v>225</v>
      </c>
      <c r="D355" s="19"/>
      <c r="E355" s="18">
        <v>2023</v>
      </c>
      <c r="F355" s="18" t="s">
        <v>79</v>
      </c>
      <c r="G355" s="18">
        <v>183</v>
      </c>
      <c r="H355" s="36">
        <v>80</v>
      </c>
      <c r="I355" s="36">
        <v>287.92313000000001</v>
      </c>
    </row>
    <row r="356" spans="1:9" s="7" customFormat="1" ht="22.5" hidden="1" customHeight="1" outlineLevel="1" x14ac:dyDescent="0.25">
      <c r="A356" s="6">
        <v>736</v>
      </c>
      <c r="B356" s="18" t="s">
        <v>91</v>
      </c>
      <c r="C356" s="19" t="s">
        <v>226</v>
      </c>
      <c r="D356" s="19"/>
      <c r="E356" s="18">
        <v>2023</v>
      </c>
      <c r="F356" s="18" t="s">
        <v>79</v>
      </c>
      <c r="G356" s="18">
        <v>57</v>
      </c>
      <c r="H356" s="36">
        <v>25</v>
      </c>
      <c r="I356" s="36">
        <v>99.157250000000005</v>
      </c>
    </row>
    <row r="357" spans="1:9" s="7" customFormat="1" ht="22.5" hidden="1" customHeight="1" outlineLevel="1" x14ac:dyDescent="0.25">
      <c r="A357" s="6">
        <v>3351</v>
      </c>
      <c r="B357" s="18" t="s">
        <v>91</v>
      </c>
      <c r="C357" s="19" t="s">
        <v>227</v>
      </c>
      <c r="D357" s="19"/>
      <c r="E357" s="18">
        <v>2023</v>
      </c>
      <c r="F357" s="18" t="s">
        <v>79</v>
      </c>
      <c r="G357" s="18">
        <v>161</v>
      </c>
      <c r="H357" s="36">
        <v>150</v>
      </c>
      <c r="I357" s="36">
        <v>132.92635999999999</v>
      </c>
    </row>
    <row r="358" spans="1:9" s="7" customFormat="1" ht="22.5" hidden="1" customHeight="1" outlineLevel="1" x14ac:dyDescent="0.25">
      <c r="A358" s="6">
        <v>303</v>
      </c>
      <c r="B358" s="18" t="s">
        <v>91</v>
      </c>
      <c r="C358" s="19" t="s">
        <v>228</v>
      </c>
      <c r="D358" s="19"/>
      <c r="E358" s="18">
        <v>2023</v>
      </c>
      <c r="F358" s="18" t="s">
        <v>79</v>
      </c>
      <c r="G358" s="18">
        <v>529</v>
      </c>
      <c r="H358" s="36">
        <v>15</v>
      </c>
      <c r="I358" s="36">
        <v>963.94842999999992</v>
      </c>
    </row>
    <row r="359" spans="1:9" s="7" customFormat="1" ht="22.5" hidden="1" customHeight="1" outlineLevel="1" x14ac:dyDescent="0.25">
      <c r="A359" s="6">
        <v>5172</v>
      </c>
      <c r="B359" s="18" t="s">
        <v>91</v>
      </c>
      <c r="C359" s="19" t="s">
        <v>229</v>
      </c>
      <c r="D359" s="19"/>
      <c r="E359" s="18">
        <v>2023</v>
      </c>
      <c r="F359" s="18" t="s">
        <v>79</v>
      </c>
      <c r="G359" s="18">
        <v>1141</v>
      </c>
      <c r="H359" s="36">
        <v>30</v>
      </c>
      <c r="I359" s="36">
        <v>2472.8337800000004</v>
      </c>
    </row>
    <row r="360" spans="1:9" s="7" customFormat="1" ht="22.5" hidden="1" customHeight="1" outlineLevel="1" x14ac:dyDescent="0.25">
      <c r="A360" s="6">
        <v>5174</v>
      </c>
      <c r="B360" s="18" t="s">
        <v>91</v>
      </c>
      <c r="C360" s="19" t="s">
        <v>230</v>
      </c>
      <c r="D360" s="19"/>
      <c r="E360" s="18">
        <v>2023</v>
      </c>
      <c r="F360" s="18" t="s">
        <v>79</v>
      </c>
      <c r="G360" s="18">
        <v>2064</v>
      </c>
      <c r="H360" s="36">
        <v>100</v>
      </c>
      <c r="I360" s="36">
        <v>3603.0488699999996</v>
      </c>
    </row>
    <row r="361" spans="1:9" s="7" customFormat="1" ht="22.5" hidden="1" customHeight="1" outlineLevel="1" x14ac:dyDescent="0.25">
      <c r="A361" s="6">
        <v>820</v>
      </c>
      <c r="B361" s="18" t="s">
        <v>91</v>
      </c>
      <c r="C361" s="19" t="s">
        <v>231</v>
      </c>
      <c r="D361" s="19"/>
      <c r="E361" s="18">
        <v>2023</v>
      </c>
      <c r="F361" s="18" t="s">
        <v>79</v>
      </c>
      <c r="G361" s="18">
        <v>367</v>
      </c>
      <c r="H361" s="36">
        <v>41</v>
      </c>
      <c r="I361" s="36">
        <v>948.2936400000001</v>
      </c>
    </row>
    <row r="362" spans="1:9" s="7" customFormat="1" ht="22.5" hidden="1" customHeight="1" outlineLevel="1" x14ac:dyDescent="0.25">
      <c r="A362" s="6">
        <v>1348</v>
      </c>
      <c r="B362" s="18" t="s">
        <v>91</v>
      </c>
      <c r="C362" s="19" t="s">
        <v>232</v>
      </c>
      <c r="D362" s="19"/>
      <c r="E362" s="18">
        <v>2023</v>
      </c>
      <c r="F362" s="18" t="s">
        <v>79</v>
      </c>
      <c r="G362" s="18">
        <v>439</v>
      </c>
      <c r="H362" s="36">
        <v>15</v>
      </c>
      <c r="I362" s="36">
        <v>779.9058</v>
      </c>
    </row>
    <row r="363" spans="1:9" s="7" customFormat="1" ht="22.5" hidden="1" customHeight="1" outlineLevel="1" x14ac:dyDescent="0.25">
      <c r="A363" s="6">
        <v>3101</v>
      </c>
      <c r="B363" s="18" t="s">
        <v>91</v>
      </c>
      <c r="C363" s="19" t="s">
        <v>233</v>
      </c>
      <c r="D363" s="19"/>
      <c r="E363" s="18">
        <v>2023</v>
      </c>
      <c r="F363" s="18" t="s">
        <v>79</v>
      </c>
      <c r="G363" s="18">
        <v>250</v>
      </c>
      <c r="H363" s="36">
        <v>150</v>
      </c>
      <c r="I363" s="36">
        <v>80.428370000000001</v>
      </c>
    </row>
    <row r="364" spans="1:9" s="7" customFormat="1" ht="22.5" hidden="1" customHeight="1" outlineLevel="1" x14ac:dyDescent="0.25">
      <c r="A364" s="6">
        <v>3097</v>
      </c>
      <c r="B364" s="18" t="s">
        <v>91</v>
      </c>
      <c r="C364" s="19" t="s">
        <v>234</v>
      </c>
      <c r="D364" s="19"/>
      <c r="E364" s="18">
        <v>2023</v>
      </c>
      <c r="F364" s="18" t="s">
        <v>79</v>
      </c>
      <c r="G364" s="18">
        <v>303</v>
      </c>
      <c r="H364" s="36">
        <v>150</v>
      </c>
      <c r="I364" s="36">
        <v>692.65278999999998</v>
      </c>
    </row>
    <row r="365" spans="1:9" s="7" customFormat="1" ht="22.5" hidden="1" customHeight="1" outlineLevel="1" x14ac:dyDescent="0.25">
      <c r="A365" s="6">
        <v>21</v>
      </c>
      <c r="B365" s="18" t="s">
        <v>91</v>
      </c>
      <c r="C365" s="19" t="s">
        <v>235</v>
      </c>
      <c r="D365" s="19"/>
      <c r="E365" s="18">
        <v>2023</v>
      </c>
      <c r="F365" s="18" t="s">
        <v>79</v>
      </c>
      <c r="G365" s="18">
        <v>18</v>
      </c>
      <c r="H365" s="36">
        <v>160</v>
      </c>
      <c r="I365" s="36">
        <v>257.15539999999999</v>
      </c>
    </row>
    <row r="366" spans="1:9" s="7" customFormat="1" ht="22.5" hidden="1" customHeight="1" outlineLevel="1" x14ac:dyDescent="0.25">
      <c r="A366" s="6">
        <v>3130</v>
      </c>
      <c r="B366" s="18" t="s">
        <v>91</v>
      </c>
      <c r="C366" s="19" t="s">
        <v>236</v>
      </c>
      <c r="D366" s="19"/>
      <c r="E366" s="18">
        <v>2023</v>
      </c>
      <c r="F366" s="18" t="s">
        <v>79</v>
      </c>
      <c r="G366" s="18">
        <v>18</v>
      </c>
      <c r="H366" s="36">
        <v>100</v>
      </c>
      <c r="I366" s="36">
        <v>109.61923</v>
      </c>
    </row>
    <row r="367" spans="1:9" s="7" customFormat="1" ht="22.5" hidden="1" customHeight="1" outlineLevel="1" x14ac:dyDescent="0.25">
      <c r="A367" s="6">
        <v>3081</v>
      </c>
      <c r="B367" s="18" t="s">
        <v>91</v>
      </c>
      <c r="C367" s="19" t="s">
        <v>237</v>
      </c>
      <c r="D367" s="19"/>
      <c r="E367" s="18">
        <v>2023</v>
      </c>
      <c r="F367" s="18" t="s">
        <v>79</v>
      </c>
      <c r="G367" s="18">
        <v>13</v>
      </c>
      <c r="H367" s="36">
        <v>150</v>
      </c>
      <c r="I367" s="36">
        <v>178.92015000000001</v>
      </c>
    </row>
    <row r="368" spans="1:9" s="7" customFormat="1" ht="22.5" hidden="1" customHeight="1" outlineLevel="1" x14ac:dyDescent="0.25">
      <c r="A368" s="6">
        <v>5512</v>
      </c>
      <c r="B368" s="18" t="s">
        <v>91</v>
      </c>
      <c r="C368" s="19" t="s">
        <v>238</v>
      </c>
      <c r="D368" s="19"/>
      <c r="E368" s="18">
        <v>2023</v>
      </c>
      <c r="F368" s="18" t="s">
        <v>79</v>
      </c>
      <c r="G368" s="18">
        <v>54</v>
      </c>
      <c r="H368" s="36">
        <v>138</v>
      </c>
      <c r="I368" s="36">
        <v>250.57707000000002</v>
      </c>
    </row>
    <row r="369" spans="1:9" s="7" customFormat="1" ht="22.5" hidden="1" customHeight="1" outlineLevel="1" x14ac:dyDescent="0.25">
      <c r="A369" s="6">
        <v>3049</v>
      </c>
      <c r="B369" s="18" t="s">
        <v>91</v>
      </c>
      <c r="C369" s="19" t="s">
        <v>239</v>
      </c>
      <c r="D369" s="19"/>
      <c r="E369" s="18">
        <v>2023</v>
      </c>
      <c r="F369" s="18" t="s">
        <v>79</v>
      </c>
      <c r="G369" s="18">
        <v>475</v>
      </c>
      <c r="H369" s="36">
        <v>150</v>
      </c>
      <c r="I369" s="36">
        <v>816.98806999999999</v>
      </c>
    </row>
    <row r="370" spans="1:9" s="7" customFormat="1" ht="22.5" hidden="1" customHeight="1" outlineLevel="1" x14ac:dyDescent="0.25">
      <c r="A370" s="6">
        <v>1449</v>
      </c>
      <c r="B370" s="18" t="s">
        <v>91</v>
      </c>
      <c r="C370" s="19" t="s">
        <v>240</v>
      </c>
      <c r="D370" s="19"/>
      <c r="E370" s="18">
        <v>2023</v>
      </c>
      <c r="F370" s="18" t="s">
        <v>79</v>
      </c>
      <c r="G370" s="18">
        <v>1781</v>
      </c>
      <c r="H370" s="36">
        <v>121</v>
      </c>
      <c r="I370" s="36">
        <v>2529.1590899999997</v>
      </c>
    </row>
    <row r="371" spans="1:9" s="7" customFormat="1" ht="22.5" hidden="1" customHeight="1" outlineLevel="1" x14ac:dyDescent="0.25">
      <c r="A371" s="6">
        <v>5746</v>
      </c>
      <c r="B371" s="18" t="s">
        <v>91</v>
      </c>
      <c r="C371" s="19" t="s">
        <v>241</v>
      </c>
      <c r="D371" s="19"/>
      <c r="E371" s="18">
        <v>2023</v>
      </c>
      <c r="F371" s="18" t="s">
        <v>79</v>
      </c>
      <c r="G371" s="18">
        <v>27</v>
      </c>
      <c r="H371" s="36">
        <v>300</v>
      </c>
      <c r="I371" s="36">
        <v>286.07515000000001</v>
      </c>
    </row>
    <row r="372" spans="1:9" s="7" customFormat="1" ht="22.5" hidden="1" customHeight="1" outlineLevel="1" x14ac:dyDescent="0.25">
      <c r="A372" s="6">
        <v>5800</v>
      </c>
      <c r="B372" s="18" t="s">
        <v>91</v>
      </c>
      <c r="C372" s="19" t="s">
        <v>242</v>
      </c>
      <c r="D372" s="19"/>
      <c r="E372" s="18">
        <v>2023</v>
      </c>
      <c r="F372" s="18" t="s">
        <v>79</v>
      </c>
      <c r="G372" s="18">
        <v>5</v>
      </c>
      <c r="H372" s="36">
        <v>100</v>
      </c>
      <c r="I372" s="36">
        <v>185.96608000000001</v>
      </c>
    </row>
    <row r="373" spans="1:9" s="7" customFormat="1" ht="22.5" hidden="1" customHeight="1" outlineLevel="1" x14ac:dyDescent="0.25">
      <c r="A373" s="6">
        <v>3025</v>
      </c>
      <c r="B373" s="18" t="s">
        <v>91</v>
      </c>
      <c r="C373" s="19" t="s">
        <v>243</v>
      </c>
      <c r="D373" s="19"/>
      <c r="E373" s="18">
        <v>2023</v>
      </c>
      <c r="F373" s="18" t="s">
        <v>79</v>
      </c>
      <c r="G373" s="18">
        <v>287</v>
      </c>
      <c r="H373" s="36">
        <v>50</v>
      </c>
      <c r="I373" s="36">
        <v>407.85399000000001</v>
      </c>
    </row>
    <row r="374" spans="1:9" s="7" customFormat="1" ht="22.5" hidden="1" customHeight="1" outlineLevel="1" x14ac:dyDescent="0.25">
      <c r="A374" s="6">
        <v>3102</v>
      </c>
      <c r="B374" s="18" t="s">
        <v>91</v>
      </c>
      <c r="C374" s="19" t="s">
        <v>244</v>
      </c>
      <c r="D374" s="19"/>
      <c r="E374" s="18">
        <v>2023</v>
      </c>
      <c r="F374" s="18" t="s">
        <v>79</v>
      </c>
      <c r="G374" s="18">
        <v>137</v>
      </c>
      <c r="H374" s="36">
        <v>147</v>
      </c>
      <c r="I374" s="36">
        <v>129.65523000000002</v>
      </c>
    </row>
    <row r="375" spans="1:9" s="7" customFormat="1" ht="22.5" hidden="1" customHeight="1" outlineLevel="1" x14ac:dyDescent="0.25">
      <c r="A375" s="6">
        <v>3098</v>
      </c>
      <c r="B375" s="18" t="s">
        <v>91</v>
      </c>
      <c r="C375" s="19" t="s">
        <v>245</v>
      </c>
      <c r="D375" s="19"/>
      <c r="E375" s="18">
        <v>2023</v>
      </c>
      <c r="F375" s="18" t="s">
        <v>79</v>
      </c>
      <c r="G375" s="18">
        <v>380</v>
      </c>
      <c r="H375" s="36">
        <v>500</v>
      </c>
      <c r="I375" s="36">
        <v>612.21055999999999</v>
      </c>
    </row>
    <row r="376" spans="1:9" s="7" customFormat="1" ht="22.5" hidden="1" customHeight="1" outlineLevel="1" x14ac:dyDescent="0.25">
      <c r="A376" s="6">
        <v>5014</v>
      </c>
      <c r="B376" s="18" t="s">
        <v>91</v>
      </c>
      <c r="C376" s="19" t="s">
        <v>246</v>
      </c>
      <c r="D376" s="19"/>
      <c r="E376" s="18">
        <v>2023</v>
      </c>
      <c r="F376" s="18" t="s">
        <v>79</v>
      </c>
      <c r="G376" s="18">
        <v>90</v>
      </c>
      <c r="H376" s="36">
        <v>149</v>
      </c>
      <c r="I376" s="36">
        <v>426.30308000000002</v>
      </c>
    </row>
    <row r="377" spans="1:9" s="7" customFormat="1" ht="22.5" hidden="1" customHeight="1" outlineLevel="1" x14ac:dyDescent="0.25">
      <c r="A377" s="6">
        <v>5801</v>
      </c>
      <c r="B377" s="18" t="s">
        <v>91</v>
      </c>
      <c r="C377" s="19" t="s">
        <v>247</v>
      </c>
      <c r="D377" s="19"/>
      <c r="E377" s="18">
        <v>2023</v>
      </c>
      <c r="F377" s="18" t="s">
        <v>79</v>
      </c>
      <c r="G377" s="18">
        <v>836</v>
      </c>
      <c r="H377" s="36">
        <v>149</v>
      </c>
      <c r="I377" s="36">
        <v>1379.88076</v>
      </c>
    </row>
    <row r="378" spans="1:9" s="7" customFormat="1" ht="22.5" hidden="1" customHeight="1" outlineLevel="1" x14ac:dyDescent="0.25">
      <c r="A378" s="6">
        <v>313</v>
      </c>
      <c r="B378" s="18" t="s">
        <v>91</v>
      </c>
      <c r="C378" s="19" t="s">
        <v>248</v>
      </c>
      <c r="D378" s="19"/>
      <c r="E378" s="18">
        <v>2023</v>
      </c>
      <c r="F378" s="18" t="s">
        <v>79</v>
      </c>
      <c r="G378" s="18">
        <v>212</v>
      </c>
      <c r="H378" s="36">
        <v>30</v>
      </c>
      <c r="I378" s="36">
        <v>338.56199999999995</v>
      </c>
    </row>
    <row r="379" spans="1:9" s="7" customFormat="1" ht="22.5" hidden="1" customHeight="1" outlineLevel="1" x14ac:dyDescent="0.25">
      <c r="A379" s="6">
        <v>3115</v>
      </c>
      <c r="B379" s="18" t="s">
        <v>91</v>
      </c>
      <c r="C379" s="19" t="s">
        <v>249</v>
      </c>
      <c r="D379" s="19"/>
      <c r="E379" s="18">
        <v>2023</v>
      </c>
      <c r="F379" s="18" t="s">
        <v>79</v>
      </c>
      <c r="G379" s="18">
        <v>10</v>
      </c>
      <c r="H379" s="36">
        <v>150</v>
      </c>
      <c r="I379" s="36">
        <v>50.17</v>
      </c>
    </row>
    <row r="380" spans="1:9" s="7" customFormat="1" ht="22.5" hidden="1" customHeight="1" outlineLevel="1" x14ac:dyDescent="0.25">
      <c r="A380" s="6">
        <v>3114</v>
      </c>
      <c r="B380" s="18" t="s">
        <v>91</v>
      </c>
      <c r="C380" s="19" t="s">
        <v>250</v>
      </c>
      <c r="D380" s="19"/>
      <c r="E380" s="18">
        <v>2023</v>
      </c>
      <c r="F380" s="18" t="s">
        <v>79</v>
      </c>
      <c r="G380" s="18">
        <v>200</v>
      </c>
      <c r="H380" s="36">
        <v>190</v>
      </c>
      <c r="I380" s="36">
        <v>172.43800000000002</v>
      </c>
    </row>
    <row r="381" spans="1:9" s="7" customFormat="1" ht="22.5" hidden="1" customHeight="1" outlineLevel="1" x14ac:dyDescent="0.25">
      <c r="A381" s="6">
        <v>3058</v>
      </c>
      <c r="B381" s="18" t="s">
        <v>91</v>
      </c>
      <c r="C381" s="19" t="s">
        <v>251</v>
      </c>
      <c r="D381" s="19"/>
      <c r="E381" s="18">
        <v>2023</v>
      </c>
      <c r="F381" s="18" t="s">
        <v>79</v>
      </c>
      <c r="G381" s="18">
        <v>70</v>
      </c>
      <c r="H381" s="36">
        <v>85</v>
      </c>
      <c r="I381" s="36">
        <v>89.097009999999997</v>
      </c>
    </row>
    <row r="382" spans="1:9" s="7" customFormat="1" ht="22.5" hidden="1" customHeight="1" outlineLevel="1" x14ac:dyDescent="0.25">
      <c r="A382" s="6">
        <v>5511</v>
      </c>
      <c r="B382" s="18" t="s">
        <v>91</v>
      </c>
      <c r="C382" s="19" t="s">
        <v>252</v>
      </c>
      <c r="D382" s="19"/>
      <c r="E382" s="18">
        <v>2023</v>
      </c>
      <c r="F382" s="18" t="s">
        <v>79</v>
      </c>
      <c r="G382" s="18">
        <v>205</v>
      </c>
      <c r="H382" s="36">
        <v>150</v>
      </c>
      <c r="I382" s="36">
        <v>287.50155999999998</v>
      </c>
    </row>
    <row r="383" spans="1:9" s="7" customFormat="1" ht="22.5" hidden="1" customHeight="1" outlineLevel="1" x14ac:dyDescent="0.25">
      <c r="A383" s="6">
        <v>906</v>
      </c>
      <c r="B383" s="18" t="s">
        <v>91</v>
      </c>
      <c r="C383" s="19" t="s">
        <v>253</v>
      </c>
      <c r="D383" s="19"/>
      <c r="E383" s="18">
        <v>2023</v>
      </c>
      <c r="F383" s="18" t="s">
        <v>79</v>
      </c>
      <c r="G383" s="18">
        <v>500</v>
      </c>
      <c r="H383" s="36">
        <v>24</v>
      </c>
      <c r="I383" s="36">
        <v>461.14254</v>
      </c>
    </row>
    <row r="384" spans="1:9" s="7" customFormat="1" ht="22.5" hidden="1" customHeight="1" outlineLevel="1" x14ac:dyDescent="0.25">
      <c r="A384" s="6">
        <v>3111</v>
      </c>
      <c r="B384" s="18" t="s">
        <v>91</v>
      </c>
      <c r="C384" s="19" t="s">
        <v>254</v>
      </c>
      <c r="D384" s="19"/>
      <c r="E384" s="18">
        <v>2023</v>
      </c>
      <c r="F384" s="18" t="s">
        <v>79</v>
      </c>
      <c r="G384" s="18">
        <v>21</v>
      </c>
      <c r="H384" s="36">
        <v>150</v>
      </c>
      <c r="I384" s="36">
        <v>72.336470000000006</v>
      </c>
    </row>
    <row r="385" spans="1:9" s="7" customFormat="1" ht="22.5" hidden="1" customHeight="1" outlineLevel="1" x14ac:dyDescent="0.25">
      <c r="A385" s="6">
        <v>707</v>
      </c>
      <c r="B385" s="18" t="s">
        <v>91</v>
      </c>
      <c r="C385" s="19" t="s">
        <v>255</v>
      </c>
      <c r="D385" s="19"/>
      <c r="E385" s="18">
        <v>2023</v>
      </c>
      <c r="F385" s="18" t="s">
        <v>79</v>
      </c>
      <c r="G385" s="18">
        <v>120</v>
      </c>
      <c r="H385" s="36">
        <v>15</v>
      </c>
      <c r="I385" s="36">
        <v>232</v>
      </c>
    </row>
    <row r="386" spans="1:9" s="7" customFormat="1" ht="22.5" hidden="1" customHeight="1" outlineLevel="1" x14ac:dyDescent="0.25">
      <c r="A386" s="6">
        <v>515</v>
      </c>
      <c r="B386" s="18" t="s">
        <v>91</v>
      </c>
      <c r="C386" s="19" t="s">
        <v>256</v>
      </c>
      <c r="D386" s="19"/>
      <c r="E386" s="18">
        <v>2023</v>
      </c>
      <c r="F386" s="18" t="s">
        <v>79</v>
      </c>
      <c r="G386" s="18">
        <v>170</v>
      </c>
      <c r="H386" s="36">
        <v>15</v>
      </c>
      <c r="I386" s="36">
        <v>1030</v>
      </c>
    </row>
    <row r="387" spans="1:9" s="7" customFormat="1" ht="22.5" hidden="1" customHeight="1" outlineLevel="1" x14ac:dyDescent="0.25">
      <c r="A387" s="6">
        <v>621</v>
      </c>
      <c r="B387" s="18" t="s">
        <v>91</v>
      </c>
      <c r="C387" s="19" t="s">
        <v>257</v>
      </c>
      <c r="D387" s="19"/>
      <c r="E387" s="18">
        <v>2023</v>
      </c>
      <c r="F387" s="18" t="s">
        <v>79</v>
      </c>
      <c r="G387" s="18">
        <v>15</v>
      </c>
      <c r="H387" s="36">
        <v>12.5</v>
      </c>
      <c r="I387" s="36">
        <v>180</v>
      </c>
    </row>
    <row r="388" spans="1:9" s="7" customFormat="1" ht="22.5" hidden="1" customHeight="1" outlineLevel="1" x14ac:dyDescent="0.25">
      <c r="A388" s="6">
        <v>682</v>
      </c>
      <c r="B388" s="18" t="s">
        <v>91</v>
      </c>
      <c r="C388" s="19" t="s">
        <v>258</v>
      </c>
      <c r="D388" s="19"/>
      <c r="E388" s="18">
        <v>2023</v>
      </c>
      <c r="F388" s="18" t="s">
        <v>79</v>
      </c>
      <c r="G388" s="18">
        <v>438</v>
      </c>
      <c r="H388" s="36">
        <v>12</v>
      </c>
      <c r="I388" s="36">
        <v>879.78138999999999</v>
      </c>
    </row>
    <row r="389" spans="1:9" s="7" customFormat="1" ht="22.5" hidden="1" customHeight="1" outlineLevel="1" x14ac:dyDescent="0.25">
      <c r="A389" s="6">
        <v>2833</v>
      </c>
      <c r="B389" s="18" t="s">
        <v>91</v>
      </c>
      <c r="C389" s="19" t="s">
        <v>259</v>
      </c>
      <c r="D389" s="19"/>
      <c r="E389" s="18">
        <v>2023</v>
      </c>
      <c r="F389" s="18" t="s">
        <v>79</v>
      </c>
      <c r="G389" s="18">
        <v>208</v>
      </c>
      <c r="H389" s="36">
        <v>6</v>
      </c>
      <c r="I389" s="36">
        <v>563.04080999999996</v>
      </c>
    </row>
    <row r="390" spans="1:9" s="7" customFormat="1" ht="22.5" hidden="1" customHeight="1" outlineLevel="1" x14ac:dyDescent="0.25">
      <c r="A390" s="6">
        <v>835</v>
      </c>
      <c r="B390" s="18" t="s">
        <v>91</v>
      </c>
      <c r="C390" s="19" t="s">
        <v>260</v>
      </c>
      <c r="D390" s="19"/>
      <c r="E390" s="18">
        <v>2023</v>
      </c>
      <c r="F390" s="18" t="s">
        <v>79</v>
      </c>
      <c r="G390" s="18">
        <v>291</v>
      </c>
      <c r="H390" s="36">
        <v>15</v>
      </c>
      <c r="I390" s="36">
        <v>624.55981999999995</v>
      </c>
    </row>
    <row r="391" spans="1:9" s="7" customFormat="1" ht="22.5" hidden="1" customHeight="1" outlineLevel="1" x14ac:dyDescent="0.25">
      <c r="A391" s="6">
        <v>2828</v>
      </c>
      <c r="B391" s="18" t="s">
        <v>91</v>
      </c>
      <c r="C391" s="19" t="s">
        <v>261</v>
      </c>
      <c r="D391" s="19"/>
      <c r="E391" s="18">
        <v>2023</v>
      </c>
      <c r="F391" s="18" t="s">
        <v>79</v>
      </c>
      <c r="G391" s="18">
        <v>644</v>
      </c>
      <c r="H391" s="36">
        <v>25.3</v>
      </c>
      <c r="I391" s="36">
        <v>1103.2473199999999</v>
      </c>
    </row>
    <row r="392" spans="1:9" s="7" customFormat="1" ht="22.5" hidden="1" customHeight="1" outlineLevel="1" x14ac:dyDescent="0.25">
      <c r="A392" s="6">
        <v>657</v>
      </c>
      <c r="B392" s="18" t="s">
        <v>91</v>
      </c>
      <c r="C392" s="19" t="s">
        <v>262</v>
      </c>
      <c r="D392" s="19"/>
      <c r="E392" s="18">
        <v>2023</v>
      </c>
      <c r="F392" s="18" t="s">
        <v>79</v>
      </c>
      <c r="G392" s="18">
        <v>110</v>
      </c>
      <c r="H392" s="36">
        <v>15</v>
      </c>
      <c r="I392" s="36">
        <v>136.37031999999999</v>
      </c>
    </row>
    <row r="393" spans="1:9" s="7" customFormat="1" ht="22.5" hidden="1" customHeight="1" outlineLevel="1" x14ac:dyDescent="0.25">
      <c r="A393" s="6">
        <v>3121</v>
      </c>
      <c r="B393" s="18" t="s">
        <v>91</v>
      </c>
      <c r="C393" s="19" t="s">
        <v>263</v>
      </c>
      <c r="D393" s="19"/>
      <c r="E393" s="18">
        <v>2023</v>
      </c>
      <c r="F393" s="18" t="s">
        <v>79</v>
      </c>
      <c r="G393" s="18">
        <v>50</v>
      </c>
      <c r="H393" s="36">
        <v>100</v>
      </c>
      <c r="I393" s="36">
        <v>159.42950999999999</v>
      </c>
    </row>
    <row r="394" spans="1:9" s="7" customFormat="1" ht="22.5" hidden="1" customHeight="1" outlineLevel="1" x14ac:dyDescent="0.25">
      <c r="A394" s="6">
        <v>670</v>
      </c>
      <c r="B394" s="18" t="s">
        <v>91</v>
      </c>
      <c r="C394" s="19" t="s">
        <v>264</v>
      </c>
      <c r="D394" s="19"/>
      <c r="E394" s="18">
        <v>2023</v>
      </c>
      <c r="F394" s="18" t="s">
        <v>79</v>
      </c>
      <c r="G394" s="18">
        <v>550</v>
      </c>
      <c r="H394" s="36">
        <v>15</v>
      </c>
      <c r="I394" s="36">
        <v>1060.0932700000001</v>
      </c>
    </row>
    <row r="395" spans="1:9" s="7" customFormat="1" ht="22.5" hidden="1" customHeight="1" outlineLevel="1" x14ac:dyDescent="0.25">
      <c r="A395" s="6">
        <v>1175</v>
      </c>
      <c r="B395" s="18" t="s">
        <v>91</v>
      </c>
      <c r="C395" s="19" t="s">
        <v>265</v>
      </c>
      <c r="D395" s="19"/>
      <c r="E395" s="18">
        <v>2023</v>
      </c>
      <c r="F395" s="18" t="s">
        <v>79</v>
      </c>
      <c r="G395" s="18">
        <v>367</v>
      </c>
      <c r="H395" s="36">
        <v>15</v>
      </c>
      <c r="I395" s="36">
        <v>802.56082000000004</v>
      </c>
    </row>
    <row r="396" spans="1:9" s="7" customFormat="1" ht="22.5" hidden="1" customHeight="1" outlineLevel="1" x14ac:dyDescent="0.25">
      <c r="A396" s="6">
        <v>3196</v>
      </c>
      <c r="B396" s="18" t="s">
        <v>91</v>
      </c>
      <c r="C396" s="19" t="s">
        <v>266</v>
      </c>
      <c r="D396" s="19"/>
      <c r="E396" s="18">
        <v>2023</v>
      </c>
      <c r="F396" s="18" t="s">
        <v>79</v>
      </c>
      <c r="G396" s="18">
        <v>2132</v>
      </c>
      <c r="H396" s="36">
        <v>19</v>
      </c>
      <c r="I396" s="36">
        <v>3807.4847300000001</v>
      </c>
    </row>
    <row r="397" spans="1:9" s="7" customFormat="1" ht="22.5" hidden="1" customHeight="1" outlineLevel="1" x14ac:dyDescent="0.25">
      <c r="A397" s="6">
        <v>3126</v>
      </c>
      <c r="B397" s="18" t="s">
        <v>91</v>
      </c>
      <c r="C397" s="19" t="s">
        <v>267</v>
      </c>
      <c r="D397" s="19"/>
      <c r="E397" s="18">
        <v>2023</v>
      </c>
      <c r="F397" s="18" t="s">
        <v>79</v>
      </c>
      <c r="G397" s="18">
        <v>10</v>
      </c>
      <c r="H397" s="36">
        <v>72</v>
      </c>
      <c r="I397" s="36">
        <v>94.137180000000001</v>
      </c>
    </row>
    <row r="398" spans="1:9" s="7" customFormat="1" ht="22.5" hidden="1" customHeight="1" outlineLevel="1" x14ac:dyDescent="0.25">
      <c r="A398" s="6">
        <v>3128</v>
      </c>
      <c r="B398" s="18" t="s">
        <v>91</v>
      </c>
      <c r="C398" s="19" t="s">
        <v>268</v>
      </c>
      <c r="D398" s="19"/>
      <c r="E398" s="18">
        <v>2023</v>
      </c>
      <c r="F398" s="18" t="s">
        <v>79</v>
      </c>
      <c r="G398" s="18">
        <v>210</v>
      </c>
      <c r="H398" s="36">
        <v>50</v>
      </c>
      <c r="I398" s="36">
        <v>365.93617</v>
      </c>
    </row>
    <row r="399" spans="1:9" s="7" customFormat="1" ht="22.5" hidden="1" customHeight="1" outlineLevel="1" x14ac:dyDescent="0.25">
      <c r="A399" s="6">
        <v>3170</v>
      </c>
      <c r="B399" s="18" t="s">
        <v>91</v>
      </c>
      <c r="C399" s="19" t="s">
        <v>269</v>
      </c>
      <c r="D399" s="19"/>
      <c r="E399" s="18">
        <v>2023</v>
      </c>
      <c r="F399" s="18" t="s">
        <v>79</v>
      </c>
      <c r="G399" s="18">
        <v>635.6</v>
      </c>
      <c r="H399" s="36">
        <v>45</v>
      </c>
      <c r="I399" s="36">
        <v>927.34289999999999</v>
      </c>
    </row>
    <row r="400" spans="1:9" s="7" customFormat="1" ht="22.5" hidden="1" customHeight="1" outlineLevel="1" x14ac:dyDescent="0.25">
      <c r="A400" s="6">
        <v>4990</v>
      </c>
      <c r="B400" s="18" t="s">
        <v>91</v>
      </c>
      <c r="C400" s="19" t="s">
        <v>270</v>
      </c>
      <c r="D400" s="19"/>
      <c r="E400" s="18">
        <v>2023</v>
      </c>
      <c r="F400" s="18" t="s">
        <v>79</v>
      </c>
      <c r="G400" s="18">
        <v>363</v>
      </c>
      <c r="H400" s="36">
        <v>30</v>
      </c>
      <c r="I400" s="36">
        <v>719.49014999999997</v>
      </c>
    </row>
    <row r="401" spans="1:9" s="7" customFormat="1" ht="22.5" hidden="1" customHeight="1" outlineLevel="1" x14ac:dyDescent="0.25">
      <c r="A401" s="6">
        <v>3140</v>
      </c>
      <c r="B401" s="18" t="s">
        <v>91</v>
      </c>
      <c r="C401" s="19" t="s">
        <v>271</v>
      </c>
      <c r="D401" s="19"/>
      <c r="E401" s="18">
        <v>2023</v>
      </c>
      <c r="F401" s="18" t="s">
        <v>79</v>
      </c>
      <c r="G401" s="18">
        <v>40</v>
      </c>
      <c r="H401" s="36">
        <v>70</v>
      </c>
      <c r="I401" s="36">
        <v>134.24578</v>
      </c>
    </row>
    <row r="402" spans="1:9" s="7" customFormat="1" ht="22.5" hidden="1" customHeight="1" outlineLevel="1" x14ac:dyDescent="0.25">
      <c r="A402" s="6">
        <v>3191</v>
      </c>
      <c r="B402" s="18" t="s">
        <v>91</v>
      </c>
      <c r="C402" s="19" t="s">
        <v>272</v>
      </c>
      <c r="D402" s="19"/>
      <c r="E402" s="18">
        <v>2023</v>
      </c>
      <c r="F402" s="18" t="s">
        <v>79</v>
      </c>
      <c r="G402" s="18">
        <v>5</v>
      </c>
      <c r="H402" s="36">
        <v>15</v>
      </c>
      <c r="I402" s="36">
        <v>146.65194</v>
      </c>
    </row>
    <row r="403" spans="1:9" s="7" customFormat="1" ht="22.5" hidden="1" customHeight="1" outlineLevel="1" x14ac:dyDescent="0.25">
      <c r="A403" s="6">
        <v>3129</v>
      </c>
      <c r="B403" s="18" t="s">
        <v>91</v>
      </c>
      <c r="C403" s="19" t="s">
        <v>273</v>
      </c>
      <c r="D403" s="19"/>
      <c r="E403" s="18">
        <v>2023</v>
      </c>
      <c r="F403" s="18" t="s">
        <v>79</v>
      </c>
      <c r="G403" s="18">
        <v>191</v>
      </c>
      <c r="H403" s="36">
        <v>100</v>
      </c>
      <c r="I403" s="36">
        <v>579.92197999999996</v>
      </c>
    </row>
    <row r="404" spans="1:9" s="7" customFormat="1" ht="22.5" hidden="1" customHeight="1" outlineLevel="1" x14ac:dyDescent="0.25">
      <c r="A404" s="6">
        <v>4991</v>
      </c>
      <c r="B404" s="18" t="s">
        <v>91</v>
      </c>
      <c r="C404" s="19" t="s">
        <v>274</v>
      </c>
      <c r="D404" s="19"/>
      <c r="E404" s="18">
        <v>2023</v>
      </c>
      <c r="F404" s="18" t="s">
        <v>79</v>
      </c>
      <c r="G404" s="18">
        <v>170</v>
      </c>
      <c r="H404" s="36">
        <v>30</v>
      </c>
      <c r="I404" s="36">
        <v>502.4753</v>
      </c>
    </row>
    <row r="405" spans="1:9" s="7" customFormat="1" ht="22.5" hidden="1" customHeight="1" outlineLevel="1" x14ac:dyDescent="0.25">
      <c r="A405" s="6">
        <v>4993</v>
      </c>
      <c r="B405" s="18" t="s">
        <v>91</v>
      </c>
      <c r="C405" s="19" t="s">
        <v>275</v>
      </c>
      <c r="D405" s="19"/>
      <c r="E405" s="18">
        <v>2023</v>
      </c>
      <c r="F405" s="18" t="s">
        <v>79</v>
      </c>
      <c r="G405" s="18">
        <v>5</v>
      </c>
      <c r="H405" s="36">
        <v>95</v>
      </c>
      <c r="I405" s="36">
        <v>106.58629000000001</v>
      </c>
    </row>
    <row r="406" spans="1:9" s="7" customFormat="1" ht="22.5" hidden="1" customHeight="1" outlineLevel="1" x14ac:dyDescent="0.25">
      <c r="A406" s="6">
        <v>3030</v>
      </c>
      <c r="B406" s="18" t="s">
        <v>91</v>
      </c>
      <c r="C406" s="19" t="s">
        <v>276</v>
      </c>
      <c r="D406" s="19"/>
      <c r="E406" s="18">
        <v>2023</v>
      </c>
      <c r="F406" s="18" t="s">
        <v>79</v>
      </c>
      <c r="G406" s="18">
        <v>5</v>
      </c>
      <c r="H406" s="36">
        <v>150</v>
      </c>
      <c r="I406" s="36">
        <v>231.03587999999999</v>
      </c>
    </row>
    <row r="407" spans="1:9" s="7" customFormat="1" ht="22.5" hidden="1" customHeight="1" outlineLevel="1" x14ac:dyDescent="0.25">
      <c r="A407" s="6">
        <v>3145</v>
      </c>
      <c r="B407" s="18" t="s">
        <v>91</v>
      </c>
      <c r="C407" s="19" t="s">
        <v>277</v>
      </c>
      <c r="D407" s="19"/>
      <c r="E407" s="18">
        <v>2023</v>
      </c>
      <c r="F407" s="18" t="s">
        <v>79</v>
      </c>
      <c r="G407" s="18">
        <v>10</v>
      </c>
      <c r="H407" s="36">
        <v>100</v>
      </c>
      <c r="I407" s="36">
        <v>111.84768</v>
      </c>
    </row>
    <row r="408" spans="1:9" s="7" customFormat="1" ht="22.5" hidden="1" customHeight="1" outlineLevel="1" x14ac:dyDescent="0.25">
      <c r="A408" s="6">
        <v>5002</v>
      </c>
      <c r="B408" s="18" t="s">
        <v>91</v>
      </c>
      <c r="C408" s="19" t="s">
        <v>278</v>
      </c>
      <c r="D408" s="19"/>
      <c r="E408" s="18">
        <v>2023</v>
      </c>
      <c r="F408" s="18" t="s">
        <v>79</v>
      </c>
      <c r="G408" s="18">
        <v>230</v>
      </c>
      <c r="H408" s="36">
        <v>15</v>
      </c>
      <c r="I408" s="36">
        <v>356.60944000000001</v>
      </c>
    </row>
    <row r="409" spans="1:9" s="7" customFormat="1" ht="22.5" hidden="1" customHeight="1" outlineLevel="1" x14ac:dyDescent="0.25">
      <c r="A409" s="6">
        <v>5010</v>
      </c>
      <c r="B409" s="18" t="s">
        <v>91</v>
      </c>
      <c r="C409" s="19" t="s">
        <v>279</v>
      </c>
      <c r="D409" s="19"/>
      <c r="E409" s="18">
        <v>2023</v>
      </c>
      <c r="F409" s="18" t="s">
        <v>79</v>
      </c>
      <c r="G409" s="18">
        <v>413</v>
      </c>
      <c r="H409" s="36">
        <v>15</v>
      </c>
      <c r="I409" s="36">
        <v>776.50427999999999</v>
      </c>
    </row>
    <row r="410" spans="1:9" s="7" customFormat="1" ht="22.5" hidden="1" customHeight="1" outlineLevel="1" x14ac:dyDescent="0.25">
      <c r="A410" s="6">
        <v>3229</v>
      </c>
      <c r="B410" s="18" t="s">
        <v>91</v>
      </c>
      <c r="C410" s="19" t="s">
        <v>280</v>
      </c>
      <c r="D410" s="19"/>
      <c r="E410" s="18">
        <v>2023</v>
      </c>
      <c r="F410" s="18" t="s">
        <v>79</v>
      </c>
      <c r="G410" s="18">
        <v>70</v>
      </c>
      <c r="H410" s="37">
        <v>11.5</v>
      </c>
      <c r="I410" s="36">
        <v>320.67057</v>
      </c>
    </row>
    <row r="411" spans="1:9" s="7" customFormat="1" ht="22.5" hidden="1" customHeight="1" outlineLevel="1" x14ac:dyDescent="0.25">
      <c r="A411" s="6">
        <v>3003</v>
      </c>
      <c r="B411" s="18" t="s">
        <v>91</v>
      </c>
      <c r="C411" s="19" t="s">
        <v>281</v>
      </c>
      <c r="D411" s="19"/>
      <c r="E411" s="18">
        <v>2023</v>
      </c>
      <c r="F411" s="18" t="s">
        <v>79</v>
      </c>
      <c r="G411" s="18">
        <v>6</v>
      </c>
      <c r="H411" s="36">
        <v>150</v>
      </c>
      <c r="I411" s="36">
        <v>116.97499999999999</v>
      </c>
    </row>
    <row r="412" spans="1:9" s="7" customFormat="1" ht="22.5" hidden="1" customHeight="1" outlineLevel="1" x14ac:dyDescent="0.25">
      <c r="A412" s="6">
        <v>3394</v>
      </c>
      <c r="B412" s="18" t="s">
        <v>91</v>
      </c>
      <c r="C412" s="19" t="s">
        <v>282</v>
      </c>
      <c r="D412" s="19"/>
      <c r="E412" s="18">
        <v>2023</v>
      </c>
      <c r="F412" s="18" t="s">
        <v>79</v>
      </c>
      <c r="G412" s="18">
        <v>14</v>
      </c>
      <c r="H412" s="36">
        <v>150</v>
      </c>
      <c r="I412" s="36">
        <v>154.40200000000002</v>
      </c>
    </row>
    <row r="413" spans="1:9" s="7" customFormat="1" ht="22.5" hidden="1" customHeight="1" outlineLevel="1" x14ac:dyDescent="0.25">
      <c r="A413" s="6">
        <v>3233</v>
      </c>
      <c r="B413" s="18" t="s">
        <v>91</v>
      </c>
      <c r="C413" s="19" t="s">
        <v>283</v>
      </c>
      <c r="D413" s="19"/>
      <c r="E413" s="18">
        <v>2023</v>
      </c>
      <c r="F413" s="18" t="s">
        <v>79</v>
      </c>
      <c r="G413" s="18">
        <v>594</v>
      </c>
      <c r="H413" s="36">
        <v>32</v>
      </c>
      <c r="I413" s="36">
        <v>1158.78</v>
      </c>
    </row>
    <row r="414" spans="1:9" s="7" customFormat="1" ht="22.5" hidden="1" customHeight="1" outlineLevel="1" x14ac:dyDescent="0.25">
      <c r="A414" s="6">
        <v>738</v>
      </c>
      <c r="B414" s="18" t="s">
        <v>91</v>
      </c>
      <c r="C414" s="19" t="s">
        <v>284</v>
      </c>
      <c r="D414" s="19"/>
      <c r="E414" s="18">
        <v>2023</v>
      </c>
      <c r="F414" s="18" t="s">
        <v>79</v>
      </c>
      <c r="G414" s="18">
        <v>511</v>
      </c>
      <c r="H414" s="36">
        <v>23</v>
      </c>
      <c r="I414" s="36">
        <v>1064.5059999999999</v>
      </c>
    </row>
    <row r="415" spans="1:9" s="7" customFormat="1" ht="22.5" hidden="1" customHeight="1" outlineLevel="1" x14ac:dyDescent="0.25">
      <c r="A415" s="6">
        <v>3857</v>
      </c>
      <c r="B415" s="18" t="s">
        <v>91</v>
      </c>
      <c r="C415" s="19" t="s">
        <v>285</v>
      </c>
      <c r="D415" s="19"/>
      <c r="E415" s="18">
        <v>2023</v>
      </c>
      <c r="F415" s="18" t="s">
        <v>79</v>
      </c>
      <c r="G415" s="18">
        <v>460</v>
      </c>
      <c r="H415" s="36">
        <v>10</v>
      </c>
      <c r="I415" s="36">
        <v>199.13154</v>
      </c>
    </row>
    <row r="416" spans="1:9" s="7" customFormat="1" ht="22.5" hidden="1" customHeight="1" outlineLevel="1" x14ac:dyDescent="0.25">
      <c r="A416" s="6">
        <v>3813</v>
      </c>
      <c r="B416" s="18" t="s">
        <v>91</v>
      </c>
      <c r="C416" s="19" t="s">
        <v>286</v>
      </c>
      <c r="D416" s="19"/>
      <c r="E416" s="18">
        <v>2023</v>
      </c>
      <c r="F416" s="18" t="s">
        <v>79</v>
      </c>
      <c r="G416" s="18">
        <v>100</v>
      </c>
      <c r="H416" s="36">
        <v>15</v>
      </c>
      <c r="I416" s="36">
        <v>68.245999999999995</v>
      </c>
    </row>
    <row r="417" spans="1:9" s="7" customFormat="1" ht="22.5" hidden="1" customHeight="1" outlineLevel="1" x14ac:dyDescent="0.25">
      <c r="A417" s="6">
        <v>3439</v>
      </c>
      <c r="B417" s="18" t="s">
        <v>91</v>
      </c>
      <c r="C417" s="19" t="s">
        <v>287</v>
      </c>
      <c r="D417" s="19"/>
      <c r="E417" s="18">
        <v>2023</v>
      </c>
      <c r="F417" s="18" t="s">
        <v>79</v>
      </c>
      <c r="G417" s="18">
        <v>40</v>
      </c>
      <c r="H417" s="36">
        <v>30</v>
      </c>
      <c r="I417" s="36">
        <v>59.000999999999998</v>
      </c>
    </row>
    <row r="418" spans="1:9" s="7" customFormat="1" ht="22.5" hidden="1" customHeight="1" outlineLevel="1" x14ac:dyDescent="0.25">
      <c r="A418" s="6">
        <v>3365</v>
      </c>
      <c r="B418" s="18" t="s">
        <v>91</v>
      </c>
      <c r="C418" s="19" t="s">
        <v>288</v>
      </c>
      <c r="D418" s="19"/>
      <c r="E418" s="18">
        <v>2023</v>
      </c>
      <c r="F418" s="18" t="s">
        <v>79</v>
      </c>
      <c r="G418" s="18">
        <v>30</v>
      </c>
      <c r="H418" s="36">
        <v>150</v>
      </c>
      <c r="I418" s="36">
        <v>48.683999999999997</v>
      </c>
    </row>
    <row r="419" spans="1:9" s="7" customFormat="1" ht="22.5" hidden="1" customHeight="1" outlineLevel="1" x14ac:dyDescent="0.25">
      <c r="A419" s="6">
        <v>3372</v>
      </c>
      <c r="B419" s="18" t="s">
        <v>91</v>
      </c>
      <c r="C419" s="19" t="s">
        <v>289</v>
      </c>
      <c r="D419" s="19"/>
      <c r="E419" s="18">
        <v>2023</v>
      </c>
      <c r="F419" s="18" t="s">
        <v>79</v>
      </c>
      <c r="G419" s="18">
        <v>250</v>
      </c>
      <c r="H419" s="36">
        <v>15</v>
      </c>
      <c r="I419" s="36">
        <v>424.08141000000001</v>
      </c>
    </row>
    <row r="420" spans="1:9" s="7" customFormat="1" ht="22.5" hidden="1" customHeight="1" outlineLevel="1" x14ac:dyDescent="0.25">
      <c r="A420" s="6">
        <v>1342</v>
      </c>
      <c r="B420" s="18" t="s">
        <v>91</v>
      </c>
      <c r="C420" s="19" t="s">
        <v>290</v>
      </c>
      <c r="D420" s="19"/>
      <c r="E420" s="18">
        <v>2023</v>
      </c>
      <c r="F420" s="18" t="s">
        <v>79</v>
      </c>
      <c r="G420" s="18">
        <v>170</v>
      </c>
      <c r="H420" s="36">
        <v>30</v>
      </c>
      <c r="I420" s="36">
        <v>238.529</v>
      </c>
    </row>
    <row r="421" spans="1:9" s="7" customFormat="1" ht="22.5" hidden="1" customHeight="1" outlineLevel="1" x14ac:dyDescent="0.25">
      <c r="A421" s="6">
        <v>362</v>
      </c>
      <c r="B421" s="18" t="s">
        <v>91</v>
      </c>
      <c r="C421" s="19" t="s">
        <v>291</v>
      </c>
      <c r="D421" s="19"/>
      <c r="E421" s="18">
        <v>2023</v>
      </c>
      <c r="F421" s="18" t="s">
        <v>79</v>
      </c>
      <c r="G421" s="18">
        <v>180</v>
      </c>
      <c r="H421" s="36">
        <v>15</v>
      </c>
      <c r="I421" s="36">
        <v>213.72800000000001</v>
      </c>
    </row>
    <row r="422" spans="1:9" s="7" customFormat="1" ht="22.5" hidden="1" customHeight="1" outlineLevel="1" x14ac:dyDescent="0.25">
      <c r="A422" s="6">
        <v>3064</v>
      </c>
      <c r="B422" s="18" t="s">
        <v>91</v>
      </c>
      <c r="C422" s="19" t="s">
        <v>292</v>
      </c>
      <c r="D422" s="19"/>
      <c r="E422" s="18">
        <v>2023</v>
      </c>
      <c r="F422" s="18" t="s">
        <v>79</v>
      </c>
      <c r="G422" s="18">
        <v>10</v>
      </c>
      <c r="H422" s="36">
        <v>95</v>
      </c>
      <c r="I422" s="36">
        <v>49.266999999999996</v>
      </c>
    </row>
    <row r="423" spans="1:9" s="7" customFormat="1" ht="22.5" hidden="1" customHeight="1" outlineLevel="1" x14ac:dyDescent="0.25">
      <c r="A423" s="6">
        <v>1039</v>
      </c>
      <c r="B423" s="18" t="s">
        <v>91</v>
      </c>
      <c r="C423" s="19" t="s">
        <v>293</v>
      </c>
      <c r="D423" s="19"/>
      <c r="E423" s="18">
        <v>2023</v>
      </c>
      <c r="F423" s="18" t="s">
        <v>79</v>
      </c>
      <c r="G423" s="18">
        <v>100</v>
      </c>
      <c r="H423" s="36">
        <v>15</v>
      </c>
      <c r="I423" s="36">
        <v>52.856000000000002</v>
      </c>
    </row>
    <row r="424" spans="1:9" s="7" customFormat="1" ht="22.5" hidden="1" customHeight="1" outlineLevel="1" x14ac:dyDescent="0.25">
      <c r="A424" s="6">
        <v>937</v>
      </c>
      <c r="B424" s="18" t="s">
        <v>91</v>
      </c>
      <c r="C424" s="19" t="s">
        <v>294</v>
      </c>
      <c r="D424" s="19"/>
      <c r="E424" s="18">
        <v>2023</v>
      </c>
      <c r="F424" s="18" t="s">
        <v>79</v>
      </c>
      <c r="G424" s="18">
        <v>100</v>
      </c>
      <c r="H424" s="36">
        <v>150</v>
      </c>
      <c r="I424" s="36">
        <v>97.706000000000003</v>
      </c>
    </row>
    <row r="425" spans="1:9" s="7" customFormat="1" ht="22.5" hidden="1" customHeight="1" outlineLevel="1" x14ac:dyDescent="0.25">
      <c r="A425" s="6">
        <v>1185</v>
      </c>
      <c r="B425" s="18" t="s">
        <v>91</v>
      </c>
      <c r="C425" s="19" t="s">
        <v>295</v>
      </c>
      <c r="D425" s="19"/>
      <c r="E425" s="18">
        <v>2023</v>
      </c>
      <c r="F425" s="18" t="s">
        <v>79</v>
      </c>
      <c r="G425" s="18">
        <v>90</v>
      </c>
      <c r="H425" s="36">
        <v>15</v>
      </c>
      <c r="I425" s="36">
        <v>71.566000000000003</v>
      </c>
    </row>
    <row r="426" spans="1:9" s="7" customFormat="1" ht="22.5" hidden="1" customHeight="1" outlineLevel="1" x14ac:dyDescent="0.25">
      <c r="A426" s="6">
        <v>2990</v>
      </c>
      <c r="B426" s="18" t="s">
        <v>91</v>
      </c>
      <c r="C426" s="19" t="s">
        <v>296</v>
      </c>
      <c r="D426" s="19"/>
      <c r="E426" s="18">
        <v>2023</v>
      </c>
      <c r="F426" s="18" t="s">
        <v>79</v>
      </c>
      <c r="G426" s="18">
        <v>4</v>
      </c>
      <c r="H426" s="36">
        <v>150</v>
      </c>
      <c r="I426" s="36">
        <v>87.614999999999995</v>
      </c>
    </row>
    <row r="427" spans="1:9" s="7" customFormat="1" ht="22.5" hidden="1" customHeight="1" outlineLevel="1" x14ac:dyDescent="0.25">
      <c r="A427" s="6">
        <v>4450</v>
      </c>
      <c r="B427" s="18" t="s">
        <v>91</v>
      </c>
      <c r="C427" s="19" t="s">
        <v>297</v>
      </c>
      <c r="D427" s="19"/>
      <c r="E427" s="18">
        <v>2023</v>
      </c>
      <c r="F427" s="18" t="s">
        <v>79</v>
      </c>
      <c r="G427" s="18">
        <v>3</v>
      </c>
      <c r="H427" s="36">
        <v>150</v>
      </c>
      <c r="I427" s="36">
        <v>66.709000000000003</v>
      </c>
    </row>
    <row r="428" spans="1:9" s="7" customFormat="1" ht="22.5" hidden="1" customHeight="1" outlineLevel="1" x14ac:dyDescent="0.25">
      <c r="A428" s="6">
        <v>579</v>
      </c>
      <c r="B428" s="18" t="s">
        <v>91</v>
      </c>
      <c r="C428" s="19" t="s">
        <v>298</v>
      </c>
      <c r="D428" s="19"/>
      <c r="E428" s="18">
        <v>2023</v>
      </c>
      <c r="F428" s="18" t="s">
        <v>79</v>
      </c>
      <c r="G428" s="18">
        <v>333</v>
      </c>
      <c r="H428" s="36">
        <v>330</v>
      </c>
      <c r="I428" s="36">
        <v>900.84799999999996</v>
      </c>
    </row>
    <row r="429" spans="1:9" s="7" customFormat="1" ht="22.5" hidden="1" customHeight="1" outlineLevel="1" x14ac:dyDescent="0.25">
      <c r="A429" s="6">
        <v>4451</v>
      </c>
      <c r="B429" s="18" t="s">
        <v>91</v>
      </c>
      <c r="C429" s="19" t="s">
        <v>299</v>
      </c>
      <c r="D429" s="19"/>
      <c r="E429" s="18">
        <v>2023</v>
      </c>
      <c r="F429" s="18" t="s">
        <v>79</v>
      </c>
      <c r="G429" s="18">
        <v>33</v>
      </c>
      <c r="H429" s="36">
        <v>150</v>
      </c>
      <c r="I429" s="36">
        <v>162.80707999999998</v>
      </c>
    </row>
    <row r="430" spans="1:9" s="7" customFormat="1" ht="22.5" hidden="1" customHeight="1" outlineLevel="1" x14ac:dyDescent="0.25">
      <c r="A430" s="6">
        <v>984</v>
      </c>
      <c r="B430" s="18" t="s">
        <v>91</v>
      </c>
      <c r="C430" s="19" t="s">
        <v>300</v>
      </c>
      <c r="D430" s="19"/>
      <c r="E430" s="18">
        <v>2023</v>
      </c>
      <c r="F430" s="18" t="s">
        <v>79</v>
      </c>
      <c r="G430" s="18">
        <v>332</v>
      </c>
      <c r="H430" s="36">
        <v>105</v>
      </c>
      <c r="I430" s="36">
        <v>992.11800000000005</v>
      </c>
    </row>
    <row r="431" spans="1:9" s="7" customFormat="1" ht="22.5" hidden="1" customHeight="1" outlineLevel="1" x14ac:dyDescent="0.25">
      <c r="A431" s="6">
        <v>862</v>
      </c>
      <c r="B431" s="18" t="s">
        <v>91</v>
      </c>
      <c r="C431" s="19" t="s">
        <v>301</v>
      </c>
      <c r="D431" s="19"/>
      <c r="E431" s="18">
        <v>2023</v>
      </c>
      <c r="F431" s="18" t="s">
        <v>79</v>
      </c>
      <c r="G431" s="18">
        <v>80</v>
      </c>
      <c r="H431" s="36">
        <v>15</v>
      </c>
      <c r="I431" s="36">
        <v>104.45699999999999</v>
      </c>
    </row>
    <row r="432" spans="1:9" s="7" customFormat="1" ht="22.5" hidden="1" customHeight="1" outlineLevel="1" x14ac:dyDescent="0.25">
      <c r="A432" s="6">
        <v>1013</v>
      </c>
      <c r="B432" s="18" t="s">
        <v>91</v>
      </c>
      <c r="C432" s="19" t="s">
        <v>302</v>
      </c>
      <c r="D432" s="19"/>
      <c r="E432" s="18">
        <v>2023</v>
      </c>
      <c r="F432" s="18" t="s">
        <v>79</v>
      </c>
      <c r="G432" s="18">
        <v>30</v>
      </c>
      <c r="H432" s="36">
        <v>15</v>
      </c>
      <c r="I432" s="36">
        <v>52.915999999999997</v>
      </c>
    </row>
    <row r="433" spans="1:9" s="7" customFormat="1" ht="22.5" hidden="1" customHeight="1" outlineLevel="1" x14ac:dyDescent="0.25">
      <c r="A433" s="6">
        <v>3062</v>
      </c>
      <c r="B433" s="18" t="s">
        <v>91</v>
      </c>
      <c r="C433" s="19" t="s">
        <v>303</v>
      </c>
      <c r="D433" s="19"/>
      <c r="E433" s="18">
        <v>2023</v>
      </c>
      <c r="F433" s="18" t="s">
        <v>79</v>
      </c>
      <c r="G433" s="18">
        <v>10</v>
      </c>
      <c r="H433" s="36">
        <v>150</v>
      </c>
      <c r="I433" s="36">
        <v>28.190989999999999</v>
      </c>
    </row>
    <row r="434" spans="1:9" s="7" customFormat="1" ht="22.5" hidden="1" customHeight="1" outlineLevel="1" x14ac:dyDescent="0.25">
      <c r="A434" s="6">
        <v>796</v>
      </c>
      <c r="B434" s="18" t="s">
        <v>91</v>
      </c>
      <c r="C434" s="19" t="s">
        <v>304</v>
      </c>
      <c r="D434" s="19"/>
      <c r="E434" s="18">
        <v>2023</v>
      </c>
      <c r="F434" s="18" t="s">
        <v>79</v>
      </c>
      <c r="G434" s="18">
        <v>355</v>
      </c>
      <c r="H434" s="36">
        <v>45</v>
      </c>
      <c r="I434" s="36">
        <v>896.49299999999994</v>
      </c>
    </row>
    <row r="435" spans="1:9" s="7" customFormat="1" ht="22.5" hidden="1" customHeight="1" outlineLevel="1" x14ac:dyDescent="0.25">
      <c r="A435" s="6">
        <v>787</v>
      </c>
      <c r="B435" s="18" t="s">
        <v>91</v>
      </c>
      <c r="C435" s="19" t="s">
        <v>305</v>
      </c>
      <c r="D435" s="19"/>
      <c r="E435" s="18">
        <v>2023</v>
      </c>
      <c r="F435" s="18" t="s">
        <v>79</v>
      </c>
      <c r="G435" s="18">
        <v>350</v>
      </c>
      <c r="H435" s="36">
        <v>15</v>
      </c>
      <c r="I435" s="36">
        <v>808.85942</v>
      </c>
    </row>
    <row r="436" spans="1:9" s="7" customFormat="1" ht="22.5" hidden="1" customHeight="1" outlineLevel="1" x14ac:dyDescent="0.25">
      <c r="A436" s="6">
        <v>468</v>
      </c>
      <c r="B436" s="18" t="s">
        <v>91</v>
      </c>
      <c r="C436" s="19" t="s">
        <v>306</v>
      </c>
      <c r="D436" s="19"/>
      <c r="E436" s="18">
        <v>2023</v>
      </c>
      <c r="F436" s="18" t="s">
        <v>79</v>
      </c>
      <c r="G436" s="18">
        <v>179</v>
      </c>
      <c r="H436" s="36">
        <v>10</v>
      </c>
      <c r="I436" s="36">
        <v>369.99100000000004</v>
      </c>
    </row>
    <row r="437" spans="1:9" s="7" customFormat="1" ht="22.5" hidden="1" customHeight="1" outlineLevel="1" x14ac:dyDescent="0.25">
      <c r="A437" s="6">
        <v>1029</v>
      </c>
      <c r="B437" s="18" t="s">
        <v>91</v>
      </c>
      <c r="C437" s="19" t="s">
        <v>307</v>
      </c>
      <c r="D437" s="19"/>
      <c r="E437" s="18">
        <v>2023</v>
      </c>
      <c r="F437" s="18" t="s">
        <v>79</v>
      </c>
      <c r="G437" s="18">
        <v>90</v>
      </c>
      <c r="H437" s="36">
        <v>15</v>
      </c>
      <c r="I437" s="36">
        <v>149.61156</v>
      </c>
    </row>
    <row r="438" spans="1:9" s="7" customFormat="1" ht="22.5" hidden="1" customHeight="1" outlineLevel="1" x14ac:dyDescent="0.25">
      <c r="A438" s="6">
        <v>444</v>
      </c>
      <c r="B438" s="18" t="s">
        <v>91</v>
      </c>
      <c r="C438" s="19" t="s">
        <v>308</v>
      </c>
      <c r="D438" s="19"/>
      <c r="E438" s="18">
        <v>2023</v>
      </c>
      <c r="F438" s="18" t="s">
        <v>79</v>
      </c>
      <c r="G438" s="18">
        <v>30</v>
      </c>
      <c r="H438" s="36">
        <v>15</v>
      </c>
      <c r="I438" s="36">
        <v>66.673399999999987</v>
      </c>
    </row>
    <row r="439" spans="1:9" s="7" customFormat="1" ht="22.5" hidden="1" customHeight="1" outlineLevel="1" x14ac:dyDescent="0.25">
      <c r="A439" s="6">
        <v>1229</v>
      </c>
      <c r="B439" s="18" t="s">
        <v>91</v>
      </c>
      <c r="C439" s="19" t="s">
        <v>309</v>
      </c>
      <c r="D439" s="19"/>
      <c r="E439" s="18">
        <v>2023</v>
      </c>
      <c r="F439" s="18" t="s">
        <v>79</v>
      </c>
      <c r="G439" s="18">
        <v>120</v>
      </c>
      <c r="H439" s="36">
        <v>15</v>
      </c>
      <c r="I439" s="36">
        <v>147.09855999999999</v>
      </c>
    </row>
    <row r="440" spans="1:9" s="7" customFormat="1" ht="22.5" hidden="1" customHeight="1" outlineLevel="1" x14ac:dyDescent="0.25">
      <c r="A440" s="6">
        <v>1060</v>
      </c>
      <c r="B440" s="18" t="s">
        <v>91</v>
      </c>
      <c r="C440" s="19" t="s">
        <v>310</v>
      </c>
      <c r="D440" s="19"/>
      <c r="E440" s="18">
        <v>2023</v>
      </c>
      <c r="F440" s="18" t="s">
        <v>79</v>
      </c>
      <c r="G440" s="18">
        <v>90</v>
      </c>
      <c r="H440" s="36">
        <v>15</v>
      </c>
      <c r="I440" s="36">
        <v>124.95254</v>
      </c>
    </row>
    <row r="441" spans="1:9" s="7" customFormat="1" ht="22.5" hidden="1" customHeight="1" outlineLevel="1" x14ac:dyDescent="0.25">
      <c r="A441" s="6">
        <v>3254</v>
      </c>
      <c r="B441" s="18" t="s">
        <v>91</v>
      </c>
      <c r="C441" s="19" t="s">
        <v>311</v>
      </c>
      <c r="D441" s="19"/>
      <c r="E441" s="18">
        <v>2023</v>
      </c>
      <c r="F441" s="18" t="s">
        <v>79</v>
      </c>
      <c r="G441" s="18">
        <v>20</v>
      </c>
      <c r="H441" s="36">
        <v>15</v>
      </c>
      <c r="I441" s="36">
        <v>98.140069999999994</v>
      </c>
    </row>
    <row r="442" spans="1:9" s="7" customFormat="1" ht="22.5" hidden="1" customHeight="1" outlineLevel="1" x14ac:dyDescent="0.25">
      <c r="A442" s="6">
        <v>1251</v>
      </c>
      <c r="B442" s="18" t="s">
        <v>91</v>
      </c>
      <c r="C442" s="19" t="s">
        <v>312</v>
      </c>
      <c r="D442" s="19"/>
      <c r="E442" s="18">
        <v>2023</v>
      </c>
      <c r="F442" s="18" t="s">
        <v>79</v>
      </c>
      <c r="G442" s="18">
        <v>110</v>
      </c>
      <c r="H442" s="36">
        <v>15</v>
      </c>
      <c r="I442" s="36">
        <v>136.55655999999999</v>
      </c>
    </row>
    <row r="443" spans="1:9" s="7" customFormat="1" ht="22.5" hidden="1" customHeight="1" outlineLevel="1" x14ac:dyDescent="0.25">
      <c r="A443" s="6">
        <v>1287</v>
      </c>
      <c r="B443" s="18" t="s">
        <v>91</v>
      </c>
      <c r="C443" s="19" t="s">
        <v>313</v>
      </c>
      <c r="D443" s="19"/>
      <c r="E443" s="18">
        <v>2023</v>
      </c>
      <c r="F443" s="18" t="s">
        <v>79</v>
      </c>
      <c r="G443" s="18">
        <v>40</v>
      </c>
      <c r="H443" s="36">
        <v>5</v>
      </c>
      <c r="I443" s="36">
        <v>54.268560000000001</v>
      </c>
    </row>
    <row r="444" spans="1:9" s="7" customFormat="1" ht="22.5" hidden="1" customHeight="1" outlineLevel="1" x14ac:dyDescent="0.25">
      <c r="A444" s="6">
        <v>1988</v>
      </c>
      <c r="B444" s="18" t="s">
        <v>91</v>
      </c>
      <c r="C444" s="19" t="s">
        <v>314</v>
      </c>
      <c r="D444" s="19"/>
      <c r="E444" s="18">
        <v>2023</v>
      </c>
      <c r="F444" s="18" t="s">
        <v>79</v>
      </c>
      <c r="G444" s="18">
        <v>180</v>
      </c>
      <c r="H444" s="36">
        <v>3</v>
      </c>
      <c r="I444" s="36">
        <v>263.29856000000001</v>
      </c>
    </row>
    <row r="445" spans="1:9" s="7" customFormat="1" ht="22.5" hidden="1" customHeight="1" outlineLevel="1" x14ac:dyDescent="0.25">
      <c r="A445" s="6">
        <v>3258</v>
      </c>
      <c r="B445" s="18" t="s">
        <v>91</v>
      </c>
      <c r="C445" s="19" t="s">
        <v>315</v>
      </c>
      <c r="D445" s="19"/>
      <c r="E445" s="18">
        <v>2023</v>
      </c>
      <c r="F445" s="18" t="s">
        <v>79</v>
      </c>
      <c r="G445" s="18">
        <v>80</v>
      </c>
      <c r="H445" s="36">
        <v>15</v>
      </c>
      <c r="I445" s="36">
        <v>190.59855999999999</v>
      </c>
    </row>
    <row r="446" spans="1:9" s="7" customFormat="1" ht="22.5" hidden="1" customHeight="1" outlineLevel="1" x14ac:dyDescent="0.25">
      <c r="A446" s="6">
        <v>3078</v>
      </c>
      <c r="B446" s="18" t="s">
        <v>91</v>
      </c>
      <c r="C446" s="19" t="s">
        <v>316</v>
      </c>
      <c r="D446" s="19"/>
      <c r="E446" s="18">
        <v>2023</v>
      </c>
      <c r="F446" s="18" t="s">
        <v>79</v>
      </c>
      <c r="G446" s="18">
        <v>50</v>
      </c>
      <c r="H446" s="36">
        <v>150</v>
      </c>
      <c r="I446" s="36">
        <v>95.605999999999995</v>
      </c>
    </row>
    <row r="447" spans="1:9" s="7" customFormat="1" ht="22.5" hidden="1" customHeight="1" outlineLevel="1" x14ac:dyDescent="0.25">
      <c r="A447" s="6">
        <v>3085</v>
      </c>
      <c r="B447" s="18" t="s">
        <v>91</v>
      </c>
      <c r="C447" s="19" t="s">
        <v>317</v>
      </c>
      <c r="D447" s="19"/>
      <c r="E447" s="18">
        <v>2023</v>
      </c>
      <c r="F447" s="18" t="s">
        <v>79</v>
      </c>
      <c r="G447" s="18">
        <v>30</v>
      </c>
      <c r="H447" s="36">
        <v>149</v>
      </c>
      <c r="I447" s="36">
        <v>79.882649999999998</v>
      </c>
    </row>
    <row r="448" spans="1:9" s="7" customFormat="1" ht="22.5" hidden="1" customHeight="1" outlineLevel="1" x14ac:dyDescent="0.25">
      <c r="A448" s="6">
        <v>400</v>
      </c>
      <c r="B448" s="18" t="s">
        <v>91</v>
      </c>
      <c r="C448" s="19" t="s">
        <v>318</v>
      </c>
      <c r="D448" s="19"/>
      <c r="E448" s="18">
        <v>2023</v>
      </c>
      <c r="F448" s="18" t="s">
        <v>79</v>
      </c>
      <c r="G448" s="18">
        <v>150</v>
      </c>
      <c r="H448" s="36">
        <v>15</v>
      </c>
      <c r="I448" s="36">
        <v>204.02600000000001</v>
      </c>
    </row>
    <row r="449" spans="1:9" s="7" customFormat="1" ht="22.5" hidden="1" customHeight="1" outlineLevel="1" x14ac:dyDescent="0.25">
      <c r="A449" s="6">
        <v>3022</v>
      </c>
      <c r="B449" s="18" t="s">
        <v>91</v>
      </c>
      <c r="C449" s="19" t="s">
        <v>319</v>
      </c>
      <c r="D449" s="19"/>
      <c r="E449" s="18">
        <v>2023</v>
      </c>
      <c r="F449" s="18" t="s">
        <v>79</v>
      </c>
      <c r="G449" s="18">
        <v>134</v>
      </c>
      <c r="H449" s="36">
        <v>165</v>
      </c>
      <c r="I449" s="36">
        <v>433.40028000000001</v>
      </c>
    </row>
    <row r="450" spans="1:9" s="7" customFormat="1" ht="22.5" hidden="1" customHeight="1" outlineLevel="1" x14ac:dyDescent="0.25">
      <c r="A450" s="6">
        <v>3415</v>
      </c>
      <c r="B450" s="18" t="s">
        <v>91</v>
      </c>
      <c r="C450" s="19" t="s">
        <v>320</v>
      </c>
      <c r="D450" s="19"/>
      <c r="E450" s="18">
        <v>2023</v>
      </c>
      <c r="F450" s="18" t="s">
        <v>79</v>
      </c>
      <c r="G450" s="18">
        <v>6</v>
      </c>
      <c r="H450" s="36">
        <v>15</v>
      </c>
      <c r="I450" s="36">
        <v>39.908380000000001</v>
      </c>
    </row>
    <row r="451" spans="1:9" s="7" customFormat="1" ht="22.5" hidden="1" customHeight="1" outlineLevel="1" x14ac:dyDescent="0.25">
      <c r="A451" s="6">
        <v>3017</v>
      </c>
      <c r="B451" s="18" t="s">
        <v>91</v>
      </c>
      <c r="C451" s="19" t="s">
        <v>321</v>
      </c>
      <c r="D451" s="19"/>
      <c r="E451" s="18">
        <v>2023</v>
      </c>
      <c r="F451" s="18" t="s">
        <v>79</v>
      </c>
      <c r="G451" s="18">
        <v>7</v>
      </c>
      <c r="H451" s="36">
        <v>150</v>
      </c>
      <c r="I451" s="36">
        <v>61.545000000000002</v>
      </c>
    </row>
    <row r="452" spans="1:9" s="7" customFormat="1" ht="22.5" hidden="1" customHeight="1" outlineLevel="1" x14ac:dyDescent="0.25">
      <c r="A452" s="6">
        <v>3291</v>
      </c>
      <c r="B452" s="18" t="s">
        <v>91</v>
      </c>
      <c r="C452" s="19" t="s">
        <v>322</v>
      </c>
      <c r="D452" s="19"/>
      <c r="E452" s="18">
        <v>2023</v>
      </c>
      <c r="F452" s="18" t="s">
        <v>79</v>
      </c>
      <c r="G452" s="18">
        <v>70</v>
      </c>
      <c r="H452" s="36">
        <v>10</v>
      </c>
      <c r="I452" s="36">
        <v>66.753999999999991</v>
      </c>
    </row>
    <row r="453" spans="1:9" s="7" customFormat="1" ht="22.5" hidden="1" customHeight="1" outlineLevel="1" x14ac:dyDescent="0.25">
      <c r="A453" s="6">
        <v>1636</v>
      </c>
      <c r="B453" s="18" t="s">
        <v>91</v>
      </c>
      <c r="C453" s="19" t="s">
        <v>323</v>
      </c>
      <c r="D453" s="19"/>
      <c r="E453" s="18">
        <v>2023</v>
      </c>
      <c r="F453" s="18" t="s">
        <v>79</v>
      </c>
      <c r="G453" s="18">
        <v>35</v>
      </c>
      <c r="H453" s="36">
        <v>6.5</v>
      </c>
      <c r="I453" s="36">
        <v>58.884999999999998</v>
      </c>
    </row>
    <row r="454" spans="1:9" s="7" customFormat="1" ht="22.5" hidden="1" customHeight="1" outlineLevel="1" x14ac:dyDescent="0.25">
      <c r="A454" s="6">
        <v>4455</v>
      </c>
      <c r="B454" s="18" t="s">
        <v>91</v>
      </c>
      <c r="C454" s="19" t="s">
        <v>324</v>
      </c>
      <c r="D454" s="19"/>
      <c r="E454" s="18">
        <v>2023</v>
      </c>
      <c r="F454" s="18" t="s">
        <v>79</v>
      </c>
      <c r="G454" s="18">
        <v>180</v>
      </c>
      <c r="H454" s="36">
        <v>50</v>
      </c>
      <c r="I454" s="36">
        <v>267.36500000000001</v>
      </c>
    </row>
    <row r="455" spans="1:9" s="7" customFormat="1" ht="22.5" hidden="1" customHeight="1" outlineLevel="1" x14ac:dyDescent="0.25">
      <c r="A455" s="6">
        <v>1183</v>
      </c>
      <c r="B455" s="18" t="s">
        <v>91</v>
      </c>
      <c r="C455" s="19" t="s">
        <v>325</v>
      </c>
      <c r="D455" s="19"/>
      <c r="E455" s="18">
        <v>2023</v>
      </c>
      <c r="F455" s="18" t="s">
        <v>79</v>
      </c>
      <c r="G455" s="18">
        <v>370</v>
      </c>
      <c r="H455" s="36">
        <v>110</v>
      </c>
      <c r="I455" s="36">
        <v>1024.8208099999999</v>
      </c>
    </row>
    <row r="456" spans="1:9" s="7" customFormat="1" ht="22.5" hidden="1" customHeight="1" outlineLevel="1" x14ac:dyDescent="0.25">
      <c r="A456" s="6">
        <v>4503</v>
      </c>
      <c r="B456" s="18" t="s">
        <v>91</v>
      </c>
      <c r="C456" s="19" t="s">
        <v>326</v>
      </c>
      <c r="D456" s="19"/>
      <c r="E456" s="18">
        <v>2023</v>
      </c>
      <c r="F456" s="18" t="s">
        <v>79</v>
      </c>
      <c r="G456" s="18">
        <v>516</v>
      </c>
      <c r="H456" s="36">
        <v>900</v>
      </c>
      <c r="I456" s="36">
        <v>1890.2475999999999</v>
      </c>
    </row>
    <row r="457" spans="1:9" s="7" customFormat="1" ht="22.5" hidden="1" customHeight="1" outlineLevel="1" x14ac:dyDescent="0.25">
      <c r="A457" s="6">
        <v>4419</v>
      </c>
      <c r="B457" s="18" t="s">
        <v>91</v>
      </c>
      <c r="C457" s="19" t="s">
        <v>327</v>
      </c>
      <c r="D457" s="19"/>
      <c r="E457" s="18">
        <v>2023</v>
      </c>
      <c r="F457" s="18" t="s">
        <v>79</v>
      </c>
      <c r="G457" s="18">
        <v>8</v>
      </c>
      <c r="H457" s="36">
        <v>250</v>
      </c>
      <c r="I457" s="36">
        <v>210.04570999999999</v>
      </c>
    </row>
    <row r="458" spans="1:9" s="7" customFormat="1" ht="22.5" hidden="1" customHeight="1" outlineLevel="1" x14ac:dyDescent="0.25">
      <c r="A458" s="6">
        <v>2966</v>
      </c>
      <c r="B458" s="18" t="s">
        <v>91</v>
      </c>
      <c r="C458" s="19" t="s">
        <v>328</v>
      </c>
      <c r="D458" s="19"/>
      <c r="E458" s="18">
        <v>2023</v>
      </c>
      <c r="F458" s="18" t="s">
        <v>79</v>
      </c>
      <c r="G458" s="18">
        <v>3</v>
      </c>
      <c r="H458" s="36">
        <v>150</v>
      </c>
      <c r="I458" s="36">
        <v>95.524680000000004</v>
      </c>
    </row>
    <row r="459" spans="1:9" s="7" customFormat="1" ht="22.5" hidden="1" customHeight="1" outlineLevel="1" x14ac:dyDescent="0.25">
      <c r="A459" s="6">
        <v>465</v>
      </c>
      <c r="B459" s="18" t="s">
        <v>91</v>
      </c>
      <c r="C459" s="19" t="s">
        <v>329</v>
      </c>
      <c r="D459" s="19"/>
      <c r="E459" s="18">
        <v>2023</v>
      </c>
      <c r="F459" s="18" t="s">
        <v>79</v>
      </c>
      <c r="G459" s="18">
        <v>843</v>
      </c>
      <c r="H459" s="36">
        <v>120</v>
      </c>
      <c r="I459" s="36">
        <v>1419.5753099999999</v>
      </c>
    </row>
    <row r="460" spans="1:9" s="7" customFormat="1" ht="22.5" hidden="1" customHeight="1" outlineLevel="1" x14ac:dyDescent="0.25">
      <c r="A460" s="6">
        <v>331</v>
      </c>
      <c r="B460" s="18" t="s">
        <v>91</v>
      </c>
      <c r="C460" s="19" t="s">
        <v>330</v>
      </c>
      <c r="D460" s="19"/>
      <c r="E460" s="18">
        <v>2023</v>
      </c>
      <c r="F460" s="18" t="s">
        <v>79</v>
      </c>
      <c r="G460" s="18">
        <v>46</v>
      </c>
      <c r="H460" s="36">
        <v>15</v>
      </c>
      <c r="I460" s="36">
        <v>245.16049000000001</v>
      </c>
    </row>
    <row r="461" spans="1:9" s="7" customFormat="1" ht="22.5" hidden="1" customHeight="1" outlineLevel="1" x14ac:dyDescent="0.25">
      <c r="A461" s="6">
        <v>4537</v>
      </c>
      <c r="B461" s="18" t="s">
        <v>91</v>
      </c>
      <c r="C461" s="19" t="s">
        <v>331</v>
      </c>
      <c r="D461" s="19"/>
      <c r="E461" s="18">
        <v>2023</v>
      </c>
      <c r="F461" s="18" t="s">
        <v>79</v>
      </c>
      <c r="G461" s="18">
        <v>70</v>
      </c>
      <c r="H461" s="36">
        <v>134</v>
      </c>
      <c r="I461" s="36">
        <v>181.68522000000002</v>
      </c>
    </row>
    <row r="462" spans="1:9" s="7" customFormat="1" ht="22.5" hidden="1" customHeight="1" outlineLevel="1" x14ac:dyDescent="0.25">
      <c r="A462" s="6">
        <v>3118</v>
      </c>
      <c r="B462" s="18" t="s">
        <v>91</v>
      </c>
      <c r="C462" s="19" t="s">
        <v>332</v>
      </c>
      <c r="D462" s="19"/>
      <c r="E462" s="18">
        <v>2023</v>
      </c>
      <c r="F462" s="18" t="s">
        <v>79</v>
      </c>
      <c r="G462" s="18">
        <v>20</v>
      </c>
      <c r="H462" s="36">
        <v>150</v>
      </c>
      <c r="I462" s="36">
        <v>60.669750000000001</v>
      </c>
    </row>
    <row r="463" spans="1:9" s="7" customFormat="1" ht="22.5" hidden="1" customHeight="1" outlineLevel="1" x14ac:dyDescent="0.25">
      <c r="A463" s="6">
        <v>3005</v>
      </c>
      <c r="B463" s="18" t="s">
        <v>91</v>
      </c>
      <c r="C463" s="19" t="s">
        <v>333</v>
      </c>
      <c r="D463" s="19"/>
      <c r="E463" s="18">
        <v>2023</v>
      </c>
      <c r="F463" s="18" t="s">
        <v>79</v>
      </c>
      <c r="G463" s="18">
        <v>20</v>
      </c>
      <c r="H463" s="36">
        <v>150</v>
      </c>
      <c r="I463" s="36">
        <v>54.404809999999998</v>
      </c>
    </row>
    <row r="464" spans="1:9" s="7" customFormat="1" ht="22.5" hidden="1" customHeight="1" outlineLevel="1" x14ac:dyDescent="0.25">
      <c r="A464" s="6">
        <v>3117</v>
      </c>
      <c r="B464" s="18" t="s">
        <v>91</v>
      </c>
      <c r="C464" s="19" t="s">
        <v>334</v>
      </c>
      <c r="D464" s="19"/>
      <c r="E464" s="18">
        <v>2023</v>
      </c>
      <c r="F464" s="18" t="s">
        <v>79</v>
      </c>
      <c r="G464" s="18">
        <v>20</v>
      </c>
      <c r="H464" s="36">
        <v>150</v>
      </c>
      <c r="I464" s="36">
        <v>65.931569999999994</v>
      </c>
    </row>
    <row r="465" spans="1:9" s="7" customFormat="1" ht="22.5" hidden="1" customHeight="1" outlineLevel="1" x14ac:dyDescent="0.25">
      <c r="A465" s="6">
        <v>3116</v>
      </c>
      <c r="B465" s="18" t="s">
        <v>91</v>
      </c>
      <c r="C465" s="19" t="s">
        <v>335</v>
      </c>
      <c r="D465" s="19"/>
      <c r="E465" s="18">
        <v>2023</v>
      </c>
      <c r="F465" s="18" t="s">
        <v>79</v>
      </c>
      <c r="G465" s="18">
        <v>331</v>
      </c>
      <c r="H465" s="36">
        <v>115</v>
      </c>
      <c r="I465" s="36">
        <v>591.74844999999993</v>
      </c>
    </row>
    <row r="466" spans="1:9" s="7" customFormat="1" ht="22.5" hidden="1" customHeight="1" outlineLevel="1" x14ac:dyDescent="0.25">
      <c r="A466" s="6">
        <v>3041</v>
      </c>
      <c r="B466" s="18" t="s">
        <v>91</v>
      </c>
      <c r="C466" s="19" t="s">
        <v>336</v>
      </c>
      <c r="D466" s="19"/>
      <c r="E466" s="18">
        <v>2023</v>
      </c>
      <c r="F466" s="18" t="s">
        <v>79</v>
      </c>
      <c r="G466" s="18">
        <v>301</v>
      </c>
      <c r="H466" s="36">
        <v>120</v>
      </c>
      <c r="I466" s="36">
        <v>374.49081000000001</v>
      </c>
    </row>
    <row r="467" spans="1:9" s="7" customFormat="1" ht="22.5" hidden="1" customHeight="1" outlineLevel="1" x14ac:dyDescent="0.25">
      <c r="A467" s="6">
        <v>3127</v>
      </c>
      <c r="B467" s="18" t="s">
        <v>91</v>
      </c>
      <c r="C467" s="19" t="s">
        <v>337</v>
      </c>
      <c r="D467" s="19"/>
      <c r="E467" s="18">
        <v>2023</v>
      </c>
      <c r="F467" s="18" t="s">
        <v>79</v>
      </c>
      <c r="G467" s="18">
        <v>62</v>
      </c>
      <c r="H467" s="36">
        <v>450</v>
      </c>
      <c r="I467" s="36">
        <v>202.82460999999998</v>
      </c>
    </row>
    <row r="468" spans="1:9" s="7" customFormat="1" ht="22.5" hidden="1" customHeight="1" outlineLevel="1" x14ac:dyDescent="0.25">
      <c r="A468" s="6">
        <v>660</v>
      </c>
      <c r="B468" s="18" t="s">
        <v>91</v>
      </c>
      <c r="C468" s="19" t="s">
        <v>338</v>
      </c>
      <c r="D468" s="19"/>
      <c r="E468" s="18">
        <v>2023</v>
      </c>
      <c r="F468" s="18" t="s">
        <v>79</v>
      </c>
      <c r="G468" s="18">
        <v>754</v>
      </c>
      <c r="H468" s="36">
        <v>30</v>
      </c>
      <c r="I468" s="36">
        <v>1580.63096</v>
      </c>
    </row>
    <row r="469" spans="1:9" s="7" customFormat="1" ht="22.5" hidden="1" customHeight="1" outlineLevel="1" x14ac:dyDescent="0.25">
      <c r="A469" s="38">
        <v>3749</v>
      </c>
      <c r="B469" s="6" t="s">
        <v>91</v>
      </c>
      <c r="C469" s="39" t="s">
        <v>339</v>
      </c>
      <c r="D469" s="39"/>
      <c r="E469" s="6">
        <v>2021</v>
      </c>
      <c r="F469" s="6"/>
      <c r="G469" s="6">
        <v>36</v>
      </c>
      <c r="H469" s="6">
        <v>100</v>
      </c>
      <c r="I469" s="6">
        <v>128.31768</v>
      </c>
    </row>
    <row r="470" spans="1:9" s="7" customFormat="1" ht="22.5" hidden="1" customHeight="1" outlineLevel="1" x14ac:dyDescent="0.25">
      <c r="A470" s="38">
        <v>1190</v>
      </c>
      <c r="B470" s="6" t="s">
        <v>91</v>
      </c>
      <c r="C470" s="19" t="s">
        <v>340</v>
      </c>
      <c r="D470" s="19"/>
      <c r="E470" s="6">
        <v>2021</v>
      </c>
      <c r="F470" s="6"/>
      <c r="G470" s="6">
        <v>5</v>
      </c>
      <c r="H470" s="6">
        <v>150</v>
      </c>
      <c r="I470" s="6">
        <v>48.889449999999997</v>
      </c>
    </row>
    <row r="471" spans="1:9" s="7" customFormat="1" ht="22.5" hidden="1" customHeight="1" outlineLevel="1" x14ac:dyDescent="0.25">
      <c r="A471" s="40">
        <v>9679</v>
      </c>
      <c r="B471" s="6" t="s">
        <v>91</v>
      </c>
      <c r="C471" s="19" t="s">
        <v>341</v>
      </c>
      <c r="D471" s="19"/>
      <c r="E471" s="6">
        <v>2021</v>
      </c>
      <c r="F471" s="6"/>
      <c r="G471" s="6">
        <v>18</v>
      </c>
      <c r="H471" s="6">
        <v>60</v>
      </c>
      <c r="I471" s="6">
        <v>34.933639999999997</v>
      </c>
    </row>
    <row r="472" spans="1:9" s="7" customFormat="1" ht="22.5" hidden="1" customHeight="1" outlineLevel="1" x14ac:dyDescent="0.25">
      <c r="A472" s="38">
        <v>3741</v>
      </c>
      <c r="B472" s="6" t="s">
        <v>91</v>
      </c>
      <c r="C472" s="19" t="s">
        <v>342</v>
      </c>
      <c r="D472" s="19"/>
      <c r="E472" s="6">
        <v>2021</v>
      </c>
      <c r="F472" s="6"/>
      <c r="G472" s="6">
        <v>5</v>
      </c>
      <c r="H472" s="6">
        <v>15</v>
      </c>
      <c r="I472" s="6">
        <v>44.38044</v>
      </c>
    </row>
    <row r="473" spans="1:9" s="7" customFormat="1" ht="22.5" hidden="1" customHeight="1" outlineLevel="1" x14ac:dyDescent="0.25">
      <c r="A473" s="38">
        <v>3745</v>
      </c>
      <c r="B473" s="6" t="s">
        <v>91</v>
      </c>
      <c r="C473" s="19" t="s">
        <v>343</v>
      </c>
      <c r="D473" s="19"/>
      <c r="E473" s="6">
        <v>2021</v>
      </c>
      <c r="F473" s="6"/>
      <c r="G473" s="6">
        <v>50</v>
      </c>
      <c r="H473" s="6">
        <v>70</v>
      </c>
      <c r="I473" s="6">
        <v>110.82632</v>
      </c>
    </row>
    <row r="474" spans="1:9" s="7" customFormat="1" ht="22.5" hidden="1" customHeight="1" outlineLevel="1" x14ac:dyDescent="0.25">
      <c r="A474" s="40">
        <v>9684</v>
      </c>
      <c r="B474" s="6" t="s">
        <v>91</v>
      </c>
      <c r="C474" s="19" t="s">
        <v>344</v>
      </c>
      <c r="D474" s="19"/>
      <c r="E474" s="6">
        <v>2021</v>
      </c>
      <c r="F474" s="6"/>
      <c r="G474" s="6">
        <v>5</v>
      </c>
      <c r="H474" s="6">
        <v>15</v>
      </c>
      <c r="I474" s="6">
        <v>88.547899999999998</v>
      </c>
    </row>
    <row r="475" spans="1:9" s="7" customFormat="1" ht="22.5" hidden="1" customHeight="1" outlineLevel="1" x14ac:dyDescent="0.25">
      <c r="A475" s="40">
        <v>9737</v>
      </c>
      <c r="B475" s="6" t="s">
        <v>91</v>
      </c>
      <c r="C475" s="19" t="s">
        <v>345</v>
      </c>
      <c r="D475" s="19"/>
      <c r="E475" s="6">
        <v>2021</v>
      </c>
      <c r="F475" s="6"/>
      <c r="G475" s="6">
        <v>10</v>
      </c>
      <c r="H475" s="6">
        <v>50</v>
      </c>
      <c r="I475" s="6">
        <v>75.592569999999995</v>
      </c>
    </row>
    <row r="476" spans="1:9" s="7" customFormat="1" ht="22.5" hidden="1" customHeight="1" outlineLevel="1" x14ac:dyDescent="0.25">
      <c r="A476" s="40">
        <v>9562</v>
      </c>
      <c r="B476" s="6" t="s">
        <v>91</v>
      </c>
      <c r="C476" s="19" t="s">
        <v>346</v>
      </c>
      <c r="D476" s="19"/>
      <c r="E476" s="6">
        <v>2021</v>
      </c>
      <c r="F476" s="6"/>
      <c r="G476" s="6">
        <v>160</v>
      </c>
      <c r="H476" s="6">
        <v>15</v>
      </c>
      <c r="I476" s="6">
        <v>203.90380999999999</v>
      </c>
    </row>
    <row r="477" spans="1:9" s="7" customFormat="1" ht="22.5" hidden="1" customHeight="1" outlineLevel="1" x14ac:dyDescent="0.25">
      <c r="A477" s="40">
        <v>9551</v>
      </c>
      <c r="B477" s="6" t="s">
        <v>91</v>
      </c>
      <c r="C477" s="19" t="s">
        <v>347</v>
      </c>
      <c r="D477" s="19"/>
      <c r="E477" s="6">
        <v>2021</v>
      </c>
      <c r="F477" s="6"/>
      <c r="G477" s="6">
        <v>135</v>
      </c>
      <c r="H477" s="6">
        <v>10</v>
      </c>
      <c r="I477" s="6">
        <v>187.12297000000001</v>
      </c>
    </row>
    <row r="478" spans="1:9" s="7" customFormat="1" ht="22.5" hidden="1" customHeight="1" outlineLevel="1" x14ac:dyDescent="0.25">
      <c r="A478" s="38">
        <v>805</v>
      </c>
      <c r="B478" s="6" t="s">
        <v>91</v>
      </c>
      <c r="C478" s="19" t="s">
        <v>348</v>
      </c>
      <c r="D478" s="19"/>
      <c r="E478" s="6">
        <v>2021</v>
      </c>
      <c r="F478" s="6"/>
      <c r="G478" s="6">
        <v>260</v>
      </c>
      <c r="H478" s="6">
        <v>30</v>
      </c>
      <c r="I478" s="6">
        <v>298.61651999999998</v>
      </c>
    </row>
    <row r="479" spans="1:9" s="7" customFormat="1" ht="22.5" hidden="1" customHeight="1" outlineLevel="1" x14ac:dyDescent="0.25">
      <c r="A479" s="38">
        <v>800</v>
      </c>
      <c r="B479" s="6" t="s">
        <v>91</v>
      </c>
      <c r="C479" s="19" t="s">
        <v>349</v>
      </c>
      <c r="D479" s="19"/>
      <c r="E479" s="6">
        <v>2021</v>
      </c>
      <c r="F479" s="6"/>
      <c r="G479" s="6">
        <v>30</v>
      </c>
      <c r="H479" s="6">
        <v>15</v>
      </c>
      <c r="I479" s="6">
        <v>89.437079999999995</v>
      </c>
    </row>
    <row r="480" spans="1:9" s="7" customFormat="1" ht="22.5" hidden="1" customHeight="1" outlineLevel="1" x14ac:dyDescent="0.25">
      <c r="A480" s="38">
        <v>3837</v>
      </c>
      <c r="B480" s="6" t="s">
        <v>91</v>
      </c>
      <c r="C480" s="19" t="s">
        <v>350</v>
      </c>
      <c r="D480" s="19"/>
      <c r="E480" s="6">
        <v>2021</v>
      </c>
      <c r="F480" s="6"/>
      <c r="G480" s="6">
        <v>103</v>
      </c>
      <c r="H480" s="6">
        <v>15</v>
      </c>
      <c r="I480" s="6">
        <v>237.81196</v>
      </c>
    </row>
    <row r="481" spans="1:9" s="7" customFormat="1" ht="22.5" hidden="1" customHeight="1" outlineLevel="1" x14ac:dyDescent="0.25">
      <c r="A481" s="40">
        <v>9556</v>
      </c>
      <c r="B481" s="6" t="s">
        <v>91</v>
      </c>
      <c r="C481" s="19" t="s">
        <v>351</v>
      </c>
      <c r="D481" s="19"/>
      <c r="E481" s="6">
        <v>2021</v>
      </c>
      <c r="F481" s="6"/>
      <c r="G481" s="6">
        <v>35</v>
      </c>
      <c r="H481" s="6">
        <v>10</v>
      </c>
      <c r="I481" s="6">
        <v>109.99688999999999</v>
      </c>
    </row>
    <row r="482" spans="1:9" s="7" customFormat="1" ht="22.5" hidden="1" customHeight="1" outlineLevel="1" x14ac:dyDescent="0.25">
      <c r="A482" s="40">
        <v>9683</v>
      </c>
      <c r="B482" s="6" t="s">
        <v>91</v>
      </c>
      <c r="C482" s="19" t="s">
        <v>352</v>
      </c>
      <c r="D482" s="19"/>
      <c r="E482" s="6">
        <v>2021</v>
      </c>
      <c r="F482" s="6"/>
      <c r="G482" s="6">
        <v>5</v>
      </c>
      <c r="H482" s="6">
        <v>50</v>
      </c>
      <c r="I482" s="6">
        <v>34.902509999999999</v>
      </c>
    </row>
    <row r="483" spans="1:9" s="7" customFormat="1" ht="22.5" hidden="1" customHeight="1" outlineLevel="1" x14ac:dyDescent="0.25">
      <c r="A483" s="40">
        <v>9685</v>
      </c>
      <c r="B483" s="6" t="s">
        <v>91</v>
      </c>
      <c r="C483" s="39" t="s">
        <v>353</v>
      </c>
      <c r="D483" s="39"/>
      <c r="E483" s="6">
        <v>2021</v>
      </c>
      <c r="F483" s="6"/>
      <c r="G483" s="6">
        <v>35</v>
      </c>
      <c r="H483" s="6">
        <v>15</v>
      </c>
      <c r="I483" s="6">
        <v>114.18888</v>
      </c>
    </row>
    <row r="484" spans="1:9" s="7" customFormat="1" ht="22.5" hidden="1" customHeight="1" outlineLevel="1" x14ac:dyDescent="0.25">
      <c r="A484" s="38">
        <v>828</v>
      </c>
      <c r="B484" s="6" t="s">
        <v>91</v>
      </c>
      <c r="C484" s="19" t="s">
        <v>354</v>
      </c>
      <c r="D484" s="19"/>
      <c r="E484" s="6">
        <v>2021</v>
      </c>
      <c r="F484" s="6"/>
      <c r="G484" s="6">
        <v>153</v>
      </c>
      <c r="H484" s="6">
        <v>150</v>
      </c>
      <c r="I484" s="6">
        <v>166.82500999999999</v>
      </c>
    </row>
    <row r="485" spans="1:9" s="7" customFormat="1" ht="22.5" hidden="1" customHeight="1" outlineLevel="1" x14ac:dyDescent="0.25">
      <c r="A485" s="38">
        <v>814</v>
      </c>
      <c r="B485" s="6" t="s">
        <v>91</v>
      </c>
      <c r="C485" s="19" t="s">
        <v>355</v>
      </c>
      <c r="D485" s="19"/>
      <c r="E485" s="6">
        <v>2021</v>
      </c>
      <c r="F485" s="6"/>
      <c r="G485" s="6">
        <v>100</v>
      </c>
      <c r="H485" s="6">
        <v>15</v>
      </c>
      <c r="I485" s="6">
        <v>104.42939</v>
      </c>
    </row>
    <row r="486" spans="1:9" s="7" customFormat="1" ht="22.5" hidden="1" customHeight="1" outlineLevel="1" x14ac:dyDescent="0.25">
      <c r="A486" s="38">
        <v>1285</v>
      </c>
      <c r="B486" s="6" t="s">
        <v>91</v>
      </c>
      <c r="C486" s="19" t="s">
        <v>356</v>
      </c>
      <c r="D486" s="19"/>
      <c r="E486" s="6">
        <v>2021</v>
      </c>
      <c r="F486" s="6"/>
      <c r="G486" s="6">
        <v>56</v>
      </c>
      <c r="H486" s="6">
        <v>30</v>
      </c>
      <c r="I486" s="6">
        <v>172.69486000000001</v>
      </c>
    </row>
    <row r="487" spans="1:9" s="7" customFormat="1" ht="22.5" hidden="1" customHeight="1" outlineLevel="1" x14ac:dyDescent="0.25">
      <c r="A487" s="38">
        <v>1277</v>
      </c>
      <c r="B487" s="6" t="s">
        <v>91</v>
      </c>
      <c r="C487" s="19" t="s">
        <v>357</v>
      </c>
      <c r="D487" s="19"/>
      <c r="E487" s="6">
        <v>2021</v>
      </c>
      <c r="F487" s="6"/>
      <c r="G487" s="6">
        <v>94</v>
      </c>
      <c r="H487" s="6">
        <v>20</v>
      </c>
      <c r="I487" s="6">
        <v>270.18968999999998</v>
      </c>
    </row>
    <row r="488" spans="1:9" s="7" customFormat="1" ht="22.5" hidden="1" customHeight="1" outlineLevel="1" x14ac:dyDescent="0.25">
      <c r="A488" s="40">
        <v>9806</v>
      </c>
      <c r="B488" s="6" t="s">
        <v>91</v>
      </c>
      <c r="C488" s="19" t="s">
        <v>358</v>
      </c>
      <c r="D488" s="19"/>
      <c r="E488" s="6">
        <v>2021</v>
      </c>
      <c r="F488" s="6"/>
      <c r="G488" s="6">
        <v>144</v>
      </c>
      <c r="H488" s="6">
        <v>15</v>
      </c>
      <c r="I488" s="6">
        <v>151.28398000000001</v>
      </c>
    </row>
    <row r="489" spans="1:9" s="7" customFormat="1" ht="22.5" hidden="1" customHeight="1" outlineLevel="1" x14ac:dyDescent="0.25">
      <c r="A489" s="40">
        <v>9545</v>
      </c>
      <c r="B489" s="6" t="s">
        <v>91</v>
      </c>
      <c r="C489" s="19" t="s">
        <v>359</v>
      </c>
      <c r="D489" s="19"/>
      <c r="E489" s="6">
        <v>2021</v>
      </c>
      <c r="F489" s="6"/>
      <c r="G489" s="6">
        <v>175</v>
      </c>
      <c r="H489" s="6">
        <v>15</v>
      </c>
      <c r="I489" s="6">
        <v>318.03751</v>
      </c>
    </row>
    <row r="490" spans="1:9" s="7" customFormat="1" ht="22.5" hidden="1" customHeight="1" outlineLevel="1" x14ac:dyDescent="0.25">
      <c r="A490" s="38">
        <v>3746</v>
      </c>
      <c r="B490" s="6" t="s">
        <v>91</v>
      </c>
      <c r="C490" s="19" t="s">
        <v>360</v>
      </c>
      <c r="D490" s="19"/>
      <c r="E490" s="6">
        <v>2021</v>
      </c>
      <c r="F490" s="6"/>
      <c r="G490" s="6">
        <v>219</v>
      </c>
      <c r="H490" s="6">
        <v>15</v>
      </c>
      <c r="I490" s="6">
        <v>340.99779000000001</v>
      </c>
    </row>
    <row r="491" spans="1:9" s="7" customFormat="1" ht="22.5" hidden="1" customHeight="1" outlineLevel="1" x14ac:dyDescent="0.25">
      <c r="A491" s="40">
        <v>9738</v>
      </c>
      <c r="B491" s="6" t="s">
        <v>91</v>
      </c>
      <c r="C491" s="19" t="s">
        <v>361</v>
      </c>
      <c r="D491" s="19"/>
      <c r="E491" s="6">
        <v>2021</v>
      </c>
      <c r="F491" s="6"/>
      <c r="G491" s="6">
        <v>5</v>
      </c>
      <c r="H491" s="6">
        <v>15</v>
      </c>
      <c r="I491" s="6">
        <v>50.992269999999998</v>
      </c>
    </row>
    <row r="492" spans="1:9" s="7" customFormat="1" ht="22.5" hidden="1" customHeight="1" outlineLevel="1" x14ac:dyDescent="0.25">
      <c r="A492" s="38">
        <v>3823</v>
      </c>
      <c r="B492" s="6" t="s">
        <v>91</v>
      </c>
      <c r="C492" s="19" t="s">
        <v>362</v>
      </c>
      <c r="D492" s="19"/>
      <c r="E492" s="6">
        <v>2021</v>
      </c>
      <c r="F492" s="6"/>
      <c r="G492" s="6">
        <v>121</v>
      </c>
      <c r="H492" s="6">
        <v>150</v>
      </c>
      <c r="I492" s="6">
        <v>167.27436</v>
      </c>
    </row>
    <row r="493" spans="1:9" s="7" customFormat="1" ht="22.5" hidden="1" customHeight="1" outlineLevel="1" x14ac:dyDescent="0.25">
      <c r="A493" s="40">
        <v>9479</v>
      </c>
      <c r="B493" s="6" t="s">
        <v>91</v>
      </c>
      <c r="C493" s="19" t="s">
        <v>363</v>
      </c>
      <c r="D493" s="19"/>
      <c r="E493" s="6">
        <v>2021</v>
      </c>
      <c r="F493" s="6"/>
      <c r="G493" s="6">
        <v>471</v>
      </c>
      <c r="H493" s="6">
        <v>15</v>
      </c>
      <c r="I493" s="6">
        <v>679.78890999999999</v>
      </c>
    </row>
    <row r="494" spans="1:9" s="7" customFormat="1" ht="22.5" hidden="1" customHeight="1" outlineLevel="1" x14ac:dyDescent="0.25">
      <c r="A494" s="38">
        <v>1291</v>
      </c>
      <c r="B494" s="6" t="s">
        <v>91</v>
      </c>
      <c r="C494" s="19" t="s">
        <v>364</v>
      </c>
      <c r="D494" s="19"/>
      <c r="E494" s="6">
        <v>2021</v>
      </c>
      <c r="F494" s="6"/>
      <c r="G494" s="6">
        <v>290</v>
      </c>
      <c r="H494" s="6">
        <v>15</v>
      </c>
      <c r="I494" s="6">
        <v>427.78285</v>
      </c>
    </row>
    <row r="495" spans="1:9" s="7" customFormat="1" ht="22.5" hidden="1" customHeight="1" outlineLevel="1" x14ac:dyDescent="0.25">
      <c r="A495" s="40">
        <v>9566</v>
      </c>
      <c r="B495" s="6" t="s">
        <v>91</v>
      </c>
      <c r="C495" s="19" t="s">
        <v>365</v>
      </c>
      <c r="D495" s="19"/>
      <c r="E495" s="6">
        <v>2021</v>
      </c>
      <c r="F495" s="6"/>
      <c r="G495" s="6">
        <v>491</v>
      </c>
      <c r="H495" s="6">
        <v>15</v>
      </c>
      <c r="I495" s="6">
        <v>641.06978000000004</v>
      </c>
    </row>
    <row r="496" spans="1:9" s="7" customFormat="1" ht="22.5" hidden="1" customHeight="1" outlineLevel="1" x14ac:dyDescent="0.25">
      <c r="A496" s="38">
        <v>3802</v>
      </c>
      <c r="B496" s="6" t="s">
        <v>91</v>
      </c>
      <c r="C496" s="19" t="s">
        <v>366</v>
      </c>
      <c r="D496" s="19"/>
      <c r="E496" s="6">
        <v>2021</v>
      </c>
      <c r="F496" s="6"/>
      <c r="G496" s="6">
        <v>4</v>
      </c>
      <c r="H496" s="6">
        <v>135</v>
      </c>
      <c r="I496" s="6">
        <v>143.62799999999999</v>
      </c>
    </row>
    <row r="497" spans="1:9" s="7" customFormat="1" ht="22.5" hidden="1" customHeight="1" outlineLevel="1" x14ac:dyDescent="0.25">
      <c r="A497" s="40">
        <v>9538</v>
      </c>
      <c r="B497" s="6" t="s">
        <v>91</v>
      </c>
      <c r="C497" s="19" t="s">
        <v>367</v>
      </c>
      <c r="D497" s="19"/>
      <c r="E497" s="6">
        <v>2021</v>
      </c>
      <c r="F497" s="6"/>
      <c r="G497" s="6">
        <v>513</v>
      </c>
      <c r="H497" s="6">
        <v>15</v>
      </c>
      <c r="I497" s="6">
        <v>697.56600000000003</v>
      </c>
    </row>
    <row r="498" spans="1:9" s="7" customFormat="1" ht="22.5" hidden="1" customHeight="1" outlineLevel="1" x14ac:dyDescent="0.25">
      <c r="A498" s="40">
        <v>9547</v>
      </c>
      <c r="B498" s="6" t="s">
        <v>91</v>
      </c>
      <c r="C498" s="19" t="s">
        <v>368</v>
      </c>
      <c r="D498" s="19"/>
      <c r="E498" s="6">
        <v>2021</v>
      </c>
      <c r="F498" s="6"/>
      <c r="G498" s="6">
        <v>150</v>
      </c>
      <c r="H498" s="6">
        <v>10</v>
      </c>
      <c r="I498" s="6">
        <v>142.78299999999999</v>
      </c>
    </row>
    <row r="499" spans="1:9" s="7" customFormat="1" ht="22.5" hidden="1" customHeight="1" outlineLevel="1" x14ac:dyDescent="0.25">
      <c r="A499" s="38">
        <v>1299</v>
      </c>
      <c r="B499" s="6" t="s">
        <v>91</v>
      </c>
      <c r="C499" s="19" t="s">
        <v>369</v>
      </c>
      <c r="D499" s="19"/>
      <c r="E499" s="6">
        <v>2021</v>
      </c>
      <c r="F499" s="6"/>
      <c r="G499" s="6">
        <v>106</v>
      </c>
      <c r="H499" s="6">
        <v>30</v>
      </c>
      <c r="I499" s="6">
        <v>327.07900000000001</v>
      </c>
    </row>
    <row r="500" spans="1:9" s="7" customFormat="1" ht="22.5" hidden="1" customHeight="1" outlineLevel="1" x14ac:dyDescent="0.25">
      <c r="A500" s="38">
        <v>846</v>
      </c>
      <c r="B500" s="6" t="s">
        <v>91</v>
      </c>
      <c r="C500" s="19" t="s">
        <v>370</v>
      </c>
      <c r="D500" s="19"/>
      <c r="E500" s="6">
        <v>2021</v>
      </c>
      <c r="F500" s="6"/>
      <c r="G500" s="6">
        <v>272</v>
      </c>
      <c r="H500" s="6">
        <v>45</v>
      </c>
      <c r="I500" s="6">
        <v>413.95400000000001</v>
      </c>
    </row>
    <row r="501" spans="1:9" s="7" customFormat="1" ht="22.5" hidden="1" customHeight="1" outlineLevel="1" x14ac:dyDescent="0.25">
      <c r="A501" s="40">
        <v>9552</v>
      </c>
      <c r="B501" s="6" t="s">
        <v>91</v>
      </c>
      <c r="C501" s="19" t="s">
        <v>371</v>
      </c>
      <c r="D501" s="19"/>
      <c r="E501" s="6">
        <v>2021</v>
      </c>
      <c r="F501" s="6"/>
      <c r="G501" s="6">
        <v>166</v>
      </c>
      <c r="H501" s="6">
        <v>10</v>
      </c>
      <c r="I501" s="6">
        <v>272.72800000000001</v>
      </c>
    </row>
    <row r="502" spans="1:9" s="7" customFormat="1" ht="22.5" hidden="1" customHeight="1" outlineLevel="1" x14ac:dyDescent="0.25">
      <c r="A502" s="38">
        <v>3801</v>
      </c>
      <c r="B502" s="6" t="s">
        <v>91</v>
      </c>
      <c r="C502" s="19" t="s">
        <v>372</v>
      </c>
      <c r="D502" s="19"/>
      <c r="E502" s="6">
        <v>2021</v>
      </c>
      <c r="F502" s="6"/>
      <c r="G502" s="6">
        <v>13</v>
      </c>
      <c r="H502" s="6">
        <v>15</v>
      </c>
      <c r="I502" s="6">
        <v>105.059</v>
      </c>
    </row>
    <row r="503" spans="1:9" s="7" customFormat="1" ht="22.5" hidden="1" customHeight="1" outlineLevel="1" x14ac:dyDescent="0.25">
      <c r="A503" s="40">
        <v>9553</v>
      </c>
      <c r="B503" s="6" t="s">
        <v>91</v>
      </c>
      <c r="C503" s="19" t="s">
        <v>373</v>
      </c>
      <c r="D503" s="19"/>
      <c r="E503" s="6">
        <v>2021</v>
      </c>
      <c r="F503" s="6"/>
      <c r="G503" s="6">
        <v>232</v>
      </c>
      <c r="H503" s="6">
        <v>14</v>
      </c>
      <c r="I503" s="6">
        <v>327.53100000000001</v>
      </c>
    </row>
    <row r="504" spans="1:9" s="7" customFormat="1" ht="22.5" hidden="1" customHeight="1" outlineLevel="1" x14ac:dyDescent="0.25">
      <c r="A504" s="40">
        <v>9563</v>
      </c>
      <c r="B504" s="6" t="s">
        <v>91</v>
      </c>
      <c r="C504" s="19" t="s">
        <v>374</v>
      </c>
      <c r="D504" s="19"/>
      <c r="E504" s="6">
        <v>2021</v>
      </c>
      <c r="F504" s="6"/>
      <c r="G504" s="6">
        <v>70</v>
      </c>
      <c r="H504" s="6">
        <v>15</v>
      </c>
      <c r="I504" s="6">
        <v>86.536000000000001</v>
      </c>
    </row>
    <row r="505" spans="1:9" s="7" customFormat="1" ht="22.5" hidden="1" customHeight="1" outlineLevel="1" x14ac:dyDescent="0.25">
      <c r="A505" s="40">
        <v>9554</v>
      </c>
      <c r="B505" s="6" t="s">
        <v>91</v>
      </c>
      <c r="C505" s="19" t="s">
        <v>375</v>
      </c>
      <c r="D505" s="19"/>
      <c r="E505" s="6">
        <v>2021</v>
      </c>
      <c r="F505" s="6"/>
      <c r="G505" s="6">
        <v>120</v>
      </c>
      <c r="H505" s="6">
        <v>15</v>
      </c>
      <c r="I505" s="6">
        <v>114.628</v>
      </c>
    </row>
    <row r="506" spans="1:9" s="7" customFormat="1" ht="22.5" hidden="1" customHeight="1" outlineLevel="1" x14ac:dyDescent="0.25">
      <c r="A506" s="40">
        <v>9561</v>
      </c>
      <c r="B506" s="6" t="s">
        <v>91</v>
      </c>
      <c r="C506" s="19" t="s">
        <v>376</v>
      </c>
      <c r="D506" s="19"/>
      <c r="E506" s="6">
        <v>2021</v>
      </c>
      <c r="F506" s="6"/>
      <c r="G506" s="6">
        <v>160</v>
      </c>
      <c r="H506" s="6">
        <v>15</v>
      </c>
      <c r="I506" s="6">
        <v>149.96100000000001</v>
      </c>
    </row>
    <row r="507" spans="1:9" s="7" customFormat="1" ht="22.5" hidden="1" customHeight="1" outlineLevel="1" x14ac:dyDescent="0.25">
      <c r="A507" s="40">
        <v>9537</v>
      </c>
      <c r="B507" s="6" t="s">
        <v>91</v>
      </c>
      <c r="C507" s="39" t="s">
        <v>377</v>
      </c>
      <c r="D507" s="39"/>
      <c r="E507" s="6">
        <v>2021</v>
      </c>
      <c r="F507" s="6"/>
      <c r="G507" s="6">
        <v>110</v>
      </c>
      <c r="H507" s="6">
        <v>6</v>
      </c>
      <c r="I507" s="6">
        <v>148.137</v>
      </c>
    </row>
    <row r="508" spans="1:9" s="7" customFormat="1" ht="22.5" hidden="1" customHeight="1" outlineLevel="1" x14ac:dyDescent="0.25">
      <c r="A508" s="40">
        <v>9559</v>
      </c>
      <c r="B508" s="6" t="s">
        <v>91</v>
      </c>
      <c r="C508" s="19" t="s">
        <v>378</v>
      </c>
      <c r="D508" s="19"/>
      <c r="E508" s="6">
        <v>2021</v>
      </c>
      <c r="F508" s="6"/>
      <c r="G508" s="6">
        <v>150</v>
      </c>
      <c r="H508" s="6">
        <v>15</v>
      </c>
      <c r="I508" s="6">
        <v>161.434</v>
      </c>
    </row>
    <row r="509" spans="1:9" s="7" customFormat="1" ht="22.5" hidden="1" customHeight="1" outlineLevel="1" x14ac:dyDescent="0.25">
      <c r="A509" s="38">
        <v>1181</v>
      </c>
      <c r="B509" s="6" t="s">
        <v>91</v>
      </c>
      <c r="C509" s="19" t="s">
        <v>379</v>
      </c>
      <c r="D509" s="19"/>
      <c r="E509" s="6">
        <v>2021</v>
      </c>
      <c r="F509" s="6"/>
      <c r="G509" s="6">
        <v>435</v>
      </c>
      <c r="H509" s="6">
        <v>100</v>
      </c>
      <c r="I509" s="6">
        <v>808.23299999999995</v>
      </c>
    </row>
    <row r="510" spans="1:9" s="7" customFormat="1" ht="22.5" hidden="1" customHeight="1" outlineLevel="1" x14ac:dyDescent="0.25">
      <c r="A510" s="40">
        <v>9734</v>
      </c>
      <c r="B510" s="6" t="s">
        <v>91</v>
      </c>
      <c r="C510" s="39" t="s">
        <v>380</v>
      </c>
      <c r="D510" s="39"/>
      <c r="E510" s="6">
        <v>2021</v>
      </c>
      <c r="F510" s="6"/>
      <c r="G510" s="6">
        <v>138</v>
      </c>
      <c r="H510" s="6">
        <v>170</v>
      </c>
      <c r="I510" s="6">
        <v>365.95699999999999</v>
      </c>
    </row>
    <row r="511" spans="1:9" s="7" customFormat="1" ht="22.5" hidden="1" customHeight="1" outlineLevel="1" x14ac:dyDescent="0.25">
      <c r="A511" s="38">
        <v>797</v>
      </c>
      <c r="B511" s="6" t="s">
        <v>91</v>
      </c>
      <c r="C511" s="19" t="s">
        <v>381</v>
      </c>
      <c r="D511" s="19"/>
      <c r="E511" s="6">
        <v>2021</v>
      </c>
      <c r="F511" s="6"/>
      <c r="G511" s="6">
        <v>40</v>
      </c>
      <c r="H511" s="6">
        <v>14</v>
      </c>
      <c r="I511" s="6">
        <v>65.537999999999997</v>
      </c>
    </row>
    <row r="512" spans="1:9" s="7" customFormat="1" ht="22.5" hidden="1" customHeight="1" outlineLevel="1" x14ac:dyDescent="0.25">
      <c r="A512" s="40">
        <v>9546</v>
      </c>
      <c r="B512" s="6" t="s">
        <v>91</v>
      </c>
      <c r="C512" s="19" t="s">
        <v>382</v>
      </c>
      <c r="D512" s="19"/>
      <c r="E512" s="6">
        <v>2021</v>
      </c>
      <c r="F512" s="6"/>
      <c r="G512" s="6">
        <v>150</v>
      </c>
      <c r="H512" s="6">
        <v>15</v>
      </c>
      <c r="I512" s="6">
        <v>140.089</v>
      </c>
    </row>
    <row r="513" spans="1:9" s="7" customFormat="1" ht="22.5" hidden="1" customHeight="1" outlineLevel="1" x14ac:dyDescent="0.25">
      <c r="A513" s="40">
        <v>9681</v>
      </c>
      <c r="B513" s="6" t="s">
        <v>91</v>
      </c>
      <c r="C513" s="19" t="s">
        <v>383</v>
      </c>
      <c r="D513" s="19"/>
      <c r="E513" s="6">
        <v>2021</v>
      </c>
      <c r="F513" s="6"/>
      <c r="G513" s="6">
        <v>4</v>
      </c>
      <c r="H513" s="6">
        <v>105</v>
      </c>
      <c r="I513" s="6">
        <v>57.002000000000002</v>
      </c>
    </row>
    <row r="514" spans="1:9" s="7" customFormat="1" ht="22.5" hidden="1" customHeight="1" outlineLevel="1" x14ac:dyDescent="0.25">
      <c r="A514" s="38">
        <v>1170</v>
      </c>
      <c r="B514" s="6" t="s">
        <v>91</v>
      </c>
      <c r="C514" s="19" t="s">
        <v>384</v>
      </c>
      <c r="D514" s="19"/>
      <c r="E514" s="6">
        <v>2021</v>
      </c>
      <c r="F514" s="6"/>
      <c r="G514" s="6">
        <v>187</v>
      </c>
      <c r="H514" s="6">
        <v>60</v>
      </c>
      <c r="I514" s="6">
        <v>327.5</v>
      </c>
    </row>
    <row r="515" spans="1:9" s="7" customFormat="1" ht="22.5" hidden="1" customHeight="1" outlineLevel="1" x14ac:dyDescent="0.25">
      <c r="A515" s="40">
        <v>9740</v>
      </c>
      <c r="B515" s="6" t="s">
        <v>91</v>
      </c>
      <c r="C515" s="19" t="s">
        <v>385</v>
      </c>
      <c r="D515" s="19"/>
      <c r="E515" s="6">
        <v>2021</v>
      </c>
      <c r="F515" s="6"/>
      <c r="G515" s="6">
        <v>86</v>
      </c>
      <c r="H515" s="6">
        <v>150</v>
      </c>
      <c r="I515" s="6">
        <v>118.57</v>
      </c>
    </row>
    <row r="516" spans="1:9" s="7" customFormat="1" ht="22.5" hidden="1" customHeight="1" outlineLevel="1" x14ac:dyDescent="0.25">
      <c r="A516" s="40">
        <v>9686</v>
      </c>
      <c r="B516" s="6" t="s">
        <v>91</v>
      </c>
      <c r="C516" s="19" t="s">
        <v>386</v>
      </c>
      <c r="D516" s="19"/>
      <c r="E516" s="6">
        <v>2021</v>
      </c>
      <c r="F516" s="6"/>
      <c r="G516" s="6">
        <v>15</v>
      </c>
      <c r="H516" s="6">
        <v>150</v>
      </c>
      <c r="I516" s="6">
        <v>71.094999999999999</v>
      </c>
    </row>
    <row r="517" spans="1:9" s="7" customFormat="1" ht="22.5" hidden="1" customHeight="1" outlineLevel="1" x14ac:dyDescent="0.25">
      <c r="A517" s="40">
        <v>9736</v>
      </c>
      <c r="B517" s="6" t="s">
        <v>91</v>
      </c>
      <c r="C517" s="19" t="s">
        <v>387</v>
      </c>
      <c r="D517" s="19"/>
      <c r="E517" s="6">
        <v>2021</v>
      </c>
      <c r="F517" s="6"/>
      <c r="G517" s="6">
        <v>10</v>
      </c>
      <c r="H517" s="6">
        <v>107</v>
      </c>
      <c r="I517" s="6">
        <v>44.889000000000003</v>
      </c>
    </row>
    <row r="518" spans="1:9" s="7" customFormat="1" ht="22.5" hidden="1" customHeight="1" outlineLevel="1" x14ac:dyDescent="0.25">
      <c r="A518" s="38">
        <v>836</v>
      </c>
      <c r="B518" s="6" t="s">
        <v>91</v>
      </c>
      <c r="C518" s="19" t="s">
        <v>388</v>
      </c>
      <c r="D518" s="19"/>
      <c r="E518" s="6">
        <v>2021</v>
      </c>
      <c r="F518" s="6"/>
      <c r="G518" s="6">
        <v>741</v>
      </c>
      <c r="H518" s="6">
        <v>150</v>
      </c>
      <c r="I518" s="6">
        <v>967.52200000000005</v>
      </c>
    </row>
    <row r="519" spans="1:9" s="7" customFormat="1" ht="22.5" hidden="1" customHeight="1" outlineLevel="1" x14ac:dyDescent="0.25">
      <c r="A519" s="40">
        <v>9374</v>
      </c>
      <c r="B519" s="6" t="s">
        <v>91</v>
      </c>
      <c r="C519" s="19" t="s">
        <v>389</v>
      </c>
      <c r="D519" s="19"/>
      <c r="E519" s="6">
        <v>2021</v>
      </c>
      <c r="F519" s="6"/>
      <c r="G519" s="6">
        <v>88</v>
      </c>
      <c r="H519" s="6">
        <v>9</v>
      </c>
      <c r="I519" s="6">
        <v>143.601</v>
      </c>
    </row>
    <row r="520" spans="1:9" s="7" customFormat="1" ht="22.5" hidden="1" customHeight="1" outlineLevel="1" x14ac:dyDescent="0.25">
      <c r="A520" s="40">
        <v>9391</v>
      </c>
      <c r="B520" s="6" t="s">
        <v>91</v>
      </c>
      <c r="C520" s="19" t="s">
        <v>390</v>
      </c>
      <c r="D520" s="19"/>
      <c r="E520" s="6">
        <v>2021</v>
      </c>
      <c r="F520" s="6"/>
      <c r="G520" s="6">
        <v>41.5</v>
      </c>
      <c r="H520" s="6">
        <v>15</v>
      </c>
      <c r="I520" s="6">
        <v>140.08000000000001</v>
      </c>
    </row>
    <row r="521" spans="1:9" s="7" customFormat="1" ht="22.5" hidden="1" customHeight="1" outlineLevel="1" x14ac:dyDescent="0.25">
      <c r="A521" s="38">
        <v>3885</v>
      </c>
      <c r="B521" s="6" t="s">
        <v>91</v>
      </c>
      <c r="C521" s="19" t="s">
        <v>391</v>
      </c>
      <c r="D521" s="19"/>
      <c r="E521" s="6">
        <v>2021</v>
      </c>
      <c r="F521" s="6"/>
      <c r="G521" s="6">
        <v>30.9</v>
      </c>
      <c r="H521" s="6">
        <v>15</v>
      </c>
      <c r="I521" s="6">
        <v>132.589</v>
      </c>
    </row>
    <row r="522" spans="1:9" s="7" customFormat="1" ht="22.5" hidden="1" customHeight="1" outlineLevel="1" x14ac:dyDescent="0.25">
      <c r="A522" s="40">
        <v>9361</v>
      </c>
      <c r="B522" s="6" t="s">
        <v>91</v>
      </c>
      <c r="C522" s="19" t="s">
        <v>392</v>
      </c>
      <c r="D522" s="19"/>
      <c r="E522" s="6">
        <v>2021</v>
      </c>
      <c r="F522" s="6"/>
      <c r="G522" s="6">
        <v>53</v>
      </c>
      <c r="H522" s="6">
        <v>75</v>
      </c>
      <c r="I522" s="6">
        <v>216.28299999999999</v>
      </c>
    </row>
    <row r="523" spans="1:9" s="7" customFormat="1" ht="22.5" hidden="1" customHeight="1" outlineLevel="1" x14ac:dyDescent="0.25">
      <c r="A523" s="40">
        <v>9363</v>
      </c>
      <c r="B523" s="6" t="s">
        <v>91</v>
      </c>
      <c r="C523" s="19" t="s">
        <v>393</v>
      </c>
      <c r="D523" s="19"/>
      <c r="E523" s="6">
        <v>2021</v>
      </c>
      <c r="F523" s="6"/>
      <c r="G523" s="6">
        <v>15</v>
      </c>
      <c r="H523" s="6">
        <v>65</v>
      </c>
      <c r="I523" s="6">
        <v>167.91499999999999</v>
      </c>
    </row>
    <row r="524" spans="1:9" s="7" customFormat="1" ht="22.5" hidden="1" customHeight="1" outlineLevel="1" x14ac:dyDescent="0.25">
      <c r="A524" s="38">
        <v>425</v>
      </c>
      <c r="B524" s="6" t="s">
        <v>91</v>
      </c>
      <c r="C524" s="19" t="s">
        <v>394</v>
      </c>
      <c r="D524" s="19"/>
      <c r="E524" s="6">
        <v>2021</v>
      </c>
      <c r="F524" s="6"/>
      <c r="G524" s="6">
        <v>12</v>
      </c>
      <c r="H524" s="6">
        <v>300</v>
      </c>
      <c r="I524" s="6">
        <v>148.62700000000001</v>
      </c>
    </row>
    <row r="525" spans="1:9" s="7" customFormat="1" ht="22.5" hidden="1" customHeight="1" outlineLevel="1" x14ac:dyDescent="0.25">
      <c r="A525" s="38">
        <v>422</v>
      </c>
      <c r="B525" s="6" t="s">
        <v>91</v>
      </c>
      <c r="C525" s="19" t="s">
        <v>395</v>
      </c>
      <c r="D525" s="19"/>
      <c r="E525" s="6">
        <v>2021</v>
      </c>
      <c r="F525" s="6"/>
      <c r="G525" s="6">
        <v>4</v>
      </c>
      <c r="H525" s="6">
        <v>150</v>
      </c>
      <c r="I525" s="6">
        <v>131.49700000000001</v>
      </c>
    </row>
    <row r="526" spans="1:9" s="7" customFormat="1" ht="22.5" hidden="1" customHeight="1" outlineLevel="1" x14ac:dyDescent="0.25">
      <c r="A526" s="40">
        <v>9369</v>
      </c>
      <c r="B526" s="6" t="s">
        <v>91</v>
      </c>
      <c r="C526" s="19" t="s">
        <v>396</v>
      </c>
      <c r="D526" s="19"/>
      <c r="E526" s="6">
        <v>2021</v>
      </c>
      <c r="F526" s="6"/>
      <c r="G526" s="6">
        <v>340</v>
      </c>
      <c r="H526" s="6">
        <v>75</v>
      </c>
      <c r="I526" s="6">
        <v>521.96699999999998</v>
      </c>
    </row>
    <row r="527" spans="1:9" s="7" customFormat="1" ht="22.5" hidden="1" customHeight="1" outlineLevel="1" x14ac:dyDescent="0.25">
      <c r="A527" s="40">
        <v>9358</v>
      </c>
      <c r="B527" s="6" t="s">
        <v>91</v>
      </c>
      <c r="C527" s="19" t="s">
        <v>397</v>
      </c>
      <c r="D527" s="19"/>
      <c r="E527" s="6">
        <v>2021</v>
      </c>
      <c r="F527" s="6"/>
      <c r="G527" s="6">
        <v>505</v>
      </c>
      <c r="H527" s="6">
        <v>45</v>
      </c>
      <c r="I527" s="6">
        <v>728.00400000000002</v>
      </c>
    </row>
    <row r="528" spans="1:9" s="7" customFormat="1" ht="22.5" hidden="1" customHeight="1" outlineLevel="1" x14ac:dyDescent="0.25">
      <c r="A528" s="40">
        <v>9354</v>
      </c>
      <c r="B528" s="6" t="s">
        <v>91</v>
      </c>
      <c r="C528" s="19" t="s">
        <v>398</v>
      </c>
      <c r="D528" s="19"/>
      <c r="E528" s="6">
        <v>2021</v>
      </c>
      <c r="F528" s="6"/>
      <c r="G528" s="6">
        <v>10</v>
      </c>
      <c r="H528" s="6">
        <v>15</v>
      </c>
      <c r="I528" s="6">
        <v>158.63499999999999</v>
      </c>
    </row>
    <row r="529" spans="1:9" s="7" customFormat="1" ht="22.5" hidden="1" customHeight="1" outlineLevel="1" x14ac:dyDescent="0.25">
      <c r="A529" s="40">
        <v>9365</v>
      </c>
      <c r="B529" s="6" t="s">
        <v>91</v>
      </c>
      <c r="C529" s="19" t="s">
        <v>399</v>
      </c>
      <c r="D529" s="19"/>
      <c r="E529" s="6">
        <v>2021</v>
      </c>
      <c r="F529" s="6"/>
      <c r="G529" s="6">
        <v>37</v>
      </c>
      <c r="H529" s="6">
        <v>119.2</v>
      </c>
      <c r="I529" s="6">
        <v>109.45399999999999</v>
      </c>
    </row>
    <row r="530" spans="1:9" s="7" customFormat="1" ht="22.5" hidden="1" customHeight="1" outlineLevel="1" x14ac:dyDescent="0.25">
      <c r="A530" s="40">
        <v>9364</v>
      </c>
      <c r="B530" s="6" t="s">
        <v>91</v>
      </c>
      <c r="C530" s="19" t="s">
        <v>400</v>
      </c>
      <c r="D530" s="19"/>
      <c r="E530" s="6">
        <v>2021</v>
      </c>
      <c r="F530" s="6"/>
      <c r="G530" s="6">
        <v>20</v>
      </c>
      <c r="H530" s="6">
        <v>150</v>
      </c>
      <c r="I530" s="6">
        <v>147.72499999999999</v>
      </c>
    </row>
    <row r="531" spans="1:9" s="7" customFormat="1" ht="22.5" hidden="1" customHeight="1" outlineLevel="1" x14ac:dyDescent="0.25">
      <c r="A531" s="40">
        <v>9287</v>
      </c>
      <c r="B531" s="6" t="s">
        <v>91</v>
      </c>
      <c r="C531" s="19" t="s">
        <v>401</v>
      </c>
      <c r="D531" s="19"/>
      <c r="E531" s="6">
        <v>2021</v>
      </c>
      <c r="F531" s="6"/>
      <c r="G531" s="6">
        <v>227</v>
      </c>
      <c r="H531" s="6">
        <v>15</v>
      </c>
      <c r="I531" s="6">
        <v>436.536</v>
      </c>
    </row>
    <row r="532" spans="1:9" s="7" customFormat="1" ht="22.5" hidden="1" customHeight="1" outlineLevel="1" x14ac:dyDescent="0.25">
      <c r="A532" s="40">
        <v>9335</v>
      </c>
      <c r="B532" s="6" t="s">
        <v>91</v>
      </c>
      <c r="C532" s="19" t="s">
        <v>402</v>
      </c>
      <c r="D532" s="19"/>
      <c r="E532" s="6">
        <v>2021</v>
      </c>
      <c r="F532" s="6"/>
      <c r="G532" s="6">
        <v>232</v>
      </c>
      <c r="H532" s="6">
        <v>30</v>
      </c>
      <c r="I532" s="6">
        <v>205.85499999999999</v>
      </c>
    </row>
    <row r="533" spans="1:9" s="7" customFormat="1" ht="22.5" hidden="1" customHeight="1" outlineLevel="1" x14ac:dyDescent="0.25">
      <c r="A533" s="38">
        <v>367</v>
      </c>
      <c r="B533" s="6" t="s">
        <v>91</v>
      </c>
      <c r="C533" s="19" t="s">
        <v>403</v>
      </c>
      <c r="D533" s="19"/>
      <c r="E533" s="6">
        <v>2021</v>
      </c>
      <c r="F533" s="6"/>
      <c r="G533" s="6">
        <v>357</v>
      </c>
      <c r="H533" s="6">
        <v>15</v>
      </c>
      <c r="I533" s="6">
        <v>546.26599999999996</v>
      </c>
    </row>
    <row r="534" spans="1:9" s="7" customFormat="1" ht="22.5" hidden="1" customHeight="1" outlineLevel="1" x14ac:dyDescent="0.25">
      <c r="A534" s="40">
        <v>9368</v>
      </c>
      <c r="B534" s="6" t="s">
        <v>91</v>
      </c>
      <c r="C534" s="19" t="s">
        <v>404</v>
      </c>
      <c r="D534" s="19"/>
      <c r="E534" s="6">
        <v>2021</v>
      </c>
      <c r="F534" s="6"/>
      <c r="G534" s="6">
        <v>5</v>
      </c>
      <c r="H534" s="6">
        <v>150</v>
      </c>
      <c r="I534" s="6">
        <v>172.47200000000001</v>
      </c>
    </row>
    <row r="535" spans="1:9" s="7" customFormat="1" ht="22.5" hidden="1" customHeight="1" outlineLevel="1" x14ac:dyDescent="0.25">
      <c r="A535" s="38">
        <v>421</v>
      </c>
      <c r="B535" s="6" t="s">
        <v>91</v>
      </c>
      <c r="C535" s="19" t="s">
        <v>405</v>
      </c>
      <c r="D535" s="19"/>
      <c r="E535" s="6">
        <v>2021</v>
      </c>
      <c r="F535" s="6"/>
      <c r="G535" s="6">
        <v>130</v>
      </c>
      <c r="H535" s="6">
        <v>149</v>
      </c>
      <c r="I535" s="6">
        <v>270.88200000000001</v>
      </c>
    </row>
    <row r="536" spans="1:9" s="7" customFormat="1" ht="22.5" hidden="1" customHeight="1" outlineLevel="1" x14ac:dyDescent="0.25">
      <c r="A536" s="40">
        <v>9342</v>
      </c>
      <c r="B536" s="6" t="s">
        <v>91</v>
      </c>
      <c r="C536" s="19" t="s">
        <v>406</v>
      </c>
      <c r="D536" s="19"/>
      <c r="E536" s="6">
        <v>2021</v>
      </c>
      <c r="F536" s="6"/>
      <c r="G536" s="6">
        <v>365</v>
      </c>
      <c r="H536" s="6">
        <v>60</v>
      </c>
      <c r="I536" s="6">
        <v>589.14700000000005</v>
      </c>
    </row>
    <row r="537" spans="1:9" s="7" customFormat="1" ht="22.5" hidden="1" customHeight="1" outlineLevel="1" x14ac:dyDescent="0.25">
      <c r="A537" s="40">
        <v>9326</v>
      </c>
      <c r="B537" s="6" t="s">
        <v>91</v>
      </c>
      <c r="C537" s="19" t="s">
        <v>407</v>
      </c>
      <c r="D537" s="19"/>
      <c r="E537" s="6">
        <v>2021</v>
      </c>
      <c r="F537" s="6"/>
      <c r="G537" s="6">
        <v>546</v>
      </c>
      <c r="H537" s="6">
        <v>60</v>
      </c>
      <c r="I537" s="6">
        <v>845.61500000000001</v>
      </c>
    </row>
    <row r="538" spans="1:9" s="7" customFormat="1" ht="22.5" hidden="1" customHeight="1" outlineLevel="1" x14ac:dyDescent="0.25">
      <c r="A538" s="40">
        <v>3748</v>
      </c>
      <c r="B538" s="6" t="s">
        <v>91</v>
      </c>
      <c r="C538" s="19" t="s">
        <v>408</v>
      </c>
      <c r="D538" s="19"/>
      <c r="E538" s="6">
        <v>2021</v>
      </c>
      <c r="F538" s="6"/>
      <c r="G538" s="6">
        <v>190</v>
      </c>
      <c r="H538" s="6">
        <v>65</v>
      </c>
      <c r="I538" s="6">
        <v>530.30899999999997</v>
      </c>
    </row>
    <row r="539" spans="1:9" s="7" customFormat="1" ht="22.5" hidden="1" customHeight="1" outlineLevel="1" x14ac:dyDescent="0.25">
      <c r="A539" s="40">
        <v>3714</v>
      </c>
      <c r="B539" s="6" t="s">
        <v>91</v>
      </c>
      <c r="C539" s="19" t="s">
        <v>409</v>
      </c>
      <c r="D539" s="19"/>
      <c r="E539" s="6">
        <v>2021</v>
      </c>
      <c r="F539" s="6"/>
      <c r="G539" s="6">
        <v>91</v>
      </c>
      <c r="H539" s="6">
        <v>120</v>
      </c>
      <c r="I539" s="6">
        <v>171.41499999999999</v>
      </c>
    </row>
    <row r="540" spans="1:9" s="7" customFormat="1" ht="22.5" hidden="1" customHeight="1" outlineLevel="1" x14ac:dyDescent="0.25">
      <c r="A540" s="40">
        <v>9336</v>
      </c>
      <c r="B540" s="6" t="s">
        <v>91</v>
      </c>
      <c r="C540" s="19" t="s">
        <v>410</v>
      </c>
      <c r="D540" s="19"/>
      <c r="E540" s="6">
        <v>2021</v>
      </c>
      <c r="F540" s="6"/>
      <c r="G540" s="6">
        <v>136</v>
      </c>
      <c r="H540" s="6">
        <v>15</v>
      </c>
      <c r="I540" s="6">
        <v>235.70400000000001</v>
      </c>
    </row>
    <row r="541" spans="1:9" s="7" customFormat="1" ht="22.5" hidden="1" customHeight="1" outlineLevel="1" x14ac:dyDescent="0.25">
      <c r="A541" s="40">
        <v>9324</v>
      </c>
      <c r="B541" s="6" t="s">
        <v>91</v>
      </c>
      <c r="C541" s="19" t="s">
        <v>411</v>
      </c>
      <c r="D541" s="19"/>
      <c r="E541" s="6">
        <v>2021</v>
      </c>
      <c r="F541" s="6"/>
      <c r="G541" s="6">
        <v>131</v>
      </c>
      <c r="H541" s="6">
        <v>45</v>
      </c>
      <c r="I541" s="6">
        <v>239.42500000000001</v>
      </c>
    </row>
    <row r="542" spans="1:9" s="7" customFormat="1" ht="22.5" hidden="1" customHeight="1" outlineLevel="1" x14ac:dyDescent="0.25">
      <c r="A542" s="40">
        <v>9442</v>
      </c>
      <c r="B542" s="6" t="s">
        <v>91</v>
      </c>
      <c r="C542" s="19" t="s">
        <v>412</v>
      </c>
      <c r="D542" s="19"/>
      <c r="E542" s="6">
        <v>2021</v>
      </c>
      <c r="F542" s="6"/>
      <c r="G542" s="6">
        <v>15</v>
      </c>
      <c r="H542" s="6">
        <v>70</v>
      </c>
      <c r="I542" s="6">
        <v>112.498</v>
      </c>
    </row>
    <row r="543" spans="1:9" s="7" customFormat="1" ht="22.5" hidden="1" customHeight="1" outlineLevel="1" x14ac:dyDescent="0.25">
      <c r="A543" s="40">
        <v>9372</v>
      </c>
      <c r="B543" s="6" t="s">
        <v>91</v>
      </c>
      <c r="C543" s="19" t="s">
        <v>413</v>
      </c>
      <c r="D543" s="19"/>
      <c r="E543" s="6">
        <v>2021</v>
      </c>
      <c r="F543" s="6"/>
      <c r="G543" s="6">
        <v>2298</v>
      </c>
      <c r="H543" s="6">
        <v>210</v>
      </c>
      <c r="I543" s="6">
        <v>2989.25</v>
      </c>
    </row>
    <row r="544" spans="1:9" s="7" customFormat="1" ht="22.5" hidden="1" customHeight="1" outlineLevel="1" x14ac:dyDescent="0.25">
      <c r="A544" s="40">
        <v>9271</v>
      </c>
      <c r="B544" s="6" t="s">
        <v>91</v>
      </c>
      <c r="C544" s="19" t="s">
        <v>414</v>
      </c>
      <c r="D544" s="19"/>
      <c r="E544" s="6">
        <v>2021</v>
      </c>
      <c r="F544" s="6"/>
      <c r="G544" s="6">
        <v>135</v>
      </c>
      <c r="H544" s="6">
        <v>15</v>
      </c>
      <c r="I544" s="6">
        <v>225.13399999999999</v>
      </c>
    </row>
    <row r="545" spans="1:35" s="7" customFormat="1" ht="22.5" hidden="1" customHeight="1" outlineLevel="1" x14ac:dyDescent="0.25">
      <c r="A545" s="40">
        <v>9362</v>
      </c>
      <c r="B545" s="6" t="s">
        <v>91</v>
      </c>
      <c r="C545" s="19" t="s">
        <v>415</v>
      </c>
      <c r="D545" s="19"/>
      <c r="E545" s="6">
        <v>2021</v>
      </c>
      <c r="F545" s="6"/>
      <c r="G545" s="6">
        <v>553</v>
      </c>
      <c r="H545" s="6">
        <v>60</v>
      </c>
      <c r="I545" s="6">
        <v>725.59299999999996</v>
      </c>
    </row>
    <row r="546" spans="1:35" s="7" customFormat="1" ht="22.5" hidden="1" customHeight="1" outlineLevel="1" x14ac:dyDescent="0.25">
      <c r="A546" s="40">
        <v>9429</v>
      </c>
      <c r="B546" s="6" t="s">
        <v>91</v>
      </c>
      <c r="C546" s="19" t="s">
        <v>416</v>
      </c>
      <c r="D546" s="19"/>
      <c r="E546" s="6">
        <v>2021</v>
      </c>
      <c r="F546" s="6"/>
      <c r="G546" s="6">
        <v>453</v>
      </c>
      <c r="H546" s="6">
        <v>90</v>
      </c>
      <c r="I546" s="6">
        <v>1049.3689999999999</v>
      </c>
    </row>
    <row r="547" spans="1:35" s="7" customFormat="1" ht="22.5" hidden="1" customHeight="1" outlineLevel="1" x14ac:dyDescent="0.25">
      <c r="A547" s="40">
        <v>9352</v>
      </c>
      <c r="B547" s="6" t="s">
        <v>91</v>
      </c>
      <c r="C547" s="19" t="s">
        <v>417</v>
      </c>
      <c r="D547" s="19"/>
      <c r="E547" s="6">
        <v>2021</v>
      </c>
      <c r="F547" s="6"/>
      <c r="G547" s="6">
        <v>317</v>
      </c>
      <c r="H547" s="6">
        <v>90</v>
      </c>
      <c r="I547" s="6">
        <v>583.53099999999995</v>
      </c>
    </row>
    <row r="548" spans="1:35" s="7" customFormat="1" ht="22.5" hidden="1" customHeight="1" outlineLevel="1" x14ac:dyDescent="0.25">
      <c r="A548" s="40">
        <v>9370</v>
      </c>
      <c r="B548" s="6" t="s">
        <v>91</v>
      </c>
      <c r="C548" s="19" t="s">
        <v>418</v>
      </c>
      <c r="D548" s="19"/>
      <c r="E548" s="6">
        <v>2021</v>
      </c>
      <c r="F548" s="6"/>
      <c r="G548" s="6">
        <v>182</v>
      </c>
      <c r="H548" s="6">
        <v>15</v>
      </c>
      <c r="I548" s="6">
        <v>386.55099999999999</v>
      </c>
    </row>
    <row r="549" spans="1:35" s="7" customFormat="1" ht="22.5" hidden="1" customHeight="1" outlineLevel="1" x14ac:dyDescent="0.25">
      <c r="A549" s="38">
        <v>563</v>
      </c>
      <c r="B549" s="6" t="s">
        <v>91</v>
      </c>
      <c r="C549" s="19" t="s">
        <v>419</v>
      </c>
      <c r="D549" s="19"/>
      <c r="E549" s="6">
        <v>2021</v>
      </c>
      <c r="F549" s="6"/>
      <c r="G549" s="6">
        <v>41</v>
      </c>
      <c r="H549" s="6">
        <v>150</v>
      </c>
      <c r="I549" s="6">
        <v>202.51900000000001</v>
      </c>
    </row>
    <row r="550" spans="1:35" s="7" customFormat="1" ht="22.5" hidden="1" customHeight="1" outlineLevel="1" x14ac:dyDescent="0.25">
      <c r="A550" s="40">
        <v>9091</v>
      </c>
      <c r="B550" s="6" t="s">
        <v>91</v>
      </c>
      <c r="C550" s="19" t="s">
        <v>420</v>
      </c>
      <c r="D550" s="19"/>
      <c r="E550" s="6">
        <v>2021</v>
      </c>
      <c r="F550" s="6"/>
      <c r="G550" s="6">
        <v>17</v>
      </c>
      <c r="H550" s="6">
        <v>60</v>
      </c>
      <c r="I550" s="6">
        <v>127.78100000000001</v>
      </c>
    </row>
    <row r="551" spans="1:35" s="7" customFormat="1" ht="22.5" hidden="1" customHeight="1" outlineLevel="1" x14ac:dyDescent="0.25">
      <c r="A551" s="38">
        <v>449</v>
      </c>
      <c r="B551" s="6" t="s">
        <v>91</v>
      </c>
      <c r="C551" s="19" t="s">
        <v>421</v>
      </c>
      <c r="D551" s="19"/>
      <c r="E551" s="6">
        <v>2021</v>
      </c>
      <c r="F551" s="6"/>
      <c r="G551" s="6">
        <v>260</v>
      </c>
      <c r="H551" s="6">
        <v>150</v>
      </c>
      <c r="I551" s="6">
        <v>596.005</v>
      </c>
    </row>
    <row r="552" spans="1:35" s="7" customFormat="1" ht="22.5" hidden="1" customHeight="1" outlineLevel="1" x14ac:dyDescent="0.25">
      <c r="A552" s="40">
        <v>9079</v>
      </c>
      <c r="B552" s="6" t="s">
        <v>91</v>
      </c>
      <c r="C552" s="19" t="s">
        <v>422</v>
      </c>
      <c r="D552" s="19"/>
      <c r="E552" s="6">
        <v>2021</v>
      </c>
      <c r="F552" s="6"/>
      <c r="G552" s="6">
        <v>203</v>
      </c>
      <c r="H552" s="6">
        <v>105</v>
      </c>
      <c r="I552" s="6">
        <v>481.79300000000001</v>
      </c>
    </row>
    <row r="553" spans="1:35" s="7" customFormat="1" ht="22.5" hidden="1" customHeight="1" outlineLevel="1" x14ac:dyDescent="0.25">
      <c r="A553" s="38">
        <v>447</v>
      </c>
      <c r="B553" s="6" t="s">
        <v>91</v>
      </c>
      <c r="C553" s="19" t="s">
        <v>423</v>
      </c>
      <c r="D553" s="19"/>
      <c r="E553" s="6">
        <v>2021</v>
      </c>
      <c r="F553" s="6"/>
      <c r="G553" s="6">
        <v>223</v>
      </c>
      <c r="H553" s="6">
        <v>30</v>
      </c>
      <c r="I553" s="6">
        <v>438.20800000000003</v>
      </c>
    </row>
    <row r="554" spans="1:35" s="7" customFormat="1" ht="22.5" hidden="1" customHeight="1" outlineLevel="1" x14ac:dyDescent="0.25">
      <c r="A554" s="38">
        <v>897</v>
      </c>
      <c r="B554" s="6" t="s">
        <v>91</v>
      </c>
      <c r="C554" s="19" t="s">
        <v>424</v>
      </c>
      <c r="D554" s="19"/>
      <c r="E554" s="6">
        <v>2021</v>
      </c>
      <c r="F554" s="6"/>
      <c r="G554" s="6">
        <v>234</v>
      </c>
      <c r="H554" s="6">
        <v>150</v>
      </c>
      <c r="I554" s="6">
        <v>320.14299999999997</v>
      </c>
    </row>
    <row r="555" spans="1:35" s="7" customFormat="1" ht="22.5" hidden="1" customHeight="1" outlineLevel="1" x14ac:dyDescent="0.25">
      <c r="A555" s="41"/>
      <c r="B555" s="42"/>
      <c r="C555" s="43"/>
      <c r="D555" s="43"/>
      <c r="E555" s="42"/>
      <c r="F555" s="42"/>
      <c r="G555" s="44"/>
      <c r="H555" s="44"/>
      <c r="I555" s="44"/>
    </row>
    <row r="556" spans="1:35" s="17" customFormat="1" ht="17.25" hidden="1" customHeight="1" collapsed="1" x14ac:dyDescent="0.25">
      <c r="A556" s="45"/>
      <c r="B556" s="46" t="s">
        <v>91</v>
      </c>
      <c r="C556" s="47" t="s">
        <v>81</v>
      </c>
      <c r="D556" s="47"/>
      <c r="E556" s="46">
        <v>2022</v>
      </c>
      <c r="F556" s="46" t="s">
        <v>90</v>
      </c>
      <c r="G556" s="46" t="e">
        <f>SUMIF(#REF!,$E$556,#REF!)</f>
        <v>#REF!</v>
      </c>
      <c r="H556" s="48" t="e">
        <f>SUMIF(#REF!,$E$556,#REF!)</f>
        <v>#REF!</v>
      </c>
      <c r="I556" s="48" t="e">
        <f>SUMIF(#REF!,$E$556,#REF!)</f>
        <v>#REF!</v>
      </c>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row>
    <row r="557" spans="1:35" s="17" customFormat="1" ht="15.75" hidden="1" x14ac:dyDescent="0.25">
      <c r="A557" s="45"/>
      <c r="B557" s="46" t="s">
        <v>91</v>
      </c>
      <c r="C557" s="47" t="s">
        <v>82</v>
      </c>
      <c r="D557" s="47"/>
      <c r="E557" s="46">
        <v>2023</v>
      </c>
      <c r="F557" s="46" t="s">
        <v>90</v>
      </c>
      <c r="G557" s="46" t="e">
        <f>SUMIF(#REF!,$E$557,#REF!)</f>
        <v>#REF!</v>
      </c>
      <c r="H557" s="48" t="e">
        <f>SUMIF(#REF!,$E$557,#REF!)</f>
        <v>#REF!</v>
      </c>
      <c r="I557" s="48" t="e">
        <f>SUMIF(#REF!,$E$557,#REF!)</f>
        <v>#REF!</v>
      </c>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row>
    <row r="558" spans="1:35" s="7" customFormat="1" ht="30" customHeight="1" x14ac:dyDescent="0.25">
      <c r="A558" s="49"/>
      <c r="B558" s="186" t="s">
        <v>425</v>
      </c>
      <c r="C558" s="209" t="s">
        <v>426</v>
      </c>
      <c r="D558" s="172"/>
      <c r="E558" s="218"/>
      <c r="F558" s="186" t="s">
        <v>79</v>
      </c>
      <c r="G558" s="186"/>
      <c r="H558" s="192"/>
      <c r="I558" s="192"/>
      <c r="J558" s="182">
        <f>[21]Лист1!E11</f>
        <v>4126202</v>
      </c>
    </row>
    <row r="559" spans="1:35" s="10" customFormat="1" ht="9" customHeight="1" x14ac:dyDescent="0.25">
      <c r="A559" s="50"/>
      <c r="B559" s="208"/>
      <c r="C559" s="228"/>
      <c r="D559" s="175"/>
      <c r="E559" s="229"/>
      <c r="F559" s="208" t="s">
        <v>79</v>
      </c>
      <c r="G559" s="208"/>
      <c r="H559" s="213"/>
      <c r="I559" s="213"/>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row>
    <row r="560" spans="1:35" s="10" customFormat="1" ht="17.25" customHeight="1" x14ac:dyDescent="0.25">
      <c r="A560" s="50"/>
      <c r="B560" s="187"/>
      <c r="C560" s="231"/>
      <c r="D560" s="173"/>
      <c r="E560" s="236"/>
      <c r="F560" s="187"/>
      <c r="G560" s="187"/>
      <c r="H560" s="193"/>
      <c r="I560" s="193"/>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row>
    <row r="561" spans="1:35" s="10" customFormat="1" ht="33.75" customHeight="1" x14ac:dyDescent="0.25">
      <c r="A561" s="50"/>
      <c r="B561" s="51" t="s">
        <v>425</v>
      </c>
      <c r="C561" s="52" t="s">
        <v>427</v>
      </c>
      <c r="D561" s="49">
        <v>2025</v>
      </c>
      <c r="E561" s="53">
        <v>2021</v>
      </c>
      <c r="F561" s="51" t="s">
        <v>79</v>
      </c>
      <c r="G561" s="51">
        <v>334</v>
      </c>
      <c r="H561" s="54">
        <v>435</v>
      </c>
      <c r="I561" s="54">
        <f>J558*G561/1000000</f>
        <v>1378.151468</v>
      </c>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row>
    <row r="562" spans="1:35" s="17" customFormat="1" ht="17.25" hidden="1" customHeight="1" x14ac:dyDescent="0.25">
      <c r="A562" s="55"/>
      <c r="B562" s="53" t="s">
        <v>425</v>
      </c>
      <c r="C562" s="56" t="s">
        <v>81</v>
      </c>
      <c r="D562" s="56"/>
      <c r="E562" s="53">
        <v>2022</v>
      </c>
      <c r="F562" s="53" t="s">
        <v>79</v>
      </c>
      <c r="G562" s="53" t="e">
        <f>SUMIF(#REF!,$E$562,#REF!)</f>
        <v>#REF!</v>
      </c>
      <c r="H562" s="53" t="e">
        <f>SUMIF(#REF!,$E$562,#REF!)</f>
        <v>#REF!</v>
      </c>
      <c r="I562" s="57" t="e">
        <f>SUMIF(#REF!,$E$562,#REF!)</f>
        <v>#REF!</v>
      </c>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row>
    <row r="563" spans="1:35" s="17" customFormat="1" ht="15.75" hidden="1" x14ac:dyDescent="0.25">
      <c r="A563" s="55"/>
      <c r="B563" s="53" t="s">
        <v>425</v>
      </c>
      <c r="C563" s="56" t="s">
        <v>82</v>
      </c>
      <c r="D563" s="56"/>
      <c r="E563" s="53">
        <v>2023</v>
      </c>
      <c r="F563" s="53" t="s">
        <v>79</v>
      </c>
      <c r="G563" s="53" t="e">
        <f>SUMIF(#REF!,$E$563,#REF!)</f>
        <v>#REF!</v>
      </c>
      <c r="H563" s="53" t="e">
        <f>SUMIF(#REF!,$E$563,#REF!)</f>
        <v>#REF!</v>
      </c>
      <c r="I563" s="57" t="e">
        <f>SUMIF(#REF!,$E$563,#REF!)</f>
        <v>#REF!</v>
      </c>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row>
    <row r="564" spans="1:35" s="7" customFormat="1" ht="15.75" x14ac:dyDescent="0.25">
      <c r="A564" s="49"/>
      <c r="B564" s="186" t="s">
        <v>428</v>
      </c>
      <c r="C564" s="209" t="s">
        <v>429</v>
      </c>
      <c r="D564" s="172"/>
      <c r="E564" s="215"/>
      <c r="F564" s="186" t="s">
        <v>79</v>
      </c>
      <c r="G564" s="186"/>
      <c r="H564" s="192"/>
      <c r="I564" s="192"/>
    </row>
    <row r="565" spans="1:35" s="32" customFormat="1" ht="12" customHeight="1" x14ac:dyDescent="0.25">
      <c r="A565" s="49"/>
      <c r="B565" s="208"/>
      <c r="C565" s="228"/>
      <c r="D565" s="175"/>
      <c r="E565" s="230"/>
      <c r="F565" s="208" t="s">
        <v>79</v>
      </c>
      <c r="G565" s="208"/>
      <c r="H565" s="213"/>
      <c r="I565" s="213"/>
      <c r="J565" s="182">
        <f>[21]Лист1!E12</f>
        <v>3302529</v>
      </c>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row>
    <row r="566" spans="1:35" s="32" customFormat="1" ht="17.25" customHeight="1" x14ac:dyDescent="0.25">
      <c r="A566" s="49"/>
      <c r="B566" s="187"/>
      <c r="C566" s="231"/>
      <c r="D566" s="173"/>
      <c r="E566" s="232"/>
      <c r="F566" s="187"/>
      <c r="G566" s="187"/>
      <c r="H566" s="193"/>
      <c r="I566" s="193"/>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row>
    <row r="567" spans="1:35" s="32" customFormat="1" ht="34.5" customHeight="1" x14ac:dyDescent="0.25">
      <c r="A567" s="49"/>
      <c r="B567" s="51" t="s">
        <v>428</v>
      </c>
      <c r="C567" s="52" t="s">
        <v>427</v>
      </c>
      <c r="D567" s="49">
        <v>2025</v>
      </c>
      <c r="E567" s="46">
        <v>2021</v>
      </c>
      <c r="F567" s="51" t="s">
        <v>79</v>
      </c>
      <c r="G567" s="51">
        <v>24948</v>
      </c>
      <c r="H567" s="54">
        <v>3414</v>
      </c>
      <c r="I567" s="54">
        <f>J565*G567/1000000</f>
        <v>82391.493491999994</v>
      </c>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row>
    <row r="568" spans="1:35" s="17" customFormat="1" ht="17.25" hidden="1" customHeight="1" x14ac:dyDescent="0.25">
      <c r="A568" s="45"/>
      <c r="B568" s="46" t="s">
        <v>428</v>
      </c>
      <c r="C568" s="47" t="s">
        <v>81</v>
      </c>
      <c r="D568" s="47"/>
      <c r="E568" s="46">
        <v>2022</v>
      </c>
      <c r="F568" s="46" t="s">
        <v>79</v>
      </c>
      <c r="G568" s="46" t="e">
        <f>SUMIF(#REF!,$E$568,#REF!)</f>
        <v>#REF!</v>
      </c>
      <c r="H568" s="48" t="e">
        <f>SUMIF(#REF!,$E$568,#REF!)</f>
        <v>#REF!</v>
      </c>
      <c r="I568" s="48" t="e">
        <f>SUMIF(#REF!,$E$568,#REF!)</f>
        <v>#REF!</v>
      </c>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row>
    <row r="569" spans="1:35" s="17" customFormat="1" ht="19.5" hidden="1" customHeight="1" x14ac:dyDescent="0.25">
      <c r="A569" s="45"/>
      <c r="B569" s="46" t="s">
        <v>428</v>
      </c>
      <c r="C569" s="47" t="s">
        <v>81</v>
      </c>
      <c r="D569" s="47"/>
      <c r="E569" s="46">
        <v>2023</v>
      </c>
      <c r="F569" s="46" t="s">
        <v>79</v>
      </c>
      <c r="G569" s="46" t="e">
        <f>SUMIF(#REF!,$E$569,#REF!)</f>
        <v>#REF!</v>
      </c>
      <c r="H569" s="48" t="e">
        <f>SUMIF(#REF!,$E$569,#REF!)</f>
        <v>#REF!</v>
      </c>
      <c r="I569" s="48" t="e">
        <f>SUMIF(#REF!,$E$569,#REF!)</f>
        <v>#REF!</v>
      </c>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row>
    <row r="570" spans="1:35" s="7" customFormat="1" ht="15.75" x14ac:dyDescent="0.25">
      <c r="A570" s="49"/>
      <c r="B570" s="186" t="s">
        <v>428</v>
      </c>
      <c r="C570" s="209" t="s">
        <v>429</v>
      </c>
      <c r="D570" s="172"/>
      <c r="E570" s="215"/>
      <c r="F570" s="186" t="s">
        <v>90</v>
      </c>
      <c r="G570" s="209"/>
      <c r="H570" s="205"/>
      <c r="I570" s="192"/>
    </row>
    <row r="571" spans="1:35" s="7" customFormat="1" ht="18.75" customHeight="1" x14ac:dyDescent="0.25">
      <c r="A571" s="49"/>
      <c r="B571" s="208"/>
      <c r="C571" s="228"/>
      <c r="D571" s="175"/>
      <c r="E571" s="230"/>
      <c r="F571" s="208"/>
      <c r="G571" s="228"/>
      <c r="H571" s="239"/>
      <c r="I571" s="213"/>
      <c r="J571" s="182">
        <f>[21]Лист1!E13</f>
        <v>4440851</v>
      </c>
    </row>
    <row r="572" spans="1:35" s="7" customFormat="1" ht="10.5" customHeight="1" x14ac:dyDescent="0.25">
      <c r="A572" s="49"/>
      <c r="B572" s="208"/>
      <c r="C572" s="228"/>
      <c r="D572" s="175"/>
      <c r="E572" s="230"/>
      <c r="F572" s="208" t="s">
        <v>90</v>
      </c>
      <c r="G572" s="228"/>
      <c r="H572" s="239"/>
      <c r="I572" s="193"/>
    </row>
    <row r="573" spans="1:35" s="7" customFormat="1" ht="18.75" hidden="1" customHeight="1" x14ac:dyDescent="0.25">
      <c r="A573" s="45"/>
      <c r="B573" s="191"/>
      <c r="C573" s="232"/>
      <c r="D573" s="179"/>
      <c r="E573" s="232"/>
      <c r="F573" s="191"/>
      <c r="G573" s="232"/>
      <c r="H573" s="232"/>
      <c r="I573" s="177"/>
    </row>
    <row r="574" spans="1:35" s="7" customFormat="1" ht="37.5" customHeight="1" x14ac:dyDescent="0.25">
      <c r="A574" s="49"/>
      <c r="B574" s="51" t="s">
        <v>428</v>
      </c>
      <c r="C574" s="52" t="s">
        <v>430</v>
      </c>
      <c r="D574" s="49">
        <v>2025</v>
      </c>
      <c r="E574" s="46">
        <v>2021</v>
      </c>
      <c r="F574" s="51" t="s">
        <v>90</v>
      </c>
      <c r="G574" s="51">
        <v>5679</v>
      </c>
      <c r="H574" s="54">
        <v>3674</v>
      </c>
      <c r="I574" s="54">
        <f>J571*G574/1000000</f>
        <v>25219.592829000001</v>
      </c>
    </row>
    <row r="575" spans="1:35" s="17" customFormat="1" ht="18.75" hidden="1" customHeight="1" x14ac:dyDescent="0.25">
      <c r="A575" s="45"/>
      <c r="B575" s="46" t="s">
        <v>428</v>
      </c>
      <c r="C575" s="47" t="s">
        <v>81</v>
      </c>
      <c r="D575" s="47"/>
      <c r="E575" s="46">
        <v>2022</v>
      </c>
      <c r="F575" s="46" t="s">
        <v>90</v>
      </c>
      <c r="G575" s="46" t="e">
        <f>SUMIF(#REF!,$E$575,#REF!)</f>
        <v>#REF!</v>
      </c>
      <c r="H575" s="48" t="e">
        <f>SUMIF(#REF!,$E$575,#REF!)</f>
        <v>#REF!</v>
      </c>
      <c r="I575" s="48" t="e">
        <f>SUMIF(#REF!,$E$575,#REF!)</f>
        <v>#REF!</v>
      </c>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row>
    <row r="576" spans="1:35" s="7" customFormat="1" ht="19.5" hidden="1" customHeight="1" x14ac:dyDescent="0.25">
      <c r="A576" s="45"/>
      <c r="B576" s="46" t="s">
        <v>428</v>
      </c>
      <c r="C576" s="47" t="s">
        <v>82</v>
      </c>
      <c r="D576" s="47"/>
      <c r="E576" s="46">
        <v>2023</v>
      </c>
      <c r="F576" s="46" t="s">
        <v>90</v>
      </c>
      <c r="G576" s="46" t="e">
        <f>SUMIF(#REF!,$E$576,#REF!)</f>
        <v>#REF!</v>
      </c>
      <c r="H576" s="48" t="e">
        <f>SUMIF(#REF!,$E$576,#REF!)</f>
        <v>#REF!</v>
      </c>
      <c r="I576" s="48" t="e">
        <f>SUMIF(#REF!,$E$576,#REF!)</f>
        <v>#REF!</v>
      </c>
    </row>
    <row r="577" spans="1:35" s="7" customFormat="1" ht="15.75" x14ac:dyDescent="0.25">
      <c r="A577" s="49"/>
      <c r="B577" s="186" t="s">
        <v>431</v>
      </c>
      <c r="C577" s="209" t="s">
        <v>432</v>
      </c>
      <c r="D577" s="172"/>
      <c r="E577" s="218"/>
      <c r="F577" s="186" t="s">
        <v>79</v>
      </c>
      <c r="G577" s="186"/>
      <c r="H577" s="192"/>
      <c r="I577" s="192"/>
    </row>
    <row r="578" spans="1:35" s="7" customFormat="1" ht="18.75" customHeight="1" x14ac:dyDescent="0.25">
      <c r="A578" s="49"/>
      <c r="B578" s="208"/>
      <c r="C578" s="228"/>
      <c r="D578" s="175"/>
      <c r="E578" s="229"/>
      <c r="F578" s="208"/>
      <c r="G578" s="208"/>
      <c r="H578" s="213"/>
      <c r="I578" s="213"/>
      <c r="J578" s="182">
        <f>[21]Лист1!E14</f>
        <v>3875590</v>
      </c>
    </row>
    <row r="579" spans="1:35" s="7" customFormat="1" ht="14.25" customHeight="1" x14ac:dyDescent="0.25">
      <c r="A579" s="49"/>
      <c r="B579" s="208"/>
      <c r="C579" s="228"/>
      <c r="D579" s="175"/>
      <c r="E579" s="229"/>
      <c r="F579" s="208" t="s">
        <v>79</v>
      </c>
      <c r="G579" s="208"/>
      <c r="H579" s="213"/>
      <c r="I579" s="213"/>
    </row>
    <row r="580" spans="1:35" s="7" customFormat="1" ht="18.75" hidden="1" customHeight="1" x14ac:dyDescent="0.25">
      <c r="A580" s="45"/>
      <c r="B580" s="204"/>
      <c r="C580" s="236"/>
      <c r="D580" s="180"/>
      <c r="E580" s="236"/>
      <c r="F580" s="204"/>
      <c r="G580" s="204"/>
      <c r="H580" s="204"/>
      <c r="I580" s="204"/>
    </row>
    <row r="581" spans="1:35" s="7" customFormat="1" ht="35.25" customHeight="1" x14ac:dyDescent="0.25">
      <c r="A581" s="49"/>
      <c r="B581" s="51" t="s">
        <v>431</v>
      </c>
      <c r="C581" s="52" t="s">
        <v>427</v>
      </c>
      <c r="D581" s="49">
        <v>2025</v>
      </c>
      <c r="E581" s="53">
        <v>2021</v>
      </c>
      <c r="F581" s="51" t="s">
        <v>79</v>
      </c>
      <c r="G581" s="51">
        <v>8210</v>
      </c>
      <c r="H581" s="54">
        <v>528.5</v>
      </c>
      <c r="I581" s="54">
        <f>J578*G581/1000000</f>
        <v>31818.5939</v>
      </c>
    </row>
    <row r="582" spans="1:35" s="17" customFormat="1" ht="16.5" hidden="1" customHeight="1" x14ac:dyDescent="0.25">
      <c r="A582" s="45"/>
      <c r="B582" s="53" t="s">
        <v>431</v>
      </c>
      <c r="C582" s="56" t="s">
        <v>81</v>
      </c>
      <c r="D582" s="56"/>
      <c r="E582" s="53">
        <v>2022</v>
      </c>
      <c r="F582" s="53" t="s">
        <v>79</v>
      </c>
      <c r="G582" s="53" t="e">
        <f>SUMIF(#REF!,$E$582,#REF!)</f>
        <v>#REF!</v>
      </c>
      <c r="H582" s="57" t="e">
        <f>SUMIF(#REF!,$E$582,#REF!)</f>
        <v>#REF!</v>
      </c>
      <c r="I582" s="57" t="e">
        <f>SUMIF(#REF!,$E$582,#REF!)</f>
        <v>#REF!</v>
      </c>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row>
    <row r="583" spans="1:35" s="17" customFormat="1" ht="17.25" hidden="1" customHeight="1" x14ac:dyDescent="0.25">
      <c r="A583" s="45"/>
      <c r="B583" s="53" t="s">
        <v>431</v>
      </c>
      <c r="C583" s="56" t="s">
        <v>81</v>
      </c>
      <c r="D583" s="56"/>
      <c r="E583" s="53">
        <v>2023</v>
      </c>
      <c r="F583" s="53" t="s">
        <v>79</v>
      </c>
      <c r="G583" s="53" t="e">
        <f>SUMIF(#REF!,$E$583,#REF!)</f>
        <v>#REF!</v>
      </c>
      <c r="H583" s="57" t="e">
        <f>SUMIF(#REF!,$E$583,#REF!)</f>
        <v>#REF!</v>
      </c>
      <c r="I583" s="57" t="e">
        <f>SUMIF(#REF!,$E$583,#REF!)</f>
        <v>#REF!</v>
      </c>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row>
    <row r="584" spans="1:35" s="7" customFormat="1" ht="24" customHeight="1" x14ac:dyDescent="0.25">
      <c r="A584" s="49"/>
      <c r="B584" s="186" t="s">
        <v>431</v>
      </c>
      <c r="C584" s="209" t="s">
        <v>432</v>
      </c>
      <c r="D584" s="172"/>
      <c r="E584" s="218"/>
      <c r="F584" s="186" t="s">
        <v>90</v>
      </c>
      <c r="G584" s="186"/>
      <c r="H584" s="192"/>
      <c r="I584" s="192"/>
      <c r="J584" s="182">
        <f>[21]Лист1!E15</f>
        <v>4547516</v>
      </c>
    </row>
    <row r="585" spans="1:35" s="7" customFormat="1" ht="18.75" customHeight="1" x14ac:dyDescent="0.25">
      <c r="A585" s="49"/>
      <c r="B585" s="208"/>
      <c r="C585" s="228"/>
      <c r="D585" s="175"/>
      <c r="E585" s="219"/>
      <c r="F585" s="208"/>
      <c r="G585" s="221"/>
      <c r="H585" s="238"/>
      <c r="I585" s="238"/>
    </row>
    <row r="586" spans="1:35" s="7" customFormat="1" ht="6.75" customHeight="1" x14ac:dyDescent="0.25">
      <c r="A586" s="49"/>
      <c r="B586" s="208"/>
      <c r="C586" s="228"/>
      <c r="D586" s="175"/>
      <c r="E586" s="219"/>
      <c r="F586" s="208" t="s">
        <v>90</v>
      </c>
      <c r="G586" s="221"/>
      <c r="H586" s="238"/>
      <c r="I586" s="238"/>
    </row>
    <row r="587" spans="1:35" s="7" customFormat="1" ht="17.25" hidden="1" customHeight="1" x14ac:dyDescent="0.25">
      <c r="A587" s="45"/>
      <c r="B587" s="204"/>
      <c r="C587" s="236"/>
      <c r="D587" s="180"/>
      <c r="E587" s="220"/>
      <c r="F587" s="204"/>
      <c r="G587" s="237"/>
      <c r="H587" s="237"/>
      <c r="I587" s="237"/>
    </row>
    <row r="588" spans="1:35" s="7" customFormat="1" ht="32.25" customHeight="1" x14ac:dyDescent="0.25">
      <c r="A588" s="49"/>
      <c r="B588" s="51" t="s">
        <v>431</v>
      </c>
      <c r="C588" s="52" t="s">
        <v>427</v>
      </c>
      <c r="D588" s="49">
        <v>2025</v>
      </c>
      <c r="E588" s="53">
        <v>2021</v>
      </c>
      <c r="F588" s="51" t="s">
        <v>90</v>
      </c>
      <c r="G588" s="58">
        <v>4853</v>
      </c>
      <c r="H588" s="59">
        <v>1656</v>
      </c>
      <c r="I588" s="59">
        <f>J584*G588/1000000</f>
        <v>22069.095148</v>
      </c>
    </row>
    <row r="589" spans="1:35" s="17" customFormat="1" ht="16.5" hidden="1" customHeight="1" x14ac:dyDescent="0.25">
      <c r="A589" s="45"/>
      <c r="B589" s="53" t="s">
        <v>431</v>
      </c>
      <c r="C589" s="56" t="s">
        <v>81</v>
      </c>
      <c r="D589" s="56"/>
      <c r="E589" s="53">
        <v>2022</v>
      </c>
      <c r="F589" s="53" t="s">
        <v>90</v>
      </c>
      <c r="G589" s="53" t="e">
        <f>SUMIF(#REF!,$E$589,#REF!)</f>
        <v>#REF!</v>
      </c>
      <c r="H589" s="53" t="e">
        <f>SUMIF(#REF!,$E$589,#REF!)</f>
        <v>#REF!</v>
      </c>
      <c r="I589" s="57" t="e">
        <f>SUMIF(#REF!,$E$589,#REF!)</f>
        <v>#REF!</v>
      </c>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row>
    <row r="590" spans="1:35" s="17" customFormat="1" ht="17.25" hidden="1" customHeight="1" x14ac:dyDescent="0.25">
      <c r="A590" s="45"/>
      <c r="B590" s="53" t="s">
        <v>431</v>
      </c>
      <c r="C590" s="56" t="s">
        <v>82</v>
      </c>
      <c r="D590" s="56"/>
      <c r="E590" s="53">
        <v>2023</v>
      </c>
      <c r="F590" s="53" t="s">
        <v>90</v>
      </c>
      <c r="G590" s="53" t="e">
        <f>SUMIF(#REF!,$E$590,#REF!)</f>
        <v>#REF!</v>
      </c>
      <c r="H590" s="53" t="e">
        <f>SUMIF(#REF!,$E$590,#REF!)</f>
        <v>#REF!</v>
      </c>
      <c r="I590" s="57" t="e">
        <f>SUMIF(#REF!,$E$590,#REF!)</f>
        <v>#REF!</v>
      </c>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row>
    <row r="591" spans="1:35" s="7" customFormat="1" ht="30.75" customHeight="1" x14ac:dyDescent="0.25">
      <c r="A591" s="49"/>
      <c r="B591" s="186" t="s">
        <v>433</v>
      </c>
      <c r="C591" s="209" t="s">
        <v>434</v>
      </c>
      <c r="D591" s="172"/>
      <c r="E591" s="215"/>
      <c r="F591" s="186" t="s">
        <v>79</v>
      </c>
      <c r="G591" s="186"/>
      <c r="H591" s="192"/>
      <c r="I591" s="192"/>
    </row>
    <row r="592" spans="1:35" s="32" customFormat="1" ht="15.75" customHeight="1" x14ac:dyDescent="0.25">
      <c r="A592" s="49"/>
      <c r="B592" s="187"/>
      <c r="C592" s="231"/>
      <c r="D592" s="173"/>
      <c r="E592" s="232"/>
      <c r="F592" s="187"/>
      <c r="G592" s="187"/>
      <c r="H592" s="193"/>
      <c r="I592" s="193"/>
      <c r="J592" s="182">
        <f>[21]Лист1!E18</f>
        <v>4015919</v>
      </c>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row>
    <row r="593" spans="1:35" s="32" customFormat="1" ht="37.5" customHeight="1" x14ac:dyDescent="0.25">
      <c r="A593" s="49"/>
      <c r="B593" s="51" t="s">
        <v>433</v>
      </c>
      <c r="C593" s="52" t="s">
        <v>430</v>
      </c>
      <c r="D593" s="49">
        <v>2025</v>
      </c>
      <c r="E593" s="46">
        <v>2021</v>
      </c>
      <c r="F593" s="51" t="s">
        <v>79</v>
      </c>
      <c r="G593" s="51">
        <v>1581</v>
      </c>
      <c r="H593" s="54">
        <v>713</v>
      </c>
      <c r="I593" s="54">
        <f>J592*G593/1000000</f>
        <v>6349.1679389999999</v>
      </c>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row>
    <row r="594" spans="1:35" s="17" customFormat="1" ht="18.75" hidden="1" customHeight="1" x14ac:dyDescent="0.25">
      <c r="A594" s="45"/>
      <c r="B594" s="46" t="s">
        <v>433</v>
      </c>
      <c r="C594" s="47" t="s">
        <v>81</v>
      </c>
      <c r="D594" s="47"/>
      <c r="E594" s="46">
        <v>2022</v>
      </c>
      <c r="F594" s="46" t="s">
        <v>79</v>
      </c>
      <c r="G594" s="46" t="e">
        <f>SUMIF(#REF!,$E$594,#REF!)</f>
        <v>#REF!</v>
      </c>
      <c r="H594" s="48" t="e">
        <f>SUMIF(#REF!,$E$594,#REF!)</f>
        <v>#REF!</v>
      </c>
      <c r="I594" s="48" t="e">
        <f>SUMIF(#REF!,$E$594,#REF!)</f>
        <v>#REF!</v>
      </c>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row>
    <row r="595" spans="1:35" s="17" customFormat="1" ht="15.75" hidden="1" x14ac:dyDescent="0.25">
      <c r="A595" s="45"/>
      <c r="B595" s="46" t="s">
        <v>433</v>
      </c>
      <c r="C595" s="47" t="s">
        <v>81</v>
      </c>
      <c r="D595" s="47"/>
      <c r="E595" s="46">
        <v>2023</v>
      </c>
      <c r="F595" s="46" t="s">
        <v>79</v>
      </c>
      <c r="G595" s="46" t="e">
        <f>SUMIF(#REF!,$E$595,#REF!)</f>
        <v>#REF!</v>
      </c>
      <c r="H595" s="48" t="e">
        <f>SUMIF(#REF!,$E$595,#REF!)</f>
        <v>#REF!</v>
      </c>
      <c r="I595" s="48" t="e">
        <f>SUMIF(#REF!,$E$595,#REF!)</f>
        <v>#REF!</v>
      </c>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row>
    <row r="596" spans="1:35" s="7" customFormat="1" ht="24" customHeight="1" x14ac:dyDescent="0.25">
      <c r="A596" s="49"/>
      <c r="B596" s="233" t="s">
        <v>435</v>
      </c>
      <c r="C596" s="234"/>
      <c r="D596" s="234"/>
      <c r="E596" s="234"/>
      <c r="F596" s="234"/>
      <c r="G596" s="234"/>
      <c r="H596" s="234"/>
      <c r="I596" s="235"/>
    </row>
    <row r="597" spans="1:35" s="7" customFormat="1" ht="14.25" customHeight="1" x14ac:dyDescent="0.25">
      <c r="A597" s="49"/>
      <c r="B597" s="186" t="s">
        <v>436</v>
      </c>
      <c r="C597" s="209" t="s">
        <v>437</v>
      </c>
      <c r="D597" s="172"/>
      <c r="E597" s="218"/>
      <c r="F597" s="186" t="s">
        <v>90</v>
      </c>
      <c r="G597" s="186"/>
      <c r="H597" s="192"/>
      <c r="I597" s="192"/>
    </row>
    <row r="598" spans="1:35" s="7" customFormat="1" ht="12.75" customHeight="1" x14ac:dyDescent="0.25">
      <c r="A598" s="49"/>
      <c r="B598" s="208"/>
      <c r="C598" s="228"/>
      <c r="D598" s="175"/>
      <c r="E598" s="229"/>
      <c r="F598" s="208"/>
      <c r="G598" s="208"/>
      <c r="H598" s="213"/>
      <c r="I598" s="213"/>
    </row>
    <row r="599" spans="1:35" s="7" customFormat="1" ht="12" customHeight="1" x14ac:dyDescent="0.25">
      <c r="A599" s="49"/>
      <c r="B599" s="208"/>
      <c r="C599" s="228"/>
      <c r="D599" s="175"/>
      <c r="E599" s="229"/>
      <c r="F599" s="208"/>
      <c r="G599" s="208"/>
      <c r="H599" s="213"/>
      <c r="I599" s="213"/>
      <c r="J599" s="182">
        <f>[21]Лист1!E21</f>
        <v>3990347</v>
      </c>
    </row>
    <row r="600" spans="1:35" s="7" customFormat="1" ht="12.75" customHeight="1" x14ac:dyDescent="0.25">
      <c r="A600" s="49"/>
      <c r="B600" s="187"/>
      <c r="C600" s="231"/>
      <c r="D600" s="173"/>
      <c r="E600" s="236"/>
      <c r="F600" s="187"/>
      <c r="G600" s="187"/>
      <c r="H600" s="193"/>
      <c r="I600" s="193"/>
    </row>
    <row r="601" spans="1:35" s="7" customFormat="1" ht="25.5" customHeight="1" x14ac:dyDescent="0.25">
      <c r="A601" s="49"/>
      <c r="B601" s="51" t="s">
        <v>436</v>
      </c>
      <c r="C601" s="52" t="s">
        <v>427</v>
      </c>
      <c r="D601" s="49">
        <v>2025</v>
      </c>
      <c r="E601" s="53">
        <v>2021</v>
      </c>
      <c r="F601" s="51" t="s">
        <v>90</v>
      </c>
      <c r="G601" s="58">
        <v>1717</v>
      </c>
      <c r="H601" s="59">
        <v>502</v>
      </c>
      <c r="I601" s="59">
        <f>J599*G601/1000000</f>
        <v>6851.4257989999996</v>
      </c>
    </row>
    <row r="602" spans="1:35" s="17" customFormat="1" ht="17.25" hidden="1" customHeight="1" x14ac:dyDescent="0.25">
      <c r="A602" s="45"/>
      <c r="B602" s="53" t="s">
        <v>436</v>
      </c>
      <c r="C602" s="56" t="s">
        <v>81</v>
      </c>
      <c r="D602" s="56"/>
      <c r="E602" s="53">
        <v>2022</v>
      </c>
      <c r="F602" s="53" t="s">
        <v>90</v>
      </c>
      <c r="G602" s="53" t="e">
        <f>SUMIF(#REF!,$E$602,#REF!)</f>
        <v>#REF!</v>
      </c>
      <c r="H602" s="57" t="e">
        <f>SUMIF(#REF!,$E$602,#REF!)</f>
        <v>#REF!</v>
      </c>
      <c r="I602" s="57" t="e">
        <f>SUMIF(#REF!,$E$602,#REF!)</f>
        <v>#REF!</v>
      </c>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row>
    <row r="603" spans="1:35" s="17" customFormat="1" ht="15.75" hidden="1" x14ac:dyDescent="0.25">
      <c r="A603" s="45"/>
      <c r="B603" s="53" t="s">
        <v>436</v>
      </c>
      <c r="C603" s="56" t="s">
        <v>81</v>
      </c>
      <c r="D603" s="56"/>
      <c r="E603" s="53">
        <v>2023</v>
      </c>
      <c r="F603" s="53" t="s">
        <v>90</v>
      </c>
      <c r="G603" s="53" t="e">
        <f>SUMIF(#REF!,$E$603,#REF!)</f>
        <v>#REF!</v>
      </c>
      <c r="H603" s="57" t="e">
        <f>SUMIF(#REF!,$E$603,#REF!)</f>
        <v>#REF!</v>
      </c>
      <c r="I603" s="57" t="e">
        <f>SUMIF(#REF!,$E$603,#REF!)</f>
        <v>#REF!</v>
      </c>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row>
    <row r="604" spans="1:35" s="7" customFormat="1" ht="17.25" customHeight="1" x14ac:dyDescent="0.25">
      <c r="A604" s="49"/>
      <c r="B604" s="209" t="s">
        <v>438</v>
      </c>
      <c r="C604" s="209" t="s">
        <v>439</v>
      </c>
      <c r="D604" s="172"/>
      <c r="E604" s="215"/>
      <c r="F604" s="186" t="s">
        <v>90</v>
      </c>
      <c r="G604" s="186"/>
      <c r="H604" s="192"/>
      <c r="I604" s="192"/>
    </row>
    <row r="605" spans="1:35" s="7" customFormat="1" ht="17.25" customHeight="1" x14ac:dyDescent="0.25">
      <c r="A605" s="49"/>
      <c r="B605" s="228"/>
      <c r="C605" s="228"/>
      <c r="D605" s="175"/>
      <c r="E605" s="230"/>
      <c r="F605" s="208"/>
      <c r="G605" s="208"/>
      <c r="H605" s="213"/>
      <c r="I605" s="213"/>
    </row>
    <row r="606" spans="1:35" s="7" customFormat="1" ht="17.25" customHeight="1" x14ac:dyDescent="0.25">
      <c r="A606" s="49"/>
      <c r="B606" s="231"/>
      <c r="C606" s="231"/>
      <c r="D606" s="173"/>
      <c r="E606" s="232"/>
      <c r="F606" s="187"/>
      <c r="G606" s="187"/>
      <c r="H606" s="193"/>
      <c r="I606" s="193"/>
    </row>
    <row r="607" spans="1:35" s="7" customFormat="1" ht="32.25" customHeight="1" x14ac:dyDescent="0.25">
      <c r="A607" s="49"/>
      <c r="B607" s="51" t="s">
        <v>438</v>
      </c>
      <c r="C607" s="52" t="s">
        <v>427</v>
      </c>
      <c r="D607" s="49">
        <v>2025</v>
      </c>
      <c r="E607" s="46">
        <v>2021</v>
      </c>
      <c r="F607" s="51" t="s">
        <v>90</v>
      </c>
      <c r="G607" s="58">
        <v>1339</v>
      </c>
      <c r="H607" s="59">
        <v>165</v>
      </c>
      <c r="I607" s="59">
        <f>J607*G607/1000000</f>
        <v>5371.9930160000004</v>
      </c>
      <c r="J607" s="182">
        <f>[21]Лист1!E22</f>
        <v>4011944</v>
      </c>
    </row>
    <row r="608" spans="1:35" s="17" customFormat="1" ht="17.25" hidden="1" customHeight="1" x14ac:dyDescent="0.25">
      <c r="A608" s="45"/>
      <c r="B608" s="46" t="s">
        <v>438</v>
      </c>
      <c r="C608" s="47" t="s">
        <v>81</v>
      </c>
      <c r="D608" s="47"/>
      <c r="E608" s="46">
        <v>2022</v>
      </c>
      <c r="F608" s="46" t="s">
        <v>90</v>
      </c>
      <c r="G608" s="46">
        <f>SUMIF($E$610:$E$641,$E$608,$G$610:$G$641)</f>
        <v>5493</v>
      </c>
      <c r="H608" s="48">
        <f>SUMIF($E$610:$E$641,$E$608,$H$610:$H$641)</f>
        <v>1149</v>
      </c>
      <c r="I608" s="48">
        <f>SUMIF($E$610:$E$641,$E$608,$I$610:$I$641)</f>
        <v>9464.3567000000003</v>
      </c>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row>
    <row r="609" spans="1:9" s="7" customFormat="1" ht="15.75" hidden="1" x14ac:dyDescent="0.25">
      <c r="A609" s="45"/>
      <c r="B609" s="46" t="s">
        <v>438</v>
      </c>
      <c r="C609" s="47" t="s">
        <v>81</v>
      </c>
      <c r="D609" s="47"/>
      <c r="E609" s="46">
        <v>2023</v>
      </c>
      <c r="F609" s="46" t="s">
        <v>90</v>
      </c>
      <c r="G609" s="46">
        <f>SUMIF($E$610:$E$641,$E$609,$G$610:$G$641)</f>
        <v>18891</v>
      </c>
      <c r="H609" s="48">
        <f>SUMIF($E$610:$E$641,$E$609,$H$610:$H$641)</f>
        <v>1066</v>
      </c>
      <c r="I609" s="48">
        <f>SUMIF($E$610:$E$641,$E$609,$I$610:$I$641)</f>
        <v>33441.985200000003</v>
      </c>
    </row>
    <row r="610" spans="1:9" s="7" customFormat="1" ht="126" hidden="1" outlineLevel="1" x14ac:dyDescent="0.25">
      <c r="A610" s="45">
        <v>454</v>
      </c>
      <c r="B610" s="45" t="s">
        <v>438</v>
      </c>
      <c r="C610" s="60" t="s">
        <v>140</v>
      </c>
      <c r="D610" s="60"/>
      <c r="E610" s="45">
        <v>2022</v>
      </c>
      <c r="F610" s="45" t="s">
        <v>90</v>
      </c>
      <c r="G610" s="45">
        <v>3214</v>
      </c>
      <c r="H610" s="45">
        <v>150</v>
      </c>
      <c r="I610" s="45">
        <v>4509.17</v>
      </c>
    </row>
    <row r="611" spans="1:9" s="7" customFormat="1" ht="110.25" hidden="1" outlineLevel="1" x14ac:dyDescent="0.25">
      <c r="A611" s="45">
        <v>457</v>
      </c>
      <c r="B611" s="45" t="s">
        <v>438</v>
      </c>
      <c r="C611" s="60" t="s">
        <v>440</v>
      </c>
      <c r="D611" s="60"/>
      <c r="E611" s="45">
        <v>2022</v>
      </c>
      <c r="F611" s="45" t="s">
        <v>90</v>
      </c>
      <c r="G611" s="45">
        <v>1023</v>
      </c>
      <c r="H611" s="45">
        <v>15</v>
      </c>
      <c r="I611" s="45">
        <v>1964.6226999999999</v>
      </c>
    </row>
    <row r="612" spans="1:9" s="7" customFormat="1" ht="110.25" hidden="1" outlineLevel="1" x14ac:dyDescent="0.25">
      <c r="A612" s="45">
        <v>5667</v>
      </c>
      <c r="B612" s="45" t="s">
        <v>438</v>
      </c>
      <c r="C612" s="60" t="s">
        <v>441</v>
      </c>
      <c r="D612" s="60"/>
      <c r="E612" s="45">
        <v>2022</v>
      </c>
      <c r="F612" s="45" t="s">
        <v>90</v>
      </c>
      <c r="G612" s="45">
        <v>10</v>
      </c>
      <c r="H612" s="45">
        <v>150</v>
      </c>
      <c r="I612" s="45">
        <v>163.13200000000001</v>
      </c>
    </row>
    <row r="613" spans="1:9" s="7" customFormat="1" ht="157.5" hidden="1" outlineLevel="1" x14ac:dyDescent="0.25">
      <c r="A613" s="45">
        <v>5421</v>
      </c>
      <c r="B613" s="45" t="s">
        <v>438</v>
      </c>
      <c r="C613" s="60" t="s">
        <v>155</v>
      </c>
      <c r="D613" s="60"/>
      <c r="E613" s="45">
        <v>2022</v>
      </c>
      <c r="F613" s="45" t="s">
        <v>90</v>
      </c>
      <c r="G613" s="45">
        <v>10</v>
      </c>
      <c r="H613" s="45">
        <v>130</v>
      </c>
      <c r="I613" s="45">
        <v>177.21100000000001</v>
      </c>
    </row>
    <row r="614" spans="1:9" s="7" customFormat="1" ht="173.25" hidden="1" outlineLevel="1" x14ac:dyDescent="0.25">
      <c r="A614" s="45">
        <v>5690</v>
      </c>
      <c r="B614" s="45" t="s">
        <v>438</v>
      </c>
      <c r="C614" s="60" t="s">
        <v>442</v>
      </c>
      <c r="D614" s="60"/>
      <c r="E614" s="45">
        <v>2022</v>
      </c>
      <c r="F614" s="45" t="s">
        <v>90</v>
      </c>
      <c r="G614" s="45">
        <v>30</v>
      </c>
      <c r="H614" s="45">
        <v>10</v>
      </c>
      <c r="I614" s="45">
        <v>119.614</v>
      </c>
    </row>
    <row r="615" spans="1:9" s="7" customFormat="1" ht="141.75" hidden="1" outlineLevel="1" x14ac:dyDescent="0.25">
      <c r="A615" s="45">
        <v>5422</v>
      </c>
      <c r="B615" s="45" t="s">
        <v>438</v>
      </c>
      <c r="C615" s="60" t="s">
        <v>443</v>
      </c>
      <c r="D615" s="60"/>
      <c r="E615" s="45">
        <v>2022</v>
      </c>
      <c r="F615" s="45" t="s">
        <v>90</v>
      </c>
      <c r="G615" s="45">
        <v>220</v>
      </c>
      <c r="H615" s="45">
        <v>25</v>
      </c>
      <c r="I615" s="45">
        <v>339.99799999999999</v>
      </c>
    </row>
    <row r="616" spans="1:9" s="7" customFormat="1" ht="141.75" hidden="1" outlineLevel="1" x14ac:dyDescent="0.25">
      <c r="A616" s="45">
        <v>5834</v>
      </c>
      <c r="B616" s="45" t="s">
        <v>438</v>
      </c>
      <c r="C616" s="60" t="s">
        <v>444</v>
      </c>
      <c r="D616" s="60"/>
      <c r="E616" s="45">
        <v>2022</v>
      </c>
      <c r="F616" s="45" t="s">
        <v>90</v>
      </c>
      <c r="G616" s="45">
        <v>10</v>
      </c>
      <c r="H616" s="45">
        <v>100</v>
      </c>
      <c r="I616" s="45">
        <v>92.194999999999993</v>
      </c>
    </row>
    <row r="617" spans="1:9" s="7" customFormat="1" ht="141.75" hidden="1" outlineLevel="1" x14ac:dyDescent="0.25">
      <c r="A617" s="45">
        <v>5420</v>
      </c>
      <c r="B617" s="45" t="s">
        <v>438</v>
      </c>
      <c r="C617" s="60" t="s">
        <v>445</v>
      </c>
      <c r="D617" s="60"/>
      <c r="E617" s="45">
        <v>2022</v>
      </c>
      <c r="F617" s="45" t="s">
        <v>90</v>
      </c>
      <c r="G617" s="45">
        <v>250</v>
      </c>
      <c r="H617" s="45">
        <v>30</v>
      </c>
      <c r="I617" s="45">
        <v>371.48</v>
      </c>
    </row>
    <row r="618" spans="1:9" s="7" customFormat="1" ht="141.75" hidden="1" outlineLevel="1" x14ac:dyDescent="0.25">
      <c r="A618" s="45">
        <v>5436</v>
      </c>
      <c r="B618" s="45" t="s">
        <v>438</v>
      </c>
      <c r="C618" s="60" t="s">
        <v>446</v>
      </c>
      <c r="D618" s="60"/>
      <c r="E618" s="45">
        <v>2022</v>
      </c>
      <c r="F618" s="45" t="s">
        <v>90</v>
      </c>
      <c r="G618" s="45">
        <v>220</v>
      </c>
      <c r="H618" s="45">
        <v>15</v>
      </c>
      <c r="I618" s="45">
        <v>335.39699999999999</v>
      </c>
    </row>
    <row r="619" spans="1:9" s="7" customFormat="1" ht="110.25" hidden="1" outlineLevel="1" x14ac:dyDescent="0.25">
      <c r="A619" s="45">
        <v>5418</v>
      </c>
      <c r="B619" s="45" t="s">
        <v>438</v>
      </c>
      <c r="C619" s="60" t="s">
        <v>447</v>
      </c>
      <c r="D619" s="60"/>
      <c r="E619" s="45">
        <v>2022</v>
      </c>
      <c r="F619" s="45" t="s">
        <v>90</v>
      </c>
      <c r="G619" s="45">
        <v>100</v>
      </c>
      <c r="H619" s="45">
        <v>287</v>
      </c>
      <c r="I619" s="45">
        <v>234</v>
      </c>
    </row>
    <row r="620" spans="1:9" s="7" customFormat="1" ht="141.75" hidden="1" outlineLevel="1" x14ac:dyDescent="0.25">
      <c r="A620" s="45">
        <v>5767</v>
      </c>
      <c r="B620" s="45" t="s">
        <v>438</v>
      </c>
      <c r="C620" s="60" t="s">
        <v>448</v>
      </c>
      <c r="D620" s="60"/>
      <c r="E620" s="45">
        <v>2022</v>
      </c>
      <c r="F620" s="45" t="s">
        <v>90</v>
      </c>
      <c r="G620" s="45">
        <v>7</v>
      </c>
      <c r="H620" s="45">
        <v>15</v>
      </c>
      <c r="I620" s="45">
        <v>111.551</v>
      </c>
    </row>
    <row r="621" spans="1:9" s="7" customFormat="1" ht="157.5" hidden="1" outlineLevel="1" x14ac:dyDescent="0.25">
      <c r="A621" s="45">
        <v>5768</v>
      </c>
      <c r="B621" s="45" t="s">
        <v>438</v>
      </c>
      <c r="C621" s="60" t="s">
        <v>449</v>
      </c>
      <c r="D621" s="60"/>
      <c r="E621" s="45">
        <v>2022</v>
      </c>
      <c r="F621" s="45" t="s">
        <v>90</v>
      </c>
      <c r="G621" s="45">
        <v>170</v>
      </c>
      <c r="H621" s="45">
        <v>62</v>
      </c>
      <c r="I621" s="45">
        <v>297.98599999999999</v>
      </c>
    </row>
    <row r="622" spans="1:9" s="7" customFormat="1" ht="79.5" hidden="1" customHeight="1" outlineLevel="1" x14ac:dyDescent="0.25">
      <c r="A622" s="45">
        <v>430</v>
      </c>
      <c r="B622" s="45" t="s">
        <v>438</v>
      </c>
      <c r="C622" s="60" t="s">
        <v>450</v>
      </c>
      <c r="D622" s="60"/>
      <c r="E622" s="45">
        <v>2022</v>
      </c>
      <c r="F622" s="45" t="s">
        <v>90</v>
      </c>
      <c r="G622" s="45">
        <v>229</v>
      </c>
      <c r="H622" s="45">
        <v>160</v>
      </c>
      <c r="I622" s="45">
        <v>748</v>
      </c>
    </row>
    <row r="623" spans="1:9" s="7" customFormat="1" ht="110.25" hidden="1" outlineLevel="1" x14ac:dyDescent="0.25">
      <c r="A623" s="45">
        <v>5510</v>
      </c>
      <c r="B623" s="45" t="s">
        <v>438</v>
      </c>
      <c r="C623" s="60" t="s">
        <v>451</v>
      </c>
      <c r="D623" s="60"/>
      <c r="E623" s="45">
        <v>2023</v>
      </c>
      <c r="F623" s="45" t="s">
        <v>452</v>
      </c>
      <c r="G623" s="45">
        <v>28</v>
      </c>
      <c r="H623" s="61">
        <v>15</v>
      </c>
      <c r="I623" s="61">
        <v>150</v>
      </c>
    </row>
    <row r="624" spans="1:9" s="7" customFormat="1" ht="126" hidden="1" outlineLevel="1" x14ac:dyDescent="0.25">
      <c r="A624" s="45">
        <v>621</v>
      </c>
      <c r="B624" s="45" t="s">
        <v>438</v>
      </c>
      <c r="C624" s="60" t="s">
        <v>257</v>
      </c>
      <c r="D624" s="60"/>
      <c r="E624" s="45">
        <v>2023</v>
      </c>
      <c r="F624" s="45" t="s">
        <v>90</v>
      </c>
      <c r="G624" s="45">
        <v>15</v>
      </c>
      <c r="H624" s="61">
        <v>382</v>
      </c>
      <c r="I624" s="61">
        <v>1697.4291800000001</v>
      </c>
    </row>
    <row r="625" spans="1:9" s="7" customFormat="1" ht="110.25" hidden="1" outlineLevel="1" x14ac:dyDescent="0.25">
      <c r="A625" s="45">
        <v>3221</v>
      </c>
      <c r="B625" s="45" t="s">
        <v>438</v>
      </c>
      <c r="C625" s="60" t="s">
        <v>453</v>
      </c>
      <c r="D625" s="60"/>
      <c r="E625" s="45">
        <v>2023</v>
      </c>
      <c r="F625" s="45" t="s">
        <v>90</v>
      </c>
      <c r="G625" s="45">
        <v>4900</v>
      </c>
      <c r="H625" s="61">
        <v>15</v>
      </c>
      <c r="I625" s="61">
        <v>6068.7565500000001</v>
      </c>
    </row>
    <row r="626" spans="1:9" s="7" customFormat="1" ht="94.5" hidden="1" outlineLevel="1" x14ac:dyDescent="0.25">
      <c r="A626" s="45">
        <v>1038</v>
      </c>
      <c r="B626" s="45" t="s">
        <v>438</v>
      </c>
      <c r="C626" s="60" t="s">
        <v>454</v>
      </c>
      <c r="D626" s="60"/>
      <c r="E626" s="45">
        <v>2023</v>
      </c>
      <c r="F626" s="45" t="s">
        <v>90</v>
      </c>
      <c r="G626" s="45">
        <v>140</v>
      </c>
      <c r="H626" s="61">
        <v>15</v>
      </c>
      <c r="I626" s="61">
        <v>235.28413</v>
      </c>
    </row>
    <row r="627" spans="1:9" s="7" customFormat="1" ht="63.75" hidden="1" customHeight="1" outlineLevel="1" x14ac:dyDescent="0.25">
      <c r="A627" s="45">
        <v>613</v>
      </c>
      <c r="B627" s="45" t="s">
        <v>438</v>
      </c>
      <c r="C627" s="60" t="s">
        <v>455</v>
      </c>
      <c r="D627" s="60"/>
      <c r="E627" s="45">
        <v>2023</v>
      </c>
      <c r="F627" s="45" t="s">
        <v>90</v>
      </c>
      <c r="G627" s="45">
        <v>15</v>
      </c>
      <c r="H627" s="61">
        <v>15</v>
      </c>
      <c r="I627" s="61">
        <v>160.54944</v>
      </c>
    </row>
    <row r="628" spans="1:9" s="7" customFormat="1" ht="141.75" hidden="1" outlineLevel="1" x14ac:dyDescent="0.25">
      <c r="A628" s="45">
        <v>692</v>
      </c>
      <c r="B628" s="45" t="s">
        <v>438</v>
      </c>
      <c r="C628" s="60" t="s">
        <v>456</v>
      </c>
      <c r="D628" s="60"/>
      <c r="E628" s="45">
        <v>2023</v>
      </c>
      <c r="F628" s="45" t="s">
        <v>90</v>
      </c>
      <c r="G628" s="45">
        <v>269</v>
      </c>
      <c r="H628" s="61">
        <v>10</v>
      </c>
      <c r="I628" s="61">
        <v>551.15093000000002</v>
      </c>
    </row>
    <row r="629" spans="1:9" s="7" customFormat="1" ht="110.25" hidden="1" outlineLevel="1" x14ac:dyDescent="0.25">
      <c r="A629" s="45">
        <v>3126</v>
      </c>
      <c r="B629" s="45" t="s">
        <v>438</v>
      </c>
      <c r="C629" s="60" t="s">
        <v>457</v>
      </c>
      <c r="D629" s="60"/>
      <c r="E629" s="45">
        <v>2023</v>
      </c>
      <c r="F629" s="45" t="s">
        <v>90</v>
      </c>
      <c r="G629" s="45">
        <v>5</v>
      </c>
      <c r="H629" s="61">
        <v>72</v>
      </c>
      <c r="I629" s="61">
        <v>68.182990000000004</v>
      </c>
    </row>
    <row r="630" spans="1:9" s="7" customFormat="1" ht="141.75" hidden="1" outlineLevel="1" x14ac:dyDescent="0.25">
      <c r="A630" s="45">
        <v>3281</v>
      </c>
      <c r="B630" s="45" t="s">
        <v>438</v>
      </c>
      <c r="C630" s="60" t="s">
        <v>458</v>
      </c>
      <c r="D630" s="60"/>
      <c r="E630" s="45">
        <v>2023</v>
      </c>
      <c r="F630" s="45" t="s">
        <v>90</v>
      </c>
      <c r="G630" s="45">
        <v>150</v>
      </c>
      <c r="H630" s="61">
        <v>7</v>
      </c>
      <c r="I630" s="61">
        <v>184.18178</v>
      </c>
    </row>
    <row r="631" spans="1:9" s="7" customFormat="1" ht="126" hidden="1" outlineLevel="1" x14ac:dyDescent="0.25">
      <c r="A631" s="45">
        <v>975</v>
      </c>
      <c r="B631" s="45" t="s">
        <v>438</v>
      </c>
      <c r="C631" s="60" t="s">
        <v>459</v>
      </c>
      <c r="D631" s="60"/>
      <c r="E631" s="45">
        <v>2023</v>
      </c>
      <c r="F631" s="45" t="s">
        <v>90</v>
      </c>
      <c r="G631" s="45">
        <v>10</v>
      </c>
      <c r="H631" s="61">
        <v>15</v>
      </c>
      <c r="I631" s="61">
        <v>112.06084</v>
      </c>
    </row>
    <row r="632" spans="1:9" s="7" customFormat="1" ht="173.25" hidden="1" outlineLevel="1" x14ac:dyDescent="0.25">
      <c r="A632" s="45">
        <v>3015</v>
      </c>
      <c r="B632" s="45" t="s">
        <v>438</v>
      </c>
      <c r="C632" s="60" t="s">
        <v>460</v>
      </c>
      <c r="D632" s="60"/>
      <c r="E632" s="45">
        <v>2023</v>
      </c>
      <c r="F632" s="45" t="s">
        <v>90</v>
      </c>
      <c r="G632" s="45">
        <v>3804</v>
      </c>
      <c r="H632" s="61">
        <v>30</v>
      </c>
      <c r="I632" s="61">
        <v>6897.4299600000004</v>
      </c>
    </row>
    <row r="633" spans="1:9" s="7" customFormat="1" ht="141.75" hidden="1" outlineLevel="1" x14ac:dyDescent="0.25">
      <c r="A633" s="45">
        <v>3170</v>
      </c>
      <c r="B633" s="45" t="s">
        <v>438</v>
      </c>
      <c r="C633" s="60" t="s">
        <v>269</v>
      </c>
      <c r="D633" s="60"/>
      <c r="E633" s="45">
        <v>2023</v>
      </c>
      <c r="F633" s="45" t="s">
        <v>90</v>
      </c>
      <c r="G633" s="45">
        <v>2380</v>
      </c>
      <c r="H633" s="61">
        <v>45</v>
      </c>
      <c r="I633" s="61">
        <v>4967.91</v>
      </c>
    </row>
    <row r="634" spans="1:9" s="7" customFormat="1" ht="110.25" hidden="1" outlineLevel="1" x14ac:dyDescent="0.25">
      <c r="A634" s="45">
        <v>3191</v>
      </c>
      <c r="B634" s="45" t="s">
        <v>438</v>
      </c>
      <c r="C634" s="60" t="s">
        <v>272</v>
      </c>
      <c r="D634" s="60"/>
      <c r="E634" s="45">
        <v>2023</v>
      </c>
      <c r="F634" s="45" t="s">
        <v>90</v>
      </c>
      <c r="G634" s="45">
        <v>1116</v>
      </c>
      <c r="H634" s="61">
        <v>15</v>
      </c>
      <c r="I634" s="61">
        <v>1789.15362</v>
      </c>
    </row>
    <row r="635" spans="1:9" s="7" customFormat="1" ht="157.5" hidden="1" outlineLevel="1" x14ac:dyDescent="0.25">
      <c r="A635" s="45">
        <v>4992</v>
      </c>
      <c r="B635" s="45" t="s">
        <v>438</v>
      </c>
      <c r="C635" s="60" t="s">
        <v>461</v>
      </c>
      <c r="D635" s="60"/>
      <c r="E635" s="45">
        <v>2023</v>
      </c>
      <c r="F635" s="45" t="s">
        <v>90</v>
      </c>
      <c r="G635" s="45">
        <v>3355</v>
      </c>
      <c r="H635" s="61">
        <v>30</v>
      </c>
      <c r="I635" s="61">
        <v>5840.6496699999998</v>
      </c>
    </row>
    <row r="636" spans="1:9" s="7" customFormat="1" ht="141.75" hidden="1" outlineLevel="1" x14ac:dyDescent="0.25">
      <c r="A636" s="45">
        <v>4993</v>
      </c>
      <c r="B636" s="45" t="s">
        <v>438</v>
      </c>
      <c r="C636" s="60" t="s">
        <v>275</v>
      </c>
      <c r="D636" s="60"/>
      <c r="E636" s="45">
        <v>2023</v>
      </c>
      <c r="F636" s="45" t="s">
        <v>90</v>
      </c>
      <c r="G636" s="45">
        <v>535</v>
      </c>
      <c r="H636" s="61">
        <v>95</v>
      </c>
      <c r="I636" s="61">
        <v>852.69032000000004</v>
      </c>
    </row>
    <row r="637" spans="1:9" s="7" customFormat="1" ht="126" hidden="1" outlineLevel="1" x14ac:dyDescent="0.25">
      <c r="A637" s="45">
        <v>4994</v>
      </c>
      <c r="B637" s="45" t="s">
        <v>438</v>
      </c>
      <c r="C637" s="60" t="s">
        <v>462</v>
      </c>
      <c r="D637" s="60"/>
      <c r="E637" s="45">
        <v>2023</v>
      </c>
      <c r="F637" s="45" t="s">
        <v>90</v>
      </c>
      <c r="G637" s="45">
        <v>14</v>
      </c>
      <c r="H637" s="61">
        <v>150</v>
      </c>
      <c r="I637" s="61">
        <v>170.85103000000001</v>
      </c>
    </row>
    <row r="638" spans="1:9" s="7" customFormat="1" ht="141.75" hidden="1" outlineLevel="1" x14ac:dyDescent="0.25">
      <c r="A638" s="45">
        <v>1769</v>
      </c>
      <c r="B638" s="45" t="s">
        <v>438</v>
      </c>
      <c r="C638" s="60" t="s">
        <v>463</v>
      </c>
      <c r="D638" s="60"/>
      <c r="E638" s="45">
        <v>2023</v>
      </c>
      <c r="F638" s="45" t="s">
        <v>90</v>
      </c>
      <c r="G638" s="45">
        <v>138</v>
      </c>
      <c r="H638" s="61">
        <v>5</v>
      </c>
      <c r="I638" s="61">
        <v>414.99522999999999</v>
      </c>
    </row>
    <row r="639" spans="1:9" s="7" customFormat="1" ht="126" hidden="1" outlineLevel="1" x14ac:dyDescent="0.25">
      <c r="A639" s="45">
        <v>3030</v>
      </c>
      <c r="B639" s="45" t="s">
        <v>438</v>
      </c>
      <c r="C639" s="60" t="s">
        <v>276</v>
      </c>
      <c r="D639" s="60"/>
      <c r="E639" s="45">
        <v>2023</v>
      </c>
      <c r="F639" s="45" t="s">
        <v>90</v>
      </c>
      <c r="G639" s="45">
        <v>2017</v>
      </c>
      <c r="H639" s="61">
        <v>150</v>
      </c>
      <c r="I639" s="61">
        <v>3280.7095300000001</v>
      </c>
    </row>
    <row r="640" spans="1:9" s="7" customFormat="1" ht="30" hidden="1" customHeight="1" outlineLevel="1" x14ac:dyDescent="0.25">
      <c r="A640" s="62">
        <v>1190</v>
      </c>
      <c r="B640" s="45" t="s">
        <v>438</v>
      </c>
      <c r="C640" s="60" t="s">
        <v>340</v>
      </c>
      <c r="D640" s="60"/>
      <c r="E640" s="45">
        <v>2021</v>
      </c>
      <c r="F640" s="45"/>
      <c r="G640" s="45">
        <v>6873</v>
      </c>
      <c r="H640" s="45">
        <v>150</v>
      </c>
      <c r="I640" s="45">
        <v>7631.8903399999999</v>
      </c>
    </row>
    <row r="641" spans="1:35" s="7" customFormat="1" ht="30" hidden="1" customHeight="1" outlineLevel="1" x14ac:dyDescent="0.25">
      <c r="A641" s="61">
        <v>9486</v>
      </c>
      <c r="B641" s="45" t="s">
        <v>438</v>
      </c>
      <c r="C641" s="63" t="s">
        <v>464</v>
      </c>
      <c r="D641" s="63"/>
      <c r="E641" s="45">
        <v>2021</v>
      </c>
      <c r="F641" s="45"/>
      <c r="G641" s="45">
        <v>466</v>
      </c>
      <c r="H641" s="45">
        <v>15</v>
      </c>
      <c r="I641" s="45">
        <v>944.18544999999995</v>
      </c>
    </row>
    <row r="642" spans="1:35" s="7" customFormat="1" ht="30" hidden="1" customHeight="1" collapsed="1" x14ac:dyDescent="0.25">
      <c r="A642" s="64"/>
      <c r="B642" s="65"/>
      <c r="C642" s="66"/>
      <c r="D642" s="66"/>
      <c r="E642" s="65"/>
      <c r="F642" s="65"/>
      <c r="G642" s="65"/>
      <c r="H642" s="65"/>
      <c r="I642" s="65"/>
    </row>
    <row r="643" spans="1:35" s="17" customFormat="1" ht="17.25" hidden="1" customHeight="1" x14ac:dyDescent="0.25">
      <c r="A643" s="67"/>
      <c r="B643" s="53" t="s">
        <v>465</v>
      </c>
      <c r="C643" s="56" t="s">
        <v>81</v>
      </c>
      <c r="D643" s="56"/>
      <c r="E643" s="53">
        <v>2022</v>
      </c>
      <c r="F643" s="53" t="s">
        <v>466</v>
      </c>
      <c r="G643" s="53">
        <f>SUMIF($E$648:$E$650,$E$643,$G$648:$G$650)</f>
        <v>0</v>
      </c>
      <c r="H643" s="53">
        <f>SUMIF($E$648:$E$650,$E$643,$H$648:$H$650)</f>
        <v>0</v>
      </c>
      <c r="I643" s="57">
        <f>SUMIF($E$648:$E$650,$E$643,$I$648:$I$650)</f>
        <v>0</v>
      </c>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row>
    <row r="644" spans="1:35" s="17" customFormat="1" ht="15.75" hidden="1" x14ac:dyDescent="0.25">
      <c r="A644" s="67"/>
      <c r="B644" s="53" t="s">
        <v>465</v>
      </c>
      <c r="C644" s="56" t="s">
        <v>81</v>
      </c>
      <c r="D644" s="56"/>
      <c r="E644" s="53">
        <v>2023</v>
      </c>
      <c r="F644" s="53" t="s">
        <v>466</v>
      </c>
      <c r="G644" s="53">
        <f>SUMIF($E$645:$E$649,$E$644,$G$645:$G$649)</f>
        <v>0</v>
      </c>
      <c r="H644" s="53">
        <f>SUMIF($E$645:$E$649,$E$644,$H$645:$H$649)</f>
        <v>0</v>
      </c>
      <c r="I644" s="57">
        <f>SUMIF($E$645:$E$649,$E$644,$I$645:$I$649)</f>
        <v>0</v>
      </c>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row>
    <row r="645" spans="1:35" s="7" customFormat="1" ht="17.25" hidden="1" customHeight="1" outlineLevel="1" x14ac:dyDescent="0.25">
      <c r="A645" s="45"/>
      <c r="B645" s="45"/>
      <c r="C645" s="60"/>
      <c r="D645" s="60"/>
      <c r="E645" s="45">
        <v>2022</v>
      </c>
      <c r="F645" s="45" t="s">
        <v>466</v>
      </c>
      <c r="G645" s="45">
        <v>0</v>
      </c>
      <c r="H645" s="45"/>
      <c r="I645" s="61"/>
    </row>
    <row r="646" spans="1:35" s="7" customFormat="1" ht="17.25" hidden="1" customHeight="1" outlineLevel="1" x14ac:dyDescent="0.25">
      <c r="A646" s="45"/>
      <c r="B646" s="45"/>
      <c r="C646" s="60"/>
      <c r="D646" s="60"/>
      <c r="E646" s="45">
        <v>2022</v>
      </c>
      <c r="F646" s="45" t="s">
        <v>466</v>
      </c>
      <c r="G646" s="45">
        <v>0</v>
      </c>
      <c r="H646" s="45"/>
      <c r="I646" s="61"/>
    </row>
    <row r="647" spans="1:35" s="7" customFormat="1" ht="17.25" hidden="1" customHeight="1" outlineLevel="1" x14ac:dyDescent="0.25">
      <c r="A647" s="45"/>
      <c r="B647" s="45"/>
      <c r="C647" s="60"/>
      <c r="D647" s="60"/>
      <c r="E647" s="45">
        <v>2023</v>
      </c>
      <c r="F647" s="45" t="s">
        <v>466</v>
      </c>
      <c r="G647" s="45">
        <v>0</v>
      </c>
      <c r="H647" s="45"/>
      <c r="I647" s="61"/>
    </row>
    <row r="648" spans="1:35" s="10" customFormat="1" ht="47.25" hidden="1" outlineLevel="1" x14ac:dyDescent="0.25">
      <c r="A648" s="45">
        <v>1730</v>
      </c>
      <c r="B648" s="45" t="s">
        <v>465</v>
      </c>
      <c r="C648" s="60" t="s">
        <v>467</v>
      </c>
      <c r="D648" s="60"/>
      <c r="E648" s="45">
        <v>2021</v>
      </c>
      <c r="F648" s="45" t="s">
        <v>466</v>
      </c>
      <c r="G648" s="45">
        <v>1665</v>
      </c>
      <c r="H648" s="45">
        <v>98800</v>
      </c>
      <c r="I648" s="61">
        <f>18248.5852*1.066</f>
        <v>19452.991823200002</v>
      </c>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row>
    <row r="649" spans="1:35" s="10" customFormat="1" ht="63" hidden="1" outlineLevel="1" x14ac:dyDescent="0.25">
      <c r="A649" s="45">
        <v>1726</v>
      </c>
      <c r="B649" s="45" t="s">
        <v>465</v>
      </c>
      <c r="C649" s="60" t="s">
        <v>468</v>
      </c>
      <c r="D649" s="60"/>
      <c r="E649" s="45">
        <v>2021</v>
      </c>
      <c r="F649" s="45" t="s">
        <v>466</v>
      </c>
      <c r="G649" s="45">
        <v>11371</v>
      </c>
      <c r="H649" s="45">
        <v>99999</v>
      </c>
      <c r="I649" s="61">
        <f>132403*1.066</f>
        <v>141141.598</v>
      </c>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row>
    <row r="650" spans="1:35" s="7" customFormat="1" ht="17.25" hidden="1" customHeight="1" outlineLevel="1" x14ac:dyDescent="0.25">
      <c r="A650" s="61"/>
      <c r="B650" s="68"/>
      <c r="C650" s="60"/>
      <c r="D650" s="60"/>
      <c r="E650" s="68"/>
      <c r="F650" s="68"/>
      <c r="G650" s="68"/>
      <c r="H650" s="68"/>
      <c r="I650" s="68"/>
    </row>
    <row r="651" spans="1:35" s="7" customFormat="1" ht="3.75" hidden="1" customHeight="1" collapsed="1" x14ac:dyDescent="0.25">
      <c r="A651" s="69"/>
      <c r="B651" s="230"/>
      <c r="C651" s="230"/>
      <c r="D651" s="178"/>
      <c r="E651" s="230"/>
      <c r="F651" s="227"/>
      <c r="G651" s="227"/>
      <c r="H651" s="227"/>
      <c r="I651" s="227"/>
    </row>
    <row r="652" spans="1:35" s="10" customFormat="1" ht="9" hidden="1" customHeight="1" x14ac:dyDescent="0.25">
      <c r="A652" s="69"/>
      <c r="B652" s="230"/>
      <c r="C652" s="230"/>
      <c r="D652" s="178"/>
      <c r="E652" s="230"/>
      <c r="F652" s="227"/>
      <c r="G652" s="227"/>
      <c r="H652" s="227"/>
      <c r="I652" s="22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row>
    <row r="653" spans="1:35" s="17" customFormat="1" ht="17.25" hidden="1" customHeight="1" x14ac:dyDescent="0.25">
      <c r="A653" s="69"/>
      <c r="B653" s="46" t="s">
        <v>469</v>
      </c>
      <c r="C653" s="47" t="s">
        <v>81</v>
      </c>
      <c r="D653" s="47"/>
      <c r="E653" s="46">
        <v>2022</v>
      </c>
      <c r="F653" s="46" t="s">
        <v>79</v>
      </c>
      <c r="G653" s="46">
        <f>SUMIF($E$655:$E$659,$E$653,$G$655:$G$659)</f>
        <v>153</v>
      </c>
      <c r="H653" s="46">
        <f>SUMIF($E$655:$E$659,$E$653,$H$655:$H$659)</f>
        <v>24</v>
      </c>
      <c r="I653" s="48">
        <f>SUMIF($E$655:$E$659,$E$653,$I$655:$I$659)</f>
        <v>102.08885000000001</v>
      </c>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row>
    <row r="654" spans="1:35" s="17" customFormat="1" ht="17.25" hidden="1" x14ac:dyDescent="0.25">
      <c r="A654" s="69"/>
      <c r="B654" s="46" t="s">
        <v>469</v>
      </c>
      <c r="C654" s="47" t="s">
        <v>82</v>
      </c>
      <c r="D654" s="47"/>
      <c r="E654" s="46">
        <v>2023</v>
      </c>
      <c r="F654" s="46" t="s">
        <v>79</v>
      </c>
      <c r="G654" s="46">
        <f>SUMIF($E$655:$E$659,$E$654,$G$655:$G$659)</f>
        <v>236</v>
      </c>
      <c r="H654" s="46">
        <f>SUMIF($E$655:$E$659,$E$654,$H$655:$H$659)</f>
        <v>247.2</v>
      </c>
      <c r="I654" s="48">
        <f>SUMIF($E$655:$E$659,$E$654,$I$655:$I$659)</f>
        <v>471.61298999999997</v>
      </c>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row>
    <row r="655" spans="1:35" s="7" customFormat="1" ht="94.5" hidden="1" outlineLevel="1" x14ac:dyDescent="0.25">
      <c r="A655" s="45">
        <v>2995</v>
      </c>
      <c r="B655" s="45" t="s">
        <v>469</v>
      </c>
      <c r="C655" s="60" t="s">
        <v>470</v>
      </c>
      <c r="D655" s="60"/>
      <c r="E655" s="45">
        <v>2023</v>
      </c>
      <c r="F655" s="45" t="s">
        <v>471</v>
      </c>
      <c r="G655" s="45">
        <v>201</v>
      </c>
      <c r="H655" s="45">
        <v>60</v>
      </c>
      <c r="I655" s="61">
        <v>54</v>
      </c>
    </row>
    <row r="656" spans="1:35" s="7" customFormat="1" ht="141.75" hidden="1" outlineLevel="1" x14ac:dyDescent="0.25">
      <c r="A656" s="45">
        <v>4996</v>
      </c>
      <c r="B656" s="45" t="s">
        <v>469</v>
      </c>
      <c r="C656" s="60" t="s">
        <v>472</v>
      </c>
      <c r="D656" s="60"/>
      <c r="E656" s="45">
        <v>2023</v>
      </c>
      <c r="F656" s="45" t="s">
        <v>79</v>
      </c>
      <c r="G656" s="45">
        <v>10</v>
      </c>
      <c r="H656" s="45">
        <v>87.2</v>
      </c>
      <c r="I656" s="61">
        <v>238.65671</v>
      </c>
    </row>
    <row r="657" spans="1:35" s="7" customFormat="1" ht="89.25" hidden="1" customHeight="1" outlineLevel="1" x14ac:dyDescent="0.25">
      <c r="A657" s="45">
        <v>3145</v>
      </c>
      <c r="B657" s="45" t="s">
        <v>469</v>
      </c>
      <c r="C657" s="60" t="s">
        <v>277</v>
      </c>
      <c r="D657" s="60"/>
      <c r="E657" s="45">
        <v>2023</v>
      </c>
      <c r="F657" s="45" t="s">
        <v>79</v>
      </c>
      <c r="G657" s="45">
        <v>25</v>
      </c>
      <c r="H657" s="45">
        <v>100</v>
      </c>
      <c r="I657" s="61">
        <v>178.95627999999999</v>
      </c>
    </row>
    <row r="658" spans="1:35" s="7" customFormat="1" ht="54.75" hidden="1" customHeight="1" outlineLevel="1" x14ac:dyDescent="0.25">
      <c r="A658" s="45">
        <v>318</v>
      </c>
      <c r="B658" s="45" t="s">
        <v>469</v>
      </c>
      <c r="C658" s="60" t="s">
        <v>473</v>
      </c>
      <c r="D658" s="60"/>
      <c r="E658" s="45">
        <v>2022</v>
      </c>
      <c r="F658" s="45" t="s">
        <v>79</v>
      </c>
      <c r="G658" s="45">
        <v>35</v>
      </c>
      <c r="H658" s="45">
        <v>10</v>
      </c>
      <c r="I658" s="45">
        <v>37</v>
      </c>
    </row>
    <row r="659" spans="1:35" s="7" customFormat="1" ht="78.75" hidden="1" outlineLevel="1" x14ac:dyDescent="0.25">
      <c r="A659" s="45">
        <v>2720</v>
      </c>
      <c r="B659" s="45" t="s">
        <v>469</v>
      </c>
      <c r="C659" s="60" t="s">
        <v>474</v>
      </c>
      <c r="D659" s="60"/>
      <c r="E659" s="45">
        <v>2022</v>
      </c>
      <c r="F659" s="45" t="s">
        <v>79</v>
      </c>
      <c r="G659" s="45">
        <v>118</v>
      </c>
      <c r="H659" s="45">
        <v>14</v>
      </c>
      <c r="I659" s="45">
        <v>65.088850000000008</v>
      </c>
    </row>
    <row r="660" spans="1:35" s="17" customFormat="1" ht="17.25" hidden="1" customHeight="1" collapsed="1" x14ac:dyDescent="0.25">
      <c r="A660" s="45"/>
      <c r="B660" s="46" t="s">
        <v>469</v>
      </c>
      <c r="C660" s="47" t="s">
        <v>81</v>
      </c>
      <c r="D660" s="47"/>
      <c r="E660" s="46">
        <v>2022</v>
      </c>
      <c r="F660" s="46" t="s">
        <v>90</v>
      </c>
      <c r="G660" s="46" t="e">
        <f>SUMIF(#REF!,$E$660,#REF!)</f>
        <v>#REF!</v>
      </c>
      <c r="H660" s="46" t="e">
        <f>SUMIF(#REF!,$E$660,#REF!)</f>
        <v>#REF!</v>
      </c>
      <c r="I660" s="46" t="e">
        <f>SUMIF(#REF!,$E$660,#REF!)</f>
        <v>#REF!</v>
      </c>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row>
    <row r="661" spans="1:35" s="7" customFormat="1" ht="20.25" hidden="1" customHeight="1" x14ac:dyDescent="0.25">
      <c r="A661" s="61"/>
      <c r="B661" s="46" t="s">
        <v>469</v>
      </c>
      <c r="C661" s="47" t="s">
        <v>82</v>
      </c>
      <c r="D661" s="47"/>
      <c r="E661" s="46">
        <v>2023</v>
      </c>
      <c r="F661" s="46" t="s">
        <v>90</v>
      </c>
      <c r="G661" s="46" t="e">
        <f>SUMIF(#REF!,$E$661,#REF!)</f>
        <v>#REF!</v>
      </c>
      <c r="H661" s="46" t="e">
        <f>SUMIF(#REF!,$E$661,#REF!)</f>
        <v>#REF!</v>
      </c>
      <c r="I661" s="48" t="e">
        <f>SUMIF(#REF!,$E$661,#REF!)</f>
        <v>#REF!</v>
      </c>
    </row>
    <row r="662" spans="1:35" s="72" customFormat="1" ht="23.25" customHeight="1" x14ac:dyDescent="0.25">
      <c r="A662" s="70"/>
      <c r="B662" s="197" t="s">
        <v>475</v>
      </c>
      <c r="C662" s="198"/>
      <c r="D662" s="198"/>
      <c r="E662" s="198"/>
      <c r="F662" s="198"/>
      <c r="G662" s="198"/>
      <c r="H662" s="198"/>
      <c r="I662" s="199"/>
      <c r="J662" s="183"/>
      <c r="K662" s="71"/>
      <c r="L662" s="71"/>
      <c r="M662" s="71"/>
      <c r="N662" s="71"/>
      <c r="O662" s="71"/>
      <c r="P662" s="71"/>
      <c r="Q662" s="71"/>
      <c r="R662" s="71"/>
      <c r="S662" s="71"/>
      <c r="T662" s="71"/>
      <c r="U662" s="71"/>
      <c r="V662" s="71"/>
      <c r="W662" s="71"/>
      <c r="X662" s="71"/>
      <c r="Y662" s="71"/>
      <c r="Z662" s="71"/>
      <c r="AA662" s="71"/>
      <c r="AB662" s="71"/>
      <c r="AC662" s="71"/>
      <c r="AD662" s="71"/>
      <c r="AE662" s="71"/>
      <c r="AF662" s="71"/>
      <c r="AG662" s="71"/>
      <c r="AH662" s="71"/>
      <c r="AI662" s="71"/>
    </row>
    <row r="663" spans="1:35" s="71" customFormat="1" ht="24.75" customHeight="1" x14ac:dyDescent="0.25">
      <c r="A663" s="73"/>
      <c r="B663" s="186" t="s">
        <v>476</v>
      </c>
      <c r="C663" s="209" t="s">
        <v>477</v>
      </c>
      <c r="D663" s="172"/>
      <c r="E663" s="218"/>
      <c r="F663" s="186" t="s">
        <v>478</v>
      </c>
      <c r="G663" s="186"/>
      <c r="H663" s="192"/>
      <c r="I663" s="192"/>
      <c r="J663" s="184"/>
    </row>
    <row r="664" spans="1:35" s="71" customFormat="1" ht="22.5" customHeight="1" x14ac:dyDescent="0.25">
      <c r="A664" s="73"/>
      <c r="B664" s="187"/>
      <c r="C664" s="228"/>
      <c r="D664" s="175"/>
      <c r="E664" s="229"/>
      <c r="F664" s="208"/>
      <c r="G664" s="208"/>
      <c r="H664" s="213"/>
      <c r="I664" s="213"/>
      <c r="J664" s="185">
        <f>[21]Лист1!E28</f>
        <v>6942070</v>
      </c>
    </row>
    <row r="665" spans="1:35" s="71" customFormat="1" ht="31.5" customHeight="1" x14ac:dyDescent="0.25">
      <c r="A665" s="73"/>
      <c r="B665" s="51" t="s">
        <v>476</v>
      </c>
      <c r="C665" s="52" t="s">
        <v>427</v>
      </c>
      <c r="D665" s="49">
        <v>2025</v>
      </c>
      <c r="E665" s="53">
        <v>2021</v>
      </c>
      <c r="F665" s="51" t="s">
        <v>478</v>
      </c>
      <c r="G665" s="51">
        <v>124</v>
      </c>
      <c r="H665" s="54">
        <v>104</v>
      </c>
      <c r="I665" s="54">
        <f>J664*G665/1000000</f>
        <v>860.81668000000002</v>
      </c>
      <c r="J665" s="7"/>
    </row>
    <row r="666" spans="1:35" s="75" customFormat="1" ht="16.5" hidden="1" customHeight="1" x14ac:dyDescent="0.25">
      <c r="A666" s="74"/>
      <c r="B666" s="53" t="s">
        <v>476</v>
      </c>
      <c r="C666" s="56" t="s">
        <v>81</v>
      </c>
      <c r="D666" s="56"/>
      <c r="E666" s="53">
        <v>2022</v>
      </c>
      <c r="F666" s="53" t="s">
        <v>478</v>
      </c>
      <c r="G666" s="53" t="e">
        <f>SUMIF(#REF!,$E$666,#REF!)</f>
        <v>#REF!</v>
      </c>
      <c r="H666" s="53" t="e">
        <f>SUMIF(#REF!,$E$666,#REF!)</f>
        <v>#REF!</v>
      </c>
      <c r="I666" s="57" t="e">
        <f>SUMIF(#REF!,$E$666,#REF!)</f>
        <v>#REF!</v>
      </c>
      <c r="J666" s="71"/>
      <c r="K666" s="71"/>
      <c r="L666" s="71"/>
      <c r="M666" s="71"/>
      <c r="N666" s="71"/>
      <c r="O666" s="71"/>
      <c r="P666" s="71"/>
      <c r="Q666" s="71"/>
      <c r="R666" s="71"/>
      <c r="S666" s="71"/>
      <c r="T666" s="71"/>
      <c r="U666" s="71"/>
      <c r="V666" s="71"/>
      <c r="W666" s="71"/>
      <c r="X666" s="71"/>
      <c r="Y666" s="71"/>
      <c r="Z666" s="71"/>
      <c r="AA666" s="71"/>
      <c r="AB666" s="71"/>
      <c r="AC666" s="71"/>
      <c r="AD666" s="71"/>
      <c r="AE666" s="71"/>
      <c r="AF666" s="71"/>
      <c r="AG666" s="71"/>
      <c r="AH666" s="71"/>
      <c r="AI666" s="71"/>
    </row>
    <row r="667" spans="1:35" s="75" customFormat="1" ht="15.75" hidden="1" x14ac:dyDescent="0.25">
      <c r="A667" s="74"/>
      <c r="B667" s="53" t="s">
        <v>476</v>
      </c>
      <c r="C667" s="56" t="s">
        <v>82</v>
      </c>
      <c r="D667" s="56"/>
      <c r="E667" s="53">
        <v>2023</v>
      </c>
      <c r="F667" s="53" t="s">
        <v>478</v>
      </c>
      <c r="G667" s="53" t="e">
        <f>SUMIF(#REF!,$E$667,#REF!)</f>
        <v>#REF!</v>
      </c>
      <c r="H667" s="53" t="e">
        <f>SUMIF(#REF!,$E$667,#REF!)</f>
        <v>#REF!</v>
      </c>
      <c r="I667" s="57" t="e">
        <f>SUMIF(#REF!,$E$667,#REF!)</f>
        <v>#REF!</v>
      </c>
      <c r="J667" s="71"/>
      <c r="K667" s="71"/>
      <c r="L667" s="71"/>
      <c r="M667" s="71"/>
      <c r="N667" s="71"/>
      <c r="O667" s="71"/>
      <c r="P667" s="71"/>
      <c r="Q667" s="71"/>
      <c r="R667" s="71"/>
      <c r="S667" s="71"/>
      <c r="T667" s="71"/>
      <c r="U667" s="71"/>
      <c r="V667" s="71"/>
      <c r="W667" s="71"/>
      <c r="X667" s="71"/>
      <c r="Y667" s="71"/>
      <c r="Z667" s="71"/>
      <c r="AA667" s="71"/>
      <c r="AB667" s="71"/>
      <c r="AC667" s="71"/>
      <c r="AD667" s="71"/>
      <c r="AE667" s="71"/>
      <c r="AF667" s="71"/>
      <c r="AG667" s="71"/>
      <c r="AH667" s="71"/>
      <c r="AI667" s="71"/>
    </row>
    <row r="668" spans="1:35" s="71" customFormat="1" ht="15.75" x14ac:dyDescent="0.25">
      <c r="A668" s="73"/>
      <c r="B668" s="186" t="s">
        <v>479</v>
      </c>
      <c r="C668" s="209" t="s">
        <v>480</v>
      </c>
      <c r="D668" s="172"/>
      <c r="E668" s="190"/>
      <c r="F668" s="186" t="s">
        <v>478</v>
      </c>
      <c r="G668" s="186"/>
      <c r="H668" s="192"/>
      <c r="I668" s="192"/>
    </row>
    <row r="669" spans="1:35" s="71" customFormat="1" ht="8.25" customHeight="1" x14ac:dyDescent="0.25">
      <c r="A669" s="73"/>
      <c r="B669" s="208"/>
      <c r="C669" s="210"/>
      <c r="D669" s="175"/>
      <c r="E669" s="227"/>
      <c r="F669" s="208"/>
      <c r="G669" s="208"/>
      <c r="H669" s="213"/>
      <c r="I669" s="213"/>
    </row>
    <row r="670" spans="1:35" s="71" customFormat="1" ht="12.75" customHeight="1" x14ac:dyDescent="0.25">
      <c r="A670" s="73"/>
      <c r="B670" s="208"/>
      <c r="C670" s="210"/>
      <c r="D670" s="175"/>
      <c r="E670" s="227"/>
      <c r="F670" s="208"/>
      <c r="G670" s="208"/>
      <c r="H670" s="213"/>
      <c r="I670" s="213"/>
      <c r="J670" s="185">
        <f>[21]Лист1!E30</f>
        <v>6811330</v>
      </c>
    </row>
    <row r="671" spans="1:35" s="71" customFormat="1" ht="15.75" x14ac:dyDescent="0.25">
      <c r="A671" s="73"/>
      <c r="B671" s="187"/>
      <c r="C671" s="189"/>
      <c r="D671" s="173"/>
      <c r="E671" s="191"/>
      <c r="F671" s="187"/>
      <c r="G671" s="187"/>
      <c r="H671" s="193"/>
      <c r="I671" s="193"/>
    </row>
    <row r="672" spans="1:35" s="71" customFormat="1" ht="41.25" customHeight="1" x14ac:dyDescent="0.25">
      <c r="A672" s="73"/>
      <c r="B672" s="51" t="s">
        <v>479</v>
      </c>
      <c r="C672" s="52" t="s">
        <v>427</v>
      </c>
      <c r="D672" s="49">
        <v>2025</v>
      </c>
      <c r="E672" s="46">
        <v>2021</v>
      </c>
      <c r="F672" s="51" t="s">
        <v>478</v>
      </c>
      <c r="G672" s="58">
        <v>140</v>
      </c>
      <c r="H672" s="59">
        <v>295</v>
      </c>
      <c r="I672" s="59">
        <f>J670*G672/1000000</f>
        <v>953.58619999999996</v>
      </c>
      <c r="J672" s="7"/>
    </row>
    <row r="673" spans="1:35" s="75" customFormat="1" ht="16.5" hidden="1" customHeight="1" x14ac:dyDescent="0.25">
      <c r="A673" s="74"/>
      <c r="B673" s="46" t="s">
        <v>479</v>
      </c>
      <c r="C673" s="47" t="s">
        <v>81</v>
      </c>
      <c r="D673" s="47"/>
      <c r="E673" s="46">
        <v>2022</v>
      </c>
      <c r="F673" s="46" t="s">
        <v>478</v>
      </c>
      <c r="G673" s="76" t="e">
        <f>SUMIF(#REF!,$E$673,#REF!)</f>
        <v>#REF!</v>
      </c>
      <c r="H673" s="77" t="e">
        <f>SUMIF(#REF!,$E$673,#REF!)</f>
        <v>#REF!</v>
      </c>
      <c r="I673" s="77" t="e">
        <f>SUMIF(#REF!,$E$673,#REF!)</f>
        <v>#REF!</v>
      </c>
      <c r="J673" s="71"/>
      <c r="K673" s="71"/>
      <c r="L673" s="71"/>
      <c r="M673" s="71"/>
      <c r="N673" s="71"/>
      <c r="O673" s="71"/>
      <c r="P673" s="71"/>
      <c r="Q673" s="71"/>
      <c r="R673" s="71"/>
      <c r="S673" s="71"/>
      <c r="T673" s="71"/>
      <c r="U673" s="71"/>
      <c r="V673" s="71"/>
      <c r="W673" s="71"/>
      <c r="X673" s="71"/>
      <c r="Y673" s="71"/>
      <c r="Z673" s="71"/>
      <c r="AA673" s="71"/>
      <c r="AB673" s="71"/>
      <c r="AC673" s="71"/>
      <c r="AD673" s="71"/>
      <c r="AE673" s="71"/>
      <c r="AF673" s="71"/>
      <c r="AG673" s="71"/>
      <c r="AH673" s="71"/>
      <c r="AI673" s="71"/>
    </row>
    <row r="674" spans="1:35" s="75" customFormat="1" ht="15.75" hidden="1" x14ac:dyDescent="0.25">
      <c r="A674" s="74"/>
      <c r="B674" s="46" t="s">
        <v>479</v>
      </c>
      <c r="C674" s="47" t="s">
        <v>81</v>
      </c>
      <c r="D674" s="47"/>
      <c r="E674" s="46">
        <v>2023</v>
      </c>
      <c r="F674" s="46" t="s">
        <v>478</v>
      </c>
      <c r="G674" s="76" t="e">
        <f>SUMIF(#REF!,$E$674,#REF!)</f>
        <v>#REF!</v>
      </c>
      <c r="H674" s="77" t="e">
        <f>SUMIF(#REF!,$E$674,#REF!)</f>
        <v>#REF!</v>
      </c>
      <c r="I674" s="77" t="e">
        <f>SUMIF(#REF!,$E$674,#REF!)</f>
        <v>#REF!</v>
      </c>
      <c r="J674" s="71"/>
      <c r="K674" s="71"/>
      <c r="L674" s="71"/>
      <c r="M674" s="71"/>
      <c r="N674" s="71"/>
      <c r="O674" s="71"/>
      <c r="P674" s="71"/>
      <c r="Q674" s="71"/>
      <c r="R674" s="71"/>
      <c r="S674" s="71"/>
      <c r="T674" s="71"/>
      <c r="U674" s="71"/>
      <c r="V674" s="71"/>
      <c r="W674" s="71"/>
      <c r="X674" s="71"/>
      <c r="Y674" s="71"/>
      <c r="Z674" s="71"/>
      <c r="AA674" s="71"/>
      <c r="AB674" s="71"/>
      <c r="AC674" s="71"/>
      <c r="AD674" s="71"/>
      <c r="AE674" s="71"/>
      <c r="AF674" s="71"/>
      <c r="AG674" s="71"/>
      <c r="AH674" s="71"/>
      <c r="AI674" s="71"/>
    </row>
    <row r="675" spans="1:35" s="71" customFormat="1" ht="13.5" customHeight="1" x14ac:dyDescent="0.25">
      <c r="A675" s="78"/>
      <c r="B675" s="186" t="s">
        <v>481</v>
      </c>
      <c r="C675" s="209" t="s">
        <v>482</v>
      </c>
      <c r="D675" s="172"/>
      <c r="E675" s="203"/>
      <c r="F675" s="186" t="s">
        <v>478</v>
      </c>
      <c r="G675" s="186"/>
      <c r="H675" s="192"/>
      <c r="I675" s="192"/>
    </row>
    <row r="676" spans="1:35" s="71" customFormat="1" ht="15.75" x14ac:dyDescent="0.25">
      <c r="A676" s="79"/>
      <c r="B676" s="208"/>
      <c r="C676" s="210"/>
      <c r="D676" s="175"/>
      <c r="E676" s="212"/>
      <c r="F676" s="208"/>
      <c r="G676" s="208"/>
      <c r="H676" s="213"/>
      <c r="I676" s="213"/>
    </row>
    <row r="677" spans="1:35" s="71" customFormat="1" ht="11.25" customHeight="1" x14ac:dyDescent="0.25">
      <c r="A677" s="79"/>
      <c r="B677" s="208"/>
      <c r="C677" s="210"/>
      <c r="D677" s="175"/>
      <c r="E677" s="212"/>
      <c r="F677" s="208"/>
      <c r="G677" s="208"/>
      <c r="H677" s="213"/>
      <c r="I677" s="213"/>
      <c r="J677" s="185">
        <f>[21]Лист1!E32</f>
        <v>7354190</v>
      </c>
    </row>
    <row r="678" spans="1:35" s="71" customFormat="1" ht="10.5" customHeight="1" x14ac:dyDescent="0.25">
      <c r="A678" s="79"/>
      <c r="B678" s="187"/>
      <c r="C678" s="189"/>
      <c r="D678" s="173"/>
      <c r="E678" s="204"/>
      <c r="F678" s="187"/>
      <c r="G678" s="187"/>
      <c r="H678" s="193"/>
      <c r="I678" s="193"/>
    </row>
    <row r="679" spans="1:35" s="71" customFormat="1" ht="39.75" customHeight="1" x14ac:dyDescent="0.25">
      <c r="A679" s="80"/>
      <c r="B679" s="51" t="s">
        <v>481</v>
      </c>
      <c r="C679" s="52" t="s">
        <v>430</v>
      </c>
      <c r="D679" s="49">
        <v>2025</v>
      </c>
      <c r="E679" s="53">
        <v>2021</v>
      </c>
      <c r="F679" s="51" t="s">
        <v>478</v>
      </c>
      <c r="G679" s="51">
        <v>140</v>
      </c>
      <c r="H679" s="54">
        <v>577</v>
      </c>
      <c r="I679" s="54">
        <f>J677*G679/1000000</f>
        <v>1029.5866000000001</v>
      </c>
      <c r="J679" s="7"/>
    </row>
    <row r="680" spans="1:35" s="75" customFormat="1" ht="16.5" hidden="1" customHeight="1" x14ac:dyDescent="0.25">
      <c r="A680" s="81"/>
      <c r="B680" s="53" t="s">
        <v>481</v>
      </c>
      <c r="C680" s="56" t="s">
        <v>81</v>
      </c>
      <c r="D680" s="56"/>
      <c r="E680" s="53">
        <v>2022</v>
      </c>
      <c r="F680" s="53" t="s">
        <v>478</v>
      </c>
      <c r="G680" s="53">
        <f>SUMIF($E$682:$E$687,$E$680,$G$682:$G$687)</f>
        <v>0</v>
      </c>
      <c r="H680" s="53">
        <f>SUMIF($E$682:$E$687,$E$680,$H$682:$H$687)</f>
        <v>0</v>
      </c>
      <c r="I680" s="57">
        <f>SUMIF($E$682:$E$687,$E$680,$I$682:$I$687)</f>
        <v>0</v>
      </c>
      <c r="J680" s="71"/>
      <c r="K680" s="71"/>
      <c r="L680" s="71"/>
      <c r="M680" s="71"/>
      <c r="N680" s="71"/>
      <c r="O680" s="71"/>
      <c r="P680" s="71"/>
      <c r="Q680" s="71"/>
      <c r="R680" s="71"/>
      <c r="S680" s="71"/>
      <c r="T680" s="71"/>
      <c r="U680" s="71"/>
      <c r="V680" s="71"/>
      <c r="W680" s="71"/>
      <c r="X680" s="71"/>
      <c r="Y680" s="71"/>
      <c r="Z680" s="71"/>
      <c r="AA680" s="71"/>
      <c r="AB680" s="71"/>
      <c r="AC680" s="71"/>
      <c r="AD680" s="71"/>
      <c r="AE680" s="71"/>
      <c r="AF680" s="71"/>
      <c r="AG680" s="71"/>
      <c r="AH680" s="71"/>
      <c r="AI680" s="71"/>
    </row>
    <row r="681" spans="1:35" s="75" customFormat="1" ht="15.75" hidden="1" x14ac:dyDescent="0.25">
      <c r="A681" s="81"/>
      <c r="B681" s="53" t="s">
        <v>481</v>
      </c>
      <c r="C681" s="56" t="s">
        <v>81</v>
      </c>
      <c r="D681" s="56"/>
      <c r="E681" s="53">
        <v>2023</v>
      </c>
      <c r="F681" s="53" t="s">
        <v>478</v>
      </c>
      <c r="G681" s="53">
        <f>SUMIF($E$682:$E$687,$E$681,$G$682:$G$687)</f>
        <v>0</v>
      </c>
      <c r="H681" s="53">
        <f>SUMIF($E$682:$E$687,$E$681,$H$682:$H$687)</f>
        <v>0</v>
      </c>
      <c r="I681" s="57">
        <f>SUMIF($E$682:$E$687,$E$681,$I$682:$I$687)</f>
        <v>0</v>
      </c>
      <c r="J681" s="71"/>
      <c r="K681" s="71"/>
      <c r="L681" s="71"/>
      <c r="M681" s="71"/>
      <c r="N681" s="71"/>
      <c r="O681" s="71"/>
      <c r="P681" s="71"/>
      <c r="Q681" s="71"/>
      <c r="R681" s="71"/>
      <c r="S681" s="71"/>
      <c r="T681" s="71"/>
      <c r="U681" s="71"/>
      <c r="V681" s="71"/>
      <c r="W681" s="71"/>
      <c r="X681" s="71"/>
      <c r="Y681" s="71"/>
      <c r="Z681" s="71"/>
      <c r="AA681" s="71"/>
      <c r="AB681" s="71"/>
      <c r="AC681" s="71"/>
      <c r="AD681" s="71"/>
      <c r="AE681" s="71"/>
      <c r="AF681" s="71"/>
      <c r="AG681" s="71"/>
      <c r="AH681" s="71"/>
      <c r="AI681" s="71"/>
    </row>
    <row r="682" spans="1:35" s="71" customFormat="1" ht="15.75" hidden="1" outlineLevel="1" x14ac:dyDescent="0.25">
      <c r="A682" s="74"/>
      <c r="B682" s="45" t="s">
        <v>481</v>
      </c>
      <c r="C682" s="82"/>
      <c r="D682" s="82"/>
      <c r="E682" s="45">
        <v>2022</v>
      </c>
      <c r="F682" s="45" t="s">
        <v>478</v>
      </c>
      <c r="G682" s="45"/>
      <c r="H682" s="61"/>
      <c r="I682" s="61"/>
    </row>
    <row r="683" spans="1:35" s="71" customFormat="1" ht="15.75" hidden="1" outlineLevel="1" x14ac:dyDescent="0.25">
      <c r="A683" s="74"/>
      <c r="B683" s="45" t="s">
        <v>481</v>
      </c>
      <c r="C683" s="82"/>
      <c r="D683" s="82"/>
      <c r="E683" s="45">
        <v>2023</v>
      </c>
      <c r="F683" s="45" t="s">
        <v>478</v>
      </c>
      <c r="G683" s="45"/>
      <c r="H683" s="61"/>
      <c r="I683" s="61"/>
    </row>
    <row r="684" spans="1:35" s="71" customFormat="1" ht="42.75" hidden="1" customHeight="1" outlineLevel="1" x14ac:dyDescent="0.25">
      <c r="A684" s="83">
        <v>9574</v>
      </c>
      <c r="B684" s="45" t="s">
        <v>481</v>
      </c>
      <c r="C684" s="82" t="s">
        <v>483</v>
      </c>
      <c r="D684" s="82"/>
      <c r="E684" s="45">
        <v>2021</v>
      </c>
      <c r="F684" s="45" t="s">
        <v>478</v>
      </c>
      <c r="G684" s="45">
        <v>15916</v>
      </c>
      <c r="H684" s="61">
        <v>2002</v>
      </c>
      <c r="I684" s="61">
        <v>65765</v>
      </c>
    </row>
    <row r="685" spans="1:35" s="71" customFormat="1" ht="35.25" hidden="1" customHeight="1" outlineLevel="1" x14ac:dyDescent="0.25">
      <c r="A685" s="83">
        <v>9266</v>
      </c>
      <c r="B685" s="45" t="s">
        <v>481</v>
      </c>
      <c r="C685" s="82" t="s">
        <v>484</v>
      </c>
      <c r="D685" s="82"/>
      <c r="E685" s="45">
        <v>2021</v>
      </c>
      <c r="F685" s="45" t="s">
        <v>478</v>
      </c>
      <c r="G685" s="45">
        <v>560</v>
      </c>
      <c r="H685" s="61">
        <v>3420</v>
      </c>
      <c r="I685" s="61">
        <v>3397</v>
      </c>
    </row>
    <row r="686" spans="1:35" s="71" customFormat="1" ht="35.25" hidden="1" customHeight="1" outlineLevel="1" x14ac:dyDescent="0.25">
      <c r="A686" s="84">
        <v>449</v>
      </c>
      <c r="B686" s="45" t="s">
        <v>481</v>
      </c>
      <c r="C686" s="82" t="s">
        <v>421</v>
      </c>
      <c r="D686" s="82"/>
      <c r="E686" s="45">
        <v>2021</v>
      </c>
      <c r="F686" s="45" t="s">
        <v>478</v>
      </c>
      <c r="G686" s="45">
        <v>625</v>
      </c>
      <c r="H686" s="61">
        <v>150</v>
      </c>
      <c r="I686" s="61">
        <v>2724.5940000000001</v>
      </c>
    </row>
    <row r="687" spans="1:35" s="71" customFormat="1" ht="35.25" hidden="1" customHeight="1" outlineLevel="1" x14ac:dyDescent="0.25">
      <c r="A687" s="83">
        <v>9079</v>
      </c>
      <c r="B687" s="45" t="s">
        <v>481</v>
      </c>
      <c r="C687" s="82" t="s">
        <v>422</v>
      </c>
      <c r="D687" s="82"/>
      <c r="E687" s="45">
        <v>2021</v>
      </c>
      <c r="F687" s="45" t="s">
        <v>478</v>
      </c>
      <c r="G687" s="45">
        <v>940</v>
      </c>
      <c r="H687" s="61">
        <v>105</v>
      </c>
      <c r="I687" s="61">
        <v>6217.4560000000001</v>
      </c>
    </row>
    <row r="688" spans="1:35" s="75" customFormat="1" ht="16.5" hidden="1" customHeight="1" collapsed="1" x14ac:dyDescent="0.25">
      <c r="A688" s="74"/>
      <c r="B688" s="46" t="s">
        <v>485</v>
      </c>
      <c r="C688" s="47" t="s">
        <v>81</v>
      </c>
      <c r="D688" s="47"/>
      <c r="E688" s="46">
        <v>2022</v>
      </c>
      <c r="F688" s="46" t="s">
        <v>478</v>
      </c>
      <c r="G688" s="48" t="e">
        <f>SUMIF(#REF!,$E$688,#REF!)</f>
        <v>#REF!</v>
      </c>
      <c r="H688" s="48" t="e">
        <f>SUMIF(#REF!,$E$688,#REF!)</f>
        <v>#REF!</v>
      </c>
      <c r="I688" s="48" t="e">
        <f>SUMIF(#REF!,$E$688,#REF!)</f>
        <v>#REF!</v>
      </c>
      <c r="J688" s="71"/>
      <c r="K688" s="71"/>
      <c r="L688" s="71"/>
      <c r="M688" s="71"/>
      <c r="N688" s="71"/>
      <c r="O688" s="71"/>
      <c r="P688" s="71"/>
      <c r="Q688" s="71"/>
      <c r="R688" s="71"/>
      <c r="S688" s="71"/>
      <c r="T688" s="71"/>
      <c r="U688" s="71"/>
      <c r="V688" s="71"/>
      <c r="W688" s="71"/>
      <c r="X688" s="71"/>
      <c r="Y688" s="71"/>
      <c r="Z688" s="71"/>
      <c r="AA688" s="71"/>
      <c r="AB688" s="71"/>
      <c r="AC688" s="71"/>
      <c r="AD688" s="71"/>
      <c r="AE688" s="71"/>
      <c r="AF688" s="71"/>
      <c r="AG688" s="71"/>
      <c r="AH688" s="71"/>
      <c r="AI688" s="71"/>
    </row>
    <row r="689" spans="1:35" s="75" customFormat="1" ht="15.75" hidden="1" x14ac:dyDescent="0.25">
      <c r="A689" s="74"/>
      <c r="B689" s="46" t="s">
        <v>485</v>
      </c>
      <c r="C689" s="47" t="s">
        <v>81</v>
      </c>
      <c r="D689" s="47"/>
      <c r="E689" s="46">
        <v>2023</v>
      </c>
      <c r="F689" s="46" t="s">
        <v>478</v>
      </c>
      <c r="G689" s="48" t="e">
        <f>SUMIF(#REF!,$E$689,#REF!)</f>
        <v>#REF!</v>
      </c>
      <c r="H689" s="48" t="e">
        <f>SUMIF(#REF!,$E$689,#REF!)</f>
        <v>#REF!</v>
      </c>
      <c r="I689" s="48" t="e">
        <f>SUMIF(#REF!,$E$689,#REF!)</f>
        <v>#REF!</v>
      </c>
      <c r="J689" s="71"/>
      <c r="K689" s="71"/>
      <c r="L689" s="71"/>
      <c r="M689" s="71"/>
      <c r="N689" s="71"/>
      <c r="O689" s="71"/>
      <c r="P689" s="71"/>
      <c r="Q689" s="71"/>
      <c r="R689" s="71"/>
      <c r="S689" s="71"/>
      <c r="T689" s="71"/>
      <c r="U689" s="71"/>
      <c r="V689" s="71"/>
      <c r="W689" s="71"/>
      <c r="X689" s="71"/>
      <c r="Y689" s="71"/>
      <c r="Z689" s="71"/>
      <c r="AA689" s="71"/>
      <c r="AB689" s="71"/>
      <c r="AC689" s="71"/>
      <c r="AD689" s="71"/>
      <c r="AE689" s="71"/>
      <c r="AF689" s="71"/>
      <c r="AG689" s="71"/>
      <c r="AH689" s="71"/>
      <c r="AI689" s="71"/>
    </row>
    <row r="690" spans="1:35" s="71" customFormat="1" ht="33" customHeight="1" x14ac:dyDescent="0.25">
      <c r="A690" s="73"/>
      <c r="B690" s="194" t="s">
        <v>486</v>
      </c>
      <c r="C690" s="195"/>
      <c r="D690" s="195"/>
      <c r="E690" s="195"/>
      <c r="F690" s="195"/>
      <c r="G690" s="195"/>
      <c r="H690" s="195"/>
      <c r="I690" s="196"/>
    </row>
    <row r="691" spans="1:35" s="71" customFormat="1" ht="15.75" x14ac:dyDescent="0.25">
      <c r="A691" s="73"/>
      <c r="B691" s="186" t="s">
        <v>487</v>
      </c>
      <c r="C691" s="209" t="s">
        <v>488</v>
      </c>
      <c r="D691" s="172"/>
      <c r="E691" s="215"/>
      <c r="F691" s="186" t="s">
        <v>489</v>
      </c>
      <c r="G691" s="209"/>
      <c r="H691" s="205"/>
      <c r="I691" s="205"/>
    </row>
    <row r="692" spans="1:35" s="71" customFormat="1" ht="15.75" x14ac:dyDescent="0.25">
      <c r="A692" s="85"/>
      <c r="B692" s="221"/>
      <c r="C692" s="223"/>
      <c r="D692" s="175"/>
      <c r="E692" s="216"/>
      <c r="F692" s="221" t="s">
        <v>478</v>
      </c>
      <c r="G692" s="223"/>
      <c r="H692" s="225"/>
      <c r="I692" s="225"/>
    </row>
    <row r="693" spans="1:35" s="71" customFormat="1" ht="6" customHeight="1" x14ac:dyDescent="0.25">
      <c r="A693" s="73"/>
      <c r="B693" s="221"/>
      <c r="C693" s="223"/>
      <c r="D693" s="175"/>
      <c r="E693" s="216"/>
      <c r="F693" s="221"/>
      <c r="G693" s="223"/>
      <c r="H693" s="225"/>
      <c r="I693" s="225"/>
    </row>
    <row r="694" spans="1:35" s="71" customFormat="1" ht="9" customHeight="1" x14ac:dyDescent="0.25">
      <c r="A694" s="73"/>
      <c r="B694" s="222"/>
      <c r="C694" s="224"/>
      <c r="D694" s="173"/>
      <c r="E694" s="207"/>
      <c r="F694" s="222"/>
      <c r="G694" s="224"/>
      <c r="H694" s="226"/>
      <c r="I694" s="226"/>
    </row>
    <row r="695" spans="1:35" s="71" customFormat="1" ht="35.25" customHeight="1" x14ac:dyDescent="0.25">
      <c r="A695" s="73"/>
      <c r="B695" s="51" t="s">
        <v>487</v>
      </c>
      <c r="C695" s="52" t="s">
        <v>430</v>
      </c>
      <c r="D695" s="49">
        <v>2025</v>
      </c>
      <c r="E695" s="46">
        <v>2021</v>
      </c>
      <c r="F695" s="51" t="s">
        <v>489</v>
      </c>
      <c r="G695" s="51">
        <v>207</v>
      </c>
      <c r="H695" s="54">
        <v>165</v>
      </c>
      <c r="I695" s="54">
        <f>G695*J695/1000000</f>
        <v>1147.37202</v>
      </c>
      <c r="J695" s="182">
        <f>[21]Лист1!E42</f>
        <v>5542860</v>
      </c>
    </row>
    <row r="696" spans="1:35" s="75" customFormat="1" ht="16.5" hidden="1" customHeight="1" x14ac:dyDescent="0.25">
      <c r="A696" s="74"/>
      <c r="B696" s="46" t="s">
        <v>487</v>
      </c>
      <c r="C696" s="47" t="s">
        <v>81</v>
      </c>
      <c r="D696" s="47"/>
      <c r="E696" s="46">
        <v>2022</v>
      </c>
      <c r="F696" s="46" t="s">
        <v>478</v>
      </c>
      <c r="G696" s="46" t="e">
        <f>SUMIF(#REF!,$E$696,#REF!)</f>
        <v>#REF!</v>
      </c>
      <c r="H696" s="46" t="e">
        <f>SUMIF(#REF!,$E$696,#REF!)</f>
        <v>#REF!</v>
      </c>
      <c r="I696" s="46" t="e">
        <f>SUMIF(#REF!,$E$696,#REF!)</f>
        <v>#REF!</v>
      </c>
      <c r="J696" s="71"/>
      <c r="K696" s="71"/>
      <c r="L696" s="71"/>
      <c r="M696" s="71"/>
      <c r="N696" s="71"/>
      <c r="O696" s="71"/>
      <c r="P696" s="71"/>
      <c r="Q696" s="71"/>
      <c r="R696" s="71"/>
      <c r="S696" s="71"/>
      <c r="T696" s="71"/>
      <c r="U696" s="71"/>
      <c r="V696" s="71"/>
      <c r="W696" s="71"/>
      <c r="X696" s="71"/>
      <c r="Y696" s="71"/>
      <c r="Z696" s="71"/>
      <c r="AA696" s="71"/>
      <c r="AB696" s="71"/>
      <c r="AC696" s="71"/>
      <c r="AD696" s="71"/>
      <c r="AE696" s="71"/>
      <c r="AF696" s="71"/>
      <c r="AG696" s="71"/>
      <c r="AH696" s="71"/>
      <c r="AI696" s="71"/>
    </row>
    <row r="697" spans="1:35" s="75" customFormat="1" ht="15.75" hidden="1" x14ac:dyDescent="0.25">
      <c r="A697" s="74"/>
      <c r="B697" s="46" t="s">
        <v>487</v>
      </c>
      <c r="C697" s="47" t="s">
        <v>82</v>
      </c>
      <c r="D697" s="47"/>
      <c r="E697" s="46">
        <v>2023</v>
      </c>
      <c r="F697" s="46" t="s">
        <v>478</v>
      </c>
      <c r="G697" s="46" t="e">
        <f>SUMIF(#REF!,$E$697,#REF!)</f>
        <v>#REF!</v>
      </c>
      <c r="H697" s="46" t="e">
        <f>SUMIF(#REF!,$E$697,#REF!)</f>
        <v>#REF!</v>
      </c>
      <c r="I697" s="48" t="e">
        <f>SUMIF(#REF!,$E$697,#REF!)</f>
        <v>#REF!</v>
      </c>
      <c r="J697" s="71"/>
      <c r="K697" s="71"/>
      <c r="L697" s="71"/>
      <c r="M697" s="71"/>
      <c r="N697" s="71"/>
      <c r="O697" s="71"/>
      <c r="P697" s="71"/>
      <c r="Q697" s="71"/>
      <c r="R697" s="71"/>
      <c r="S697" s="71"/>
      <c r="T697" s="71"/>
      <c r="U697" s="71"/>
      <c r="V697" s="71"/>
      <c r="W697" s="71"/>
      <c r="X697" s="71"/>
      <c r="Y697" s="71"/>
      <c r="Z697" s="71"/>
      <c r="AA697" s="71"/>
      <c r="AB697" s="71"/>
      <c r="AC697" s="71"/>
      <c r="AD697" s="71"/>
      <c r="AE697" s="71"/>
      <c r="AF697" s="71"/>
      <c r="AG697" s="71"/>
      <c r="AH697" s="71"/>
      <c r="AI697" s="71"/>
    </row>
    <row r="698" spans="1:35" s="71" customFormat="1" ht="11.25" customHeight="1" x14ac:dyDescent="0.25">
      <c r="A698" s="73"/>
      <c r="B698" s="186" t="s">
        <v>490</v>
      </c>
      <c r="C698" s="209" t="s">
        <v>491</v>
      </c>
      <c r="D698" s="172"/>
      <c r="E698" s="218"/>
      <c r="F698" s="209" t="s">
        <v>489</v>
      </c>
      <c r="G698" s="209"/>
      <c r="H698" s="205"/>
      <c r="I698" s="205"/>
    </row>
    <row r="699" spans="1:35" s="71" customFormat="1" ht="11.25" customHeight="1" x14ac:dyDescent="0.25">
      <c r="A699" s="73"/>
      <c r="B699" s="208"/>
      <c r="C699" s="210"/>
      <c r="D699" s="175"/>
      <c r="E699" s="219"/>
      <c r="F699" s="210" t="s">
        <v>489</v>
      </c>
      <c r="G699" s="210"/>
      <c r="H699" s="206"/>
      <c r="I699" s="206"/>
    </row>
    <row r="700" spans="1:35" s="71" customFormat="1" ht="11.25" customHeight="1" x14ac:dyDescent="0.25">
      <c r="A700" s="73"/>
      <c r="B700" s="208"/>
      <c r="C700" s="210"/>
      <c r="D700" s="175"/>
      <c r="E700" s="219"/>
      <c r="F700" s="210"/>
      <c r="G700" s="210"/>
      <c r="H700" s="206"/>
      <c r="I700" s="206"/>
    </row>
    <row r="701" spans="1:35" s="71" customFormat="1" ht="15.75" x14ac:dyDescent="0.25">
      <c r="A701" s="73"/>
      <c r="B701" s="187"/>
      <c r="C701" s="189"/>
      <c r="D701" s="173"/>
      <c r="E701" s="220"/>
      <c r="F701" s="189"/>
      <c r="G701" s="189"/>
      <c r="H701" s="217"/>
      <c r="I701" s="217"/>
      <c r="J701" s="185">
        <f>[21]Лист1!E46</f>
        <v>5911620</v>
      </c>
    </row>
    <row r="702" spans="1:35" s="71" customFormat="1" ht="39.75" customHeight="1" x14ac:dyDescent="0.25">
      <c r="A702" s="73"/>
      <c r="B702" s="51" t="s">
        <v>490</v>
      </c>
      <c r="C702" s="52" t="s">
        <v>427</v>
      </c>
      <c r="D702" s="49">
        <v>2025</v>
      </c>
      <c r="E702" s="53">
        <v>2021</v>
      </c>
      <c r="F702" s="51" t="s">
        <v>489</v>
      </c>
      <c r="G702" s="51">
        <v>243</v>
      </c>
      <c r="H702" s="54">
        <v>315</v>
      </c>
      <c r="I702" s="54">
        <f>G702*J701/1000000</f>
        <v>1436.5236600000001</v>
      </c>
      <c r="J702" s="7"/>
    </row>
    <row r="703" spans="1:35" s="75" customFormat="1" ht="16.5" hidden="1" customHeight="1" x14ac:dyDescent="0.25">
      <c r="A703" s="74"/>
      <c r="B703" s="53" t="s">
        <v>490</v>
      </c>
      <c r="C703" s="56" t="s">
        <v>81</v>
      </c>
      <c r="D703" s="56"/>
      <c r="E703" s="53">
        <v>2022</v>
      </c>
      <c r="F703" s="53" t="s">
        <v>489</v>
      </c>
      <c r="G703" s="53">
        <f>SUMIF($E$705:$E$710,$E$703,$G$705:$G$710)</f>
        <v>542</v>
      </c>
      <c r="H703" s="53">
        <f>SUMIF($E$705:$E$710,$E$703,$H$705:$H$710)</f>
        <v>50</v>
      </c>
      <c r="I703" s="57">
        <f>SUMIF($E$705:$E$710,$E$703,$I$705:$I$710)</f>
        <v>1600</v>
      </c>
      <c r="J703" s="71"/>
      <c r="K703" s="71"/>
      <c r="L703" s="71"/>
      <c r="M703" s="71"/>
      <c r="N703" s="71"/>
      <c r="O703" s="71"/>
      <c r="P703" s="71"/>
      <c r="Q703" s="71"/>
      <c r="R703" s="71"/>
      <c r="S703" s="71"/>
      <c r="T703" s="71"/>
      <c r="U703" s="71"/>
      <c r="V703" s="71"/>
      <c r="W703" s="71"/>
      <c r="X703" s="71"/>
      <c r="Y703" s="71"/>
      <c r="Z703" s="71"/>
      <c r="AA703" s="71"/>
      <c r="AB703" s="71"/>
      <c r="AC703" s="71"/>
      <c r="AD703" s="71"/>
      <c r="AE703" s="71"/>
      <c r="AF703" s="71"/>
      <c r="AG703" s="71"/>
      <c r="AH703" s="71"/>
      <c r="AI703" s="71"/>
    </row>
    <row r="704" spans="1:35" s="75" customFormat="1" ht="15.75" hidden="1" x14ac:dyDescent="0.25">
      <c r="A704" s="74"/>
      <c r="B704" s="53" t="s">
        <v>490</v>
      </c>
      <c r="C704" s="56" t="s">
        <v>82</v>
      </c>
      <c r="D704" s="56"/>
      <c r="E704" s="53">
        <v>2023</v>
      </c>
      <c r="F704" s="53" t="s">
        <v>489</v>
      </c>
      <c r="G704" s="53">
        <f>SUMIF($E$705:$E$710,$E$704,$G$705:$G$710)</f>
        <v>790</v>
      </c>
      <c r="H704" s="53">
        <f>SUMIF($E$705:$E$710,$E$704,$H$705:$H$710)</f>
        <v>205</v>
      </c>
      <c r="I704" s="57">
        <f>SUMIF($E$705:$E$710,$E$704,$I$705:$I$710)</f>
        <v>1361.17851</v>
      </c>
      <c r="J704" s="71"/>
      <c r="K704" s="71"/>
      <c r="L704" s="71"/>
      <c r="M704" s="71"/>
      <c r="N704" s="71"/>
      <c r="O704" s="71"/>
      <c r="P704" s="71"/>
      <c r="Q704" s="71"/>
      <c r="R704" s="71"/>
      <c r="S704" s="71"/>
      <c r="T704" s="71"/>
      <c r="U704" s="71"/>
      <c r="V704" s="71"/>
      <c r="W704" s="71"/>
      <c r="X704" s="71"/>
      <c r="Y704" s="71"/>
      <c r="Z704" s="71"/>
      <c r="AA704" s="71"/>
      <c r="AB704" s="71"/>
      <c r="AC704" s="71"/>
      <c r="AD704" s="71"/>
      <c r="AE704" s="71"/>
      <c r="AF704" s="71"/>
      <c r="AG704" s="71"/>
      <c r="AH704" s="71"/>
      <c r="AI704" s="71"/>
    </row>
    <row r="705" spans="1:35" s="71" customFormat="1" ht="33" hidden="1" customHeight="1" outlineLevel="1" x14ac:dyDescent="0.25">
      <c r="A705" s="74">
        <v>250</v>
      </c>
      <c r="B705" s="45" t="s">
        <v>490</v>
      </c>
      <c r="C705" s="60" t="s">
        <v>492</v>
      </c>
      <c r="D705" s="60"/>
      <c r="E705" s="45">
        <v>2022</v>
      </c>
      <c r="F705" s="45" t="s">
        <v>489</v>
      </c>
      <c r="G705" s="45">
        <v>542</v>
      </c>
      <c r="H705" s="45">
        <v>50</v>
      </c>
      <c r="I705" s="45">
        <v>1600</v>
      </c>
    </row>
    <row r="706" spans="1:35" s="71" customFormat="1" ht="33" hidden="1" customHeight="1" outlineLevel="1" x14ac:dyDescent="0.25">
      <c r="A706" s="74">
        <v>5174</v>
      </c>
      <c r="B706" s="45" t="s">
        <v>490</v>
      </c>
      <c r="C706" s="60" t="s">
        <v>230</v>
      </c>
      <c r="D706" s="60"/>
      <c r="E706" s="45">
        <v>2023</v>
      </c>
      <c r="F706" s="45" t="s">
        <v>489</v>
      </c>
      <c r="G706" s="45">
        <v>60</v>
      </c>
      <c r="H706" s="45">
        <v>100</v>
      </c>
      <c r="I706" s="61">
        <v>278.17851000000002</v>
      </c>
    </row>
    <row r="707" spans="1:35" s="71" customFormat="1" ht="33" hidden="1" customHeight="1" outlineLevel="1" x14ac:dyDescent="0.25">
      <c r="A707" s="74">
        <v>430</v>
      </c>
      <c r="B707" s="45" t="s">
        <v>490</v>
      </c>
      <c r="C707" s="60" t="s">
        <v>493</v>
      </c>
      <c r="D707" s="60"/>
      <c r="E707" s="45">
        <v>2023</v>
      </c>
      <c r="F707" s="45" t="s">
        <v>489</v>
      </c>
      <c r="G707" s="45">
        <v>730</v>
      </c>
      <c r="H707" s="45">
        <v>105</v>
      </c>
      <c r="I707" s="61">
        <v>1083</v>
      </c>
    </row>
    <row r="708" spans="1:35" s="71" customFormat="1" ht="33" hidden="1" customHeight="1" outlineLevel="1" x14ac:dyDescent="0.25">
      <c r="A708" s="74">
        <v>3748</v>
      </c>
      <c r="B708" s="45" t="s">
        <v>490</v>
      </c>
      <c r="C708" s="82" t="s">
        <v>408</v>
      </c>
      <c r="D708" s="82"/>
      <c r="E708" s="45">
        <v>2021</v>
      </c>
      <c r="F708" s="45" t="s">
        <v>489</v>
      </c>
      <c r="G708" s="45">
        <v>48</v>
      </c>
      <c r="H708" s="61">
        <v>65</v>
      </c>
      <c r="I708" s="61">
        <v>1126.9059999999999</v>
      </c>
    </row>
    <row r="709" spans="1:35" s="71" customFormat="1" ht="33" hidden="1" customHeight="1" outlineLevel="1" x14ac:dyDescent="0.25">
      <c r="A709" s="83">
        <v>9669</v>
      </c>
      <c r="B709" s="45" t="s">
        <v>490</v>
      </c>
      <c r="C709" s="82" t="s">
        <v>494</v>
      </c>
      <c r="D709" s="82"/>
      <c r="E709" s="45">
        <v>2021</v>
      </c>
      <c r="F709" s="45" t="s">
        <v>489</v>
      </c>
      <c r="G709" s="45">
        <v>1595</v>
      </c>
      <c r="H709" s="45">
        <v>750</v>
      </c>
      <c r="I709" s="61">
        <v>2348</v>
      </c>
    </row>
    <row r="710" spans="1:35" s="71" customFormat="1" ht="15.75" hidden="1" outlineLevel="1" x14ac:dyDescent="0.25">
      <c r="A710" s="86"/>
      <c r="B710" s="65"/>
      <c r="C710" s="87"/>
      <c r="D710" s="87"/>
      <c r="E710" s="65"/>
      <c r="F710" s="65"/>
      <c r="G710" s="65"/>
      <c r="H710" s="65"/>
      <c r="I710" s="64"/>
    </row>
    <row r="711" spans="1:35" s="75" customFormat="1" ht="15.75" hidden="1" collapsed="1" x14ac:dyDescent="0.25">
      <c r="A711" s="74"/>
      <c r="B711" s="53" t="s">
        <v>490</v>
      </c>
      <c r="C711" s="56" t="s">
        <v>81</v>
      </c>
      <c r="D711" s="56"/>
      <c r="E711" s="53">
        <v>2022</v>
      </c>
      <c r="F711" s="53" t="s">
        <v>478</v>
      </c>
      <c r="G711" s="53" t="e">
        <f>SUMIF(#REF!,$E$711,#REF!)</f>
        <v>#REF!</v>
      </c>
      <c r="H711" s="57" t="e">
        <f>SUMIF(#REF!,$E$711,#REF!)</f>
        <v>#REF!</v>
      </c>
      <c r="I711" s="57" t="e">
        <f>SUMIF(#REF!,$E$711,#REF!)</f>
        <v>#REF!</v>
      </c>
      <c r="J711" s="71"/>
      <c r="K711" s="71"/>
      <c r="L711" s="71"/>
      <c r="M711" s="71"/>
      <c r="N711" s="71"/>
      <c r="O711" s="71"/>
      <c r="P711" s="71"/>
      <c r="Q711" s="71"/>
      <c r="R711" s="71"/>
      <c r="S711" s="71"/>
      <c r="T711" s="71"/>
      <c r="U711" s="71"/>
      <c r="V711" s="71"/>
      <c r="W711" s="71"/>
      <c r="X711" s="71"/>
      <c r="Y711" s="71"/>
      <c r="Z711" s="71"/>
      <c r="AA711" s="71"/>
      <c r="AB711" s="71"/>
      <c r="AC711" s="71"/>
      <c r="AD711" s="71"/>
      <c r="AE711" s="71"/>
      <c r="AF711" s="71"/>
      <c r="AG711" s="71"/>
      <c r="AH711" s="71"/>
      <c r="AI711" s="71"/>
    </row>
    <row r="712" spans="1:35" s="75" customFormat="1" ht="15.75" hidden="1" x14ac:dyDescent="0.25">
      <c r="A712" s="74"/>
      <c r="B712" s="53" t="s">
        <v>490</v>
      </c>
      <c r="C712" s="56" t="s">
        <v>81</v>
      </c>
      <c r="D712" s="56"/>
      <c r="E712" s="53">
        <v>2023</v>
      </c>
      <c r="F712" s="53" t="s">
        <v>478</v>
      </c>
      <c r="G712" s="53" t="e">
        <f>SUMIF(#REF!,$E$712,#REF!)</f>
        <v>#REF!</v>
      </c>
      <c r="H712" s="57" t="e">
        <f>SUMIF(#REF!,$E$712,#REF!)</f>
        <v>#REF!</v>
      </c>
      <c r="I712" s="57" t="e">
        <f>SUMIF(#REF!,$E$712,#REF!)</f>
        <v>#REF!</v>
      </c>
      <c r="J712" s="71"/>
      <c r="K712" s="71"/>
      <c r="L712" s="71"/>
      <c r="M712" s="71"/>
      <c r="N712" s="71"/>
      <c r="O712" s="71"/>
      <c r="P712" s="71"/>
      <c r="Q712" s="71"/>
      <c r="R712" s="71"/>
      <c r="S712" s="71"/>
      <c r="T712" s="71"/>
      <c r="U712" s="71"/>
      <c r="V712" s="71"/>
      <c r="W712" s="71"/>
      <c r="X712" s="71"/>
      <c r="Y712" s="71"/>
      <c r="Z712" s="71"/>
      <c r="AA712" s="71"/>
      <c r="AB712" s="71"/>
      <c r="AC712" s="71"/>
      <c r="AD712" s="71"/>
      <c r="AE712" s="71"/>
      <c r="AF712" s="71"/>
      <c r="AG712" s="71"/>
      <c r="AH712" s="71"/>
      <c r="AI712" s="71"/>
    </row>
    <row r="713" spans="1:35" s="71" customFormat="1" ht="47.25" x14ac:dyDescent="0.25">
      <c r="A713" s="73"/>
      <c r="B713" s="51" t="s">
        <v>495</v>
      </c>
      <c r="C713" s="88" t="s">
        <v>496</v>
      </c>
      <c r="D713" s="51"/>
      <c r="E713" s="89"/>
      <c r="F713" s="51" t="s">
        <v>489</v>
      </c>
      <c r="G713" s="51"/>
      <c r="H713" s="54"/>
      <c r="I713" s="54"/>
      <c r="J713" s="185">
        <f>[21]Лист1!E49</f>
        <v>6793920</v>
      </c>
    </row>
    <row r="714" spans="1:35" s="71" customFormat="1" ht="36.6" customHeight="1" x14ac:dyDescent="0.25">
      <c r="A714" s="73"/>
      <c r="B714" s="51" t="s">
        <v>495</v>
      </c>
      <c r="C714" s="52" t="s">
        <v>427</v>
      </c>
      <c r="D714" s="49">
        <v>2025</v>
      </c>
      <c r="E714" s="46">
        <v>2021</v>
      </c>
      <c r="F714" s="51" t="s">
        <v>489</v>
      </c>
      <c r="G714" s="51">
        <v>308</v>
      </c>
      <c r="H714" s="54">
        <v>525</v>
      </c>
      <c r="I714" s="54">
        <f>J713*G714/1000000</f>
        <v>2092.52736</v>
      </c>
      <c r="J714" s="7"/>
    </row>
    <row r="715" spans="1:35" s="71" customFormat="1" ht="15.6" hidden="1" customHeight="1" x14ac:dyDescent="0.25">
      <c r="A715" s="74"/>
      <c r="B715" s="46" t="s">
        <v>495</v>
      </c>
      <c r="C715" s="47" t="s">
        <v>81</v>
      </c>
      <c r="D715" s="47"/>
      <c r="E715" s="46">
        <v>2022</v>
      </c>
      <c r="F715" s="46" t="s">
        <v>478</v>
      </c>
      <c r="G715" s="46" t="e">
        <f>SUMIF(#REF!,$E$715,#REF!)</f>
        <v>#REF!</v>
      </c>
      <c r="H715" s="48" t="e">
        <f>SUMIF(#REF!,$E$715,#REF!)</f>
        <v>#REF!</v>
      </c>
      <c r="I715" s="48" t="e">
        <f>SUMIF(#REF!,$E$715,#REF!)</f>
        <v>#REF!</v>
      </c>
    </row>
    <row r="716" spans="1:35" s="71" customFormat="1" ht="15.75" hidden="1" x14ac:dyDescent="0.25">
      <c r="A716" s="74"/>
      <c r="B716" s="46" t="s">
        <v>495</v>
      </c>
      <c r="C716" s="47" t="s">
        <v>81</v>
      </c>
      <c r="D716" s="47"/>
      <c r="E716" s="46">
        <v>2023</v>
      </c>
      <c r="F716" s="46" t="s">
        <v>478</v>
      </c>
      <c r="G716" s="46" t="e">
        <f>SUMIF(#REF!,$E$716,#REF!)</f>
        <v>#REF!</v>
      </c>
      <c r="H716" s="48" t="e">
        <f>SUMIF(#REF!,$E$716,#REF!)</f>
        <v>#REF!</v>
      </c>
      <c r="I716" s="48" t="e">
        <f>SUMIF(#REF!,$E$716,#REF!)</f>
        <v>#REF!</v>
      </c>
    </row>
    <row r="717" spans="1:35" s="10" customFormat="1" ht="15.75" x14ac:dyDescent="0.25">
      <c r="A717" s="52"/>
      <c r="B717" s="209" t="s">
        <v>497</v>
      </c>
      <c r="C717" s="209" t="s">
        <v>498</v>
      </c>
      <c r="D717" s="172"/>
      <c r="E717" s="203"/>
      <c r="F717" s="186" t="s">
        <v>489</v>
      </c>
      <c r="G717" s="186"/>
      <c r="H717" s="192"/>
      <c r="I717" s="192"/>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row>
    <row r="718" spans="1:35" s="71" customFormat="1" ht="15.75" x14ac:dyDescent="0.25">
      <c r="A718" s="79"/>
      <c r="B718" s="210"/>
      <c r="C718" s="210"/>
      <c r="D718" s="175"/>
      <c r="E718" s="212"/>
      <c r="F718" s="208"/>
      <c r="G718" s="208"/>
      <c r="H718" s="213"/>
      <c r="I718" s="213"/>
      <c r="J718" s="185">
        <f>[21]Лист1!E56</f>
        <v>11622530</v>
      </c>
    </row>
    <row r="719" spans="1:35" s="71" customFormat="1" ht="15.75" x14ac:dyDescent="0.25">
      <c r="A719" s="79"/>
      <c r="B719" s="189"/>
      <c r="C719" s="189"/>
      <c r="D719" s="173"/>
      <c r="E719" s="204"/>
      <c r="F719" s="187"/>
      <c r="G719" s="187"/>
      <c r="H719" s="193"/>
      <c r="I719" s="193"/>
    </row>
    <row r="720" spans="1:35" s="71" customFormat="1" ht="34.5" customHeight="1" x14ac:dyDescent="0.25">
      <c r="A720" s="79"/>
      <c r="B720" s="51" t="s">
        <v>497</v>
      </c>
      <c r="C720" s="52" t="s">
        <v>427</v>
      </c>
      <c r="D720" s="49">
        <v>2025</v>
      </c>
      <c r="E720" s="53">
        <v>2021</v>
      </c>
      <c r="F720" s="51" t="s">
        <v>489</v>
      </c>
      <c r="G720" s="51">
        <v>112</v>
      </c>
      <c r="H720" s="54">
        <v>147</v>
      </c>
      <c r="I720" s="54">
        <f>J718*G720/1000000</f>
        <v>1301.72336</v>
      </c>
      <c r="J720" s="7"/>
    </row>
    <row r="721" spans="1:35" s="75" customFormat="1" ht="15.75" hidden="1" customHeight="1" x14ac:dyDescent="0.25">
      <c r="A721" s="90"/>
      <c r="B721" s="53" t="s">
        <v>497</v>
      </c>
      <c r="C721" s="56" t="s">
        <v>81</v>
      </c>
      <c r="D721" s="56"/>
      <c r="E721" s="53">
        <v>2022</v>
      </c>
      <c r="F721" s="53" t="s">
        <v>489</v>
      </c>
      <c r="G721" s="53" t="e">
        <f>SUMIF(#REF!,$E$721,#REF!)</f>
        <v>#REF!</v>
      </c>
      <c r="H721" s="53" t="e">
        <f>SUMIF(#REF!,$E$721,#REF!)</f>
        <v>#REF!</v>
      </c>
      <c r="I721" s="57" t="e">
        <f>SUMIF(#REF!,$E$721,#REF!)</f>
        <v>#REF!</v>
      </c>
      <c r="J721" s="71"/>
      <c r="K721" s="71"/>
      <c r="L721" s="71"/>
      <c r="M721" s="71"/>
      <c r="N721" s="71"/>
      <c r="O721" s="71"/>
      <c r="P721" s="71"/>
      <c r="Q721" s="71"/>
      <c r="R721" s="71"/>
      <c r="S721" s="71"/>
      <c r="T721" s="71"/>
      <c r="U721" s="71"/>
      <c r="V721" s="71"/>
      <c r="W721" s="71"/>
      <c r="X721" s="71"/>
      <c r="Y721" s="71"/>
      <c r="Z721" s="71"/>
      <c r="AA721" s="71"/>
      <c r="AB721" s="71"/>
      <c r="AC721" s="71"/>
      <c r="AD721" s="71"/>
      <c r="AE721" s="71"/>
      <c r="AF721" s="71"/>
      <c r="AG721" s="71"/>
      <c r="AH721" s="71"/>
      <c r="AI721" s="71"/>
    </row>
    <row r="722" spans="1:35" s="75" customFormat="1" ht="15.75" hidden="1" x14ac:dyDescent="0.25">
      <c r="A722" s="90"/>
      <c r="B722" s="53" t="s">
        <v>497</v>
      </c>
      <c r="C722" s="56" t="s">
        <v>82</v>
      </c>
      <c r="D722" s="56"/>
      <c r="E722" s="53">
        <v>2023</v>
      </c>
      <c r="F722" s="53" t="s">
        <v>489</v>
      </c>
      <c r="G722" s="53" t="e">
        <f>SUMIF(#REF!,$E$722,#REF!)</f>
        <v>#REF!</v>
      </c>
      <c r="H722" s="53" t="e">
        <f>SUMIF(#REF!,$E$722,#REF!)</f>
        <v>#REF!</v>
      </c>
      <c r="I722" s="57" t="e">
        <f>SUMIF(#REF!,$E$722,#REF!)</f>
        <v>#REF!</v>
      </c>
      <c r="J722" s="71"/>
      <c r="K722" s="71"/>
      <c r="L722" s="71"/>
      <c r="M722" s="71"/>
      <c r="N722" s="71"/>
      <c r="O722" s="71"/>
      <c r="P722" s="71"/>
      <c r="Q722" s="71"/>
      <c r="R722" s="71"/>
      <c r="S722" s="71"/>
      <c r="T722" s="71"/>
      <c r="U722" s="71"/>
      <c r="V722" s="71"/>
      <c r="W722" s="71"/>
      <c r="X722" s="71"/>
      <c r="Y722" s="71"/>
      <c r="Z722" s="71"/>
      <c r="AA722" s="71"/>
      <c r="AB722" s="71"/>
      <c r="AC722" s="71"/>
      <c r="AD722" s="71"/>
      <c r="AE722" s="71"/>
      <c r="AF722" s="71"/>
      <c r="AG722" s="71"/>
      <c r="AH722" s="71"/>
      <c r="AI722" s="71"/>
    </row>
    <row r="723" spans="1:35" s="71" customFormat="1" ht="15.75" x14ac:dyDescent="0.25">
      <c r="A723" s="200"/>
      <c r="B723" s="186" t="s">
        <v>499</v>
      </c>
      <c r="C723" s="209" t="s">
        <v>500</v>
      </c>
      <c r="D723" s="172"/>
      <c r="E723" s="215"/>
      <c r="F723" s="186" t="s">
        <v>478</v>
      </c>
      <c r="G723" s="209"/>
      <c r="H723" s="205"/>
      <c r="I723" s="205"/>
    </row>
    <row r="724" spans="1:35" s="91" customFormat="1" ht="15.75" x14ac:dyDescent="0.25">
      <c r="A724" s="208"/>
      <c r="B724" s="208"/>
      <c r="C724" s="210"/>
      <c r="D724" s="175"/>
      <c r="E724" s="216"/>
      <c r="F724" s="208"/>
      <c r="G724" s="210"/>
      <c r="H724" s="206"/>
      <c r="I724" s="206"/>
      <c r="J724" s="71"/>
      <c r="K724" s="71"/>
      <c r="L724" s="71"/>
      <c r="M724" s="71"/>
      <c r="N724" s="71"/>
      <c r="O724" s="71"/>
      <c r="P724" s="71"/>
      <c r="Q724" s="71"/>
      <c r="R724" s="71"/>
      <c r="S724" s="71"/>
      <c r="T724" s="71"/>
      <c r="U724" s="71"/>
      <c r="V724" s="71"/>
      <c r="W724" s="71"/>
      <c r="X724" s="71"/>
      <c r="Y724" s="71"/>
      <c r="Z724" s="71"/>
      <c r="AA724" s="71"/>
      <c r="AB724" s="71"/>
      <c r="AC724" s="71"/>
      <c r="AD724" s="71"/>
      <c r="AE724" s="71"/>
      <c r="AF724" s="71"/>
      <c r="AG724" s="71"/>
      <c r="AH724" s="71"/>
      <c r="AI724" s="71"/>
    </row>
    <row r="725" spans="1:35" s="91" customFormat="1" ht="13.5" customHeight="1" x14ac:dyDescent="0.25">
      <c r="A725" s="208"/>
      <c r="B725" s="208"/>
      <c r="C725" s="210"/>
      <c r="D725" s="175"/>
      <c r="E725" s="216"/>
      <c r="F725" s="208"/>
      <c r="G725" s="210"/>
      <c r="H725" s="206"/>
      <c r="I725" s="206"/>
      <c r="J725" s="185">
        <f>[21]Лист1!E63</f>
        <v>6772470</v>
      </c>
      <c r="K725" s="71"/>
      <c r="L725" s="71"/>
      <c r="M725" s="71"/>
      <c r="N725" s="71"/>
      <c r="O725" s="71"/>
      <c r="P725" s="71"/>
      <c r="Q725" s="71"/>
      <c r="R725" s="71"/>
      <c r="S725" s="71"/>
      <c r="T725" s="71"/>
      <c r="U725" s="71"/>
      <c r="V725" s="71"/>
      <c r="W725" s="71"/>
      <c r="X725" s="71"/>
      <c r="Y725" s="71"/>
      <c r="Z725" s="71"/>
      <c r="AA725" s="71"/>
      <c r="AB725" s="71"/>
      <c r="AC725" s="71"/>
      <c r="AD725" s="71"/>
      <c r="AE725" s="71"/>
      <c r="AF725" s="71"/>
      <c r="AG725" s="71"/>
      <c r="AH725" s="71"/>
      <c r="AI725" s="71"/>
    </row>
    <row r="726" spans="1:35" s="91" customFormat="1" ht="15.75" hidden="1" customHeight="1" x14ac:dyDescent="0.25">
      <c r="A726" s="214"/>
      <c r="B726" s="191"/>
      <c r="C726" s="207"/>
      <c r="D726" s="174"/>
      <c r="E726" s="207"/>
      <c r="F726" s="191"/>
      <c r="G726" s="207"/>
      <c r="H726" s="207"/>
      <c r="I726" s="207"/>
      <c r="J726" s="71"/>
      <c r="K726" s="71"/>
      <c r="L726" s="71"/>
      <c r="M726" s="71"/>
      <c r="N726" s="71"/>
      <c r="O726" s="71"/>
      <c r="P726" s="71"/>
      <c r="Q726" s="71"/>
      <c r="R726" s="71"/>
      <c r="S726" s="71"/>
      <c r="T726" s="71"/>
      <c r="U726" s="71"/>
      <c r="V726" s="71"/>
      <c r="W726" s="71"/>
      <c r="X726" s="71"/>
      <c r="Y726" s="71"/>
      <c r="Z726" s="71"/>
      <c r="AA726" s="71"/>
      <c r="AB726" s="71"/>
      <c r="AC726" s="71"/>
      <c r="AD726" s="71"/>
      <c r="AE726" s="71"/>
      <c r="AF726" s="71"/>
      <c r="AG726" s="71"/>
      <c r="AH726" s="71"/>
      <c r="AI726" s="71"/>
    </row>
    <row r="727" spans="1:35" s="71" customFormat="1" ht="32.25" customHeight="1" x14ac:dyDescent="0.25">
      <c r="A727" s="73"/>
      <c r="B727" s="51" t="s">
        <v>499</v>
      </c>
      <c r="C727" s="52" t="s">
        <v>427</v>
      </c>
      <c r="D727" s="49">
        <v>2025</v>
      </c>
      <c r="E727" s="46">
        <v>2021</v>
      </c>
      <c r="F727" s="51" t="s">
        <v>478</v>
      </c>
      <c r="G727" s="92">
        <v>129</v>
      </c>
      <c r="H727" s="93">
        <v>160</v>
      </c>
      <c r="I727" s="54">
        <f>G727*J725/1000000</f>
        <v>873.64863000000003</v>
      </c>
      <c r="J727" s="7"/>
    </row>
    <row r="728" spans="1:35" s="71" customFormat="1" ht="16.5" hidden="1" customHeight="1" x14ac:dyDescent="0.25">
      <c r="A728" s="74"/>
      <c r="B728" s="46" t="s">
        <v>499</v>
      </c>
      <c r="C728" s="47" t="s">
        <v>81</v>
      </c>
      <c r="D728" s="47"/>
      <c r="E728" s="46">
        <v>2022</v>
      </c>
      <c r="F728" s="94" t="s">
        <v>478</v>
      </c>
      <c r="G728" s="95" t="e">
        <f>SUMIF(#REF!,$E$728,#REF!)</f>
        <v>#REF!</v>
      </c>
      <c r="H728" s="95" t="e">
        <f>SUMIF(#REF!,$E$728,#REF!)</f>
        <v>#REF!</v>
      </c>
      <c r="I728" s="48" t="e">
        <f>SUMIF(#REF!,$E$728,#REF!)</f>
        <v>#REF!</v>
      </c>
    </row>
    <row r="729" spans="1:35" s="71" customFormat="1" ht="15.75" hidden="1" x14ac:dyDescent="0.25">
      <c r="A729" s="74"/>
      <c r="B729" s="46" t="s">
        <v>499</v>
      </c>
      <c r="C729" s="47" t="s">
        <v>82</v>
      </c>
      <c r="D729" s="47"/>
      <c r="E729" s="46">
        <v>2023</v>
      </c>
      <c r="F729" s="94" t="s">
        <v>478</v>
      </c>
      <c r="G729" s="95" t="e">
        <f>SUMIF(#REF!,$E$729,#REF!)</f>
        <v>#REF!</v>
      </c>
      <c r="H729" s="95" t="e">
        <f>SUMIF(#REF!,$E$729,#REF!)</f>
        <v>#REF!</v>
      </c>
      <c r="I729" s="96" t="e">
        <f>SUMIF(#REF!,$E$729,#REF!)</f>
        <v>#REF!</v>
      </c>
    </row>
    <row r="730" spans="1:35" s="71" customFormat="1" ht="15.75" x14ac:dyDescent="0.25">
      <c r="A730" s="73"/>
      <c r="B730" s="186" t="s">
        <v>501</v>
      </c>
      <c r="C730" s="209" t="s">
        <v>502</v>
      </c>
      <c r="D730" s="172"/>
      <c r="E730" s="203"/>
      <c r="F730" s="186" t="s">
        <v>478</v>
      </c>
      <c r="G730" s="186"/>
      <c r="H730" s="192"/>
      <c r="I730" s="192"/>
    </row>
    <row r="731" spans="1:35" s="71" customFormat="1" ht="15.75" x14ac:dyDescent="0.25">
      <c r="A731" s="73"/>
      <c r="B731" s="208"/>
      <c r="C731" s="210"/>
      <c r="D731" s="175"/>
      <c r="E731" s="212"/>
      <c r="F731" s="208" t="s">
        <v>478</v>
      </c>
      <c r="G731" s="208"/>
      <c r="H731" s="213"/>
      <c r="I731" s="213"/>
      <c r="J731" s="185">
        <f>[21]Лист1!E66</f>
        <v>7479950</v>
      </c>
    </row>
    <row r="732" spans="1:35" s="71" customFormat="1" ht="15.75" customHeight="1" x14ac:dyDescent="0.25">
      <c r="A732" s="73"/>
      <c r="B732" s="208"/>
      <c r="C732" s="210"/>
      <c r="D732" s="175"/>
      <c r="E732" s="212"/>
      <c r="F732" s="208"/>
      <c r="G732" s="208"/>
      <c r="H732" s="213"/>
      <c r="I732" s="213"/>
    </row>
    <row r="733" spans="1:35" s="71" customFormat="1" ht="15.75" hidden="1" customHeight="1" x14ac:dyDescent="0.25">
      <c r="A733" s="74"/>
      <c r="B733" s="204"/>
      <c r="C733" s="211"/>
      <c r="D733" s="176"/>
      <c r="E733" s="204"/>
      <c r="F733" s="204"/>
      <c r="G733" s="204"/>
      <c r="H733" s="204"/>
      <c r="I733" s="204"/>
    </row>
    <row r="734" spans="1:35" s="71" customFormat="1" ht="33" customHeight="1" x14ac:dyDescent="0.25">
      <c r="A734" s="73"/>
      <c r="B734" s="51" t="s">
        <v>501</v>
      </c>
      <c r="C734" s="52" t="s">
        <v>430</v>
      </c>
      <c r="D734" s="49">
        <v>2025</v>
      </c>
      <c r="E734" s="53">
        <v>2021</v>
      </c>
      <c r="F734" s="51" t="s">
        <v>478</v>
      </c>
      <c r="G734" s="51">
        <v>558</v>
      </c>
      <c r="H734" s="54">
        <v>250</v>
      </c>
      <c r="I734" s="54">
        <f>G734*J731/1000000</f>
        <v>4173.8121000000001</v>
      </c>
      <c r="J734" s="7"/>
    </row>
    <row r="735" spans="1:35" s="75" customFormat="1" ht="16.5" hidden="1" customHeight="1" x14ac:dyDescent="0.25">
      <c r="A735" s="74"/>
      <c r="B735" s="53" t="s">
        <v>501</v>
      </c>
      <c r="C735" s="56" t="s">
        <v>81</v>
      </c>
      <c r="D735" s="56"/>
      <c r="E735" s="53">
        <v>2022</v>
      </c>
      <c r="F735" s="53" t="s">
        <v>478</v>
      </c>
      <c r="G735" s="53" t="e">
        <f>SUMIF(#REF!,$E$735,#REF!)</f>
        <v>#REF!</v>
      </c>
      <c r="H735" s="53" t="e">
        <f>SUMIF(#REF!,$E$735,#REF!)</f>
        <v>#REF!</v>
      </c>
      <c r="I735" s="57" t="e">
        <f>SUMIF(#REF!,$E$735,#REF!)</f>
        <v>#REF!</v>
      </c>
      <c r="J735" s="71"/>
      <c r="K735" s="71"/>
      <c r="L735" s="71"/>
      <c r="M735" s="71"/>
      <c r="N735" s="71"/>
      <c r="O735" s="71"/>
      <c r="P735" s="71"/>
      <c r="Q735" s="71"/>
      <c r="R735" s="71"/>
      <c r="S735" s="71"/>
      <c r="T735" s="71"/>
      <c r="U735" s="71"/>
      <c r="V735" s="71"/>
      <c r="W735" s="71"/>
      <c r="X735" s="71"/>
      <c r="Y735" s="71"/>
      <c r="Z735" s="71"/>
      <c r="AA735" s="71"/>
      <c r="AB735" s="71"/>
      <c r="AC735" s="71"/>
      <c r="AD735" s="71"/>
      <c r="AE735" s="71"/>
      <c r="AF735" s="71"/>
      <c r="AG735" s="71"/>
      <c r="AH735" s="71"/>
      <c r="AI735" s="71"/>
    </row>
    <row r="736" spans="1:35" s="75" customFormat="1" ht="15.75" hidden="1" x14ac:dyDescent="0.25">
      <c r="A736" s="74"/>
      <c r="B736" s="53" t="s">
        <v>501</v>
      </c>
      <c r="C736" s="56" t="s">
        <v>81</v>
      </c>
      <c r="D736" s="56"/>
      <c r="E736" s="53">
        <v>2023</v>
      </c>
      <c r="F736" s="53" t="s">
        <v>478</v>
      </c>
      <c r="G736" s="53" t="e">
        <f>SUMIF(#REF!,$E$736,#REF!)</f>
        <v>#REF!</v>
      </c>
      <c r="H736" s="53" t="e">
        <f>SUMIF(#REF!,$E$736,#REF!)</f>
        <v>#REF!</v>
      </c>
      <c r="I736" s="57" t="e">
        <f>SUMIF(#REF!,$E$736,#REF!)</f>
        <v>#REF!</v>
      </c>
      <c r="J736" s="71"/>
      <c r="K736" s="71"/>
      <c r="L736" s="71"/>
      <c r="M736" s="71"/>
      <c r="N736" s="71"/>
      <c r="O736" s="71"/>
      <c r="P736" s="71"/>
      <c r="Q736" s="71"/>
      <c r="R736" s="71"/>
      <c r="S736" s="71"/>
      <c r="T736" s="71"/>
      <c r="U736" s="71"/>
      <c r="V736" s="71"/>
      <c r="W736" s="71"/>
      <c r="X736" s="71"/>
      <c r="Y736" s="71"/>
      <c r="Z736" s="71"/>
      <c r="AA736" s="71"/>
      <c r="AB736" s="71"/>
      <c r="AC736" s="71"/>
      <c r="AD736" s="71"/>
      <c r="AE736" s="71"/>
      <c r="AF736" s="71"/>
      <c r="AG736" s="71"/>
      <c r="AH736" s="71"/>
      <c r="AI736" s="71"/>
    </row>
    <row r="737" spans="1:35" s="71" customFormat="1" ht="27" customHeight="1" x14ac:dyDescent="0.25">
      <c r="A737" s="70"/>
      <c r="B737" s="194" t="s">
        <v>503</v>
      </c>
      <c r="C737" s="195"/>
      <c r="D737" s="195"/>
      <c r="E737" s="195"/>
      <c r="F737" s="195"/>
      <c r="G737" s="195"/>
      <c r="H737" s="195"/>
      <c r="I737" s="196"/>
    </row>
    <row r="738" spans="1:35" s="75" customFormat="1" ht="21.75" hidden="1" customHeight="1" x14ac:dyDescent="0.25">
      <c r="A738" s="55"/>
      <c r="B738" s="46" t="s">
        <v>504</v>
      </c>
      <c r="C738" s="47" t="s">
        <v>81</v>
      </c>
      <c r="D738" s="47"/>
      <c r="E738" s="46">
        <v>2022</v>
      </c>
      <c r="F738" s="46" t="s">
        <v>478</v>
      </c>
      <c r="G738" s="46" t="e">
        <f>SUMIF(#REF!,$E$738,#REF!)</f>
        <v>#REF!</v>
      </c>
      <c r="H738" s="48" t="e">
        <f>SUMIF(#REF!,$E$738,#REF!)</f>
        <v>#REF!</v>
      </c>
      <c r="I738" s="48" t="e">
        <f>SUMIF(#REF!,$E$738,#REF!)</f>
        <v>#REF!</v>
      </c>
      <c r="J738" s="71"/>
      <c r="K738" s="71"/>
      <c r="L738" s="71"/>
      <c r="M738" s="71"/>
      <c r="N738" s="71"/>
      <c r="O738" s="71"/>
      <c r="P738" s="71"/>
      <c r="Q738" s="71"/>
      <c r="R738" s="71"/>
      <c r="S738" s="71"/>
      <c r="T738" s="71"/>
      <c r="U738" s="71"/>
      <c r="V738" s="71"/>
      <c r="W738" s="71"/>
      <c r="X738" s="71"/>
      <c r="Y738" s="71"/>
      <c r="Z738" s="71"/>
      <c r="AA738" s="71"/>
      <c r="AB738" s="71"/>
      <c r="AC738" s="71"/>
      <c r="AD738" s="71"/>
      <c r="AE738" s="71"/>
      <c r="AF738" s="71"/>
      <c r="AG738" s="71"/>
      <c r="AH738" s="71"/>
      <c r="AI738" s="71"/>
    </row>
    <row r="739" spans="1:35" s="75" customFormat="1" ht="15.75" hidden="1" x14ac:dyDescent="0.25">
      <c r="A739" s="55"/>
      <c r="B739" s="46" t="s">
        <v>504</v>
      </c>
      <c r="C739" s="47" t="s">
        <v>81</v>
      </c>
      <c r="D739" s="47"/>
      <c r="E739" s="46">
        <v>2023</v>
      </c>
      <c r="F739" s="46" t="s">
        <v>478</v>
      </c>
      <c r="G739" s="46" t="e">
        <f>SUMIF(#REF!,$E$739,#REF!)</f>
        <v>#REF!</v>
      </c>
      <c r="H739" s="48" t="e">
        <f>SUMIF(#REF!,$E$739,#REF!)</f>
        <v>#REF!</v>
      </c>
      <c r="I739" s="48" t="e">
        <f>SUMIF(#REF!,$E$739,#REF!)</f>
        <v>#REF!</v>
      </c>
      <c r="J739" s="71"/>
      <c r="K739" s="71"/>
      <c r="L739" s="71"/>
      <c r="M739" s="71"/>
      <c r="N739" s="71"/>
      <c r="O739" s="71"/>
      <c r="P739" s="71"/>
      <c r="Q739" s="71"/>
      <c r="R739" s="71"/>
      <c r="S739" s="71"/>
      <c r="T739" s="71"/>
      <c r="U739" s="71"/>
      <c r="V739" s="71"/>
      <c r="W739" s="71"/>
      <c r="X739" s="71"/>
      <c r="Y739" s="71"/>
      <c r="Z739" s="71"/>
      <c r="AA739" s="71"/>
      <c r="AB739" s="71"/>
      <c r="AC739" s="71"/>
      <c r="AD739" s="71"/>
      <c r="AE739" s="71"/>
      <c r="AF739" s="71"/>
      <c r="AG739" s="71"/>
      <c r="AH739" s="71"/>
      <c r="AI739" s="71"/>
    </row>
    <row r="740" spans="1:35" s="71" customFormat="1" ht="63" customHeight="1" x14ac:dyDescent="0.25">
      <c r="A740" s="49"/>
      <c r="B740" s="97" t="s">
        <v>505</v>
      </c>
      <c r="C740" s="98" t="s">
        <v>506</v>
      </c>
      <c r="D740" s="99"/>
      <c r="E740" s="100"/>
      <c r="F740" s="92" t="s">
        <v>489</v>
      </c>
      <c r="G740" s="73"/>
      <c r="H740" s="101"/>
      <c r="I740" s="101"/>
      <c r="J740" s="185">
        <f>[21]Лист1!E78</f>
        <v>4844490</v>
      </c>
    </row>
    <row r="741" spans="1:35" s="71" customFormat="1" ht="42.75" customHeight="1" x14ac:dyDescent="0.25">
      <c r="A741" s="50"/>
      <c r="B741" s="51" t="s">
        <v>505</v>
      </c>
      <c r="C741" s="52" t="s">
        <v>427</v>
      </c>
      <c r="D741" s="49">
        <v>2025</v>
      </c>
      <c r="E741" s="53">
        <v>2021</v>
      </c>
      <c r="F741" s="51" t="s">
        <v>489</v>
      </c>
      <c r="G741" s="51">
        <v>470</v>
      </c>
      <c r="H741" s="51">
        <v>550</v>
      </c>
      <c r="I741" s="54">
        <f>J740*G741/1000</f>
        <v>2276910.2999999998</v>
      </c>
      <c r="J741" s="7"/>
    </row>
    <row r="742" spans="1:35" s="71" customFormat="1" ht="15.75" hidden="1" x14ac:dyDescent="0.25">
      <c r="A742" s="55"/>
      <c r="B742" s="53" t="s">
        <v>505</v>
      </c>
      <c r="C742" s="56" t="s">
        <v>81</v>
      </c>
      <c r="D742" s="56"/>
      <c r="E742" s="53">
        <v>2022</v>
      </c>
      <c r="F742" s="53" t="s">
        <v>489</v>
      </c>
      <c r="G742" s="53">
        <f>SUMIF($E$744:$E$746,$E$742,$G$744:$G$746)</f>
        <v>28</v>
      </c>
      <c r="H742" s="57">
        <f>SUMIF($E$744:$E$746,$E$742,$H$744:$H$746)</f>
        <v>10</v>
      </c>
      <c r="I742" s="57">
        <f>SUMIF($E$744:$E$746,$E$742,$I$744:$I$746)</f>
        <v>227.26900000000001</v>
      </c>
    </row>
    <row r="743" spans="1:35" s="71" customFormat="1" ht="15.75" hidden="1" x14ac:dyDescent="0.25">
      <c r="A743" s="55"/>
      <c r="B743" s="53" t="s">
        <v>505</v>
      </c>
      <c r="C743" s="56" t="s">
        <v>82</v>
      </c>
      <c r="D743" s="56"/>
      <c r="E743" s="53">
        <v>2023</v>
      </c>
      <c r="F743" s="53" t="s">
        <v>489</v>
      </c>
      <c r="G743" s="53">
        <f>SUMIF($E$744:$E$746,$E$743,$G$744:$G$746)</f>
        <v>330</v>
      </c>
      <c r="H743" s="57">
        <f>SUMIF($E$744:$E$746,$E$743,$H$744:$H$746)</f>
        <v>270</v>
      </c>
      <c r="I743" s="57">
        <f>SUMIF($E$744:$E$746,$E$743,$I$744:$I$746)</f>
        <v>5312.0588800000005</v>
      </c>
    </row>
    <row r="744" spans="1:35" s="71" customFormat="1" ht="47.25" hidden="1" outlineLevel="1" x14ac:dyDescent="0.25">
      <c r="A744" s="74">
        <v>2983</v>
      </c>
      <c r="B744" s="45" t="s">
        <v>505</v>
      </c>
      <c r="C744" s="60" t="s">
        <v>93</v>
      </c>
      <c r="D744" s="60"/>
      <c r="E744" s="74">
        <v>2022</v>
      </c>
      <c r="F744" s="74" t="s">
        <v>471</v>
      </c>
      <c r="G744" s="45">
        <v>28</v>
      </c>
      <c r="H744" s="45">
        <v>10</v>
      </c>
      <c r="I744" s="45">
        <v>227.26900000000001</v>
      </c>
    </row>
    <row r="745" spans="1:35" s="71" customFormat="1" ht="48" hidden="1" customHeight="1" outlineLevel="1" x14ac:dyDescent="0.25">
      <c r="A745" s="74">
        <v>3114</v>
      </c>
      <c r="B745" s="45" t="s">
        <v>507</v>
      </c>
      <c r="C745" s="60" t="s">
        <v>250</v>
      </c>
      <c r="D745" s="60"/>
      <c r="E745" s="45">
        <v>2023</v>
      </c>
      <c r="F745" s="45" t="s">
        <v>489</v>
      </c>
      <c r="G745" s="45">
        <v>290</v>
      </c>
      <c r="H745" s="45">
        <v>190</v>
      </c>
      <c r="I745" s="61">
        <v>4775.4320000000007</v>
      </c>
    </row>
    <row r="746" spans="1:35" s="71" customFormat="1" ht="48" hidden="1" customHeight="1" outlineLevel="1" x14ac:dyDescent="0.25">
      <c r="A746" s="74">
        <v>5061</v>
      </c>
      <c r="B746" s="45" t="s">
        <v>507</v>
      </c>
      <c r="C746" s="60" t="s">
        <v>508</v>
      </c>
      <c r="D746" s="60"/>
      <c r="E746" s="45">
        <v>2023</v>
      </c>
      <c r="F746" s="45" t="s">
        <v>478</v>
      </c>
      <c r="G746" s="45">
        <v>40</v>
      </c>
      <c r="H746" s="61">
        <v>80</v>
      </c>
      <c r="I746" s="61">
        <v>536.62688000000003</v>
      </c>
    </row>
    <row r="747" spans="1:35" s="71" customFormat="1" ht="15.75" hidden="1" collapsed="1" x14ac:dyDescent="0.25">
      <c r="A747" s="45"/>
      <c r="B747" s="53" t="s">
        <v>505</v>
      </c>
      <c r="C747" s="56" t="s">
        <v>81</v>
      </c>
      <c r="D747" s="56"/>
      <c r="E747" s="53">
        <v>2022</v>
      </c>
      <c r="F747" s="53" t="s">
        <v>509</v>
      </c>
      <c r="G747" s="53" t="e">
        <f>SUMIF(#REF!,$E$747,#REF!)</f>
        <v>#REF!</v>
      </c>
      <c r="H747" s="53" t="e">
        <f>SUMIF(#REF!,$E$747,#REF!)</f>
        <v>#REF!</v>
      </c>
      <c r="I747" s="53" t="e">
        <f>SUMIF(#REF!,$E$747,#REF!)</f>
        <v>#REF!</v>
      </c>
    </row>
    <row r="748" spans="1:35" s="71" customFormat="1" ht="15.75" hidden="1" x14ac:dyDescent="0.25">
      <c r="A748" s="45"/>
      <c r="B748" s="53" t="s">
        <v>505</v>
      </c>
      <c r="C748" s="56" t="s">
        <v>82</v>
      </c>
      <c r="D748" s="56"/>
      <c r="E748" s="53">
        <v>2023</v>
      </c>
      <c r="F748" s="53" t="s">
        <v>509</v>
      </c>
      <c r="G748" s="53" t="e">
        <f>SUMIF(#REF!,$E$748,#REF!)</f>
        <v>#REF!</v>
      </c>
      <c r="H748" s="53" t="e">
        <f>SUMIF(#REF!,$E$748,#REF!)</f>
        <v>#REF!</v>
      </c>
      <c r="I748" s="57" t="e">
        <f>SUMIF(#REF!,$E$748,#REF!)</f>
        <v>#REF!</v>
      </c>
    </row>
    <row r="749" spans="1:35" s="71" customFormat="1" ht="27" customHeight="1" x14ac:dyDescent="0.25">
      <c r="A749" s="73"/>
      <c r="B749" s="197" t="s">
        <v>510</v>
      </c>
      <c r="C749" s="198"/>
      <c r="D749" s="198"/>
      <c r="E749" s="198"/>
      <c r="F749" s="198"/>
      <c r="G749" s="198"/>
      <c r="H749" s="198"/>
      <c r="I749" s="199"/>
    </row>
    <row r="750" spans="1:35" s="71" customFormat="1" ht="15.75" x14ac:dyDescent="0.25">
      <c r="A750" s="73"/>
      <c r="B750" s="51" t="s">
        <v>511</v>
      </c>
      <c r="C750" s="102" t="s">
        <v>512</v>
      </c>
      <c r="D750" s="99"/>
      <c r="E750" s="103"/>
      <c r="F750" s="92" t="s">
        <v>452</v>
      </c>
      <c r="G750" s="73"/>
      <c r="H750" s="101"/>
      <c r="I750" s="101"/>
      <c r="J750" s="185">
        <f>[21]Лист1!E89</f>
        <v>5638010</v>
      </c>
    </row>
    <row r="751" spans="1:35" s="71" customFormat="1" ht="36.75" customHeight="1" x14ac:dyDescent="0.25">
      <c r="A751" s="73"/>
      <c r="B751" s="51" t="s">
        <v>511</v>
      </c>
      <c r="C751" s="52" t="s">
        <v>427</v>
      </c>
      <c r="D751" s="49">
        <v>2025</v>
      </c>
      <c r="E751" s="46">
        <v>2021</v>
      </c>
      <c r="F751" s="92" t="s">
        <v>452</v>
      </c>
      <c r="G751" s="51">
        <v>2</v>
      </c>
      <c r="H751" s="54">
        <v>299</v>
      </c>
      <c r="I751" s="54">
        <f>G751*J750</f>
        <v>11276020</v>
      </c>
      <c r="J751" s="7"/>
    </row>
    <row r="752" spans="1:35" s="75" customFormat="1" ht="16.5" hidden="1" customHeight="1" x14ac:dyDescent="0.25">
      <c r="A752" s="74"/>
      <c r="B752" s="46" t="s">
        <v>511</v>
      </c>
      <c r="C752" s="47" t="s">
        <v>81</v>
      </c>
      <c r="D752" s="47"/>
      <c r="E752" s="46">
        <v>2022</v>
      </c>
      <c r="F752" s="95" t="s">
        <v>452</v>
      </c>
      <c r="G752" s="46" t="e">
        <f>SUMIF(#REF!,$E$752,#REF!)</f>
        <v>#REF!</v>
      </c>
      <c r="H752" s="46" t="e">
        <f>SUMIF(#REF!,$E$752,#REF!)</f>
        <v>#REF!</v>
      </c>
      <c r="I752" s="46" t="e">
        <f>SUMIF(#REF!,$E$752,#REF!)</f>
        <v>#REF!</v>
      </c>
      <c r="J752" s="71"/>
      <c r="K752" s="71"/>
      <c r="L752" s="71"/>
      <c r="M752" s="71"/>
      <c r="N752" s="71"/>
      <c r="O752" s="71"/>
      <c r="P752" s="71"/>
      <c r="Q752" s="71"/>
      <c r="R752" s="71"/>
      <c r="S752" s="71"/>
      <c r="T752" s="71"/>
      <c r="U752" s="71"/>
      <c r="V752" s="71"/>
      <c r="W752" s="71"/>
      <c r="X752" s="71"/>
      <c r="Y752" s="71"/>
      <c r="Z752" s="71"/>
      <c r="AA752" s="71"/>
      <c r="AB752" s="71"/>
      <c r="AC752" s="71"/>
      <c r="AD752" s="71"/>
      <c r="AE752" s="71"/>
      <c r="AF752" s="71"/>
      <c r="AG752" s="71"/>
      <c r="AH752" s="71"/>
      <c r="AI752" s="71"/>
    </row>
    <row r="753" spans="1:35" s="71" customFormat="1" ht="15.75" hidden="1" x14ac:dyDescent="0.25">
      <c r="A753" s="74"/>
      <c r="B753" s="46" t="s">
        <v>511</v>
      </c>
      <c r="C753" s="47" t="s">
        <v>81</v>
      </c>
      <c r="D753" s="47"/>
      <c r="E753" s="46">
        <v>2023</v>
      </c>
      <c r="F753" s="95" t="s">
        <v>452</v>
      </c>
      <c r="G753" s="46" t="e">
        <f>SUMIF(#REF!,$E$753,#REF!)</f>
        <v>#REF!</v>
      </c>
      <c r="H753" s="46" t="e">
        <f>SUMIF(#REF!,$E$753,#REF!)</f>
        <v>#REF!</v>
      </c>
      <c r="I753" s="48" t="e">
        <f>SUMIF(#REF!,$E$753,#REF!)</f>
        <v>#REF!</v>
      </c>
    </row>
    <row r="754" spans="1:35" s="71" customFormat="1" ht="29.25" customHeight="1" x14ac:dyDescent="0.25">
      <c r="A754" s="73"/>
      <c r="B754" s="197" t="s">
        <v>513</v>
      </c>
      <c r="C754" s="198"/>
      <c r="D754" s="198"/>
      <c r="E754" s="198"/>
      <c r="F754" s="198"/>
      <c r="G754" s="198"/>
      <c r="H754" s="198"/>
      <c r="I754" s="199"/>
    </row>
    <row r="755" spans="1:35" s="75" customFormat="1" ht="16.5" hidden="1" customHeight="1" x14ac:dyDescent="0.25">
      <c r="A755" s="74"/>
      <c r="B755" s="53" t="s">
        <v>514</v>
      </c>
      <c r="C755" s="56" t="s">
        <v>81</v>
      </c>
      <c r="D755" s="56"/>
      <c r="E755" s="104">
        <v>2022</v>
      </c>
      <c r="F755" s="53" t="s">
        <v>515</v>
      </c>
      <c r="G755" s="53" t="e">
        <f>SUMIF(#REF!,$E$755,#REF!)</f>
        <v>#REF!</v>
      </c>
      <c r="H755" s="57" t="e">
        <f>SUMIF(#REF!,$E$755,#REF!)</f>
        <v>#REF!</v>
      </c>
      <c r="I755" s="57" t="e">
        <f>SUMIF(#REF!,$E$755,#REF!)</f>
        <v>#REF!</v>
      </c>
      <c r="J755" s="71"/>
      <c r="K755" s="71"/>
      <c r="L755" s="71"/>
      <c r="M755" s="71"/>
      <c r="N755" s="71"/>
      <c r="O755" s="71"/>
      <c r="P755" s="71"/>
      <c r="Q755" s="71"/>
      <c r="R755" s="71"/>
      <c r="S755" s="71"/>
      <c r="T755" s="71"/>
      <c r="U755" s="71"/>
      <c r="V755" s="71"/>
      <c r="W755" s="71"/>
      <c r="X755" s="71"/>
      <c r="Y755" s="71"/>
      <c r="Z755" s="71"/>
      <c r="AA755" s="71"/>
      <c r="AB755" s="71"/>
      <c r="AC755" s="71"/>
      <c r="AD755" s="71"/>
      <c r="AE755" s="71"/>
      <c r="AF755" s="71"/>
      <c r="AG755" s="71"/>
      <c r="AH755" s="71"/>
      <c r="AI755" s="71"/>
    </row>
    <row r="756" spans="1:35" s="75" customFormat="1" ht="15.75" hidden="1" x14ac:dyDescent="0.25">
      <c r="A756" s="74"/>
      <c r="B756" s="53" t="s">
        <v>514</v>
      </c>
      <c r="C756" s="56" t="s">
        <v>82</v>
      </c>
      <c r="D756" s="56"/>
      <c r="E756" s="104">
        <v>2023</v>
      </c>
      <c r="F756" s="53" t="s">
        <v>515</v>
      </c>
      <c r="G756" s="53" t="e">
        <f>SUMIF(#REF!,$E$756,#REF!)</f>
        <v>#REF!</v>
      </c>
      <c r="H756" s="57" t="e">
        <f>SUMIF(#REF!,$E$756,#REF!)</f>
        <v>#REF!</v>
      </c>
      <c r="I756" s="57" t="e">
        <f>SUMIF(#REF!,$E$756,#REF!)</f>
        <v>#REF!</v>
      </c>
      <c r="J756" s="71"/>
      <c r="K756" s="71"/>
      <c r="L756" s="71"/>
      <c r="M756" s="71"/>
      <c r="N756" s="71"/>
      <c r="O756" s="71"/>
      <c r="P756" s="71"/>
      <c r="Q756" s="71"/>
      <c r="R756" s="71"/>
      <c r="S756" s="71"/>
      <c r="T756" s="71"/>
      <c r="U756" s="71"/>
      <c r="V756" s="71"/>
      <c r="W756" s="71"/>
      <c r="X756" s="71"/>
      <c r="Y756" s="71"/>
      <c r="Z756" s="71"/>
      <c r="AA756" s="71"/>
      <c r="AB756" s="71"/>
      <c r="AC756" s="71"/>
      <c r="AD756" s="71"/>
      <c r="AE756" s="71"/>
      <c r="AF756" s="71"/>
      <c r="AG756" s="71"/>
      <c r="AH756" s="71"/>
      <c r="AI756" s="71"/>
    </row>
    <row r="757" spans="1:35" s="106" customFormat="1" ht="31.5" x14ac:dyDescent="0.25">
      <c r="A757" s="73"/>
      <c r="B757" s="105" t="s">
        <v>514</v>
      </c>
      <c r="C757" s="102" t="s">
        <v>516</v>
      </c>
      <c r="D757" s="99"/>
      <c r="E757" s="100"/>
      <c r="F757" s="51" t="s">
        <v>517</v>
      </c>
      <c r="G757" s="73"/>
      <c r="H757" s="101"/>
      <c r="I757" s="101"/>
      <c r="J757" s="185">
        <f>[21]Лист1!E95</f>
        <v>74812.565531914894</v>
      </c>
      <c r="K757" s="71"/>
      <c r="L757" s="71"/>
      <c r="M757" s="71"/>
      <c r="N757" s="71"/>
      <c r="O757" s="71"/>
      <c r="P757" s="71"/>
      <c r="Q757" s="71"/>
      <c r="R757" s="71"/>
      <c r="S757" s="71"/>
      <c r="T757" s="71"/>
      <c r="U757" s="71"/>
      <c r="V757" s="71"/>
      <c r="W757" s="71"/>
      <c r="X757" s="71"/>
      <c r="Y757" s="71"/>
      <c r="Z757" s="71"/>
      <c r="AA757" s="71"/>
      <c r="AB757" s="71"/>
      <c r="AC757" s="71"/>
      <c r="AD757" s="71"/>
      <c r="AE757" s="71"/>
      <c r="AF757" s="71"/>
      <c r="AG757" s="71"/>
      <c r="AH757" s="71"/>
      <c r="AI757" s="71"/>
    </row>
    <row r="758" spans="1:35" s="106" customFormat="1" ht="36.75" customHeight="1" x14ac:dyDescent="0.25">
      <c r="A758" s="73"/>
      <c r="B758" s="51" t="s">
        <v>514</v>
      </c>
      <c r="C758" s="52" t="s">
        <v>430</v>
      </c>
      <c r="D758" s="49">
        <v>2025</v>
      </c>
      <c r="E758" s="104">
        <v>2021</v>
      </c>
      <c r="F758" s="92" t="s">
        <v>517</v>
      </c>
      <c r="G758" s="51">
        <v>6</v>
      </c>
      <c r="H758" s="54">
        <v>210</v>
      </c>
      <c r="I758" s="54">
        <f>J757*H758</f>
        <v>15710638.761702128</v>
      </c>
      <c r="J758" s="7"/>
      <c r="K758" s="71"/>
      <c r="L758" s="71"/>
      <c r="M758" s="71"/>
      <c r="N758" s="71"/>
      <c r="O758" s="71"/>
      <c r="P758" s="71"/>
      <c r="Q758" s="71"/>
      <c r="R758" s="71"/>
      <c r="S758" s="71"/>
      <c r="T758" s="71"/>
      <c r="U758" s="71"/>
      <c r="V758" s="71"/>
      <c r="W758" s="71"/>
      <c r="X758" s="71"/>
      <c r="Y758" s="71"/>
      <c r="Z758" s="71"/>
      <c r="AA758" s="71"/>
      <c r="AB758" s="71"/>
      <c r="AC758" s="71"/>
      <c r="AD758" s="71"/>
      <c r="AE758" s="71"/>
      <c r="AF758" s="71"/>
      <c r="AG758" s="71"/>
      <c r="AH758" s="71"/>
      <c r="AI758" s="71"/>
    </row>
    <row r="759" spans="1:35" s="75" customFormat="1" ht="16.5" hidden="1" customHeight="1" x14ac:dyDescent="0.25">
      <c r="A759" s="74"/>
      <c r="B759" s="53" t="s">
        <v>514</v>
      </c>
      <c r="C759" s="56" t="s">
        <v>81</v>
      </c>
      <c r="D759" s="56"/>
      <c r="E759" s="104">
        <v>2022</v>
      </c>
      <c r="F759" s="104" t="s">
        <v>517</v>
      </c>
      <c r="G759" s="53">
        <f>SUMIF($E$761:$E$775,$E$759,$G$761:$G$775)</f>
        <v>1</v>
      </c>
      <c r="H759" s="53">
        <f>SUMIF($E$761:$E$775,$E$759,$H$761:$H$775)</f>
        <v>15</v>
      </c>
      <c r="I759" s="57">
        <f>SUMIF($E$761:$E$775,$E$759,$I$761:$I$775)</f>
        <v>585</v>
      </c>
      <c r="J759" s="71"/>
      <c r="K759" s="71"/>
      <c r="L759" s="71"/>
      <c r="M759" s="71"/>
      <c r="N759" s="71"/>
      <c r="O759" s="71"/>
      <c r="P759" s="71"/>
      <c r="Q759" s="71"/>
      <c r="R759" s="71"/>
      <c r="S759" s="71"/>
      <c r="T759" s="71"/>
      <c r="U759" s="71"/>
      <c r="V759" s="71"/>
      <c r="W759" s="71"/>
      <c r="X759" s="71"/>
      <c r="Y759" s="71"/>
      <c r="Z759" s="71"/>
      <c r="AA759" s="71"/>
      <c r="AB759" s="71"/>
      <c r="AC759" s="71"/>
      <c r="AD759" s="71"/>
      <c r="AE759" s="71"/>
      <c r="AF759" s="71"/>
      <c r="AG759" s="71"/>
      <c r="AH759" s="71"/>
      <c r="AI759" s="71"/>
    </row>
    <row r="760" spans="1:35" s="75" customFormat="1" ht="15.75" hidden="1" x14ac:dyDescent="0.25">
      <c r="A760" s="74"/>
      <c r="B760" s="53" t="s">
        <v>514</v>
      </c>
      <c r="C760" s="56" t="s">
        <v>81</v>
      </c>
      <c r="D760" s="56"/>
      <c r="E760" s="104">
        <v>2023</v>
      </c>
      <c r="F760" s="104" t="s">
        <v>517</v>
      </c>
      <c r="G760" s="53">
        <f>SUMIF($E$761:$E$775,$E$760,$G$761:$G$775)</f>
        <v>8</v>
      </c>
      <c r="H760" s="53">
        <f>SUMIF($E$761:$E$775,$E$760,$H$761:$H$775)</f>
        <v>118</v>
      </c>
      <c r="I760" s="57">
        <f>SUMIF($E$761:$E$775,$E$760,$I$761:$I$775)</f>
        <v>5481.0976500000006</v>
      </c>
      <c r="J760" s="71"/>
      <c r="K760" s="71"/>
      <c r="L760" s="71"/>
      <c r="M760" s="71"/>
      <c r="N760" s="71"/>
      <c r="O760" s="71"/>
      <c r="P760" s="71"/>
      <c r="Q760" s="71"/>
      <c r="R760" s="71"/>
      <c r="S760" s="71"/>
      <c r="T760" s="71"/>
      <c r="U760" s="71"/>
      <c r="V760" s="71"/>
      <c r="W760" s="71"/>
      <c r="X760" s="71"/>
      <c r="Y760" s="71"/>
      <c r="Z760" s="71"/>
      <c r="AA760" s="71"/>
      <c r="AB760" s="71"/>
      <c r="AC760" s="71"/>
      <c r="AD760" s="71"/>
      <c r="AE760" s="71"/>
      <c r="AF760" s="71"/>
      <c r="AG760" s="71"/>
      <c r="AH760" s="71"/>
      <c r="AI760" s="71"/>
    </row>
    <row r="761" spans="1:35" s="71" customFormat="1" ht="27.75" hidden="1" customHeight="1" outlineLevel="1" x14ac:dyDescent="0.25">
      <c r="A761" s="74">
        <v>424</v>
      </c>
      <c r="B761" s="45" t="s">
        <v>514</v>
      </c>
      <c r="C761" s="82" t="s">
        <v>518</v>
      </c>
      <c r="D761" s="82"/>
      <c r="E761" s="74">
        <v>2022</v>
      </c>
      <c r="F761" s="74" t="s">
        <v>517</v>
      </c>
      <c r="G761" s="45">
        <v>1</v>
      </c>
      <c r="H761" s="61">
        <v>15</v>
      </c>
      <c r="I761" s="61">
        <v>585</v>
      </c>
    </row>
    <row r="762" spans="1:35" s="71" customFormat="1" ht="27.75" hidden="1" customHeight="1" outlineLevel="1" x14ac:dyDescent="0.25">
      <c r="A762" s="74">
        <v>361</v>
      </c>
      <c r="B762" s="68" t="s">
        <v>514</v>
      </c>
      <c r="C762" s="60" t="s">
        <v>519</v>
      </c>
      <c r="D762" s="60"/>
      <c r="E762" s="74">
        <v>2023</v>
      </c>
      <c r="F762" s="74" t="s">
        <v>517</v>
      </c>
      <c r="G762" s="45">
        <v>1</v>
      </c>
      <c r="H762" s="45">
        <v>15</v>
      </c>
      <c r="I762" s="61">
        <v>910.73</v>
      </c>
    </row>
    <row r="763" spans="1:35" s="71" customFormat="1" ht="27.75" hidden="1" customHeight="1" outlineLevel="1" x14ac:dyDescent="0.25">
      <c r="A763" s="74">
        <v>4032</v>
      </c>
      <c r="B763" s="68" t="s">
        <v>514</v>
      </c>
      <c r="C763" s="60" t="s">
        <v>520</v>
      </c>
      <c r="D763" s="60"/>
      <c r="E763" s="74">
        <v>2023</v>
      </c>
      <c r="F763" s="74" t="s">
        <v>517</v>
      </c>
      <c r="G763" s="45">
        <v>1</v>
      </c>
      <c r="H763" s="45">
        <v>15</v>
      </c>
      <c r="I763" s="61">
        <v>720.57961999999998</v>
      </c>
    </row>
    <row r="764" spans="1:35" s="71" customFormat="1" ht="27.75" hidden="1" customHeight="1" outlineLevel="1" x14ac:dyDescent="0.25">
      <c r="A764" s="74">
        <v>484</v>
      </c>
      <c r="B764" s="68" t="s">
        <v>514</v>
      </c>
      <c r="C764" s="60" t="s">
        <v>521</v>
      </c>
      <c r="D764" s="60"/>
      <c r="E764" s="74">
        <v>2023</v>
      </c>
      <c r="F764" s="74" t="s">
        <v>517</v>
      </c>
      <c r="G764" s="45">
        <v>1</v>
      </c>
      <c r="H764" s="45">
        <v>15</v>
      </c>
      <c r="I764" s="61">
        <v>658.73453000000006</v>
      </c>
    </row>
    <row r="765" spans="1:35" s="71" customFormat="1" ht="27.75" hidden="1" customHeight="1" outlineLevel="1" x14ac:dyDescent="0.25">
      <c r="A765" s="74">
        <v>376</v>
      </c>
      <c r="B765" s="68" t="s">
        <v>514</v>
      </c>
      <c r="C765" s="60" t="s">
        <v>522</v>
      </c>
      <c r="D765" s="60"/>
      <c r="E765" s="74">
        <v>2023</v>
      </c>
      <c r="F765" s="74" t="s">
        <v>517</v>
      </c>
      <c r="G765" s="45">
        <v>1</v>
      </c>
      <c r="H765" s="45">
        <v>15</v>
      </c>
      <c r="I765" s="61">
        <v>560.26364999999998</v>
      </c>
    </row>
    <row r="766" spans="1:35" s="71" customFormat="1" ht="27.75" hidden="1" customHeight="1" outlineLevel="1" x14ac:dyDescent="0.25">
      <c r="A766" s="74">
        <v>3242</v>
      </c>
      <c r="B766" s="68" t="s">
        <v>514</v>
      </c>
      <c r="C766" s="60" t="s">
        <v>523</v>
      </c>
      <c r="D766" s="60"/>
      <c r="E766" s="74">
        <v>2023</v>
      </c>
      <c r="F766" s="74" t="s">
        <v>517</v>
      </c>
      <c r="G766" s="45">
        <v>1</v>
      </c>
      <c r="H766" s="45">
        <v>15</v>
      </c>
      <c r="I766" s="61">
        <v>625.19254000000001</v>
      </c>
    </row>
    <row r="767" spans="1:35" s="71" customFormat="1" ht="27.75" hidden="1" customHeight="1" outlineLevel="1" x14ac:dyDescent="0.25">
      <c r="A767" s="74">
        <v>3231</v>
      </c>
      <c r="B767" s="68" t="s">
        <v>514</v>
      </c>
      <c r="C767" s="60" t="s">
        <v>524</v>
      </c>
      <c r="D767" s="60"/>
      <c r="E767" s="74">
        <v>2023</v>
      </c>
      <c r="F767" s="74" t="s">
        <v>517</v>
      </c>
      <c r="G767" s="45">
        <v>1</v>
      </c>
      <c r="H767" s="45">
        <v>13</v>
      </c>
      <c r="I767" s="61">
        <v>607.63099999999997</v>
      </c>
    </row>
    <row r="768" spans="1:35" s="71" customFormat="1" ht="27" hidden="1" customHeight="1" outlineLevel="1" x14ac:dyDescent="0.25">
      <c r="A768" s="74">
        <v>3183</v>
      </c>
      <c r="B768" s="68" t="s">
        <v>514</v>
      </c>
      <c r="C768" s="60" t="s">
        <v>525</v>
      </c>
      <c r="D768" s="60"/>
      <c r="E768" s="74">
        <v>2023</v>
      </c>
      <c r="F768" s="74" t="s">
        <v>517</v>
      </c>
      <c r="G768" s="45">
        <v>1</v>
      </c>
      <c r="H768" s="45">
        <v>15</v>
      </c>
      <c r="I768" s="61">
        <v>718.93899999999996</v>
      </c>
    </row>
    <row r="769" spans="1:35" s="71" customFormat="1" ht="27" hidden="1" customHeight="1" outlineLevel="1" x14ac:dyDescent="0.25">
      <c r="A769" s="74">
        <v>1205</v>
      </c>
      <c r="B769" s="68" t="s">
        <v>514</v>
      </c>
      <c r="C769" s="60" t="s">
        <v>526</v>
      </c>
      <c r="D769" s="60"/>
      <c r="E769" s="74">
        <v>2023</v>
      </c>
      <c r="F769" s="74" t="s">
        <v>517</v>
      </c>
      <c r="G769" s="45">
        <v>1</v>
      </c>
      <c r="H769" s="45">
        <v>15</v>
      </c>
      <c r="I769" s="61">
        <v>679.02731000000006</v>
      </c>
    </row>
    <row r="770" spans="1:35" s="71" customFormat="1" ht="27" hidden="1" customHeight="1" outlineLevel="1" x14ac:dyDescent="0.25">
      <c r="A770" s="84">
        <v>1282</v>
      </c>
      <c r="B770" s="45" t="s">
        <v>514</v>
      </c>
      <c r="C770" s="60" t="s">
        <v>527</v>
      </c>
      <c r="D770" s="60"/>
      <c r="E770" s="74">
        <v>2021</v>
      </c>
      <c r="F770" s="74" t="s">
        <v>517</v>
      </c>
      <c r="G770" s="45">
        <v>1</v>
      </c>
      <c r="H770" s="61">
        <v>20</v>
      </c>
      <c r="I770" s="61">
        <v>715</v>
      </c>
    </row>
    <row r="771" spans="1:35" s="71" customFormat="1" ht="27" hidden="1" customHeight="1" outlineLevel="1" x14ac:dyDescent="0.25">
      <c r="A771" s="83">
        <v>9632</v>
      </c>
      <c r="B771" s="45" t="s">
        <v>514</v>
      </c>
      <c r="C771" s="60" t="s">
        <v>528</v>
      </c>
      <c r="D771" s="60"/>
      <c r="E771" s="74">
        <v>2021</v>
      </c>
      <c r="F771" s="74" t="s">
        <v>517</v>
      </c>
      <c r="G771" s="45">
        <v>1</v>
      </c>
      <c r="H771" s="61">
        <v>60</v>
      </c>
      <c r="I771" s="61">
        <v>732</v>
      </c>
    </row>
    <row r="772" spans="1:35" s="71" customFormat="1" ht="27" hidden="1" customHeight="1" outlineLevel="1" x14ac:dyDescent="0.25">
      <c r="A772" s="83">
        <v>9610</v>
      </c>
      <c r="B772" s="45" t="s">
        <v>514</v>
      </c>
      <c r="C772" s="60" t="s">
        <v>529</v>
      </c>
      <c r="D772" s="60"/>
      <c r="E772" s="74">
        <v>2021</v>
      </c>
      <c r="F772" s="74" t="s">
        <v>517</v>
      </c>
      <c r="G772" s="45">
        <v>1</v>
      </c>
      <c r="H772" s="61">
        <v>30</v>
      </c>
      <c r="I772" s="61">
        <v>236</v>
      </c>
    </row>
    <row r="773" spans="1:35" s="71" customFormat="1" ht="27" hidden="1" customHeight="1" outlineLevel="1" x14ac:dyDescent="0.25">
      <c r="A773" s="83">
        <v>9672</v>
      </c>
      <c r="B773" s="45" t="s">
        <v>514</v>
      </c>
      <c r="C773" s="60" t="s">
        <v>530</v>
      </c>
      <c r="D773" s="60"/>
      <c r="E773" s="74">
        <v>2021</v>
      </c>
      <c r="F773" s="74" t="s">
        <v>517</v>
      </c>
      <c r="G773" s="45">
        <v>1</v>
      </c>
      <c r="H773" s="61">
        <v>70</v>
      </c>
      <c r="I773" s="61">
        <v>671</v>
      </c>
    </row>
    <row r="774" spans="1:35" s="71" customFormat="1" ht="27" hidden="1" customHeight="1" outlineLevel="1" x14ac:dyDescent="0.25">
      <c r="A774" s="83">
        <v>9611</v>
      </c>
      <c r="B774" s="45" t="s">
        <v>514</v>
      </c>
      <c r="C774" s="60" t="s">
        <v>531</v>
      </c>
      <c r="D774" s="60"/>
      <c r="E774" s="74">
        <v>2021</v>
      </c>
      <c r="F774" s="74" t="s">
        <v>517</v>
      </c>
      <c r="G774" s="45">
        <v>1</v>
      </c>
      <c r="H774" s="61">
        <v>15</v>
      </c>
      <c r="I774" s="61">
        <v>506</v>
      </c>
    </row>
    <row r="775" spans="1:35" s="71" customFormat="1" ht="27" hidden="1" customHeight="1" outlineLevel="1" x14ac:dyDescent="0.25">
      <c r="A775" s="83">
        <v>9456</v>
      </c>
      <c r="B775" s="45" t="s">
        <v>514</v>
      </c>
      <c r="C775" s="60" t="s">
        <v>532</v>
      </c>
      <c r="D775" s="60"/>
      <c r="E775" s="74">
        <v>2021</v>
      </c>
      <c r="F775" s="74" t="s">
        <v>517</v>
      </c>
      <c r="G775" s="45">
        <v>1</v>
      </c>
      <c r="H775" s="61">
        <v>15</v>
      </c>
      <c r="I775" s="61">
        <v>323.95870000000002</v>
      </c>
    </row>
    <row r="776" spans="1:35" s="75" customFormat="1" ht="16.5" hidden="1" customHeight="1" collapsed="1" x14ac:dyDescent="0.25">
      <c r="A776" s="74"/>
      <c r="B776" s="46" t="s">
        <v>533</v>
      </c>
      <c r="C776" s="47" t="s">
        <v>81</v>
      </c>
      <c r="D776" s="47"/>
      <c r="E776" s="95">
        <v>2022</v>
      </c>
      <c r="F776" s="46" t="s">
        <v>515</v>
      </c>
      <c r="G776" s="46" t="e">
        <f>SUMIF(#REF!,$E$776,#REF!)</f>
        <v>#REF!</v>
      </c>
      <c r="H776" s="48" t="e">
        <f>SUMIF(#REF!,$E$776,#REF!)</f>
        <v>#REF!</v>
      </c>
      <c r="I776" s="48" t="e">
        <f>SUMIF(#REF!,$E$776,#REF!)</f>
        <v>#REF!</v>
      </c>
      <c r="J776" s="71"/>
      <c r="K776" s="71"/>
      <c r="L776" s="71"/>
      <c r="M776" s="71"/>
      <c r="N776" s="71"/>
      <c r="O776" s="71"/>
      <c r="P776" s="71"/>
      <c r="Q776" s="71"/>
      <c r="R776" s="71"/>
      <c r="S776" s="71"/>
      <c r="T776" s="71"/>
      <c r="U776" s="71"/>
      <c r="V776" s="71"/>
      <c r="W776" s="71"/>
      <c r="X776" s="71"/>
      <c r="Y776" s="71"/>
      <c r="Z776" s="71"/>
      <c r="AA776" s="71"/>
      <c r="AB776" s="71"/>
      <c r="AC776" s="71"/>
      <c r="AD776" s="71"/>
      <c r="AE776" s="71"/>
      <c r="AF776" s="71"/>
      <c r="AG776" s="71"/>
      <c r="AH776" s="71"/>
      <c r="AI776" s="71"/>
    </row>
    <row r="777" spans="1:35" s="75" customFormat="1" ht="15.75" hidden="1" x14ac:dyDescent="0.25">
      <c r="A777" s="74"/>
      <c r="B777" s="46" t="s">
        <v>533</v>
      </c>
      <c r="C777" s="47" t="s">
        <v>81</v>
      </c>
      <c r="D777" s="47"/>
      <c r="E777" s="95">
        <v>2023</v>
      </c>
      <c r="F777" s="46" t="s">
        <v>515</v>
      </c>
      <c r="G777" s="46" t="e">
        <f>SUMIF(#REF!,$E$777,#REF!)</f>
        <v>#REF!</v>
      </c>
      <c r="H777" s="48" t="e">
        <f>SUMIF(#REF!,$E$777,#REF!)</f>
        <v>#REF!</v>
      </c>
      <c r="I777" s="48" t="e">
        <f>SUMIF(#REF!,$E$777,#REF!)</f>
        <v>#REF!</v>
      </c>
      <c r="J777" s="71"/>
      <c r="K777" s="71"/>
      <c r="L777" s="71"/>
      <c r="M777" s="71"/>
      <c r="N777" s="71"/>
      <c r="O777" s="71"/>
      <c r="P777" s="71"/>
      <c r="Q777" s="71"/>
      <c r="R777" s="71"/>
      <c r="S777" s="71"/>
      <c r="T777" s="71"/>
      <c r="U777" s="71"/>
      <c r="V777" s="71"/>
      <c r="W777" s="71"/>
      <c r="X777" s="71"/>
      <c r="Y777" s="71"/>
      <c r="Z777" s="71"/>
      <c r="AA777" s="71"/>
      <c r="AB777" s="71"/>
      <c r="AC777" s="71"/>
      <c r="AD777" s="71"/>
      <c r="AE777" s="71"/>
      <c r="AF777" s="71"/>
      <c r="AG777" s="71"/>
      <c r="AH777" s="71"/>
      <c r="AI777" s="71"/>
    </row>
    <row r="778" spans="1:35" s="71" customFormat="1" ht="47.25" x14ac:dyDescent="0.25">
      <c r="A778" s="73"/>
      <c r="B778" s="51" t="s">
        <v>533</v>
      </c>
      <c r="C778" s="102" t="s">
        <v>534</v>
      </c>
      <c r="D778" s="99"/>
      <c r="E778" s="103"/>
      <c r="F778" s="51" t="s">
        <v>517</v>
      </c>
      <c r="G778" s="73"/>
      <c r="H778" s="101"/>
      <c r="I778" s="101"/>
      <c r="J778" s="185">
        <f>[21]Лист1!E97</f>
        <v>89686.83531914893</v>
      </c>
    </row>
    <row r="779" spans="1:35" s="71" customFormat="1" ht="33" customHeight="1" x14ac:dyDescent="0.25">
      <c r="A779" s="73"/>
      <c r="B779" s="51" t="s">
        <v>533</v>
      </c>
      <c r="C779" s="52" t="s">
        <v>430</v>
      </c>
      <c r="D779" s="49">
        <v>2025</v>
      </c>
      <c r="E779" s="95">
        <v>2021</v>
      </c>
      <c r="F779" s="92" t="s">
        <v>517</v>
      </c>
      <c r="G779" s="51">
        <v>24</v>
      </c>
      <c r="H779" s="51">
        <v>716</v>
      </c>
      <c r="I779" s="54">
        <f>J778*H779</f>
        <v>64215774.088510633</v>
      </c>
      <c r="J779" s="7"/>
    </row>
    <row r="780" spans="1:35" s="75" customFormat="1" ht="16.5" hidden="1" customHeight="1" x14ac:dyDescent="0.25">
      <c r="A780" s="74"/>
      <c r="B780" s="46" t="s">
        <v>533</v>
      </c>
      <c r="C780" s="47" t="s">
        <v>81</v>
      </c>
      <c r="D780" s="47"/>
      <c r="E780" s="95">
        <v>2022</v>
      </c>
      <c r="F780" s="95" t="s">
        <v>517</v>
      </c>
      <c r="G780" s="46">
        <f>SUMIF($E$782:$E$785,$E$780,$G$782:$G$785)</f>
        <v>2</v>
      </c>
      <c r="H780" s="46">
        <f>SUMIF($E$782:$E$785,$E$780,$H$782:$H$785)</f>
        <v>30</v>
      </c>
      <c r="I780" s="48">
        <f>SUMIF($E$782:$E$785,$E$780,$I$782:$I$785)</f>
        <v>1374.90959</v>
      </c>
      <c r="J780" s="71"/>
      <c r="K780" s="71"/>
      <c r="L780" s="71"/>
      <c r="M780" s="71"/>
      <c r="N780" s="71"/>
      <c r="O780" s="71"/>
      <c r="P780" s="71"/>
      <c r="Q780" s="71"/>
      <c r="R780" s="71"/>
      <c r="S780" s="71"/>
      <c r="T780" s="71"/>
      <c r="U780" s="71"/>
      <c r="V780" s="71"/>
      <c r="W780" s="71"/>
      <c r="X780" s="71"/>
      <c r="Y780" s="71"/>
      <c r="Z780" s="71"/>
      <c r="AA780" s="71"/>
      <c r="AB780" s="71"/>
      <c r="AC780" s="71"/>
      <c r="AD780" s="71"/>
      <c r="AE780" s="71"/>
      <c r="AF780" s="71"/>
      <c r="AG780" s="71"/>
      <c r="AH780" s="71"/>
      <c r="AI780" s="71"/>
    </row>
    <row r="781" spans="1:35" s="75" customFormat="1" ht="15.75" hidden="1" x14ac:dyDescent="0.25">
      <c r="A781" s="74"/>
      <c r="B781" s="46" t="s">
        <v>533</v>
      </c>
      <c r="C781" s="47" t="s">
        <v>81</v>
      </c>
      <c r="D781" s="47"/>
      <c r="E781" s="95">
        <v>2023</v>
      </c>
      <c r="F781" s="95" t="s">
        <v>517</v>
      </c>
      <c r="G781" s="46">
        <f>SUMIF($E$782:$E$785,$E$781,$G$782:$G$785)</f>
        <v>1</v>
      </c>
      <c r="H781" s="46">
        <f>SUMIF($E$782:$E$785,$E$781,$H$782:$H$785)</f>
        <v>7</v>
      </c>
      <c r="I781" s="48">
        <f>SUMIF($E$782:$E$785,$E$781,$I$782:$I$785)</f>
        <v>879.32909999999993</v>
      </c>
      <c r="J781" s="71"/>
      <c r="K781" s="71"/>
      <c r="L781" s="71"/>
      <c r="M781" s="71"/>
      <c r="N781" s="71"/>
      <c r="O781" s="71"/>
      <c r="P781" s="71"/>
      <c r="Q781" s="71"/>
      <c r="R781" s="71"/>
      <c r="S781" s="71"/>
      <c r="T781" s="71"/>
      <c r="U781" s="71"/>
      <c r="V781" s="71"/>
      <c r="W781" s="71"/>
      <c r="X781" s="71"/>
      <c r="Y781" s="71"/>
      <c r="Z781" s="71"/>
      <c r="AA781" s="71"/>
      <c r="AB781" s="71"/>
      <c r="AC781" s="71"/>
      <c r="AD781" s="71"/>
      <c r="AE781" s="71"/>
      <c r="AF781" s="71"/>
      <c r="AG781" s="71"/>
      <c r="AH781" s="71"/>
      <c r="AI781" s="71"/>
    </row>
    <row r="782" spans="1:35" s="71" customFormat="1" ht="110.25" hidden="1" outlineLevel="1" x14ac:dyDescent="0.25">
      <c r="A782" s="74">
        <v>1663</v>
      </c>
      <c r="B782" s="45" t="s">
        <v>533</v>
      </c>
      <c r="C782" s="82" t="s">
        <v>137</v>
      </c>
      <c r="D782" s="82"/>
      <c r="E782" s="74">
        <v>2022</v>
      </c>
      <c r="F782" s="74" t="s">
        <v>517</v>
      </c>
      <c r="G782" s="45">
        <v>1</v>
      </c>
      <c r="H782" s="61">
        <v>15</v>
      </c>
      <c r="I782" s="61">
        <v>566.73560999999995</v>
      </c>
    </row>
    <row r="783" spans="1:35" s="71" customFormat="1" ht="94.5" hidden="1" outlineLevel="1" x14ac:dyDescent="0.25">
      <c r="A783" s="74">
        <v>474</v>
      </c>
      <c r="B783" s="45" t="s">
        <v>533</v>
      </c>
      <c r="C783" s="82" t="s">
        <v>535</v>
      </c>
      <c r="D783" s="82"/>
      <c r="E783" s="74">
        <v>2022</v>
      </c>
      <c r="F783" s="74" t="s">
        <v>517</v>
      </c>
      <c r="G783" s="45">
        <v>1</v>
      </c>
      <c r="H783" s="61">
        <v>15</v>
      </c>
      <c r="I783" s="61">
        <v>808.17398000000003</v>
      </c>
    </row>
    <row r="784" spans="1:35" s="71" customFormat="1" ht="131.25" hidden="1" customHeight="1" outlineLevel="1" x14ac:dyDescent="0.25">
      <c r="A784" s="74">
        <v>1679</v>
      </c>
      <c r="B784" s="45" t="s">
        <v>533</v>
      </c>
      <c r="C784" s="60" t="s">
        <v>536</v>
      </c>
      <c r="D784" s="60"/>
      <c r="E784" s="74">
        <v>2023</v>
      </c>
      <c r="F784" s="74" t="s">
        <v>517</v>
      </c>
      <c r="G784" s="45">
        <v>1</v>
      </c>
      <c r="H784" s="45">
        <v>7</v>
      </c>
      <c r="I784" s="61">
        <v>879.32909999999993</v>
      </c>
    </row>
    <row r="785" spans="1:9" s="71" customFormat="1" ht="15.75" hidden="1" outlineLevel="1" x14ac:dyDescent="0.25">
      <c r="A785" s="74"/>
      <c r="B785" s="45" t="s">
        <v>533</v>
      </c>
      <c r="C785" s="82"/>
      <c r="D785" s="82"/>
      <c r="E785" s="74">
        <v>2021</v>
      </c>
      <c r="F785" s="74" t="s">
        <v>517</v>
      </c>
      <c r="G785" s="45"/>
      <c r="H785" s="61"/>
      <c r="I785" s="61"/>
    </row>
    <row r="786" spans="1:9" s="71" customFormat="1" ht="16.5" hidden="1" customHeight="1" collapsed="1" x14ac:dyDescent="0.25">
      <c r="A786" s="74"/>
      <c r="B786" s="53" t="s">
        <v>537</v>
      </c>
      <c r="C786" s="56" t="s">
        <v>81</v>
      </c>
      <c r="D786" s="56"/>
      <c r="E786" s="104">
        <v>2022</v>
      </c>
      <c r="F786" s="53" t="s">
        <v>515</v>
      </c>
      <c r="G786" s="53">
        <f>SUMIF($E$788:$E$883,$E$786,$G$788:$G$883)</f>
        <v>54</v>
      </c>
      <c r="H786" s="53">
        <f>SUMIF($E$788:$E$883,$E$786,$H$788:$H$883)</f>
        <v>1828.5</v>
      </c>
      <c r="I786" s="57">
        <f>SUMIF($E$788:$E$883,$E$786,$I$788:$I$883)</f>
        <v>31604.81567</v>
      </c>
    </row>
    <row r="787" spans="1:9" s="71" customFormat="1" ht="15.75" hidden="1" x14ac:dyDescent="0.25">
      <c r="A787" s="74"/>
      <c r="B787" s="53" t="s">
        <v>537</v>
      </c>
      <c r="C787" s="56" t="s">
        <v>82</v>
      </c>
      <c r="D787" s="56"/>
      <c r="E787" s="104">
        <v>2023</v>
      </c>
      <c r="F787" s="53" t="s">
        <v>515</v>
      </c>
      <c r="G787" s="53">
        <f>SUMIF($E$788:$E$883,$E$787,$G$788:$G$883)</f>
        <v>35</v>
      </c>
      <c r="H787" s="53">
        <f>SUMIF($E$788:$E$883,$E$787,$H$788:$H$883)</f>
        <v>1566.2</v>
      </c>
      <c r="I787" s="57">
        <f>SUMIF($E$788:$E$883,$E$787,$I$788:$I$883)</f>
        <v>21845.97206</v>
      </c>
    </row>
    <row r="788" spans="1:9" s="71" customFormat="1" ht="35.25" hidden="1" customHeight="1" outlineLevel="1" x14ac:dyDescent="0.25">
      <c r="A788" s="74">
        <v>2722</v>
      </c>
      <c r="B788" s="45" t="s">
        <v>537</v>
      </c>
      <c r="C788" s="82" t="s">
        <v>101</v>
      </c>
      <c r="D788" s="82"/>
      <c r="E788" s="74">
        <v>2022</v>
      </c>
      <c r="F788" s="74" t="s">
        <v>515</v>
      </c>
      <c r="G788" s="74">
        <v>1</v>
      </c>
      <c r="H788" s="74">
        <v>28</v>
      </c>
      <c r="I788" s="74">
        <v>531.59699999999998</v>
      </c>
    </row>
    <row r="789" spans="1:9" s="71" customFormat="1" ht="35.25" hidden="1" customHeight="1" outlineLevel="1" x14ac:dyDescent="0.25">
      <c r="A789" s="74">
        <v>2784</v>
      </c>
      <c r="B789" s="45" t="s">
        <v>537</v>
      </c>
      <c r="C789" s="82" t="s">
        <v>538</v>
      </c>
      <c r="D789" s="82"/>
      <c r="E789" s="74">
        <v>2022</v>
      </c>
      <c r="F789" s="74" t="s">
        <v>515</v>
      </c>
      <c r="G789" s="74">
        <v>1</v>
      </c>
      <c r="H789" s="74">
        <v>30</v>
      </c>
      <c r="I789" s="74">
        <f>0.29667*(1000)</f>
        <v>296.67</v>
      </c>
    </row>
    <row r="790" spans="1:9" s="71" customFormat="1" ht="35.25" hidden="1" customHeight="1" outlineLevel="1" x14ac:dyDescent="0.25">
      <c r="A790" s="74">
        <v>2863</v>
      </c>
      <c r="B790" s="45" t="s">
        <v>537</v>
      </c>
      <c r="C790" s="82" t="s">
        <v>539</v>
      </c>
      <c r="D790" s="82"/>
      <c r="E790" s="74">
        <v>2022</v>
      </c>
      <c r="F790" s="74" t="s">
        <v>515</v>
      </c>
      <c r="G790" s="74">
        <v>1</v>
      </c>
      <c r="H790" s="74">
        <v>45</v>
      </c>
      <c r="I790" s="74">
        <f>0.271805*(1000)</f>
        <v>271.80500000000001</v>
      </c>
    </row>
    <row r="791" spans="1:9" s="71" customFormat="1" ht="35.25" hidden="1" customHeight="1" outlineLevel="1" x14ac:dyDescent="0.25">
      <c r="A791" s="74">
        <v>2920</v>
      </c>
      <c r="B791" s="45" t="s">
        <v>537</v>
      </c>
      <c r="C791" s="82" t="s">
        <v>114</v>
      </c>
      <c r="D791" s="82"/>
      <c r="E791" s="74">
        <v>2022</v>
      </c>
      <c r="F791" s="74" t="s">
        <v>515</v>
      </c>
      <c r="G791" s="74">
        <v>1</v>
      </c>
      <c r="H791" s="74">
        <v>15</v>
      </c>
      <c r="I791" s="74">
        <f>0.384268*(1000)</f>
        <v>384.26799999999997</v>
      </c>
    </row>
    <row r="792" spans="1:9" s="71" customFormat="1" ht="35.25" hidden="1" customHeight="1" outlineLevel="1" x14ac:dyDescent="0.25">
      <c r="A792" s="74">
        <v>4112</v>
      </c>
      <c r="B792" s="45" t="s">
        <v>537</v>
      </c>
      <c r="C792" s="82" t="s">
        <v>540</v>
      </c>
      <c r="D792" s="82"/>
      <c r="E792" s="74">
        <v>2022</v>
      </c>
      <c r="F792" s="74" t="s">
        <v>515</v>
      </c>
      <c r="G792" s="74">
        <v>1</v>
      </c>
      <c r="H792" s="74">
        <v>45</v>
      </c>
      <c r="I792" s="74">
        <f>0.708811*(1000)</f>
        <v>708.81099999999992</v>
      </c>
    </row>
    <row r="793" spans="1:9" s="71" customFormat="1" ht="35.25" hidden="1" customHeight="1" outlineLevel="1" x14ac:dyDescent="0.25">
      <c r="A793" s="74">
        <v>4114</v>
      </c>
      <c r="B793" s="45" t="s">
        <v>537</v>
      </c>
      <c r="C793" s="82" t="s">
        <v>541</v>
      </c>
      <c r="D793" s="82"/>
      <c r="E793" s="74">
        <v>2022</v>
      </c>
      <c r="F793" s="74" t="s">
        <v>515</v>
      </c>
      <c r="G793" s="74">
        <v>1</v>
      </c>
      <c r="H793" s="74">
        <v>15</v>
      </c>
      <c r="I793" s="74">
        <f>0.65013942*(1000)</f>
        <v>650.13941999999997</v>
      </c>
    </row>
    <row r="794" spans="1:9" s="71" customFormat="1" ht="35.25" hidden="1" customHeight="1" outlineLevel="1" x14ac:dyDescent="0.25">
      <c r="A794" s="74">
        <v>2862</v>
      </c>
      <c r="B794" s="45" t="s">
        <v>537</v>
      </c>
      <c r="C794" s="82" t="s">
        <v>542</v>
      </c>
      <c r="D794" s="82"/>
      <c r="E794" s="74">
        <v>2022</v>
      </c>
      <c r="F794" s="74" t="s">
        <v>515</v>
      </c>
      <c r="G794" s="74">
        <v>1</v>
      </c>
      <c r="H794" s="74">
        <v>50</v>
      </c>
      <c r="I794" s="74">
        <f>0.24232663*(1000)</f>
        <v>242.32662999999999</v>
      </c>
    </row>
    <row r="795" spans="1:9" s="71" customFormat="1" ht="35.25" hidden="1" customHeight="1" outlineLevel="1" x14ac:dyDescent="0.25">
      <c r="A795" s="74">
        <v>2915</v>
      </c>
      <c r="B795" s="45" t="s">
        <v>537</v>
      </c>
      <c r="C795" s="82" t="s">
        <v>543</v>
      </c>
      <c r="D795" s="82"/>
      <c r="E795" s="74">
        <v>2022</v>
      </c>
      <c r="F795" s="74" t="s">
        <v>515</v>
      </c>
      <c r="G795" s="74">
        <v>1</v>
      </c>
      <c r="H795" s="74">
        <v>80</v>
      </c>
      <c r="I795" s="74">
        <f>0.30578279*(1000)</f>
        <v>305.78279000000003</v>
      </c>
    </row>
    <row r="796" spans="1:9" s="71" customFormat="1" ht="35.25" hidden="1" customHeight="1" outlineLevel="1" x14ac:dyDescent="0.25">
      <c r="A796" s="74">
        <v>2991</v>
      </c>
      <c r="B796" s="45" t="s">
        <v>537</v>
      </c>
      <c r="C796" s="82" t="s">
        <v>118</v>
      </c>
      <c r="D796" s="82"/>
      <c r="E796" s="74">
        <v>2022</v>
      </c>
      <c r="F796" s="74" t="s">
        <v>515</v>
      </c>
      <c r="G796" s="74">
        <v>1</v>
      </c>
      <c r="H796" s="74">
        <v>80</v>
      </c>
      <c r="I796" s="74">
        <f>0.1496381*(1000)</f>
        <v>149.63810000000001</v>
      </c>
    </row>
    <row r="797" spans="1:9" s="71" customFormat="1" ht="35.25" hidden="1" customHeight="1" outlineLevel="1" x14ac:dyDescent="0.25">
      <c r="A797" s="74">
        <v>4126</v>
      </c>
      <c r="B797" s="45" t="s">
        <v>537</v>
      </c>
      <c r="C797" s="82" t="s">
        <v>544</v>
      </c>
      <c r="D797" s="82"/>
      <c r="E797" s="74">
        <v>2022</v>
      </c>
      <c r="F797" s="74" t="s">
        <v>515</v>
      </c>
      <c r="G797" s="74">
        <v>1</v>
      </c>
      <c r="H797" s="74">
        <v>80</v>
      </c>
      <c r="I797" s="74">
        <f>0.69041567*(1000)</f>
        <v>690.41567000000009</v>
      </c>
    </row>
    <row r="798" spans="1:9" s="71" customFormat="1" ht="35.25" hidden="1" customHeight="1" outlineLevel="1" x14ac:dyDescent="0.25">
      <c r="A798" s="74">
        <v>4223</v>
      </c>
      <c r="B798" s="45" t="s">
        <v>537</v>
      </c>
      <c r="C798" s="82" t="s">
        <v>545</v>
      </c>
      <c r="D798" s="82"/>
      <c r="E798" s="74">
        <v>2022</v>
      </c>
      <c r="F798" s="74" t="s">
        <v>515</v>
      </c>
      <c r="G798" s="74">
        <v>1</v>
      </c>
      <c r="H798" s="74">
        <v>90</v>
      </c>
      <c r="I798" s="74">
        <f>0.68623833*(1000)</f>
        <v>686.23833000000002</v>
      </c>
    </row>
    <row r="799" spans="1:9" s="71" customFormat="1" ht="35.25" hidden="1" customHeight="1" outlineLevel="1" x14ac:dyDescent="0.25">
      <c r="A799" s="74">
        <v>1547</v>
      </c>
      <c r="B799" s="45" t="s">
        <v>537</v>
      </c>
      <c r="C799" s="82" t="s">
        <v>546</v>
      </c>
      <c r="D799" s="82"/>
      <c r="E799" s="74">
        <v>2022</v>
      </c>
      <c r="F799" s="74" t="s">
        <v>515</v>
      </c>
      <c r="G799" s="74">
        <v>1</v>
      </c>
      <c r="H799" s="74">
        <v>52</v>
      </c>
      <c r="I799" s="74">
        <v>591.96999000000005</v>
      </c>
    </row>
    <row r="800" spans="1:9" s="71" customFormat="1" ht="35.25" hidden="1" customHeight="1" outlineLevel="1" x14ac:dyDescent="0.25">
      <c r="A800" s="74">
        <v>1592</v>
      </c>
      <c r="B800" s="45" t="s">
        <v>537</v>
      </c>
      <c r="C800" s="82" t="s">
        <v>547</v>
      </c>
      <c r="D800" s="82"/>
      <c r="E800" s="74">
        <v>2022</v>
      </c>
      <c r="F800" s="74" t="s">
        <v>515</v>
      </c>
      <c r="G800" s="74">
        <v>1</v>
      </c>
      <c r="H800" s="74">
        <v>30</v>
      </c>
      <c r="I800" s="74">
        <v>503.37961999999999</v>
      </c>
    </row>
    <row r="801" spans="1:9" s="71" customFormat="1" ht="35.25" hidden="1" customHeight="1" outlineLevel="1" x14ac:dyDescent="0.25">
      <c r="A801" s="74">
        <v>1591</v>
      </c>
      <c r="B801" s="45" t="s">
        <v>537</v>
      </c>
      <c r="C801" s="82" t="s">
        <v>548</v>
      </c>
      <c r="D801" s="82"/>
      <c r="E801" s="74">
        <v>2022</v>
      </c>
      <c r="F801" s="74" t="s">
        <v>515</v>
      </c>
      <c r="G801" s="74">
        <v>1</v>
      </c>
      <c r="H801" s="74">
        <v>25</v>
      </c>
      <c r="I801" s="74">
        <v>546.14095999999995</v>
      </c>
    </row>
    <row r="802" spans="1:9" s="71" customFormat="1" ht="35.25" hidden="1" customHeight="1" outlineLevel="1" x14ac:dyDescent="0.25">
      <c r="A802" s="74">
        <v>1434</v>
      </c>
      <c r="B802" s="45" t="s">
        <v>537</v>
      </c>
      <c r="C802" s="82" t="s">
        <v>549</v>
      </c>
      <c r="D802" s="82"/>
      <c r="E802" s="74">
        <v>2022</v>
      </c>
      <c r="F802" s="74" t="s">
        <v>515</v>
      </c>
      <c r="G802" s="74">
        <v>1</v>
      </c>
      <c r="H802" s="74">
        <v>25</v>
      </c>
      <c r="I802" s="74">
        <v>559.43848000000003</v>
      </c>
    </row>
    <row r="803" spans="1:9" s="71" customFormat="1" ht="35.25" hidden="1" customHeight="1" outlineLevel="1" x14ac:dyDescent="0.25">
      <c r="A803" s="74">
        <v>463</v>
      </c>
      <c r="B803" s="45" t="s">
        <v>537</v>
      </c>
      <c r="C803" s="82" t="s">
        <v>550</v>
      </c>
      <c r="D803" s="82"/>
      <c r="E803" s="74">
        <v>2022</v>
      </c>
      <c r="F803" s="74" t="s">
        <v>515</v>
      </c>
      <c r="G803" s="74">
        <v>1</v>
      </c>
      <c r="H803" s="74">
        <v>50</v>
      </c>
      <c r="I803" s="74">
        <v>754.00117999999998</v>
      </c>
    </row>
    <row r="804" spans="1:9" s="71" customFormat="1" ht="35.25" hidden="1" customHeight="1" outlineLevel="1" x14ac:dyDescent="0.25">
      <c r="A804" s="74">
        <v>4792</v>
      </c>
      <c r="B804" s="45" t="s">
        <v>537</v>
      </c>
      <c r="C804" s="82" t="s">
        <v>551</v>
      </c>
      <c r="D804" s="82"/>
      <c r="E804" s="74">
        <v>2022</v>
      </c>
      <c r="F804" s="74" t="s">
        <v>515</v>
      </c>
      <c r="G804" s="74">
        <v>1</v>
      </c>
      <c r="H804" s="74">
        <v>30.3</v>
      </c>
      <c r="I804" s="74">
        <v>604</v>
      </c>
    </row>
    <row r="805" spans="1:9" s="71" customFormat="1" ht="35.25" hidden="1" customHeight="1" outlineLevel="1" x14ac:dyDescent="0.25">
      <c r="A805" s="74">
        <v>4604</v>
      </c>
      <c r="B805" s="45" t="s">
        <v>537</v>
      </c>
      <c r="C805" s="82" t="s">
        <v>552</v>
      </c>
      <c r="D805" s="82"/>
      <c r="E805" s="74">
        <v>2022</v>
      </c>
      <c r="F805" s="74" t="s">
        <v>515</v>
      </c>
      <c r="G805" s="74">
        <v>1</v>
      </c>
      <c r="H805" s="74">
        <v>25</v>
      </c>
      <c r="I805" s="74">
        <v>436</v>
      </c>
    </row>
    <row r="806" spans="1:9" s="71" customFormat="1" ht="35.25" hidden="1" customHeight="1" outlineLevel="1" x14ac:dyDescent="0.25">
      <c r="A806" s="74">
        <v>4877</v>
      </c>
      <c r="B806" s="45" t="s">
        <v>537</v>
      </c>
      <c r="C806" s="82" t="s">
        <v>553</v>
      </c>
      <c r="D806" s="82"/>
      <c r="E806" s="74">
        <v>2022</v>
      </c>
      <c r="F806" s="74" t="s">
        <v>515</v>
      </c>
      <c r="G806" s="74">
        <v>1</v>
      </c>
      <c r="H806" s="74">
        <v>40</v>
      </c>
      <c r="I806" s="74">
        <v>652</v>
      </c>
    </row>
    <row r="807" spans="1:9" s="71" customFormat="1" ht="35.25" hidden="1" customHeight="1" outlineLevel="1" x14ac:dyDescent="0.25">
      <c r="A807" s="74">
        <v>4878</v>
      </c>
      <c r="B807" s="45" t="s">
        <v>537</v>
      </c>
      <c r="C807" s="82" t="s">
        <v>554</v>
      </c>
      <c r="D807" s="82"/>
      <c r="E807" s="74">
        <v>2022</v>
      </c>
      <c r="F807" s="74" t="s">
        <v>515</v>
      </c>
      <c r="G807" s="74">
        <v>1</v>
      </c>
      <c r="H807" s="74">
        <v>90</v>
      </c>
      <c r="I807" s="74">
        <v>716</v>
      </c>
    </row>
    <row r="808" spans="1:9" s="71" customFormat="1" ht="35.25" hidden="1" customHeight="1" outlineLevel="1" x14ac:dyDescent="0.25">
      <c r="A808" s="74">
        <v>4899</v>
      </c>
      <c r="B808" s="45" t="s">
        <v>537</v>
      </c>
      <c r="C808" s="82" t="s">
        <v>555</v>
      </c>
      <c r="D808" s="82"/>
      <c r="E808" s="74">
        <v>2022</v>
      </c>
      <c r="F808" s="74" t="s">
        <v>515</v>
      </c>
      <c r="G808" s="74">
        <v>1</v>
      </c>
      <c r="H808" s="74">
        <v>47</v>
      </c>
      <c r="I808" s="74">
        <v>790</v>
      </c>
    </row>
    <row r="809" spans="1:9" s="71" customFormat="1" ht="35.25" hidden="1" customHeight="1" outlineLevel="1" x14ac:dyDescent="0.25">
      <c r="A809" s="74">
        <v>4589</v>
      </c>
      <c r="B809" s="45" t="s">
        <v>537</v>
      </c>
      <c r="C809" s="82" t="s">
        <v>556</v>
      </c>
      <c r="D809" s="82"/>
      <c r="E809" s="74">
        <v>2022</v>
      </c>
      <c r="F809" s="74" t="s">
        <v>515</v>
      </c>
      <c r="G809" s="74">
        <v>1</v>
      </c>
      <c r="H809" s="74">
        <v>20</v>
      </c>
      <c r="I809" s="74">
        <v>364.43900000000002</v>
      </c>
    </row>
    <row r="810" spans="1:9" s="71" customFormat="1" ht="35.25" hidden="1" customHeight="1" outlineLevel="1" x14ac:dyDescent="0.25">
      <c r="A810" s="74">
        <v>4829</v>
      </c>
      <c r="B810" s="45" t="s">
        <v>537</v>
      </c>
      <c r="C810" s="82" t="s">
        <v>557</v>
      </c>
      <c r="D810" s="82"/>
      <c r="E810" s="74">
        <v>2022</v>
      </c>
      <c r="F810" s="74" t="s">
        <v>515</v>
      </c>
      <c r="G810" s="74">
        <v>1</v>
      </c>
      <c r="H810" s="74">
        <v>15</v>
      </c>
      <c r="I810" s="74">
        <v>453.78000000000003</v>
      </c>
    </row>
    <row r="811" spans="1:9" s="71" customFormat="1" ht="35.25" hidden="1" customHeight="1" outlineLevel="1" x14ac:dyDescent="0.25">
      <c r="A811" s="74">
        <v>2069</v>
      </c>
      <c r="B811" s="45" t="s">
        <v>537</v>
      </c>
      <c r="C811" s="82" t="s">
        <v>558</v>
      </c>
      <c r="D811" s="82"/>
      <c r="E811" s="74">
        <v>2022</v>
      </c>
      <c r="F811" s="74" t="s">
        <v>515</v>
      </c>
      <c r="G811" s="74">
        <v>1</v>
      </c>
      <c r="H811" s="74">
        <v>80</v>
      </c>
      <c r="I811" s="74">
        <v>439.43150000000003</v>
      </c>
    </row>
    <row r="812" spans="1:9" s="71" customFormat="1" ht="35.25" hidden="1" customHeight="1" outlineLevel="1" x14ac:dyDescent="0.25">
      <c r="A812" s="74">
        <v>5885</v>
      </c>
      <c r="B812" s="45" t="s">
        <v>537</v>
      </c>
      <c r="C812" s="82" t="s">
        <v>559</v>
      </c>
      <c r="D812" s="82"/>
      <c r="E812" s="74">
        <v>2022</v>
      </c>
      <c r="F812" s="74" t="s">
        <v>515</v>
      </c>
      <c r="G812" s="74">
        <v>1</v>
      </c>
      <c r="H812" s="74">
        <v>30</v>
      </c>
      <c r="I812" s="74">
        <v>706.03200000000004</v>
      </c>
    </row>
    <row r="813" spans="1:9" s="71" customFormat="1" ht="35.25" hidden="1" customHeight="1" outlineLevel="1" x14ac:dyDescent="0.25">
      <c r="A813" s="74">
        <v>5768</v>
      </c>
      <c r="B813" s="45" t="s">
        <v>537</v>
      </c>
      <c r="C813" s="82" t="s">
        <v>449</v>
      </c>
      <c r="D813" s="82"/>
      <c r="E813" s="74">
        <v>2022</v>
      </c>
      <c r="F813" s="74" t="s">
        <v>515</v>
      </c>
      <c r="G813" s="74">
        <v>1</v>
      </c>
      <c r="H813" s="74">
        <v>62</v>
      </c>
      <c r="I813" s="74">
        <v>562.51099999999997</v>
      </c>
    </row>
    <row r="814" spans="1:9" s="71" customFormat="1" ht="35.25" hidden="1" customHeight="1" outlineLevel="1" x14ac:dyDescent="0.25">
      <c r="A814" s="74">
        <v>181</v>
      </c>
      <c r="B814" s="45" t="s">
        <v>537</v>
      </c>
      <c r="C814" s="82" t="s">
        <v>560</v>
      </c>
      <c r="D814" s="82"/>
      <c r="E814" s="74">
        <v>2022</v>
      </c>
      <c r="F814" s="74" t="s">
        <v>515</v>
      </c>
      <c r="G814" s="74">
        <v>1</v>
      </c>
      <c r="H814" s="74">
        <v>15</v>
      </c>
      <c r="I814" s="74">
        <v>533</v>
      </c>
    </row>
    <row r="815" spans="1:9" s="71" customFormat="1" ht="35.25" hidden="1" customHeight="1" outlineLevel="1" x14ac:dyDescent="0.25">
      <c r="A815" s="74">
        <v>261</v>
      </c>
      <c r="B815" s="45" t="s">
        <v>537</v>
      </c>
      <c r="C815" s="82" t="s">
        <v>167</v>
      </c>
      <c r="D815" s="82"/>
      <c r="E815" s="74">
        <v>2022</v>
      </c>
      <c r="F815" s="74" t="s">
        <v>515</v>
      </c>
      <c r="G815" s="74">
        <v>1</v>
      </c>
      <c r="H815" s="74">
        <v>25</v>
      </c>
      <c r="I815" s="74">
        <v>508</v>
      </c>
    </row>
    <row r="816" spans="1:9" s="71" customFormat="1" ht="35.25" hidden="1" customHeight="1" outlineLevel="1" x14ac:dyDescent="0.25">
      <c r="A816" s="74">
        <v>355</v>
      </c>
      <c r="B816" s="45" t="s">
        <v>537</v>
      </c>
      <c r="C816" s="82" t="s">
        <v>561</v>
      </c>
      <c r="D816" s="82"/>
      <c r="E816" s="74">
        <v>2022</v>
      </c>
      <c r="F816" s="74" t="s">
        <v>515</v>
      </c>
      <c r="G816" s="74">
        <v>1</v>
      </c>
      <c r="H816" s="74">
        <v>60</v>
      </c>
      <c r="I816" s="74">
        <v>770</v>
      </c>
    </row>
    <row r="817" spans="1:9" s="71" customFormat="1" ht="35.25" hidden="1" customHeight="1" outlineLevel="1" x14ac:dyDescent="0.25">
      <c r="A817" s="74">
        <v>398</v>
      </c>
      <c r="B817" s="45" t="s">
        <v>537</v>
      </c>
      <c r="C817" s="82" t="s">
        <v>562</v>
      </c>
      <c r="D817" s="82"/>
      <c r="E817" s="74">
        <v>2022</v>
      </c>
      <c r="F817" s="74" t="s">
        <v>515</v>
      </c>
      <c r="G817" s="74">
        <v>1</v>
      </c>
      <c r="H817" s="74">
        <v>30</v>
      </c>
      <c r="I817" s="74">
        <v>574</v>
      </c>
    </row>
    <row r="818" spans="1:9" s="71" customFormat="1" ht="35.25" hidden="1" customHeight="1" outlineLevel="1" x14ac:dyDescent="0.25">
      <c r="A818" s="74">
        <v>423</v>
      </c>
      <c r="B818" s="45" t="s">
        <v>537</v>
      </c>
      <c r="C818" s="82" t="s">
        <v>173</v>
      </c>
      <c r="D818" s="82"/>
      <c r="E818" s="74">
        <v>2022</v>
      </c>
      <c r="F818" s="74" t="s">
        <v>515</v>
      </c>
      <c r="G818" s="74">
        <v>1</v>
      </c>
      <c r="H818" s="74">
        <v>45</v>
      </c>
      <c r="I818" s="74">
        <v>760</v>
      </c>
    </row>
    <row r="819" spans="1:9" s="71" customFormat="1" ht="35.25" hidden="1" customHeight="1" outlineLevel="1" x14ac:dyDescent="0.25">
      <c r="A819" s="74">
        <v>432</v>
      </c>
      <c r="B819" s="45" t="s">
        <v>537</v>
      </c>
      <c r="C819" s="82" t="s">
        <v>180</v>
      </c>
      <c r="D819" s="82"/>
      <c r="E819" s="74">
        <v>2022</v>
      </c>
      <c r="F819" s="74" t="s">
        <v>515</v>
      </c>
      <c r="G819" s="74">
        <v>1</v>
      </c>
      <c r="H819" s="74">
        <v>15</v>
      </c>
      <c r="I819" s="74">
        <v>622</v>
      </c>
    </row>
    <row r="820" spans="1:9" s="71" customFormat="1" ht="35.25" hidden="1" customHeight="1" outlineLevel="1" x14ac:dyDescent="0.25">
      <c r="A820" s="74">
        <v>181</v>
      </c>
      <c r="B820" s="45" t="s">
        <v>537</v>
      </c>
      <c r="C820" s="82" t="s">
        <v>560</v>
      </c>
      <c r="D820" s="82"/>
      <c r="E820" s="74">
        <v>2022</v>
      </c>
      <c r="F820" s="74" t="s">
        <v>515</v>
      </c>
      <c r="G820" s="74">
        <v>1</v>
      </c>
      <c r="H820" s="74">
        <v>15</v>
      </c>
      <c r="I820" s="74">
        <v>533</v>
      </c>
    </row>
    <row r="821" spans="1:9" s="71" customFormat="1" ht="35.25" hidden="1" customHeight="1" outlineLevel="1" x14ac:dyDescent="0.25">
      <c r="A821" s="74">
        <v>261</v>
      </c>
      <c r="B821" s="45" t="s">
        <v>537</v>
      </c>
      <c r="C821" s="82" t="s">
        <v>167</v>
      </c>
      <c r="D821" s="82"/>
      <c r="E821" s="74">
        <v>2022</v>
      </c>
      <c r="F821" s="74" t="s">
        <v>515</v>
      </c>
      <c r="G821" s="74">
        <v>1</v>
      </c>
      <c r="H821" s="74">
        <v>25</v>
      </c>
      <c r="I821" s="74">
        <v>508</v>
      </c>
    </row>
    <row r="822" spans="1:9" s="71" customFormat="1" ht="35.25" hidden="1" customHeight="1" outlineLevel="1" x14ac:dyDescent="0.25">
      <c r="A822" s="74">
        <v>355</v>
      </c>
      <c r="B822" s="45" t="s">
        <v>537</v>
      </c>
      <c r="C822" s="82" t="s">
        <v>561</v>
      </c>
      <c r="D822" s="82"/>
      <c r="E822" s="74">
        <v>2022</v>
      </c>
      <c r="F822" s="74" t="s">
        <v>515</v>
      </c>
      <c r="G822" s="74">
        <v>1</v>
      </c>
      <c r="H822" s="74">
        <v>60</v>
      </c>
      <c r="I822" s="74">
        <v>770</v>
      </c>
    </row>
    <row r="823" spans="1:9" s="71" customFormat="1" ht="35.25" hidden="1" customHeight="1" outlineLevel="1" x14ac:dyDescent="0.25">
      <c r="A823" s="74">
        <v>398</v>
      </c>
      <c r="B823" s="45" t="s">
        <v>537</v>
      </c>
      <c r="C823" s="82" t="s">
        <v>562</v>
      </c>
      <c r="D823" s="82"/>
      <c r="E823" s="74">
        <v>2022</v>
      </c>
      <c r="F823" s="74" t="s">
        <v>515</v>
      </c>
      <c r="G823" s="74">
        <v>1</v>
      </c>
      <c r="H823" s="74">
        <v>30</v>
      </c>
      <c r="I823" s="74">
        <v>574</v>
      </c>
    </row>
    <row r="824" spans="1:9" s="71" customFormat="1" ht="35.25" hidden="1" customHeight="1" outlineLevel="1" x14ac:dyDescent="0.25">
      <c r="A824" s="74">
        <v>5056</v>
      </c>
      <c r="B824" s="45" t="s">
        <v>537</v>
      </c>
      <c r="C824" s="60" t="s">
        <v>563</v>
      </c>
      <c r="D824" s="60"/>
      <c r="E824" s="74">
        <v>2022</v>
      </c>
      <c r="F824" s="74" t="s">
        <v>515</v>
      </c>
      <c r="G824" s="45">
        <v>16</v>
      </c>
      <c r="H824" s="45">
        <v>269.2</v>
      </c>
      <c r="I824" s="45">
        <v>10474</v>
      </c>
    </row>
    <row r="825" spans="1:9" s="71" customFormat="1" ht="35.25" hidden="1" customHeight="1" outlineLevel="1" x14ac:dyDescent="0.25">
      <c r="A825" s="74">
        <v>423</v>
      </c>
      <c r="B825" s="45" t="s">
        <v>537</v>
      </c>
      <c r="C825" s="82" t="s">
        <v>173</v>
      </c>
      <c r="D825" s="82"/>
      <c r="E825" s="74">
        <v>2022</v>
      </c>
      <c r="F825" s="74" t="s">
        <v>515</v>
      </c>
      <c r="G825" s="74">
        <v>1</v>
      </c>
      <c r="H825" s="74">
        <v>45</v>
      </c>
      <c r="I825" s="74">
        <v>760</v>
      </c>
    </row>
    <row r="826" spans="1:9" s="71" customFormat="1" ht="35.25" hidden="1" customHeight="1" outlineLevel="1" x14ac:dyDescent="0.25">
      <c r="A826" s="74">
        <v>432</v>
      </c>
      <c r="B826" s="45" t="s">
        <v>537</v>
      </c>
      <c r="C826" s="82" t="s">
        <v>180</v>
      </c>
      <c r="D826" s="82"/>
      <c r="E826" s="74">
        <v>2022</v>
      </c>
      <c r="F826" s="74" t="s">
        <v>515</v>
      </c>
      <c r="G826" s="74">
        <v>1</v>
      </c>
      <c r="H826" s="74">
        <v>15</v>
      </c>
      <c r="I826" s="74">
        <v>622</v>
      </c>
    </row>
    <row r="827" spans="1:9" s="71" customFormat="1" ht="29.25" hidden="1" customHeight="1" outlineLevel="1" x14ac:dyDescent="0.25">
      <c r="A827" s="74">
        <v>3026</v>
      </c>
      <c r="B827" s="68" t="s">
        <v>537</v>
      </c>
      <c r="C827" s="60" t="s">
        <v>564</v>
      </c>
      <c r="D827" s="60"/>
      <c r="E827" s="107">
        <v>2023</v>
      </c>
      <c r="F827" s="45" t="s">
        <v>515</v>
      </c>
      <c r="G827" s="68">
        <v>1</v>
      </c>
      <c r="H827" s="68">
        <v>80</v>
      </c>
      <c r="I827" s="108">
        <v>940.99</v>
      </c>
    </row>
    <row r="828" spans="1:9" s="71" customFormat="1" ht="29.25" hidden="1" customHeight="1" outlineLevel="1" x14ac:dyDescent="0.25">
      <c r="A828" s="74">
        <v>3024</v>
      </c>
      <c r="B828" s="68" t="s">
        <v>537</v>
      </c>
      <c r="C828" s="60" t="s">
        <v>565</v>
      </c>
      <c r="D828" s="60"/>
      <c r="E828" s="107">
        <v>2023</v>
      </c>
      <c r="F828" s="45" t="s">
        <v>515</v>
      </c>
      <c r="G828" s="68">
        <v>1</v>
      </c>
      <c r="H828" s="68">
        <v>80</v>
      </c>
      <c r="I828" s="108">
        <v>930.01100000000008</v>
      </c>
    </row>
    <row r="829" spans="1:9" s="71" customFormat="1" ht="29.25" hidden="1" customHeight="1" outlineLevel="1" x14ac:dyDescent="0.25">
      <c r="A829" s="74">
        <v>1088</v>
      </c>
      <c r="B829" s="68" t="s">
        <v>537</v>
      </c>
      <c r="C829" s="60" t="s">
        <v>566</v>
      </c>
      <c r="D829" s="60"/>
      <c r="E829" s="107">
        <v>2023</v>
      </c>
      <c r="F829" s="45" t="s">
        <v>515</v>
      </c>
      <c r="G829" s="68">
        <v>1</v>
      </c>
      <c r="H829" s="68">
        <v>45</v>
      </c>
      <c r="I829" s="108">
        <v>883.56200000000001</v>
      </c>
    </row>
    <row r="830" spans="1:9" s="71" customFormat="1" ht="29.25" hidden="1" customHeight="1" outlineLevel="1" x14ac:dyDescent="0.25">
      <c r="A830" s="74">
        <v>3018</v>
      </c>
      <c r="B830" s="68" t="s">
        <v>537</v>
      </c>
      <c r="C830" s="60" t="s">
        <v>567</v>
      </c>
      <c r="D830" s="60"/>
      <c r="E830" s="107">
        <v>2023</v>
      </c>
      <c r="F830" s="45" t="s">
        <v>515</v>
      </c>
      <c r="G830" s="68">
        <v>1</v>
      </c>
      <c r="H830" s="68">
        <v>50</v>
      </c>
      <c r="I830" s="108">
        <v>659.53890000000001</v>
      </c>
    </row>
    <row r="831" spans="1:9" s="71" customFormat="1" ht="29.25" hidden="1" customHeight="1" outlineLevel="1" x14ac:dyDescent="0.25">
      <c r="A831" s="74">
        <v>4025</v>
      </c>
      <c r="B831" s="68" t="s">
        <v>537</v>
      </c>
      <c r="C831" s="60" t="s">
        <v>568</v>
      </c>
      <c r="D831" s="60"/>
      <c r="E831" s="107">
        <v>2023</v>
      </c>
      <c r="F831" s="45" t="s">
        <v>515</v>
      </c>
      <c r="G831" s="68">
        <v>1</v>
      </c>
      <c r="H831" s="68">
        <v>75</v>
      </c>
      <c r="I831" s="108">
        <v>841.15806999999995</v>
      </c>
    </row>
    <row r="832" spans="1:9" s="71" customFormat="1" ht="29.25" hidden="1" customHeight="1" outlineLevel="1" x14ac:dyDescent="0.25">
      <c r="A832" s="74">
        <v>675</v>
      </c>
      <c r="B832" s="68" t="s">
        <v>537</v>
      </c>
      <c r="C832" s="60" t="s">
        <v>188</v>
      </c>
      <c r="D832" s="60"/>
      <c r="E832" s="107">
        <v>2023</v>
      </c>
      <c r="F832" s="45" t="s">
        <v>515</v>
      </c>
      <c r="G832" s="68">
        <v>1</v>
      </c>
      <c r="H832" s="68">
        <v>45</v>
      </c>
      <c r="I832" s="108">
        <v>416.51799999999997</v>
      </c>
    </row>
    <row r="833" spans="1:9" s="71" customFormat="1" ht="29.25" hidden="1" customHeight="1" outlineLevel="1" x14ac:dyDescent="0.25">
      <c r="A833" s="74">
        <v>461</v>
      </c>
      <c r="B833" s="68" t="s">
        <v>537</v>
      </c>
      <c r="C833" s="60" t="s">
        <v>569</v>
      </c>
      <c r="D833" s="60"/>
      <c r="E833" s="107">
        <v>2023</v>
      </c>
      <c r="F833" s="45" t="s">
        <v>515</v>
      </c>
      <c r="G833" s="68">
        <v>1</v>
      </c>
      <c r="H833" s="68">
        <v>45</v>
      </c>
      <c r="I833" s="108">
        <v>836.18979999999999</v>
      </c>
    </row>
    <row r="834" spans="1:9" s="71" customFormat="1" ht="29.25" hidden="1" customHeight="1" outlineLevel="1" x14ac:dyDescent="0.25">
      <c r="A834" s="74">
        <v>3265</v>
      </c>
      <c r="B834" s="68" t="s">
        <v>537</v>
      </c>
      <c r="C834" s="60" t="s">
        <v>570</v>
      </c>
      <c r="D834" s="60"/>
      <c r="E834" s="107">
        <v>2023</v>
      </c>
      <c r="F834" s="45" t="s">
        <v>515</v>
      </c>
      <c r="G834" s="68">
        <v>1</v>
      </c>
      <c r="H834" s="68">
        <v>45</v>
      </c>
      <c r="I834" s="108">
        <v>877.7589999999999</v>
      </c>
    </row>
    <row r="835" spans="1:9" s="71" customFormat="1" ht="29.25" hidden="1" customHeight="1" outlineLevel="1" x14ac:dyDescent="0.25">
      <c r="A835" s="74">
        <v>3092</v>
      </c>
      <c r="B835" s="68" t="s">
        <v>537</v>
      </c>
      <c r="C835" s="60" t="s">
        <v>571</v>
      </c>
      <c r="D835" s="60"/>
      <c r="E835" s="107">
        <v>2023</v>
      </c>
      <c r="F835" s="45" t="s">
        <v>515</v>
      </c>
      <c r="G835" s="68">
        <v>1</v>
      </c>
      <c r="H835" s="68">
        <v>40</v>
      </c>
      <c r="I835" s="108">
        <v>503.96499999999997</v>
      </c>
    </row>
    <row r="836" spans="1:9" s="71" customFormat="1" ht="29.25" hidden="1" customHeight="1" outlineLevel="1" x14ac:dyDescent="0.25">
      <c r="A836" s="74">
        <v>3060</v>
      </c>
      <c r="B836" s="68" t="s">
        <v>537</v>
      </c>
      <c r="C836" s="60" t="s">
        <v>572</v>
      </c>
      <c r="D836" s="60"/>
      <c r="E836" s="107">
        <v>2023</v>
      </c>
      <c r="F836" s="45" t="s">
        <v>515</v>
      </c>
      <c r="G836" s="68">
        <v>1</v>
      </c>
      <c r="H836" s="68">
        <v>50</v>
      </c>
      <c r="I836" s="108">
        <v>740.13300000000004</v>
      </c>
    </row>
    <row r="837" spans="1:9" s="71" customFormat="1" ht="29.25" hidden="1" customHeight="1" outlineLevel="1" x14ac:dyDescent="0.25">
      <c r="A837" s="74">
        <v>4790</v>
      </c>
      <c r="B837" s="68" t="s">
        <v>537</v>
      </c>
      <c r="C837" s="60" t="s">
        <v>573</v>
      </c>
      <c r="D837" s="60"/>
      <c r="E837" s="107">
        <v>2023</v>
      </c>
      <c r="F837" s="45" t="s">
        <v>515</v>
      </c>
      <c r="G837" s="68">
        <v>1</v>
      </c>
      <c r="H837" s="68">
        <v>54.2</v>
      </c>
      <c r="I837" s="108">
        <v>850.26800000000003</v>
      </c>
    </row>
    <row r="838" spans="1:9" s="71" customFormat="1" ht="29.25" hidden="1" customHeight="1" outlineLevel="1" x14ac:dyDescent="0.25">
      <c r="A838" s="74">
        <v>5051</v>
      </c>
      <c r="B838" s="68" t="s">
        <v>537</v>
      </c>
      <c r="C838" s="60" t="s">
        <v>574</v>
      </c>
      <c r="D838" s="60"/>
      <c r="E838" s="107">
        <v>2023</v>
      </c>
      <c r="F838" s="45" t="s">
        <v>515</v>
      </c>
      <c r="G838" s="68">
        <v>1</v>
      </c>
      <c r="H838" s="68">
        <v>30</v>
      </c>
      <c r="I838" s="108">
        <v>317.81187</v>
      </c>
    </row>
    <row r="839" spans="1:9" s="71" customFormat="1" ht="29.25" hidden="1" customHeight="1" outlineLevel="1" x14ac:dyDescent="0.25">
      <c r="A839" s="74">
        <v>5052</v>
      </c>
      <c r="B839" s="68" t="s">
        <v>537</v>
      </c>
      <c r="C839" s="60" t="s">
        <v>575</v>
      </c>
      <c r="D839" s="60"/>
      <c r="E839" s="107">
        <v>2023</v>
      </c>
      <c r="F839" s="45" t="s">
        <v>515</v>
      </c>
      <c r="G839" s="68">
        <v>1</v>
      </c>
      <c r="H839" s="68">
        <v>10</v>
      </c>
      <c r="I839" s="108">
        <v>792.58976000000007</v>
      </c>
    </row>
    <row r="840" spans="1:9" s="71" customFormat="1" ht="29.25" hidden="1" customHeight="1" outlineLevel="1" x14ac:dyDescent="0.25">
      <c r="A840" s="74">
        <v>287</v>
      </c>
      <c r="B840" s="68" t="s">
        <v>537</v>
      </c>
      <c r="C840" s="60" t="s">
        <v>212</v>
      </c>
      <c r="D840" s="60"/>
      <c r="E840" s="107">
        <v>2023</v>
      </c>
      <c r="F840" s="45" t="s">
        <v>515</v>
      </c>
      <c r="G840" s="68">
        <v>1</v>
      </c>
      <c r="H840" s="68">
        <v>82</v>
      </c>
      <c r="I840" s="108">
        <v>780.6257599999999</v>
      </c>
    </row>
    <row r="841" spans="1:9" s="71" customFormat="1" ht="29.25" hidden="1" customHeight="1" outlineLevel="1" x14ac:dyDescent="0.25">
      <c r="A841" s="74">
        <v>1077</v>
      </c>
      <c r="B841" s="68" t="s">
        <v>537</v>
      </c>
      <c r="C841" s="60" t="s">
        <v>225</v>
      </c>
      <c r="D841" s="60"/>
      <c r="E841" s="107">
        <v>2023</v>
      </c>
      <c r="F841" s="45" t="s">
        <v>515</v>
      </c>
      <c r="G841" s="68">
        <v>1</v>
      </c>
      <c r="H841" s="68">
        <v>80</v>
      </c>
      <c r="I841" s="108">
        <v>822.78372000000002</v>
      </c>
    </row>
    <row r="842" spans="1:9" s="71" customFormat="1" ht="29.25" hidden="1" customHeight="1" outlineLevel="1" x14ac:dyDescent="0.25">
      <c r="A842" s="74">
        <v>5172</v>
      </c>
      <c r="B842" s="68" t="s">
        <v>537</v>
      </c>
      <c r="C842" s="60" t="s">
        <v>229</v>
      </c>
      <c r="D842" s="60"/>
      <c r="E842" s="107">
        <v>2023</v>
      </c>
      <c r="F842" s="45" t="s">
        <v>515</v>
      </c>
      <c r="G842" s="68">
        <v>1</v>
      </c>
      <c r="H842" s="68">
        <v>30</v>
      </c>
      <c r="I842" s="108">
        <v>786.44468000000006</v>
      </c>
    </row>
    <row r="843" spans="1:9" s="71" customFormat="1" ht="29.25" hidden="1" customHeight="1" outlineLevel="1" x14ac:dyDescent="0.25">
      <c r="A843" s="74">
        <v>820</v>
      </c>
      <c r="B843" s="68" t="s">
        <v>537</v>
      </c>
      <c r="C843" s="60" t="s">
        <v>231</v>
      </c>
      <c r="D843" s="60"/>
      <c r="E843" s="107">
        <v>2023</v>
      </c>
      <c r="F843" s="45" t="s">
        <v>515</v>
      </c>
      <c r="G843" s="68">
        <v>1</v>
      </c>
      <c r="H843" s="68">
        <v>41</v>
      </c>
      <c r="I843" s="108">
        <v>822.11659999999995</v>
      </c>
    </row>
    <row r="844" spans="1:9" s="71" customFormat="1" ht="29.25" hidden="1" customHeight="1" outlineLevel="1" x14ac:dyDescent="0.25">
      <c r="A844" s="74">
        <v>5509</v>
      </c>
      <c r="B844" s="68" t="s">
        <v>537</v>
      </c>
      <c r="C844" s="60" t="s">
        <v>576</v>
      </c>
      <c r="D844" s="60"/>
      <c r="E844" s="107">
        <v>2023</v>
      </c>
      <c r="F844" s="45" t="s">
        <v>515</v>
      </c>
      <c r="G844" s="68">
        <v>1</v>
      </c>
      <c r="H844" s="68">
        <v>30</v>
      </c>
      <c r="I844" s="108">
        <v>461.40098</v>
      </c>
    </row>
    <row r="845" spans="1:9" s="71" customFormat="1" ht="29.25" hidden="1" customHeight="1" outlineLevel="1" x14ac:dyDescent="0.25">
      <c r="A845" s="74">
        <v>2984</v>
      </c>
      <c r="B845" s="68" t="s">
        <v>537</v>
      </c>
      <c r="C845" s="60" t="s">
        <v>577</v>
      </c>
      <c r="D845" s="60"/>
      <c r="E845" s="107">
        <v>2023</v>
      </c>
      <c r="F845" s="45" t="s">
        <v>515</v>
      </c>
      <c r="G845" s="68">
        <v>1</v>
      </c>
      <c r="H845" s="68">
        <v>30</v>
      </c>
      <c r="I845" s="108">
        <v>272.11817000000002</v>
      </c>
    </row>
    <row r="846" spans="1:9" s="71" customFormat="1" ht="29.25" hidden="1" customHeight="1" outlineLevel="1" x14ac:dyDescent="0.25">
      <c r="A846" s="74">
        <v>3025</v>
      </c>
      <c r="B846" s="68" t="s">
        <v>537</v>
      </c>
      <c r="C846" s="60" t="s">
        <v>243</v>
      </c>
      <c r="D846" s="60"/>
      <c r="E846" s="107">
        <v>2023</v>
      </c>
      <c r="F846" s="45" t="s">
        <v>515</v>
      </c>
      <c r="G846" s="68">
        <v>1</v>
      </c>
      <c r="H846" s="68">
        <v>50</v>
      </c>
      <c r="I846" s="108">
        <v>497.44333</v>
      </c>
    </row>
    <row r="847" spans="1:9" s="71" customFormat="1" ht="29.25" hidden="1" customHeight="1" outlineLevel="1" x14ac:dyDescent="0.25">
      <c r="A847" s="74">
        <v>5798</v>
      </c>
      <c r="B847" s="68" t="s">
        <v>537</v>
      </c>
      <c r="C847" s="60" t="s">
        <v>578</v>
      </c>
      <c r="D847" s="60"/>
      <c r="E847" s="107">
        <v>2023</v>
      </c>
      <c r="F847" s="45" t="s">
        <v>515</v>
      </c>
      <c r="G847" s="68">
        <v>1</v>
      </c>
      <c r="H847" s="68">
        <v>35</v>
      </c>
      <c r="I847" s="108">
        <v>362</v>
      </c>
    </row>
    <row r="848" spans="1:9" s="71" customFormat="1" ht="29.25" hidden="1" customHeight="1" outlineLevel="1" x14ac:dyDescent="0.25">
      <c r="A848" s="74">
        <v>5152</v>
      </c>
      <c r="B848" s="68" t="s">
        <v>537</v>
      </c>
      <c r="C848" s="60" t="s">
        <v>579</v>
      </c>
      <c r="D848" s="60"/>
      <c r="E848" s="107">
        <v>2023</v>
      </c>
      <c r="F848" s="45" t="s">
        <v>515</v>
      </c>
      <c r="G848" s="68">
        <v>1</v>
      </c>
      <c r="H848" s="68">
        <v>60</v>
      </c>
      <c r="I848" s="108">
        <v>336.24966000000001</v>
      </c>
    </row>
    <row r="849" spans="1:9" s="71" customFormat="1" ht="29.25" hidden="1" customHeight="1" outlineLevel="1" x14ac:dyDescent="0.25">
      <c r="A849" s="74">
        <v>5797</v>
      </c>
      <c r="B849" s="68" t="s">
        <v>537</v>
      </c>
      <c r="C849" s="60" t="s">
        <v>580</v>
      </c>
      <c r="D849" s="60"/>
      <c r="E849" s="107">
        <v>2023</v>
      </c>
      <c r="F849" s="45" t="s">
        <v>515</v>
      </c>
      <c r="G849" s="68">
        <v>1</v>
      </c>
      <c r="H849" s="68">
        <v>35</v>
      </c>
      <c r="I849" s="108">
        <v>375.29476</v>
      </c>
    </row>
    <row r="850" spans="1:9" s="71" customFormat="1" ht="29.25" hidden="1" customHeight="1" outlineLevel="1" x14ac:dyDescent="0.25">
      <c r="A850" s="74">
        <v>3621</v>
      </c>
      <c r="B850" s="68" t="s">
        <v>537</v>
      </c>
      <c r="C850" s="60" t="s">
        <v>581</v>
      </c>
      <c r="D850" s="60"/>
      <c r="E850" s="107">
        <v>2023</v>
      </c>
      <c r="F850" s="45" t="s">
        <v>515</v>
      </c>
      <c r="G850" s="68">
        <v>1</v>
      </c>
      <c r="H850" s="68">
        <v>30</v>
      </c>
      <c r="I850" s="108">
        <v>470</v>
      </c>
    </row>
    <row r="851" spans="1:9" s="71" customFormat="1" ht="29.25" hidden="1" customHeight="1" outlineLevel="1" x14ac:dyDescent="0.25">
      <c r="A851" s="74">
        <v>654</v>
      </c>
      <c r="B851" s="68" t="s">
        <v>537</v>
      </c>
      <c r="C851" s="60" t="s">
        <v>582</v>
      </c>
      <c r="D851" s="60"/>
      <c r="E851" s="107">
        <v>2023</v>
      </c>
      <c r="F851" s="45" t="s">
        <v>515</v>
      </c>
      <c r="G851" s="68">
        <v>1</v>
      </c>
      <c r="H851" s="68">
        <v>30</v>
      </c>
      <c r="I851" s="108">
        <v>450</v>
      </c>
    </row>
    <row r="852" spans="1:9" s="71" customFormat="1" ht="29.25" hidden="1" customHeight="1" outlineLevel="1" x14ac:dyDescent="0.25">
      <c r="A852" s="74">
        <v>550</v>
      </c>
      <c r="B852" s="68" t="s">
        <v>537</v>
      </c>
      <c r="C852" s="60" t="s">
        <v>583</v>
      </c>
      <c r="D852" s="60"/>
      <c r="E852" s="107">
        <v>2023</v>
      </c>
      <c r="F852" s="45" t="s">
        <v>515</v>
      </c>
      <c r="G852" s="68">
        <v>1</v>
      </c>
      <c r="H852" s="68">
        <v>30</v>
      </c>
      <c r="I852" s="108">
        <v>302</v>
      </c>
    </row>
    <row r="853" spans="1:9" s="71" customFormat="1" ht="29.25" hidden="1" customHeight="1" outlineLevel="1" x14ac:dyDescent="0.25">
      <c r="A853" s="74">
        <v>1631</v>
      </c>
      <c r="B853" s="68" t="s">
        <v>537</v>
      </c>
      <c r="C853" s="60" t="s">
        <v>584</v>
      </c>
      <c r="D853" s="60"/>
      <c r="E853" s="107">
        <v>2023</v>
      </c>
      <c r="F853" s="45" t="s">
        <v>515</v>
      </c>
      <c r="G853" s="68">
        <v>1</v>
      </c>
      <c r="H853" s="68">
        <v>30</v>
      </c>
      <c r="I853" s="108">
        <v>453</v>
      </c>
    </row>
    <row r="854" spans="1:9" s="71" customFormat="1" ht="29.25" hidden="1" customHeight="1" outlineLevel="1" x14ac:dyDescent="0.25">
      <c r="A854" s="74">
        <v>1321</v>
      </c>
      <c r="B854" s="68" t="s">
        <v>537</v>
      </c>
      <c r="C854" s="60" t="s">
        <v>585</v>
      </c>
      <c r="D854" s="60"/>
      <c r="E854" s="107">
        <v>2023</v>
      </c>
      <c r="F854" s="45" t="s">
        <v>515</v>
      </c>
      <c r="G854" s="68">
        <v>1</v>
      </c>
      <c r="H854" s="68">
        <v>20</v>
      </c>
      <c r="I854" s="108">
        <v>196</v>
      </c>
    </row>
    <row r="855" spans="1:9" s="71" customFormat="1" ht="29.25" hidden="1" customHeight="1" outlineLevel="1" x14ac:dyDescent="0.25">
      <c r="A855" s="74">
        <v>2092</v>
      </c>
      <c r="B855" s="68" t="s">
        <v>537</v>
      </c>
      <c r="C855" s="60" t="s">
        <v>586</v>
      </c>
      <c r="D855" s="60"/>
      <c r="E855" s="107">
        <v>2023</v>
      </c>
      <c r="F855" s="45" t="s">
        <v>515</v>
      </c>
      <c r="G855" s="68">
        <v>1</v>
      </c>
      <c r="H855" s="68">
        <v>16</v>
      </c>
      <c r="I855" s="108">
        <v>437</v>
      </c>
    </row>
    <row r="856" spans="1:9" s="71" customFormat="1" ht="29.25" hidden="1" customHeight="1" outlineLevel="1" x14ac:dyDescent="0.25">
      <c r="A856" s="74">
        <v>4523</v>
      </c>
      <c r="B856" s="68" t="s">
        <v>537</v>
      </c>
      <c r="C856" s="60" t="s">
        <v>587</v>
      </c>
      <c r="D856" s="60"/>
      <c r="E856" s="107">
        <v>2023</v>
      </c>
      <c r="F856" s="45" t="s">
        <v>515</v>
      </c>
      <c r="G856" s="68">
        <v>1</v>
      </c>
      <c r="H856" s="68">
        <v>50</v>
      </c>
      <c r="I856" s="108">
        <v>469</v>
      </c>
    </row>
    <row r="857" spans="1:9" s="71" customFormat="1" ht="29.25" hidden="1" customHeight="1" outlineLevel="1" x14ac:dyDescent="0.25">
      <c r="A857" s="74">
        <v>738</v>
      </c>
      <c r="B857" s="68" t="s">
        <v>537</v>
      </c>
      <c r="C857" s="60" t="s">
        <v>284</v>
      </c>
      <c r="D857" s="60"/>
      <c r="E857" s="107">
        <v>2023</v>
      </c>
      <c r="F857" s="45" t="s">
        <v>515</v>
      </c>
      <c r="G857" s="68">
        <v>1</v>
      </c>
      <c r="H857" s="68">
        <v>23</v>
      </c>
      <c r="I857" s="108">
        <v>851</v>
      </c>
    </row>
    <row r="858" spans="1:9" s="71" customFormat="1" ht="29.25" hidden="1" customHeight="1" outlineLevel="1" x14ac:dyDescent="0.25">
      <c r="A858" s="74">
        <v>3439</v>
      </c>
      <c r="B858" s="68" t="s">
        <v>537</v>
      </c>
      <c r="C858" s="60" t="s">
        <v>287</v>
      </c>
      <c r="D858" s="60"/>
      <c r="E858" s="107">
        <v>2023</v>
      </c>
      <c r="F858" s="45" t="s">
        <v>515</v>
      </c>
      <c r="G858" s="68">
        <v>1</v>
      </c>
      <c r="H858" s="68">
        <v>30</v>
      </c>
      <c r="I858" s="108">
        <v>398</v>
      </c>
    </row>
    <row r="859" spans="1:9" s="71" customFormat="1" ht="29.25" hidden="1" customHeight="1" outlineLevel="1" x14ac:dyDescent="0.25">
      <c r="A859" s="74">
        <v>796</v>
      </c>
      <c r="B859" s="68" t="s">
        <v>537</v>
      </c>
      <c r="C859" s="60" t="s">
        <v>304</v>
      </c>
      <c r="D859" s="60"/>
      <c r="E859" s="107">
        <v>2023</v>
      </c>
      <c r="F859" s="45" t="s">
        <v>515</v>
      </c>
      <c r="G859" s="68">
        <v>1</v>
      </c>
      <c r="H859" s="68">
        <v>45</v>
      </c>
      <c r="I859" s="108">
        <v>794</v>
      </c>
    </row>
    <row r="860" spans="1:9" s="71" customFormat="1" ht="29.25" hidden="1" customHeight="1" outlineLevel="1" x14ac:dyDescent="0.25">
      <c r="A860" s="74">
        <v>1183</v>
      </c>
      <c r="B860" s="68" t="s">
        <v>537</v>
      </c>
      <c r="C860" s="60" t="s">
        <v>325</v>
      </c>
      <c r="D860" s="60"/>
      <c r="E860" s="107">
        <v>2023</v>
      </c>
      <c r="F860" s="45" t="s">
        <v>515</v>
      </c>
      <c r="G860" s="68">
        <v>1</v>
      </c>
      <c r="H860" s="68">
        <v>110</v>
      </c>
      <c r="I860" s="108">
        <v>1204</v>
      </c>
    </row>
    <row r="861" spans="1:9" s="71" customFormat="1" ht="29.25" hidden="1" customHeight="1" outlineLevel="1" x14ac:dyDescent="0.25">
      <c r="A861" s="74">
        <v>660</v>
      </c>
      <c r="B861" s="68" t="s">
        <v>537</v>
      </c>
      <c r="C861" s="60" t="s">
        <v>338</v>
      </c>
      <c r="D861" s="60"/>
      <c r="E861" s="107">
        <v>2023</v>
      </c>
      <c r="F861" s="45" t="s">
        <v>515</v>
      </c>
      <c r="G861" s="68">
        <v>1</v>
      </c>
      <c r="H861" s="68">
        <v>30</v>
      </c>
      <c r="I861" s="108">
        <v>715</v>
      </c>
    </row>
    <row r="862" spans="1:9" s="71" customFormat="1" ht="32.25" hidden="1" customHeight="1" outlineLevel="1" x14ac:dyDescent="0.25">
      <c r="A862" s="83">
        <v>9522</v>
      </c>
      <c r="B862" s="45" t="s">
        <v>537</v>
      </c>
      <c r="C862" s="82" t="s">
        <v>588</v>
      </c>
      <c r="D862" s="82"/>
      <c r="E862" s="74">
        <v>2021</v>
      </c>
      <c r="F862" s="74"/>
      <c r="G862" s="74">
        <v>1</v>
      </c>
      <c r="H862" s="74">
        <v>15</v>
      </c>
      <c r="I862" s="74">
        <v>386.91</v>
      </c>
    </row>
    <row r="863" spans="1:9" s="71" customFormat="1" ht="32.25" hidden="1" customHeight="1" outlineLevel="1" x14ac:dyDescent="0.25">
      <c r="A863" s="83">
        <v>9733</v>
      </c>
      <c r="B863" s="45" t="s">
        <v>537</v>
      </c>
      <c r="C863" s="82" t="s">
        <v>589</v>
      </c>
      <c r="D863" s="82"/>
      <c r="E863" s="74">
        <v>2021</v>
      </c>
      <c r="F863" s="74"/>
      <c r="G863" s="74">
        <v>1</v>
      </c>
      <c r="H863" s="74">
        <v>15</v>
      </c>
      <c r="I863" s="74">
        <v>343.74299999999999</v>
      </c>
    </row>
    <row r="864" spans="1:9" s="71" customFormat="1" ht="32.25" hidden="1" customHeight="1" outlineLevel="1" x14ac:dyDescent="0.25">
      <c r="A864" s="84">
        <v>1285</v>
      </c>
      <c r="B864" s="45" t="s">
        <v>537</v>
      </c>
      <c r="C864" s="82" t="s">
        <v>356</v>
      </c>
      <c r="D864" s="82"/>
      <c r="E864" s="74">
        <v>2021</v>
      </c>
      <c r="F864" s="74"/>
      <c r="G864" s="74">
        <v>1</v>
      </c>
      <c r="H864" s="74">
        <v>30</v>
      </c>
      <c r="I864" s="74">
        <v>452.92338999999998</v>
      </c>
    </row>
    <row r="865" spans="1:9" s="71" customFormat="1" ht="32.25" hidden="1" customHeight="1" outlineLevel="1" x14ac:dyDescent="0.25">
      <c r="A865" s="83">
        <v>9650</v>
      </c>
      <c r="B865" s="45" t="s">
        <v>537</v>
      </c>
      <c r="C865" s="82" t="s">
        <v>590</v>
      </c>
      <c r="D865" s="82"/>
      <c r="E865" s="74">
        <v>2021</v>
      </c>
      <c r="F865" s="74"/>
      <c r="G865" s="74">
        <v>1</v>
      </c>
      <c r="H865" s="74">
        <v>70</v>
      </c>
      <c r="I865" s="74">
        <v>827</v>
      </c>
    </row>
    <row r="866" spans="1:9" s="71" customFormat="1" ht="32.25" hidden="1" customHeight="1" outlineLevel="1" x14ac:dyDescent="0.25">
      <c r="A866" s="83">
        <v>9666</v>
      </c>
      <c r="B866" s="45" t="s">
        <v>537</v>
      </c>
      <c r="C866" s="82" t="s">
        <v>591</v>
      </c>
      <c r="D866" s="82"/>
      <c r="E866" s="74">
        <v>2021</v>
      </c>
      <c r="F866" s="74"/>
      <c r="G866" s="74">
        <v>1</v>
      </c>
      <c r="H866" s="74">
        <v>90</v>
      </c>
      <c r="I866" s="74">
        <v>492</v>
      </c>
    </row>
    <row r="867" spans="1:9" s="71" customFormat="1" ht="32.25" hidden="1" customHeight="1" outlineLevel="1" x14ac:dyDescent="0.25">
      <c r="A867" s="84">
        <v>433</v>
      </c>
      <c r="B867" s="45" t="s">
        <v>537</v>
      </c>
      <c r="C867" s="82" t="s">
        <v>592</v>
      </c>
      <c r="D867" s="82"/>
      <c r="E867" s="74">
        <v>2021</v>
      </c>
      <c r="F867" s="74"/>
      <c r="G867" s="74">
        <v>1</v>
      </c>
      <c r="H867" s="74">
        <v>45</v>
      </c>
      <c r="I867" s="74">
        <v>374.34100000000001</v>
      </c>
    </row>
    <row r="868" spans="1:9" s="71" customFormat="1" ht="32.25" hidden="1" customHeight="1" outlineLevel="1" x14ac:dyDescent="0.25">
      <c r="A868" s="83">
        <v>9369</v>
      </c>
      <c r="B868" s="45" t="s">
        <v>537</v>
      </c>
      <c r="C868" s="82" t="s">
        <v>396</v>
      </c>
      <c r="D868" s="82"/>
      <c r="E868" s="74">
        <v>2021</v>
      </c>
      <c r="F868" s="74"/>
      <c r="G868" s="74">
        <v>1</v>
      </c>
      <c r="H868" s="74">
        <v>75</v>
      </c>
      <c r="I868" s="74">
        <v>387.637</v>
      </c>
    </row>
    <row r="869" spans="1:9" s="71" customFormat="1" ht="32.25" hidden="1" customHeight="1" outlineLevel="1" x14ac:dyDescent="0.25">
      <c r="A869" s="83">
        <v>9358</v>
      </c>
      <c r="B869" s="45" t="s">
        <v>537</v>
      </c>
      <c r="C869" s="60" t="s">
        <v>397</v>
      </c>
      <c r="D869" s="60"/>
      <c r="E869" s="74">
        <v>2021</v>
      </c>
      <c r="F869" s="74"/>
      <c r="G869" s="74">
        <v>1</v>
      </c>
      <c r="H869" s="74">
        <v>45</v>
      </c>
      <c r="I869" s="74">
        <v>372.72399999999999</v>
      </c>
    </row>
    <row r="870" spans="1:9" s="71" customFormat="1" ht="32.25" hidden="1" customHeight="1" outlineLevel="1" x14ac:dyDescent="0.25">
      <c r="A870" s="83">
        <v>9373</v>
      </c>
      <c r="B870" s="45" t="s">
        <v>537</v>
      </c>
      <c r="C870" s="82" t="s">
        <v>593</v>
      </c>
      <c r="D870" s="82"/>
      <c r="E870" s="74">
        <v>2021</v>
      </c>
      <c r="F870" s="74"/>
      <c r="G870" s="74">
        <v>1</v>
      </c>
      <c r="H870" s="74">
        <v>25</v>
      </c>
      <c r="I870" s="74">
        <v>456.21199999999999</v>
      </c>
    </row>
    <row r="871" spans="1:9" s="71" customFormat="1" ht="32.25" hidden="1" customHeight="1" outlineLevel="1" x14ac:dyDescent="0.25">
      <c r="A871" s="84">
        <v>3800</v>
      </c>
      <c r="B871" s="45" t="s">
        <v>537</v>
      </c>
      <c r="C871" s="82" t="s">
        <v>594</v>
      </c>
      <c r="D871" s="82"/>
      <c r="E871" s="74">
        <v>2021</v>
      </c>
      <c r="F871" s="74"/>
      <c r="G871" s="74">
        <v>1</v>
      </c>
      <c r="H871" s="74">
        <v>30</v>
      </c>
      <c r="I871" s="74">
        <v>597.49199999999996</v>
      </c>
    </row>
    <row r="872" spans="1:9" s="71" customFormat="1" ht="32.25" hidden="1" customHeight="1" outlineLevel="1" x14ac:dyDescent="0.25">
      <c r="A872" s="83">
        <v>9359</v>
      </c>
      <c r="B872" s="45" t="s">
        <v>537</v>
      </c>
      <c r="C872" s="82" t="s">
        <v>595</v>
      </c>
      <c r="D872" s="82"/>
      <c r="E872" s="74">
        <v>2021</v>
      </c>
      <c r="F872" s="74"/>
      <c r="G872" s="74">
        <v>1</v>
      </c>
      <c r="H872" s="74">
        <v>60</v>
      </c>
      <c r="I872" s="74">
        <v>546.12300000000005</v>
      </c>
    </row>
    <row r="873" spans="1:9" s="71" customFormat="1" ht="32.25" hidden="1" customHeight="1" outlineLevel="1" x14ac:dyDescent="0.25">
      <c r="A873" s="83">
        <v>9355</v>
      </c>
      <c r="B873" s="45" t="s">
        <v>537</v>
      </c>
      <c r="C873" s="82" t="s">
        <v>596</v>
      </c>
      <c r="D873" s="82"/>
      <c r="E873" s="74">
        <v>2021</v>
      </c>
      <c r="F873" s="74"/>
      <c r="G873" s="74">
        <v>1</v>
      </c>
      <c r="H873" s="74">
        <v>50</v>
      </c>
      <c r="I873" s="74">
        <v>439.06200000000001</v>
      </c>
    </row>
    <row r="874" spans="1:9" s="71" customFormat="1" ht="32.25" hidden="1" customHeight="1" outlineLevel="1" x14ac:dyDescent="0.25">
      <c r="A874" s="83">
        <v>9572</v>
      </c>
      <c r="B874" s="45" t="s">
        <v>537</v>
      </c>
      <c r="C874" s="82" t="s">
        <v>597</v>
      </c>
      <c r="D874" s="82"/>
      <c r="E874" s="74">
        <v>2021</v>
      </c>
      <c r="F874" s="74"/>
      <c r="G874" s="74">
        <v>2</v>
      </c>
      <c r="H874" s="74">
        <v>60</v>
      </c>
      <c r="I874" s="74">
        <v>969.37400000000002</v>
      </c>
    </row>
    <row r="875" spans="1:9" s="71" customFormat="1" ht="32.25" hidden="1" customHeight="1" outlineLevel="1" x14ac:dyDescent="0.25">
      <c r="A875" s="83">
        <v>9370</v>
      </c>
      <c r="B875" s="45" t="s">
        <v>537</v>
      </c>
      <c r="C875" s="82" t="s">
        <v>418</v>
      </c>
      <c r="D875" s="82"/>
      <c r="E875" s="74">
        <v>2021</v>
      </c>
      <c r="F875" s="74"/>
      <c r="G875" s="74">
        <v>1</v>
      </c>
      <c r="H875" s="74">
        <v>15</v>
      </c>
      <c r="I875" s="74">
        <v>409.666</v>
      </c>
    </row>
    <row r="876" spans="1:9" s="71" customFormat="1" ht="32.25" hidden="1" customHeight="1" outlineLevel="1" x14ac:dyDescent="0.25">
      <c r="A876" s="83">
        <v>9371</v>
      </c>
      <c r="B876" s="45" t="s">
        <v>537</v>
      </c>
      <c r="C876" s="82" t="s">
        <v>598</v>
      </c>
      <c r="D876" s="82"/>
      <c r="E876" s="74">
        <v>2021</v>
      </c>
      <c r="F876" s="74"/>
      <c r="G876" s="74">
        <v>1</v>
      </c>
      <c r="H876" s="74">
        <v>30</v>
      </c>
      <c r="I876" s="74">
        <v>434.77499999999998</v>
      </c>
    </row>
    <row r="877" spans="1:9" s="71" customFormat="1" ht="32.25" hidden="1" customHeight="1" outlineLevel="1" x14ac:dyDescent="0.25">
      <c r="A877" s="83">
        <v>9442</v>
      </c>
      <c r="B877" s="45" t="s">
        <v>537</v>
      </c>
      <c r="C877" s="82" t="s">
        <v>412</v>
      </c>
      <c r="D877" s="82"/>
      <c r="E877" s="74">
        <v>2021</v>
      </c>
      <c r="F877" s="74"/>
      <c r="G877" s="74">
        <v>1</v>
      </c>
      <c r="H877" s="74">
        <v>70</v>
      </c>
      <c r="I877" s="74">
        <v>443.911</v>
      </c>
    </row>
    <row r="878" spans="1:9" s="71" customFormat="1" ht="32.25" hidden="1" customHeight="1" outlineLevel="1" x14ac:dyDescent="0.25">
      <c r="A878" s="84">
        <v>764</v>
      </c>
      <c r="B878" s="45" t="s">
        <v>537</v>
      </c>
      <c r="C878" s="82" t="s">
        <v>599</v>
      </c>
      <c r="D878" s="82"/>
      <c r="E878" s="74">
        <v>2021</v>
      </c>
      <c r="F878" s="74"/>
      <c r="G878" s="74">
        <v>1</v>
      </c>
      <c r="H878" s="74">
        <v>95</v>
      </c>
      <c r="I878" s="74">
        <v>785.82695999999999</v>
      </c>
    </row>
    <row r="879" spans="1:9" s="71" customFormat="1" ht="32.25" hidden="1" customHeight="1" outlineLevel="1" x14ac:dyDescent="0.25">
      <c r="A879" s="83">
        <v>9487</v>
      </c>
      <c r="B879" s="45" t="s">
        <v>537</v>
      </c>
      <c r="C879" s="82" t="s">
        <v>600</v>
      </c>
      <c r="D879" s="82"/>
      <c r="E879" s="74">
        <v>2021</v>
      </c>
      <c r="F879" s="74"/>
      <c r="G879" s="74">
        <v>1</v>
      </c>
      <c r="H879" s="74">
        <v>45</v>
      </c>
      <c r="I879" s="74">
        <v>803.11577999999997</v>
      </c>
    </row>
    <row r="880" spans="1:9" s="71" customFormat="1" ht="32.25" hidden="1" customHeight="1" outlineLevel="1" x14ac:dyDescent="0.25">
      <c r="A880" s="83">
        <v>9678</v>
      </c>
      <c r="B880" s="45" t="s">
        <v>537</v>
      </c>
      <c r="C880" s="82" t="s">
        <v>601</v>
      </c>
      <c r="D880" s="82"/>
      <c r="E880" s="74">
        <v>2021</v>
      </c>
      <c r="F880" s="74"/>
      <c r="G880" s="74">
        <v>1</v>
      </c>
      <c r="H880" s="74">
        <v>46</v>
      </c>
      <c r="I880" s="74">
        <v>727.51543000000004</v>
      </c>
    </row>
    <row r="881" spans="1:35" s="71" customFormat="1" ht="32.25" hidden="1" customHeight="1" outlineLevel="1" x14ac:dyDescent="0.25">
      <c r="A881" s="83">
        <v>9641</v>
      </c>
      <c r="B881" s="45" t="s">
        <v>602</v>
      </c>
      <c r="C881" s="82" t="s">
        <v>603</v>
      </c>
      <c r="D881" s="82"/>
      <c r="E881" s="74">
        <v>2021</v>
      </c>
      <c r="F881" s="74"/>
      <c r="G881" s="74">
        <v>1</v>
      </c>
      <c r="H881" s="74">
        <v>30</v>
      </c>
      <c r="I881" s="74">
        <v>427.71417000000002</v>
      </c>
    </row>
    <row r="882" spans="1:35" s="71" customFormat="1" ht="32.25" hidden="1" customHeight="1" outlineLevel="1" x14ac:dyDescent="0.25">
      <c r="A882" s="84">
        <v>969</v>
      </c>
      <c r="B882" s="45" t="s">
        <v>537</v>
      </c>
      <c r="C882" s="82" t="s">
        <v>604</v>
      </c>
      <c r="D882" s="82"/>
      <c r="E882" s="74">
        <v>2021</v>
      </c>
      <c r="F882" s="74"/>
      <c r="G882" s="74">
        <v>1</v>
      </c>
      <c r="H882" s="74">
        <v>15</v>
      </c>
      <c r="I882" s="74">
        <v>643.87747999999999</v>
      </c>
    </row>
    <row r="883" spans="1:35" s="71" customFormat="1" ht="32.25" hidden="1" customHeight="1" outlineLevel="1" x14ac:dyDescent="0.25">
      <c r="A883" s="83">
        <v>9881</v>
      </c>
      <c r="B883" s="45" t="s">
        <v>537</v>
      </c>
      <c r="C883" s="82" t="s">
        <v>605</v>
      </c>
      <c r="D883" s="82"/>
      <c r="E883" s="74">
        <v>2021</v>
      </c>
      <c r="F883" s="74"/>
      <c r="G883" s="74">
        <v>1</v>
      </c>
      <c r="H883" s="74">
        <v>20</v>
      </c>
      <c r="I883" s="74">
        <v>341.09696000000002</v>
      </c>
    </row>
    <row r="884" spans="1:35" s="75" customFormat="1" ht="16.5" hidden="1" customHeight="1" collapsed="1" x14ac:dyDescent="0.25">
      <c r="A884" s="74"/>
      <c r="B884" s="53" t="s">
        <v>537</v>
      </c>
      <c r="C884" s="56" t="s">
        <v>81</v>
      </c>
      <c r="D884" s="56"/>
      <c r="E884" s="104">
        <v>2022</v>
      </c>
      <c r="F884" s="104" t="s">
        <v>517</v>
      </c>
      <c r="G884" s="53">
        <f>SUMIF($E$886:$E$900,$E$884,$G$886:$G$900)</f>
        <v>8</v>
      </c>
      <c r="H884" s="53">
        <f>SUMIF($E$886:$E$900,$E$884,$H$886:$H$900)</f>
        <v>220</v>
      </c>
      <c r="I884" s="57">
        <f>SUMIF($E$886:$E$900,$E$884,$I$886:$I$900)</f>
        <v>4375.4199499999995</v>
      </c>
      <c r="J884" s="71"/>
      <c r="K884" s="71"/>
      <c r="L884" s="71"/>
      <c r="M884" s="71"/>
      <c r="N884" s="71"/>
      <c r="O884" s="71"/>
      <c r="P884" s="71"/>
      <c r="Q884" s="71"/>
      <c r="R884" s="71"/>
      <c r="S884" s="71"/>
      <c r="T884" s="71"/>
      <c r="U884" s="71"/>
      <c r="V884" s="71"/>
      <c r="W884" s="71"/>
      <c r="X884" s="71"/>
      <c r="Y884" s="71"/>
      <c r="Z884" s="71"/>
      <c r="AA884" s="71"/>
      <c r="AB884" s="71"/>
      <c r="AC884" s="71"/>
      <c r="AD884" s="71"/>
      <c r="AE884" s="71"/>
      <c r="AF884" s="71"/>
      <c r="AG884" s="71"/>
      <c r="AH884" s="71"/>
      <c r="AI884" s="71"/>
    </row>
    <row r="885" spans="1:35" s="75" customFormat="1" ht="15.75" hidden="1" x14ac:dyDescent="0.25">
      <c r="A885" s="74"/>
      <c r="B885" s="53" t="s">
        <v>537</v>
      </c>
      <c r="C885" s="56" t="s">
        <v>81</v>
      </c>
      <c r="D885" s="56"/>
      <c r="E885" s="104">
        <v>2023</v>
      </c>
      <c r="F885" s="104" t="s">
        <v>517</v>
      </c>
      <c r="G885" s="53">
        <f>SUMIF($E$886:$E$900,$E$885,$G$886:$G$900)</f>
        <v>5</v>
      </c>
      <c r="H885" s="53">
        <f>SUMIF($E$886:$E$900,$E$885,$H$886:$H$900)</f>
        <v>345</v>
      </c>
      <c r="I885" s="57">
        <f>SUMIF($E$886:$E$900,$E$885,$I$886:$I$900)</f>
        <v>2814.5429199999999</v>
      </c>
      <c r="J885" s="71"/>
      <c r="K885" s="71"/>
      <c r="L885" s="71"/>
      <c r="M885" s="71"/>
      <c r="N885" s="71"/>
      <c r="O885" s="71"/>
      <c r="P885" s="71"/>
      <c r="Q885" s="71"/>
      <c r="R885" s="71"/>
      <c r="S885" s="71"/>
      <c r="T885" s="71"/>
      <c r="U885" s="71"/>
      <c r="V885" s="71"/>
      <c r="W885" s="71"/>
      <c r="X885" s="71"/>
      <c r="Y885" s="71"/>
      <c r="Z885" s="71"/>
      <c r="AA885" s="71"/>
      <c r="AB885" s="71"/>
      <c r="AC885" s="71"/>
      <c r="AD885" s="71"/>
      <c r="AE885" s="71"/>
      <c r="AF885" s="71"/>
      <c r="AG885" s="71"/>
      <c r="AH885" s="71"/>
      <c r="AI885" s="71"/>
    </row>
    <row r="886" spans="1:35" s="71" customFormat="1" ht="24.75" hidden="1" customHeight="1" outlineLevel="1" x14ac:dyDescent="0.25">
      <c r="A886" s="74">
        <v>1520</v>
      </c>
      <c r="B886" s="45" t="s">
        <v>537</v>
      </c>
      <c r="C886" s="82" t="s">
        <v>606</v>
      </c>
      <c r="D886" s="82"/>
      <c r="E886" s="74">
        <v>2022</v>
      </c>
      <c r="F886" s="74" t="s">
        <v>517</v>
      </c>
      <c r="G886" s="74">
        <v>1</v>
      </c>
      <c r="H886" s="74">
        <v>50</v>
      </c>
      <c r="I886" s="74">
        <v>689.59861000000001</v>
      </c>
    </row>
    <row r="887" spans="1:35" s="71" customFormat="1" ht="24.75" hidden="1" customHeight="1" outlineLevel="1" x14ac:dyDescent="0.25">
      <c r="A887" s="74">
        <v>458</v>
      </c>
      <c r="B887" s="45" t="s">
        <v>537</v>
      </c>
      <c r="C887" s="82" t="s">
        <v>607</v>
      </c>
      <c r="D887" s="82"/>
      <c r="E887" s="74">
        <v>2022</v>
      </c>
      <c r="F887" s="74" t="s">
        <v>517</v>
      </c>
      <c r="G887" s="74">
        <v>1</v>
      </c>
      <c r="H887" s="74">
        <v>10</v>
      </c>
      <c r="I887" s="74">
        <v>600.82133999999996</v>
      </c>
    </row>
    <row r="888" spans="1:35" s="71" customFormat="1" ht="24.75" hidden="1" customHeight="1" outlineLevel="1" x14ac:dyDescent="0.25">
      <c r="A888" s="74">
        <v>4944</v>
      </c>
      <c r="B888" s="45" t="s">
        <v>537</v>
      </c>
      <c r="C888" s="82" t="s">
        <v>608</v>
      </c>
      <c r="D888" s="82"/>
      <c r="E888" s="74">
        <v>2022</v>
      </c>
      <c r="F888" s="74" t="s">
        <v>517</v>
      </c>
      <c r="G888" s="74">
        <v>1</v>
      </c>
      <c r="H888" s="74">
        <v>30</v>
      </c>
      <c r="I888" s="74">
        <v>741</v>
      </c>
    </row>
    <row r="889" spans="1:35" s="71" customFormat="1" ht="24.75" hidden="1" customHeight="1" outlineLevel="1" x14ac:dyDescent="0.25">
      <c r="A889" s="74">
        <v>5021</v>
      </c>
      <c r="B889" s="45" t="s">
        <v>537</v>
      </c>
      <c r="C889" s="82" t="s">
        <v>609</v>
      </c>
      <c r="D889" s="82"/>
      <c r="E889" s="74">
        <v>2022</v>
      </c>
      <c r="F889" s="74" t="s">
        <v>517</v>
      </c>
      <c r="G889" s="74">
        <v>1</v>
      </c>
      <c r="H889" s="74" t="s">
        <v>610</v>
      </c>
      <c r="I889" s="74">
        <v>804</v>
      </c>
    </row>
    <row r="890" spans="1:35" s="71" customFormat="1" ht="24.75" hidden="1" customHeight="1" outlineLevel="1" x14ac:dyDescent="0.25">
      <c r="A890" s="74">
        <v>180</v>
      </c>
      <c r="B890" s="45" t="s">
        <v>537</v>
      </c>
      <c r="C890" s="82" t="s">
        <v>159</v>
      </c>
      <c r="D890" s="82"/>
      <c r="E890" s="74">
        <v>2022</v>
      </c>
      <c r="F890" s="74" t="s">
        <v>517</v>
      </c>
      <c r="G890" s="74">
        <v>1</v>
      </c>
      <c r="H890" s="74">
        <v>50</v>
      </c>
      <c r="I890" s="74">
        <v>493</v>
      </c>
    </row>
    <row r="891" spans="1:35" s="71" customFormat="1" ht="24.75" hidden="1" customHeight="1" outlineLevel="1" x14ac:dyDescent="0.25">
      <c r="A891" s="74">
        <v>283</v>
      </c>
      <c r="B891" s="45" t="s">
        <v>537</v>
      </c>
      <c r="C891" s="82" t="s">
        <v>611</v>
      </c>
      <c r="D891" s="82"/>
      <c r="E891" s="74">
        <v>2022</v>
      </c>
      <c r="F891" s="74" t="s">
        <v>517</v>
      </c>
      <c r="G891" s="74">
        <v>1</v>
      </c>
      <c r="H891" s="74">
        <v>15</v>
      </c>
      <c r="I891" s="74">
        <v>277</v>
      </c>
    </row>
    <row r="892" spans="1:35" s="71" customFormat="1" ht="24.75" hidden="1" customHeight="1" outlineLevel="1" x14ac:dyDescent="0.25">
      <c r="A892" s="74">
        <v>180</v>
      </c>
      <c r="B892" s="45" t="s">
        <v>537</v>
      </c>
      <c r="C892" s="82" t="s">
        <v>159</v>
      </c>
      <c r="D892" s="82"/>
      <c r="E892" s="74">
        <v>2022</v>
      </c>
      <c r="F892" s="74" t="s">
        <v>517</v>
      </c>
      <c r="G892" s="74">
        <v>1</v>
      </c>
      <c r="H892" s="74">
        <v>50</v>
      </c>
      <c r="I892" s="74">
        <v>493</v>
      </c>
    </row>
    <row r="893" spans="1:35" s="71" customFormat="1" ht="24.75" hidden="1" customHeight="1" outlineLevel="1" x14ac:dyDescent="0.25">
      <c r="A893" s="74">
        <v>283</v>
      </c>
      <c r="B893" s="45" t="s">
        <v>537</v>
      </c>
      <c r="C893" s="82" t="s">
        <v>611</v>
      </c>
      <c r="D893" s="82"/>
      <c r="E893" s="74">
        <v>2022</v>
      </c>
      <c r="F893" s="74" t="s">
        <v>517</v>
      </c>
      <c r="G893" s="74">
        <v>1</v>
      </c>
      <c r="H893" s="74">
        <v>15</v>
      </c>
      <c r="I893" s="74">
        <v>277</v>
      </c>
    </row>
    <row r="894" spans="1:35" s="71" customFormat="1" ht="24.75" hidden="1" customHeight="1" outlineLevel="1" x14ac:dyDescent="0.25">
      <c r="A894" s="74">
        <v>6403</v>
      </c>
      <c r="B894" s="45" t="s">
        <v>537</v>
      </c>
      <c r="C894" s="60" t="s">
        <v>612</v>
      </c>
      <c r="D894" s="60"/>
      <c r="E894" s="74">
        <v>2023</v>
      </c>
      <c r="F894" s="74" t="s">
        <v>517</v>
      </c>
      <c r="G894" s="45">
        <v>1</v>
      </c>
      <c r="H894" s="45">
        <v>60</v>
      </c>
      <c r="I894" s="61">
        <v>725.21800000000007</v>
      </c>
    </row>
    <row r="895" spans="1:35" s="71" customFormat="1" ht="24.75" hidden="1" customHeight="1" outlineLevel="1" x14ac:dyDescent="0.25">
      <c r="A895" s="74">
        <v>4034</v>
      </c>
      <c r="B895" s="45" t="s">
        <v>537</v>
      </c>
      <c r="C895" s="60" t="s">
        <v>613</v>
      </c>
      <c r="D895" s="60"/>
      <c r="E895" s="74">
        <v>2023</v>
      </c>
      <c r="F895" s="74" t="s">
        <v>517</v>
      </c>
      <c r="G895" s="45">
        <v>1</v>
      </c>
      <c r="H895" s="45">
        <v>90</v>
      </c>
      <c r="I895" s="61">
        <v>849.21173999999996</v>
      </c>
    </row>
    <row r="896" spans="1:35" s="71" customFormat="1" ht="24.75" hidden="1" customHeight="1" outlineLevel="1" x14ac:dyDescent="0.25">
      <c r="A896" s="74">
        <v>3028</v>
      </c>
      <c r="B896" s="45" t="s">
        <v>537</v>
      </c>
      <c r="C896" s="60" t="s">
        <v>614</v>
      </c>
      <c r="D896" s="60"/>
      <c r="E896" s="74">
        <v>2023</v>
      </c>
      <c r="F896" s="74" t="s">
        <v>517</v>
      </c>
      <c r="G896" s="45">
        <v>1</v>
      </c>
      <c r="H896" s="45">
        <v>50</v>
      </c>
      <c r="I896" s="61">
        <v>147.11318</v>
      </c>
    </row>
    <row r="897" spans="1:35" s="71" customFormat="1" ht="24.75" hidden="1" customHeight="1" outlineLevel="1" x14ac:dyDescent="0.25">
      <c r="A897" s="74">
        <v>3368</v>
      </c>
      <c r="B897" s="45" t="s">
        <v>537</v>
      </c>
      <c r="C897" s="60" t="s">
        <v>615</v>
      </c>
      <c r="D897" s="60"/>
      <c r="E897" s="74">
        <v>2023</v>
      </c>
      <c r="F897" s="74" t="s">
        <v>517</v>
      </c>
      <c r="G897" s="45">
        <v>1</v>
      </c>
      <c r="H897" s="45">
        <v>100</v>
      </c>
      <c r="I897" s="61">
        <v>464</v>
      </c>
    </row>
    <row r="898" spans="1:35" s="71" customFormat="1" ht="24.75" hidden="1" customHeight="1" outlineLevel="1" x14ac:dyDescent="0.25">
      <c r="A898" s="74">
        <v>668</v>
      </c>
      <c r="B898" s="45" t="s">
        <v>537</v>
      </c>
      <c r="C898" s="60" t="s">
        <v>616</v>
      </c>
      <c r="D898" s="60"/>
      <c r="E898" s="74">
        <v>2023</v>
      </c>
      <c r="F898" s="74" t="s">
        <v>517</v>
      </c>
      <c r="G898" s="45">
        <v>1</v>
      </c>
      <c r="H898" s="45">
        <v>45</v>
      </c>
      <c r="I898" s="61">
        <v>629</v>
      </c>
    </row>
    <row r="899" spans="1:35" s="111" customFormat="1" ht="24.75" hidden="1" customHeight="1" outlineLevel="1" x14ac:dyDescent="0.25">
      <c r="A899" s="83">
        <v>9609</v>
      </c>
      <c r="B899" s="109" t="s">
        <v>537</v>
      </c>
      <c r="C899" s="110" t="s">
        <v>617</v>
      </c>
      <c r="D899" s="110"/>
      <c r="E899" s="74">
        <v>2021</v>
      </c>
      <c r="F899" s="74" t="s">
        <v>517</v>
      </c>
      <c r="G899" s="74">
        <v>1</v>
      </c>
      <c r="H899" s="74">
        <v>25</v>
      </c>
      <c r="I899" s="74">
        <v>469</v>
      </c>
    </row>
    <row r="900" spans="1:35" s="111" customFormat="1" ht="24.75" hidden="1" customHeight="1" outlineLevel="1" x14ac:dyDescent="0.25">
      <c r="A900" s="83">
        <v>9674</v>
      </c>
      <c r="B900" s="109" t="s">
        <v>537</v>
      </c>
      <c r="C900" s="110" t="s">
        <v>618</v>
      </c>
      <c r="D900" s="110"/>
      <c r="E900" s="74">
        <v>2021</v>
      </c>
      <c r="F900" s="74" t="s">
        <v>517</v>
      </c>
      <c r="G900" s="74">
        <v>1</v>
      </c>
      <c r="H900" s="74">
        <v>50</v>
      </c>
      <c r="I900" s="74">
        <v>495</v>
      </c>
    </row>
    <row r="901" spans="1:35" s="75" customFormat="1" ht="16.5" hidden="1" customHeight="1" collapsed="1" x14ac:dyDescent="0.25">
      <c r="A901" s="74"/>
      <c r="B901" s="46" t="s">
        <v>602</v>
      </c>
      <c r="C901" s="47" t="s">
        <v>81</v>
      </c>
      <c r="D901" s="47"/>
      <c r="E901" s="95">
        <v>2022</v>
      </c>
      <c r="F901" s="95" t="s">
        <v>515</v>
      </c>
      <c r="G901" s="46" t="e">
        <f>SUMIF(#REF!,$E$901,#REF!)</f>
        <v>#REF!</v>
      </c>
      <c r="H901" s="48" t="e">
        <f>SUMIF(#REF!,$E$901,#REF!)</f>
        <v>#REF!</v>
      </c>
      <c r="I901" s="48" t="e">
        <f>SUMIF(#REF!,$E$901,#REF!)</f>
        <v>#REF!</v>
      </c>
      <c r="J901" s="71"/>
      <c r="K901" s="71"/>
      <c r="L901" s="71"/>
      <c r="M901" s="71"/>
      <c r="N901" s="71"/>
      <c r="O901" s="71"/>
      <c r="P901" s="71"/>
      <c r="Q901" s="71"/>
      <c r="R901" s="71"/>
      <c r="S901" s="71"/>
      <c r="T901" s="71"/>
      <c r="U901" s="71"/>
      <c r="V901" s="71"/>
      <c r="W901" s="71"/>
      <c r="X901" s="71"/>
      <c r="Y901" s="71"/>
      <c r="Z901" s="71"/>
      <c r="AA901" s="71"/>
      <c r="AB901" s="71"/>
      <c r="AC901" s="71"/>
      <c r="AD901" s="71"/>
      <c r="AE901" s="71"/>
      <c r="AF901" s="71"/>
      <c r="AG901" s="71"/>
      <c r="AH901" s="71"/>
      <c r="AI901" s="71"/>
    </row>
    <row r="902" spans="1:35" s="75" customFormat="1" ht="15.75" hidden="1" x14ac:dyDescent="0.25">
      <c r="A902" s="74"/>
      <c r="B902" s="46" t="s">
        <v>602</v>
      </c>
      <c r="C902" s="47" t="s">
        <v>81</v>
      </c>
      <c r="D902" s="47"/>
      <c r="E902" s="95">
        <v>2023</v>
      </c>
      <c r="F902" s="95" t="s">
        <v>515</v>
      </c>
      <c r="G902" s="46" t="e">
        <f>SUMIF(#REF!,$E$902,#REF!)</f>
        <v>#REF!</v>
      </c>
      <c r="H902" s="48" t="e">
        <f>SUMIF(#REF!,$E$902,#REF!)</f>
        <v>#REF!</v>
      </c>
      <c r="I902" s="48" t="e">
        <f>SUMIF(#REF!,$E$902,#REF!)</f>
        <v>#REF!</v>
      </c>
      <c r="J902" s="71"/>
      <c r="K902" s="71"/>
      <c r="L902" s="71"/>
      <c r="M902" s="71"/>
      <c r="N902" s="71"/>
      <c r="O902" s="71"/>
      <c r="P902" s="71"/>
      <c r="Q902" s="71"/>
      <c r="R902" s="71"/>
      <c r="S902" s="71"/>
      <c r="T902" s="71"/>
      <c r="U902" s="71"/>
      <c r="V902" s="71"/>
      <c r="W902" s="71"/>
      <c r="X902" s="71"/>
      <c r="Y902" s="71"/>
      <c r="Z902" s="71"/>
      <c r="AA902" s="71"/>
      <c r="AB902" s="71"/>
      <c r="AC902" s="71"/>
      <c r="AD902" s="71"/>
      <c r="AE902" s="71"/>
      <c r="AF902" s="71"/>
      <c r="AG902" s="71"/>
      <c r="AH902" s="71"/>
      <c r="AI902" s="71"/>
    </row>
    <row r="903" spans="1:35" s="71" customFormat="1" ht="47.25" x14ac:dyDescent="0.25">
      <c r="A903" s="73"/>
      <c r="B903" s="51" t="s">
        <v>602</v>
      </c>
      <c r="C903" s="102" t="s">
        <v>619</v>
      </c>
      <c r="D903" s="99"/>
      <c r="E903" s="103"/>
      <c r="F903" s="51" t="s">
        <v>517</v>
      </c>
      <c r="G903" s="73"/>
      <c r="H903" s="101"/>
      <c r="I903" s="101"/>
      <c r="J903" s="185">
        <f>[21]Лист1!E101</f>
        <v>26147.687956989248</v>
      </c>
    </row>
    <row r="904" spans="1:35" s="71" customFormat="1" ht="28.5" customHeight="1" x14ac:dyDescent="0.25">
      <c r="A904" s="73"/>
      <c r="B904" s="51" t="s">
        <v>602</v>
      </c>
      <c r="C904" s="52" t="s">
        <v>427</v>
      </c>
      <c r="D904" s="49">
        <v>2025</v>
      </c>
      <c r="E904" s="95">
        <v>2021</v>
      </c>
      <c r="F904" s="92" t="s">
        <v>517</v>
      </c>
      <c r="G904" s="51">
        <v>2</v>
      </c>
      <c r="H904" s="54">
        <v>70</v>
      </c>
      <c r="I904" s="54">
        <f>J903*H904</f>
        <v>1830338.1569892473</v>
      </c>
      <c r="J904" s="7"/>
    </row>
    <row r="905" spans="1:35" s="75" customFormat="1" ht="16.5" hidden="1" customHeight="1" x14ac:dyDescent="0.25">
      <c r="A905" s="74"/>
      <c r="B905" s="46" t="s">
        <v>602</v>
      </c>
      <c r="C905" s="47" t="s">
        <v>81</v>
      </c>
      <c r="D905" s="47"/>
      <c r="E905" s="95">
        <v>2022</v>
      </c>
      <c r="F905" s="95" t="s">
        <v>517</v>
      </c>
      <c r="G905" s="46">
        <f>SUMIF($E$907:$E$920,$E$905,$G$907:$G$920)</f>
        <v>7</v>
      </c>
      <c r="H905" s="48">
        <f>SUMIF($E$907:$E$920,$E$905,$H$907:$H$920)</f>
        <v>405</v>
      </c>
      <c r="I905" s="48">
        <f>SUMIF($E$907:$E$920,$E$905,$I$907:$I$920)</f>
        <v>4681.8600200000001</v>
      </c>
      <c r="J905" s="71"/>
      <c r="K905" s="71"/>
      <c r="L905" s="71"/>
      <c r="M905" s="71"/>
      <c r="N905" s="71"/>
      <c r="O905" s="71"/>
      <c r="P905" s="71"/>
      <c r="Q905" s="71"/>
      <c r="R905" s="71"/>
      <c r="S905" s="71"/>
      <c r="T905" s="71"/>
      <c r="U905" s="71"/>
      <c r="V905" s="71"/>
      <c r="W905" s="71"/>
      <c r="X905" s="71"/>
      <c r="Y905" s="71"/>
      <c r="Z905" s="71"/>
      <c r="AA905" s="71"/>
      <c r="AB905" s="71"/>
      <c r="AC905" s="71"/>
      <c r="AD905" s="71"/>
      <c r="AE905" s="71"/>
      <c r="AF905" s="71"/>
      <c r="AG905" s="71"/>
      <c r="AH905" s="71"/>
      <c r="AI905" s="71"/>
    </row>
    <row r="906" spans="1:35" s="75" customFormat="1" ht="15.75" hidden="1" x14ac:dyDescent="0.25">
      <c r="A906" s="74"/>
      <c r="B906" s="46" t="s">
        <v>602</v>
      </c>
      <c r="C906" s="47" t="s">
        <v>81</v>
      </c>
      <c r="D906" s="47"/>
      <c r="E906" s="95">
        <v>2023</v>
      </c>
      <c r="F906" s="95" t="s">
        <v>517</v>
      </c>
      <c r="G906" s="46">
        <f>SUMIF($E$907:$E$920,$E$906,$G$907:$G$920)</f>
        <v>4</v>
      </c>
      <c r="H906" s="48">
        <f>SUMIF($E$907:$E$920,$E$906,$H$907:$H$920)</f>
        <v>172</v>
      </c>
      <c r="I906" s="48">
        <f>SUMIF($E$907:$E$920,$E$906,$I$907:$I$920)</f>
        <v>3120.58943</v>
      </c>
      <c r="J906" s="71"/>
      <c r="K906" s="71"/>
      <c r="L906" s="71"/>
      <c r="M906" s="71"/>
      <c r="N906" s="71"/>
      <c r="O906" s="71"/>
      <c r="P906" s="71"/>
      <c r="Q906" s="71"/>
      <c r="R906" s="71"/>
      <c r="S906" s="71"/>
      <c r="T906" s="71"/>
      <c r="U906" s="71"/>
      <c r="V906" s="71"/>
      <c r="W906" s="71"/>
      <c r="X906" s="71"/>
      <c r="Y906" s="71"/>
      <c r="Z906" s="71"/>
      <c r="AA906" s="71"/>
      <c r="AB906" s="71"/>
      <c r="AC906" s="71"/>
      <c r="AD906" s="71"/>
      <c r="AE906" s="71"/>
      <c r="AF906" s="71"/>
      <c r="AG906" s="71"/>
      <c r="AH906" s="71"/>
      <c r="AI906" s="71"/>
    </row>
    <row r="907" spans="1:35" s="71" customFormat="1" ht="37.5" hidden="1" customHeight="1" outlineLevel="1" x14ac:dyDescent="0.25">
      <c r="A907" s="74">
        <v>1254</v>
      </c>
      <c r="B907" s="45" t="s">
        <v>602</v>
      </c>
      <c r="C907" s="82" t="s">
        <v>620</v>
      </c>
      <c r="D907" s="82"/>
      <c r="E907" s="74">
        <v>2022</v>
      </c>
      <c r="F907" s="74" t="s">
        <v>517</v>
      </c>
      <c r="G907" s="45">
        <v>1</v>
      </c>
      <c r="H907" s="45">
        <v>70</v>
      </c>
      <c r="I907" s="45">
        <v>673.78341</v>
      </c>
    </row>
    <row r="908" spans="1:35" s="71" customFormat="1" ht="37.5" hidden="1" customHeight="1" outlineLevel="1" x14ac:dyDescent="0.25">
      <c r="A908" s="74">
        <v>459</v>
      </c>
      <c r="B908" s="45" t="s">
        <v>602</v>
      </c>
      <c r="C908" s="82" t="s">
        <v>621</v>
      </c>
      <c r="D908" s="82"/>
      <c r="E908" s="74">
        <v>2022</v>
      </c>
      <c r="F908" s="74" t="s">
        <v>517</v>
      </c>
      <c r="G908" s="45">
        <v>1</v>
      </c>
      <c r="H908" s="45">
        <v>150</v>
      </c>
      <c r="I908" s="45">
        <v>1191.0766100000001</v>
      </c>
    </row>
    <row r="909" spans="1:35" s="71" customFormat="1" ht="37.5" hidden="1" customHeight="1" outlineLevel="1" x14ac:dyDescent="0.25">
      <c r="A909" s="74">
        <v>47</v>
      </c>
      <c r="B909" s="45" t="s">
        <v>602</v>
      </c>
      <c r="C909" s="82" t="s">
        <v>622</v>
      </c>
      <c r="D909" s="82"/>
      <c r="E909" s="74">
        <v>2022</v>
      </c>
      <c r="F909" s="74" t="s">
        <v>517</v>
      </c>
      <c r="G909" s="45">
        <v>1</v>
      </c>
      <c r="H909" s="45">
        <v>40</v>
      </c>
      <c r="I909" s="45">
        <v>505</v>
      </c>
    </row>
    <row r="910" spans="1:35" s="71" customFormat="1" ht="63" hidden="1" outlineLevel="1" x14ac:dyDescent="0.25">
      <c r="A910" s="74">
        <v>250</v>
      </c>
      <c r="B910" s="45" t="s">
        <v>602</v>
      </c>
      <c r="C910" s="82" t="s">
        <v>492</v>
      </c>
      <c r="D910" s="82"/>
      <c r="E910" s="74">
        <v>2022</v>
      </c>
      <c r="F910" s="74" t="s">
        <v>517</v>
      </c>
      <c r="G910" s="45">
        <v>1</v>
      </c>
      <c r="H910" s="45">
        <v>50</v>
      </c>
      <c r="I910" s="45">
        <v>449</v>
      </c>
    </row>
    <row r="911" spans="1:35" s="71" customFormat="1" ht="37.5" hidden="1" customHeight="1" outlineLevel="1" x14ac:dyDescent="0.25">
      <c r="A911" s="74">
        <v>47</v>
      </c>
      <c r="B911" s="45" t="s">
        <v>602</v>
      </c>
      <c r="C911" s="82" t="s">
        <v>622</v>
      </c>
      <c r="D911" s="82"/>
      <c r="E911" s="74">
        <v>2022</v>
      </c>
      <c r="F911" s="74" t="s">
        <v>517</v>
      </c>
      <c r="G911" s="45">
        <v>1</v>
      </c>
      <c r="H911" s="45">
        <v>40</v>
      </c>
      <c r="I911" s="45">
        <v>505</v>
      </c>
    </row>
    <row r="912" spans="1:35" s="71" customFormat="1" ht="37.5" hidden="1" customHeight="1" outlineLevel="1" x14ac:dyDescent="0.25">
      <c r="A912" s="74">
        <v>5059</v>
      </c>
      <c r="B912" s="45" t="s">
        <v>602</v>
      </c>
      <c r="C912" s="82" t="s">
        <v>623</v>
      </c>
      <c r="D912" s="82"/>
      <c r="E912" s="74">
        <v>2022</v>
      </c>
      <c r="F912" s="74" t="s">
        <v>517</v>
      </c>
      <c r="G912" s="45">
        <v>1</v>
      </c>
      <c r="H912" s="45">
        <v>30</v>
      </c>
      <c r="I912" s="45">
        <v>424</v>
      </c>
    </row>
    <row r="913" spans="1:35" s="71" customFormat="1" ht="37.5" hidden="1" customHeight="1" outlineLevel="1" x14ac:dyDescent="0.25">
      <c r="A913" s="74">
        <v>5302</v>
      </c>
      <c r="B913" s="45" t="s">
        <v>602</v>
      </c>
      <c r="C913" s="82" t="s">
        <v>624</v>
      </c>
      <c r="D913" s="82"/>
      <c r="E913" s="74">
        <v>2022</v>
      </c>
      <c r="F913" s="74" t="s">
        <v>517</v>
      </c>
      <c r="G913" s="45">
        <v>1</v>
      </c>
      <c r="H913" s="45">
        <v>25</v>
      </c>
      <c r="I913" s="45">
        <v>934</v>
      </c>
    </row>
    <row r="914" spans="1:35" s="71" customFormat="1" ht="37.5" hidden="1" customHeight="1" outlineLevel="1" x14ac:dyDescent="0.25">
      <c r="A914" s="74">
        <v>3042</v>
      </c>
      <c r="B914" s="68" t="s">
        <v>602</v>
      </c>
      <c r="C914" s="60" t="s">
        <v>625</v>
      </c>
      <c r="D914" s="60"/>
      <c r="E914" s="74">
        <v>2023</v>
      </c>
      <c r="F914" s="74" t="s">
        <v>517</v>
      </c>
      <c r="G914" s="45">
        <v>1</v>
      </c>
      <c r="H914" s="61">
        <v>27</v>
      </c>
      <c r="I914" s="61">
        <v>632.46311000000003</v>
      </c>
    </row>
    <row r="915" spans="1:35" s="71" customFormat="1" ht="37.5" hidden="1" customHeight="1" outlineLevel="1" x14ac:dyDescent="0.25">
      <c r="A915" s="74">
        <v>444</v>
      </c>
      <c r="B915" s="68" t="s">
        <v>602</v>
      </c>
      <c r="C915" s="60" t="s">
        <v>626</v>
      </c>
      <c r="D915" s="60"/>
      <c r="E915" s="74">
        <v>2023</v>
      </c>
      <c r="F915" s="74" t="s">
        <v>517</v>
      </c>
      <c r="G915" s="45">
        <v>1</v>
      </c>
      <c r="H915" s="61">
        <v>15</v>
      </c>
      <c r="I915" s="61">
        <v>671.96396000000004</v>
      </c>
    </row>
    <row r="916" spans="1:35" s="71" customFormat="1" ht="37.5" hidden="1" customHeight="1" outlineLevel="1" x14ac:dyDescent="0.25">
      <c r="A916" s="74">
        <v>3135</v>
      </c>
      <c r="B916" s="68" t="s">
        <v>602</v>
      </c>
      <c r="C916" s="60" t="s">
        <v>627</v>
      </c>
      <c r="D916" s="60"/>
      <c r="E916" s="74">
        <v>2023</v>
      </c>
      <c r="F916" s="74" t="s">
        <v>517</v>
      </c>
      <c r="G916" s="45">
        <v>1</v>
      </c>
      <c r="H916" s="61">
        <v>50</v>
      </c>
      <c r="I916" s="61">
        <v>954.10187999999994</v>
      </c>
    </row>
    <row r="917" spans="1:35" s="71" customFormat="1" ht="37.5" hidden="1" customHeight="1" outlineLevel="1" x14ac:dyDescent="0.25">
      <c r="A917" s="74">
        <v>5061</v>
      </c>
      <c r="B917" s="68" t="s">
        <v>602</v>
      </c>
      <c r="C917" s="60" t="s">
        <v>508</v>
      </c>
      <c r="D917" s="60"/>
      <c r="E917" s="74">
        <v>2023</v>
      </c>
      <c r="F917" s="74" t="s">
        <v>517</v>
      </c>
      <c r="G917" s="45">
        <v>1</v>
      </c>
      <c r="H917" s="61">
        <v>80</v>
      </c>
      <c r="I917" s="61">
        <v>862.06047999999998</v>
      </c>
    </row>
    <row r="918" spans="1:35" s="71" customFormat="1" ht="37.5" hidden="1" customHeight="1" outlineLevel="1" x14ac:dyDescent="0.25">
      <c r="A918" s="83">
        <v>9613</v>
      </c>
      <c r="B918" s="45" t="s">
        <v>602</v>
      </c>
      <c r="C918" s="82" t="s">
        <v>628</v>
      </c>
      <c r="D918" s="82"/>
      <c r="E918" s="74">
        <v>2021</v>
      </c>
      <c r="F918" s="74"/>
      <c r="G918" s="45">
        <v>1</v>
      </c>
      <c r="H918" s="45">
        <v>20</v>
      </c>
      <c r="I918" s="45">
        <v>737</v>
      </c>
    </row>
    <row r="919" spans="1:35" s="71" customFormat="1" ht="78.75" hidden="1" outlineLevel="1" x14ac:dyDescent="0.25">
      <c r="A919" s="83">
        <v>9673</v>
      </c>
      <c r="B919" s="45" t="s">
        <v>602</v>
      </c>
      <c r="C919" s="82" t="s">
        <v>629</v>
      </c>
      <c r="D919" s="82"/>
      <c r="E919" s="74">
        <v>2021</v>
      </c>
      <c r="F919" s="74"/>
      <c r="G919" s="45">
        <v>1</v>
      </c>
      <c r="H919" s="45">
        <v>50</v>
      </c>
      <c r="I919" s="45">
        <v>450</v>
      </c>
    </row>
    <row r="920" spans="1:35" s="71" customFormat="1" ht="18" hidden="1" customHeight="1" outlineLevel="1" x14ac:dyDescent="0.25">
      <c r="A920" s="83"/>
      <c r="B920" s="45"/>
      <c r="C920" s="82"/>
      <c r="D920" s="82"/>
      <c r="E920" s="74"/>
      <c r="F920" s="74"/>
      <c r="G920" s="45"/>
      <c r="H920" s="45"/>
      <c r="I920" s="45"/>
    </row>
    <row r="921" spans="1:35" s="75" customFormat="1" ht="18" hidden="1" customHeight="1" collapsed="1" x14ac:dyDescent="0.25">
      <c r="A921" s="74"/>
      <c r="B921" s="53" t="s">
        <v>630</v>
      </c>
      <c r="C921" s="56" t="s">
        <v>81</v>
      </c>
      <c r="D921" s="56"/>
      <c r="E921" s="104">
        <v>2022</v>
      </c>
      <c r="F921" s="104" t="s">
        <v>515</v>
      </c>
      <c r="G921" s="53" t="e">
        <f>SUMIF(#REF!,$E$921,#REF!)</f>
        <v>#REF!</v>
      </c>
      <c r="H921" s="57" t="e">
        <f>SUMIF(#REF!,$E$921,#REF!)</f>
        <v>#REF!</v>
      </c>
      <c r="I921" s="57" t="e">
        <f>SUMIF(#REF!,$E$921,#REF!)</f>
        <v>#REF!</v>
      </c>
      <c r="J921" s="71"/>
      <c r="K921" s="71"/>
      <c r="L921" s="71"/>
      <c r="M921" s="71"/>
      <c r="N921" s="71"/>
      <c r="O921" s="71"/>
      <c r="P921" s="71"/>
      <c r="Q921" s="71"/>
      <c r="R921" s="71"/>
      <c r="S921" s="71"/>
      <c r="T921" s="71"/>
      <c r="U921" s="71"/>
      <c r="V921" s="71"/>
      <c r="W921" s="71"/>
      <c r="X921" s="71"/>
      <c r="Y921" s="71"/>
      <c r="Z921" s="71"/>
      <c r="AA921" s="71"/>
      <c r="AB921" s="71"/>
      <c r="AC921" s="71"/>
      <c r="AD921" s="71"/>
      <c r="AE921" s="71"/>
      <c r="AF921" s="71"/>
      <c r="AG921" s="71"/>
      <c r="AH921" s="71"/>
      <c r="AI921" s="71"/>
    </row>
    <row r="922" spans="1:35" s="75" customFormat="1" ht="18" hidden="1" customHeight="1" x14ac:dyDescent="0.25">
      <c r="A922" s="74"/>
      <c r="B922" s="53" t="s">
        <v>630</v>
      </c>
      <c r="C922" s="56" t="s">
        <v>82</v>
      </c>
      <c r="D922" s="56"/>
      <c r="E922" s="104">
        <v>2023</v>
      </c>
      <c r="F922" s="104" t="s">
        <v>515</v>
      </c>
      <c r="G922" s="53" t="e">
        <f>SUMIF(#REF!,$E$922,#REF!)</f>
        <v>#REF!</v>
      </c>
      <c r="H922" s="57" t="e">
        <f>SUMIF(#REF!,$E$922,#REF!)</f>
        <v>#REF!</v>
      </c>
      <c r="I922" s="57" t="e">
        <f>SUMIF(#REF!,$E$922,#REF!)</f>
        <v>#REF!</v>
      </c>
      <c r="J922" s="71"/>
      <c r="K922" s="71"/>
      <c r="L922" s="71"/>
      <c r="M922" s="71"/>
      <c r="N922" s="71"/>
      <c r="O922" s="71"/>
      <c r="P922" s="71"/>
      <c r="Q922" s="71"/>
      <c r="R922" s="71"/>
      <c r="S922" s="71"/>
      <c r="T922" s="71"/>
      <c r="U922" s="71"/>
      <c r="V922" s="71"/>
      <c r="W922" s="71"/>
      <c r="X922" s="71"/>
      <c r="Y922" s="71"/>
      <c r="Z922" s="71"/>
      <c r="AA922" s="71"/>
      <c r="AB922" s="71"/>
      <c r="AC922" s="71"/>
      <c r="AD922" s="71"/>
      <c r="AE922" s="71"/>
      <c r="AF922" s="71"/>
      <c r="AG922" s="71"/>
      <c r="AH922" s="71"/>
      <c r="AI922" s="71"/>
    </row>
    <row r="923" spans="1:35" s="71" customFormat="1" ht="47.25" x14ac:dyDescent="0.25">
      <c r="A923" s="73"/>
      <c r="B923" s="51" t="s">
        <v>630</v>
      </c>
      <c r="C923" s="102" t="s">
        <v>631</v>
      </c>
      <c r="D923" s="99"/>
      <c r="E923" s="100"/>
      <c r="F923" s="92" t="s">
        <v>517</v>
      </c>
      <c r="G923" s="73"/>
      <c r="H923" s="101"/>
      <c r="I923" s="101"/>
      <c r="J923" s="185">
        <f>[21]Лист1!E103</f>
        <v>10017.926494623656</v>
      </c>
    </row>
    <row r="924" spans="1:35" s="71" customFormat="1" ht="28.5" customHeight="1" x14ac:dyDescent="0.25">
      <c r="A924" s="73"/>
      <c r="B924" s="51" t="s">
        <v>630</v>
      </c>
      <c r="C924" s="52" t="s">
        <v>427</v>
      </c>
      <c r="D924" s="49">
        <v>2025</v>
      </c>
      <c r="E924" s="104">
        <v>2021</v>
      </c>
      <c r="F924" s="92" t="s">
        <v>517</v>
      </c>
      <c r="G924" s="51">
        <v>6</v>
      </c>
      <c r="H924" s="54">
        <v>722</v>
      </c>
      <c r="I924" s="54">
        <f>J923*H924</f>
        <v>7232942.9291182794</v>
      </c>
      <c r="J924" s="7"/>
    </row>
    <row r="925" spans="1:35" s="75" customFormat="1" ht="16.5" hidden="1" customHeight="1" x14ac:dyDescent="0.25">
      <c r="A925" s="74"/>
      <c r="B925" s="53" t="s">
        <v>630</v>
      </c>
      <c r="C925" s="56" t="s">
        <v>81</v>
      </c>
      <c r="D925" s="56"/>
      <c r="E925" s="104">
        <v>2022</v>
      </c>
      <c r="F925" s="104" t="s">
        <v>517</v>
      </c>
      <c r="G925" s="53">
        <f>SUMIF($E$927:$E$944,$E$925,$G$927:$G$944)</f>
        <v>6</v>
      </c>
      <c r="H925" s="53">
        <f>SUMIF($E$927:$E$944,$E$925,$H$927:$H$944)</f>
        <v>817</v>
      </c>
      <c r="I925" s="57">
        <f>SUMIF($E$927:$E$944,$E$925,$I$927:$I$944)</f>
        <v>4768.3830300000009</v>
      </c>
      <c r="J925" s="71"/>
      <c r="K925" s="71"/>
      <c r="L925" s="71"/>
      <c r="M925" s="71"/>
      <c r="N925" s="71"/>
      <c r="O925" s="71"/>
      <c r="P925" s="71"/>
      <c r="Q925" s="71"/>
      <c r="R925" s="71"/>
      <c r="S925" s="71"/>
      <c r="T925" s="71"/>
      <c r="U925" s="71"/>
      <c r="V925" s="71"/>
      <c r="W925" s="71"/>
      <c r="X925" s="71"/>
      <c r="Y925" s="71"/>
      <c r="Z925" s="71"/>
      <c r="AA925" s="71"/>
      <c r="AB925" s="71"/>
      <c r="AC925" s="71"/>
      <c r="AD925" s="71"/>
      <c r="AE925" s="71"/>
      <c r="AF925" s="71"/>
      <c r="AG925" s="71"/>
      <c r="AH925" s="71"/>
      <c r="AI925" s="71"/>
    </row>
    <row r="926" spans="1:35" s="75" customFormat="1" ht="15.75" hidden="1" x14ac:dyDescent="0.25">
      <c r="A926" s="74"/>
      <c r="B926" s="53" t="s">
        <v>630</v>
      </c>
      <c r="C926" s="56" t="s">
        <v>81</v>
      </c>
      <c r="D926" s="56"/>
      <c r="E926" s="104">
        <v>2023</v>
      </c>
      <c r="F926" s="104" t="s">
        <v>517</v>
      </c>
      <c r="G926" s="53">
        <f>SUMIF($E$927:$E$944,$E$926,$G$927:$G$944)</f>
        <v>6</v>
      </c>
      <c r="H926" s="53">
        <f>SUMIF($E$927:$E$944,$E$926,$H$927:$H$944)</f>
        <v>800</v>
      </c>
      <c r="I926" s="57">
        <f>SUMIF($E$927:$E$944,$E$926,$I$927:$I$944)</f>
        <v>5141.4861300000002</v>
      </c>
      <c r="J926" s="71"/>
      <c r="K926" s="71"/>
      <c r="L926" s="71"/>
      <c r="M926" s="71"/>
      <c r="N926" s="71"/>
      <c r="O926" s="71"/>
      <c r="P926" s="71"/>
      <c r="Q926" s="71"/>
      <c r="R926" s="71"/>
      <c r="S926" s="71"/>
      <c r="T926" s="71"/>
      <c r="U926" s="71"/>
      <c r="V926" s="71"/>
      <c r="W926" s="71"/>
      <c r="X926" s="71"/>
      <c r="Y926" s="71"/>
      <c r="Z926" s="71"/>
      <c r="AA926" s="71"/>
      <c r="AB926" s="71"/>
      <c r="AC926" s="71"/>
      <c r="AD926" s="71"/>
      <c r="AE926" s="71"/>
      <c r="AF926" s="71"/>
      <c r="AG926" s="71"/>
      <c r="AH926" s="71"/>
      <c r="AI926" s="71"/>
    </row>
    <row r="927" spans="1:35" s="111" customFormat="1" ht="27.75" hidden="1" customHeight="1" outlineLevel="1" x14ac:dyDescent="0.25">
      <c r="A927" s="112">
        <v>1487</v>
      </c>
      <c r="B927" s="109" t="s">
        <v>630</v>
      </c>
      <c r="C927" s="110" t="s">
        <v>130</v>
      </c>
      <c r="D927" s="110"/>
      <c r="E927" s="112">
        <v>2022</v>
      </c>
      <c r="F927" s="112" t="s">
        <v>517</v>
      </c>
      <c r="G927" s="109">
        <v>1</v>
      </c>
      <c r="H927" s="109">
        <v>150</v>
      </c>
      <c r="I927" s="109">
        <v>699.94914000000006</v>
      </c>
    </row>
    <row r="928" spans="1:35" s="111" customFormat="1" ht="27.75" hidden="1" customHeight="1" outlineLevel="1" x14ac:dyDescent="0.25">
      <c r="A928" s="112">
        <v>1206</v>
      </c>
      <c r="B928" s="109" t="s">
        <v>630</v>
      </c>
      <c r="C928" s="110" t="s">
        <v>132</v>
      </c>
      <c r="D928" s="110"/>
      <c r="E928" s="112">
        <v>2022</v>
      </c>
      <c r="F928" s="112" t="s">
        <v>517</v>
      </c>
      <c r="G928" s="109">
        <v>1</v>
      </c>
      <c r="H928" s="109">
        <v>150</v>
      </c>
      <c r="I928" s="109">
        <v>874.56577000000004</v>
      </c>
    </row>
    <row r="929" spans="1:9" s="111" customFormat="1" ht="27.75" hidden="1" customHeight="1" outlineLevel="1" x14ac:dyDescent="0.25">
      <c r="A929" s="112">
        <v>1037</v>
      </c>
      <c r="B929" s="109" t="s">
        <v>630</v>
      </c>
      <c r="C929" s="110" t="s">
        <v>632</v>
      </c>
      <c r="D929" s="110"/>
      <c r="E929" s="112">
        <v>2022</v>
      </c>
      <c r="F929" s="112" t="s">
        <v>517</v>
      </c>
      <c r="G929" s="109">
        <v>1</v>
      </c>
      <c r="H929" s="109">
        <v>130</v>
      </c>
      <c r="I929" s="109">
        <v>952.88031000000001</v>
      </c>
    </row>
    <row r="930" spans="1:9" s="111" customFormat="1" ht="27.75" hidden="1" customHeight="1" outlineLevel="1" x14ac:dyDescent="0.25">
      <c r="A930" s="112">
        <v>461</v>
      </c>
      <c r="B930" s="109" t="s">
        <v>630</v>
      </c>
      <c r="C930" s="110" t="s">
        <v>149</v>
      </c>
      <c r="D930" s="110"/>
      <c r="E930" s="112">
        <v>2022</v>
      </c>
      <c r="F930" s="112" t="s">
        <v>517</v>
      </c>
      <c r="G930" s="109">
        <v>1</v>
      </c>
      <c r="H930" s="109">
        <v>87</v>
      </c>
      <c r="I930" s="109">
        <v>695.43078000000003</v>
      </c>
    </row>
    <row r="931" spans="1:9" s="111" customFormat="1" ht="27.75" hidden="1" customHeight="1" outlineLevel="1" x14ac:dyDescent="0.25">
      <c r="A931" s="112">
        <v>460</v>
      </c>
      <c r="B931" s="109" t="s">
        <v>630</v>
      </c>
      <c r="C931" s="110" t="s">
        <v>633</v>
      </c>
      <c r="D931" s="110"/>
      <c r="E931" s="112">
        <v>2022</v>
      </c>
      <c r="F931" s="112" t="s">
        <v>517</v>
      </c>
      <c r="G931" s="109">
        <v>1</v>
      </c>
      <c r="H931" s="109">
        <v>150</v>
      </c>
      <c r="I931" s="109">
        <v>753.06703000000005</v>
      </c>
    </row>
    <row r="932" spans="1:9" s="111" customFormat="1" ht="27.75" hidden="1" customHeight="1" outlineLevel="1" x14ac:dyDescent="0.25">
      <c r="A932" s="112">
        <v>2070</v>
      </c>
      <c r="B932" s="109" t="s">
        <v>630</v>
      </c>
      <c r="C932" s="110" t="s">
        <v>634</v>
      </c>
      <c r="D932" s="110"/>
      <c r="E932" s="112">
        <v>2022</v>
      </c>
      <c r="F932" s="112" t="s">
        <v>517</v>
      </c>
      <c r="G932" s="109">
        <v>1</v>
      </c>
      <c r="H932" s="109">
        <v>150</v>
      </c>
      <c r="I932" s="109">
        <v>792.49</v>
      </c>
    </row>
    <row r="933" spans="1:9" s="111" customFormat="1" ht="27.75" hidden="1" customHeight="1" outlineLevel="1" x14ac:dyDescent="0.25">
      <c r="A933" s="112">
        <v>3090</v>
      </c>
      <c r="B933" s="113" t="s">
        <v>630</v>
      </c>
      <c r="C933" s="114" t="s">
        <v>182</v>
      </c>
      <c r="D933" s="114"/>
      <c r="E933" s="112">
        <v>2023</v>
      </c>
      <c r="F933" s="112" t="s">
        <v>517</v>
      </c>
      <c r="G933" s="109">
        <v>1</v>
      </c>
      <c r="H933" s="109">
        <v>150</v>
      </c>
      <c r="I933" s="115">
        <v>875.43443000000002</v>
      </c>
    </row>
    <row r="934" spans="1:9" s="111" customFormat="1" ht="27.75" hidden="1" customHeight="1" outlineLevel="1" x14ac:dyDescent="0.25">
      <c r="A934" s="112">
        <v>3343</v>
      </c>
      <c r="B934" s="113" t="s">
        <v>630</v>
      </c>
      <c r="C934" s="114" t="s">
        <v>197</v>
      </c>
      <c r="D934" s="114"/>
      <c r="E934" s="112">
        <v>2023</v>
      </c>
      <c r="F934" s="112" t="s">
        <v>517</v>
      </c>
      <c r="G934" s="109">
        <v>1</v>
      </c>
      <c r="H934" s="109">
        <v>150</v>
      </c>
      <c r="I934" s="115">
        <v>887.90230000000008</v>
      </c>
    </row>
    <row r="935" spans="1:9" s="111" customFormat="1" ht="27.75" hidden="1" customHeight="1" outlineLevel="1" x14ac:dyDescent="0.25">
      <c r="A935" s="112">
        <v>3141</v>
      </c>
      <c r="B935" s="113" t="s">
        <v>630</v>
      </c>
      <c r="C935" s="114" t="s">
        <v>635</v>
      </c>
      <c r="D935" s="114"/>
      <c r="E935" s="112">
        <v>2023</v>
      </c>
      <c r="F935" s="112" t="s">
        <v>517</v>
      </c>
      <c r="G935" s="109">
        <v>1</v>
      </c>
      <c r="H935" s="109">
        <v>100</v>
      </c>
      <c r="I935" s="115">
        <v>761.99842999999998</v>
      </c>
    </row>
    <row r="936" spans="1:9" s="111" customFormat="1" ht="27.75" hidden="1" customHeight="1" outlineLevel="1" x14ac:dyDescent="0.25">
      <c r="A936" s="112">
        <v>4241</v>
      </c>
      <c r="B936" s="113" t="s">
        <v>630</v>
      </c>
      <c r="C936" s="114" t="s">
        <v>206</v>
      </c>
      <c r="D936" s="114"/>
      <c r="E936" s="112">
        <v>2023</v>
      </c>
      <c r="F936" s="112" t="s">
        <v>517</v>
      </c>
      <c r="G936" s="109">
        <v>1</v>
      </c>
      <c r="H936" s="109">
        <v>150</v>
      </c>
      <c r="I936" s="115">
        <v>992.15096999999992</v>
      </c>
    </row>
    <row r="937" spans="1:9" s="111" customFormat="1" ht="27.75" hidden="1" customHeight="1" outlineLevel="1" x14ac:dyDescent="0.25">
      <c r="A937" s="112">
        <v>3089</v>
      </c>
      <c r="B937" s="113" t="s">
        <v>630</v>
      </c>
      <c r="C937" s="114" t="s">
        <v>636</v>
      </c>
      <c r="D937" s="114"/>
      <c r="E937" s="112">
        <v>2023</v>
      </c>
      <c r="F937" s="112" t="s">
        <v>517</v>
      </c>
      <c r="G937" s="109">
        <v>1</v>
      </c>
      <c r="H937" s="109">
        <v>100</v>
      </c>
      <c r="I937" s="115">
        <v>711</v>
      </c>
    </row>
    <row r="938" spans="1:9" s="111" customFormat="1" ht="27.75" hidden="1" customHeight="1" outlineLevel="1" x14ac:dyDescent="0.25">
      <c r="A938" s="112">
        <v>3118</v>
      </c>
      <c r="B938" s="113" t="s">
        <v>630</v>
      </c>
      <c r="C938" s="114" t="s">
        <v>332</v>
      </c>
      <c r="D938" s="114"/>
      <c r="E938" s="112">
        <v>2023</v>
      </c>
      <c r="F938" s="112" t="s">
        <v>517</v>
      </c>
      <c r="G938" s="109">
        <v>1</v>
      </c>
      <c r="H938" s="109">
        <v>150</v>
      </c>
      <c r="I938" s="115">
        <v>913</v>
      </c>
    </row>
    <row r="939" spans="1:9" s="111" customFormat="1" ht="27.75" hidden="1" customHeight="1" outlineLevel="1" x14ac:dyDescent="0.25">
      <c r="A939" s="116">
        <v>9736</v>
      </c>
      <c r="B939" s="109" t="s">
        <v>630</v>
      </c>
      <c r="C939" s="110" t="s">
        <v>387</v>
      </c>
      <c r="D939" s="110"/>
      <c r="E939" s="112">
        <v>2021</v>
      </c>
      <c r="F939" s="112" t="s">
        <v>517</v>
      </c>
      <c r="G939" s="109">
        <v>1</v>
      </c>
      <c r="H939" s="109">
        <v>107</v>
      </c>
      <c r="I939" s="109">
        <v>465.137</v>
      </c>
    </row>
    <row r="940" spans="1:9" s="111" customFormat="1" ht="27.75" hidden="1" customHeight="1" outlineLevel="1" x14ac:dyDescent="0.25">
      <c r="A940" s="116">
        <v>9681</v>
      </c>
      <c r="B940" s="109" t="s">
        <v>630</v>
      </c>
      <c r="C940" s="110" t="s">
        <v>383</v>
      </c>
      <c r="D940" s="110"/>
      <c r="E940" s="112">
        <v>2021</v>
      </c>
      <c r="F940" s="112" t="s">
        <v>517</v>
      </c>
      <c r="G940" s="109">
        <v>1</v>
      </c>
      <c r="H940" s="109">
        <v>105</v>
      </c>
      <c r="I940" s="109">
        <v>583.36500000000001</v>
      </c>
    </row>
    <row r="941" spans="1:9" s="111" customFormat="1" ht="27.75" hidden="1" customHeight="1" outlineLevel="1" x14ac:dyDescent="0.25">
      <c r="A941" s="117">
        <v>1170</v>
      </c>
      <c r="B941" s="109" t="s">
        <v>630</v>
      </c>
      <c r="C941" s="110" t="s">
        <v>384</v>
      </c>
      <c r="D941" s="110"/>
      <c r="E941" s="112">
        <v>2021</v>
      </c>
      <c r="F941" s="112" t="s">
        <v>517</v>
      </c>
      <c r="G941" s="109">
        <v>1</v>
      </c>
      <c r="H941" s="109">
        <v>60</v>
      </c>
      <c r="I941" s="109">
        <v>419.197</v>
      </c>
    </row>
    <row r="942" spans="1:9" s="111" customFormat="1" ht="27.75" hidden="1" customHeight="1" outlineLevel="1" x14ac:dyDescent="0.25">
      <c r="A942" s="116">
        <v>9675</v>
      </c>
      <c r="B942" s="109" t="s">
        <v>630</v>
      </c>
      <c r="C942" s="110" t="s">
        <v>637</v>
      </c>
      <c r="D942" s="110"/>
      <c r="E942" s="112">
        <v>2021</v>
      </c>
      <c r="F942" s="112" t="s">
        <v>517</v>
      </c>
      <c r="G942" s="109">
        <v>1</v>
      </c>
      <c r="H942" s="109">
        <v>150</v>
      </c>
      <c r="I942" s="109">
        <v>829</v>
      </c>
    </row>
    <row r="943" spans="1:9" s="111" customFormat="1" ht="27.75" hidden="1" customHeight="1" outlineLevel="1" x14ac:dyDescent="0.25">
      <c r="A943" s="115">
        <v>9677</v>
      </c>
      <c r="B943" s="109" t="s">
        <v>630</v>
      </c>
      <c r="C943" s="110" t="s">
        <v>638</v>
      </c>
      <c r="D943" s="110"/>
      <c r="E943" s="112">
        <v>2021</v>
      </c>
      <c r="F943" s="112" t="s">
        <v>517</v>
      </c>
      <c r="G943" s="109">
        <v>1</v>
      </c>
      <c r="H943" s="109">
        <v>150</v>
      </c>
      <c r="I943" s="109">
        <v>688</v>
      </c>
    </row>
    <row r="944" spans="1:9" s="111" customFormat="1" ht="27.75" hidden="1" customHeight="1" outlineLevel="1" x14ac:dyDescent="0.25">
      <c r="A944" s="112">
        <v>9676</v>
      </c>
      <c r="B944" s="109" t="s">
        <v>630</v>
      </c>
      <c r="C944" s="110" t="s">
        <v>639</v>
      </c>
      <c r="D944" s="110"/>
      <c r="E944" s="112">
        <v>2021</v>
      </c>
      <c r="F944" s="112" t="s">
        <v>517</v>
      </c>
      <c r="G944" s="109">
        <v>1</v>
      </c>
      <c r="H944" s="109">
        <v>150</v>
      </c>
      <c r="I944" s="109">
        <v>761</v>
      </c>
    </row>
    <row r="945" spans="1:35" s="75" customFormat="1" ht="16.5" hidden="1" customHeight="1" collapsed="1" x14ac:dyDescent="0.25">
      <c r="A945" s="74"/>
      <c r="B945" s="46" t="s">
        <v>640</v>
      </c>
      <c r="C945" s="47" t="s">
        <v>81</v>
      </c>
      <c r="D945" s="47"/>
      <c r="E945" s="95">
        <v>2022</v>
      </c>
      <c r="F945" s="95" t="s">
        <v>515</v>
      </c>
      <c r="G945" s="46" t="e">
        <f>SUMIF(#REF!,$E$945,#REF!)</f>
        <v>#REF!</v>
      </c>
      <c r="H945" s="48" t="e">
        <f>SUMIF(#REF!,$E$945,#REF!)</f>
        <v>#REF!</v>
      </c>
      <c r="I945" s="48" t="e">
        <f>SUMIF(#REF!,$E$945,#REF!)</f>
        <v>#REF!</v>
      </c>
      <c r="J945" s="71"/>
      <c r="K945" s="71"/>
      <c r="L945" s="71"/>
      <c r="M945" s="71"/>
      <c r="N945" s="71"/>
      <c r="O945" s="71"/>
      <c r="P945" s="71"/>
      <c r="Q945" s="71"/>
      <c r="R945" s="71"/>
      <c r="S945" s="71"/>
      <c r="T945" s="71"/>
      <c r="U945" s="71"/>
      <c r="V945" s="71"/>
      <c r="W945" s="71"/>
      <c r="X945" s="71"/>
      <c r="Y945" s="71"/>
      <c r="Z945" s="71"/>
      <c r="AA945" s="71"/>
      <c r="AB945" s="71"/>
      <c r="AC945" s="71"/>
      <c r="AD945" s="71"/>
      <c r="AE945" s="71"/>
      <c r="AF945" s="71"/>
      <c r="AG945" s="71"/>
      <c r="AH945" s="71"/>
      <c r="AI945" s="71"/>
    </row>
    <row r="946" spans="1:35" s="75" customFormat="1" ht="15.75" hidden="1" x14ac:dyDescent="0.25">
      <c r="A946" s="74"/>
      <c r="B946" s="46" t="s">
        <v>640</v>
      </c>
      <c r="C946" s="47" t="s">
        <v>81</v>
      </c>
      <c r="D946" s="47"/>
      <c r="E946" s="95">
        <v>2023</v>
      </c>
      <c r="F946" s="95" t="s">
        <v>515</v>
      </c>
      <c r="G946" s="46" t="e">
        <f>SUMIF(#REF!,$E$946,#REF!)</f>
        <v>#REF!</v>
      </c>
      <c r="H946" s="48" t="e">
        <f>SUMIF(#REF!,$E$946,#REF!)</f>
        <v>#REF!</v>
      </c>
      <c r="I946" s="48" t="e">
        <f>SUMIF(#REF!,$E$946,#REF!)</f>
        <v>#REF!</v>
      </c>
      <c r="J946" s="71"/>
      <c r="K946" s="71"/>
      <c r="L946" s="71"/>
      <c r="M946" s="71"/>
      <c r="N946" s="71"/>
      <c r="O946" s="71"/>
      <c r="P946" s="71"/>
      <c r="Q946" s="71"/>
      <c r="R946" s="71"/>
      <c r="S946" s="71"/>
      <c r="T946" s="71"/>
      <c r="U946" s="71"/>
      <c r="V946" s="71"/>
      <c r="W946" s="71"/>
      <c r="X946" s="71"/>
      <c r="Y946" s="71"/>
      <c r="Z946" s="71"/>
      <c r="AA946" s="71"/>
      <c r="AB946" s="71"/>
      <c r="AC946" s="71"/>
      <c r="AD946" s="71"/>
      <c r="AE946" s="71"/>
      <c r="AF946" s="71"/>
      <c r="AG946" s="71"/>
      <c r="AH946" s="71"/>
      <c r="AI946" s="71"/>
    </row>
    <row r="947" spans="1:35" s="71" customFormat="1" ht="47.25" x14ac:dyDescent="0.25">
      <c r="A947" s="118"/>
      <c r="B947" s="51" t="s">
        <v>640</v>
      </c>
      <c r="C947" s="102" t="s">
        <v>641</v>
      </c>
      <c r="D947" s="99"/>
      <c r="E947" s="103"/>
      <c r="F947" s="51" t="s">
        <v>517</v>
      </c>
      <c r="G947" s="73"/>
      <c r="H947" s="101"/>
      <c r="I947" s="101"/>
      <c r="J947" s="185">
        <f>[21]Лист1!E101</f>
        <v>26147.687956989248</v>
      </c>
    </row>
    <row r="948" spans="1:35" s="71" customFormat="1" ht="39.75" customHeight="1" x14ac:dyDescent="0.25">
      <c r="A948" s="50"/>
      <c r="B948" s="51" t="s">
        <v>640</v>
      </c>
      <c r="C948" s="52" t="s">
        <v>427</v>
      </c>
      <c r="D948" s="49">
        <v>2025</v>
      </c>
      <c r="E948" s="95">
        <v>2021</v>
      </c>
      <c r="F948" s="92" t="s">
        <v>517</v>
      </c>
      <c r="G948" s="51">
        <v>7</v>
      </c>
      <c r="H948" s="54">
        <v>760.75</v>
      </c>
      <c r="I948" s="54">
        <f>H948*J947</f>
        <v>19891853.61327957</v>
      </c>
      <c r="J948" s="7"/>
    </row>
    <row r="949" spans="1:35" s="75" customFormat="1" ht="16.5" hidden="1" customHeight="1" x14ac:dyDescent="0.25">
      <c r="A949" s="55"/>
      <c r="B949" s="46" t="s">
        <v>640</v>
      </c>
      <c r="C949" s="47" t="s">
        <v>81</v>
      </c>
      <c r="D949" s="47"/>
      <c r="E949" s="95">
        <v>2022</v>
      </c>
      <c r="F949" s="95" t="s">
        <v>517</v>
      </c>
      <c r="G949" s="46" t="e">
        <f>SUMIF(#REF!,$E$949,#REF!)</f>
        <v>#REF!</v>
      </c>
      <c r="H949" s="46" t="e">
        <f>SUMIF(#REF!,$E$949,#REF!)</f>
        <v>#REF!</v>
      </c>
      <c r="I949" s="48" t="e">
        <f>SUMIF(#REF!,$E$949,#REF!)</f>
        <v>#REF!</v>
      </c>
      <c r="J949" s="71"/>
      <c r="K949" s="71"/>
      <c r="L949" s="71"/>
      <c r="M949" s="71"/>
      <c r="N949" s="71"/>
      <c r="O949" s="71"/>
      <c r="P949" s="71"/>
      <c r="Q949" s="71"/>
      <c r="R949" s="71"/>
      <c r="S949" s="71"/>
      <c r="T949" s="71"/>
      <c r="U949" s="71"/>
      <c r="V949" s="71"/>
      <c r="W949" s="71"/>
      <c r="X949" s="71"/>
      <c r="Y949" s="71"/>
      <c r="Z949" s="71"/>
      <c r="AA949" s="71"/>
      <c r="AB949" s="71"/>
      <c r="AC949" s="71"/>
      <c r="AD949" s="71"/>
      <c r="AE949" s="71"/>
      <c r="AF949" s="71"/>
      <c r="AG949" s="71"/>
      <c r="AH949" s="71"/>
      <c r="AI949" s="71"/>
    </row>
    <row r="950" spans="1:35" s="75" customFormat="1" ht="15.75" hidden="1" x14ac:dyDescent="0.25">
      <c r="A950" s="55"/>
      <c r="B950" s="46" t="s">
        <v>640</v>
      </c>
      <c r="C950" s="47" t="s">
        <v>81</v>
      </c>
      <c r="D950" s="47"/>
      <c r="E950" s="95">
        <v>2023</v>
      </c>
      <c r="F950" s="95" t="s">
        <v>517</v>
      </c>
      <c r="G950" s="46" t="e">
        <f>SUMIF(#REF!,$E$950,#REF!)</f>
        <v>#REF!</v>
      </c>
      <c r="H950" s="46" t="e">
        <f>SUMIF(#REF!,$E$950,#REF!)</f>
        <v>#REF!</v>
      </c>
      <c r="I950" s="48" t="e">
        <f>SUMIF(#REF!,$E$950,#REF!)</f>
        <v>#REF!</v>
      </c>
      <c r="J950" s="71"/>
      <c r="K950" s="71"/>
      <c r="L950" s="71"/>
      <c r="M950" s="71"/>
      <c r="N950" s="71"/>
      <c r="O950" s="71"/>
      <c r="P950" s="71"/>
      <c r="Q950" s="71"/>
      <c r="R950" s="71"/>
      <c r="S950" s="71"/>
      <c r="T950" s="71"/>
      <c r="U950" s="71"/>
      <c r="V950" s="71"/>
      <c r="W950" s="71"/>
      <c r="X950" s="71"/>
      <c r="Y950" s="71"/>
      <c r="Z950" s="71"/>
      <c r="AA950" s="71"/>
      <c r="AB950" s="71"/>
      <c r="AC950" s="71"/>
      <c r="AD950" s="71"/>
      <c r="AE950" s="71"/>
      <c r="AF950" s="71"/>
      <c r="AG950" s="71"/>
      <c r="AH950" s="71"/>
      <c r="AI950" s="71"/>
    </row>
    <row r="951" spans="1:35" s="71" customFormat="1" ht="31.5" x14ac:dyDescent="0.25">
      <c r="A951" s="73"/>
      <c r="B951" s="51" t="s">
        <v>642</v>
      </c>
      <c r="C951" s="102" t="s">
        <v>643</v>
      </c>
      <c r="D951" s="99"/>
      <c r="E951" s="100"/>
      <c r="F951" s="92" t="s">
        <v>515</v>
      </c>
      <c r="G951" s="73"/>
      <c r="H951" s="101"/>
      <c r="I951" s="101"/>
      <c r="J951" s="185">
        <f>[21]Лист1!E107</f>
        <v>39675.418193548387</v>
      </c>
    </row>
    <row r="952" spans="1:35" s="71" customFormat="1" ht="35.25" customHeight="1" x14ac:dyDescent="0.25">
      <c r="A952" s="73"/>
      <c r="B952" s="51" t="s">
        <v>642</v>
      </c>
      <c r="C952" s="52" t="s">
        <v>427</v>
      </c>
      <c r="D952" s="49">
        <v>2025</v>
      </c>
      <c r="E952" s="104">
        <v>2021</v>
      </c>
      <c r="F952" s="92" t="s">
        <v>515</v>
      </c>
      <c r="G952" s="51">
        <v>1</v>
      </c>
      <c r="H952" s="51">
        <v>150</v>
      </c>
      <c r="I952" s="54">
        <f>J951*H952</f>
        <v>5951312.7290322576</v>
      </c>
      <c r="J952" s="7"/>
    </row>
    <row r="953" spans="1:35" s="75" customFormat="1" ht="16.5" hidden="1" customHeight="1" x14ac:dyDescent="0.25">
      <c r="A953" s="74"/>
      <c r="B953" s="53" t="s">
        <v>642</v>
      </c>
      <c r="C953" s="56" t="s">
        <v>81</v>
      </c>
      <c r="D953" s="56"/>
      <c r="E953" s="104">
        <v>2022</v>
      </c>
      <c r="F953" s="104" t="s">
        <v>515</v>
      </c>
      <c r="G953" s="53" t="e">
        <f>SUMIF(#REF!,$E$953,#REF!)</f>
        <v>#REF!</v>
      </c>
      <c r="H953" s="53" t="e">
        <f>SUMIF(#REF!,$E$953,#REF!)</f>
        <v>#REF!</v>
      </c>
      <c r="I953" s="53" t="e">
        <f>SUMIF(#REF!,$E$953,#REF!)</f>
        <v>#REF!</v>
      </c>
      <c r="J953" s="71"/>
      <c r="K953" s="71"/>
      <c r="L953" s="71"/>
      <c r="M953" s="71"/>
      <c r="N953" s="71"/>
      <c r="O953" s="71"/>
      <c r="P953" s="71"/>
      <c r="Q953" s="71"/>
      <c r="R953" s="71"/>
      <c r="S953" s="71"/>
      <c r="T953" s="71"/>
      <c r="U953" s="71"/>
      <c r="V953" s="71"/>
      <c r="W953" s="71"/>
      <c r="X953" s="71"/>
      <c r="Y953" s="71"/>
      <c r="Z953" s="71"/>
      <c r="AA953" s="71"/>
      <c r="AB953" s="71"/>
      <c r="AC953" s="71"/>
      <c r="AD953" s="71"/>
      <c r="AE953" s="71"/>
      <c r="AF953" s="71"/>
      <c r="AG953" s="71"/>
      <c r="AH953" s="71"/>
      <c r="AI953" s="71"/>
    </row>
    <row r="954" spans="1:35" s="75" customFormat="1" ht="15.75" hidden="1" x14ac:dyDescent="0.25">
      <c r="A954" s="74"/>
      <c r="B954" s="53" t="s">
        <v>642</v>
      </c>
      <c r="C954" s="56" t="s">
        <v>81</v>
      </c>
      <c r="D954" s="56"/>
      <c r="E954" s="104">
        <v>2023</v>
      </c>
      <c r="F954" s="104" t="s">
        <v>515</v>
      </c>
      <c r="G954" s="53" t="e">
        <f>SUMIF(#REF!,$E$954,#REF!)</f>
        <v>#REF!</v>
      </c>
      <c r="H954" s="53" t="e">
        <f>SUMIF(#REF!,$E$954,#REF!)</f>
        <v>#REF!</v>
      </c>
      <c r="I954" s="53" t="e">
        <f>SUMIF(#REF!,$E$954,#REF!)</f>
        <v>#REF!</v>
      </c>
      <c r="J954" s="71"/>
      <c r="K954" s="71"/>
      <c r="L954" s="71"/>
      <c r="M954" s="71"/>
      <c r="N954" s="71"/>
      <c r="O954" s="71"/>
      <c r="P954" s="71"/>
      <c r="Q954" s="71"/>
      <c r="R954" s="71"/>
      <c r="S954" s="71"/>
      <c r="T954" s="71"/>
      <c r="U954" s="71"/>
      <c r="V954" s="71"/>
      <c r="W954" s="71"/>
      <c r="X954" s="71"/>
      <c r="Y954" s="71"/>
      <c r="Z954" s="71"/>
      <c r="AA954" s="71"/>
      <c r="AB954" s="71"/>
      <c r="AC954" s="71"/>
      <c r="AD954" s="71"/>
      <c r="AE954" s="71"/>
      <c r="AF954" s="71"/>
      <c r="AG954" s="71"/>
      <c r="AH954" s="71"/>
      <c r="AI954" s="71"/>
    </row>
    <row r="955" spans="1:35" s="71" customFormat="1" ht="47.25" x14ac:dyDescent="0.25">
      <c r="A955" s="73"/>
      <c r="B955" s="51" t="s">
        <v>644</v>
      </c>
      <c r="C955" s="102" t="s">
        <v>645</v>
      </c>
      <c r="D955" s="99"/>
      <c r="E955" s="103"/>
      <c r="F955" s="92" t="s">
        <v>515</v>
      </c>
      <c r="G955" s="51"/>
      <c r="H955" s="54"/>
      <c r="I955" s="54"/>
      <c r="J955" s="185">
        <f>[21]Лист1!E108</f>
        <v>8693.86</v>
      </c>
    </row>
    <row r="956" spans="1:35" s="71" customFormat="1" ht="34.5" customHeight="1" x14ac:dyDescent="0.25">
      <c r="A956" s="73"/>
      <c r="B956" s="51" t="s">
        <v>644</v>
      </c>
      <c r="C956" s="52" t="s">
        <v>427</v>
      </c>
      <c r="D956" s="49">
        <v>2025</v>
      </c>
      <c r="E956" s="95">
        <v>2021</v>
      </c>
      <c r="F956" s="92" t="s">
        <v>515</v>
      </c>
      <c r="G956" s="51">
        <v>4</v>
      </c>
      <c r="H956" s="51">
        <v>1060</v>
      </c>
      <c r="I956" s="54">
        <f>H956*J955</f>
        <v>9215491.6000000015</v>
      </c>
      <c r="J956" s="7"/>
    </row>
    <row r="957" spans="1:35" s="75" customFormat="1" ht="16.5" hidden="1" customHeight="1" x14ac:dyDescent="0.25">
      <c r="A957" s="74"/>
      <c r="B957" s="46" t="s">
        <v>644</v>
      </c>
      <c r="C957" s="47" t="s">
        <v>81</v>
      </c>
      <c r="D957" s="47"/>
      <c r="E957" s="95">
        <v>2022</v>
      </c>
      <c r="F957" s="95" t="s">
        <v>515</v>
      </c>
      <c r="G957" s="46" t="e">
        <f>SUMIF(#REF!,$E$957,#REF!)</f>
        <v>#REF!</v>
      </c>
      <c r="H957" s="46" t="e">
        <f>SUMIF(#REF!,$E$957,#REF!)</f>
        <v>#REF!</v>
      </c>
      <c r="I957" s="48" t="e">
        <f>SUMIF(#REF!,$E$957,#REF!)</f>
        <v>#REF!</v>
      </c>
      <c r="J957" s="71"/>
      <c r="K957" s="71"/>
      <c r="L957" s="71"/>
      <c r="M957" s="71"/>
      <c r="N957" s="71"/>
      <c r="O957" s="71"/>
      <c r="P957" s="71"/>
      <c r="Q957" s="71"/>
      <c r="R957" s="71"/>
      <c r="S957" s="71"/>
      <c r="T957" s="71"/>
      <c r="U957" s="71"/>
      <c r="V957" s="71"/>
      <c r="W957" s="71"/>
      <c r="X957" s="71"/>
      <c r="Y957" s="71"/>
      <c r="Z957" s="71"/>
      <c r="AA957" s="71"/>
      <c r="AB957" s="71"/>
      <c r="AC957" s="71"/>
      <c r="AD957" s="71"/>
      <c r="AE957" s="71"/>
      <c r="AF957" s="71"/>
      <c r="AG957" s="71"/>
      <c r="AH957" s="71"/>
      <c r="AI957" s="71"/>
    </row>
    <row r="958" spans="1:35" s="75" customFormat="1" ht="15.75" hidden="1" x14ac:dyDescent="0.25">
      <c r="A958" s="74"/>
      <c r="B958" s="46" t="s">
        <v>644</v>
      </c>
      <c r="C958" s="47" t="s">
        <v>82</v>
      </c>
      <c r="D958" s="47"/>
      <c r="E958" s="95">
        <v>2023</v>
      </c>
      <c r="F958" s="95" t="s">
        <v>515</v>
      </c>
      <c r="G958" s="46" t="e">
        <f>SUMIF(#REF!,$E$958,#REF!)</f>
        <v>#REF!</v>
      </c>
      <c r="H958" s="46" t="e">
        <f>SUMIF(#REF!,$E$958,#REF!)</f>
        <v>#REF!</v>
      </c>
      <c r="I958" s="48" t="e">
        <f>SUMIF(#REF!,$E$958,#REF!)</f>
        <v>#REF!</v>
      </c>
      <c r="J958" s="71"/>
      <c r="K958" s="71"/>
      <c r="L958" s="71"/>
      <c r="M958" s="71"/>
      <c r="N958" s="71"/>
      <c r="O958" s="71"/>
      <c r="P958" s="71"/>
      <c r="Q958" s="71"/>
      <c r="R958" s="71"/>
      <c r="S958" s="71"/>
      <c r="T958" s="71"/>
      <c r="U958" s="71"/>
      <c r="V958" s="71"/>
      <c r="W958" s="71"/>
      <c r="X958" s="71"/>
      <c r="Y958" s="71"/>
      <c r="Z958" s="71"/>
      <c r="AA958" s="71"/>
      <c r="AB958" s="71"/>
      <c r="AC958" s="71"/>
      <c r="AD958" s="71"/>
      <c r="AE958" s="71"/>
      <c r="AF958" s="71"/>
      <c r="AG958" s="71"/>
      <c r="AH958" s="71"/>
      <c r="AI958" s="71"/>
    </row>
    <row r="959" spans="1:35" s="71" customFormat="1" ht="47.25" x14ac:dyDescent="0.25">
      <c r="A959" s="73"/>
      <c r="B959" s="51" t="s">
        <v>646</v>
      </c>
      <c r="C959" s="102" t="s">
        <v>647</v>
      </c>
      <c r="D959" s="99"/>
      <c r="E959" s="100"/>
      <c r="F959" s="92" t="s">
        <v>515</v>
      </c>
      <c r="G959" s="73"/>
      <c r="H959" s="101"/>
      <c r="I959" s="101"/>
      <c r="J959" s="185">
        <f>[21]Лист1!E110</f>
        <v>8693.8603225806455</v>
      </c>
    </row>
    <row r="960" spans="1:35" s="71" customFormat="1" ht="35.25" customHeight="1" x14ac:dyDescent="0.25">
      <c r="A960" s="73"/>
      <c r="B960" s="51" t="s">
        <v>646</v>
      </c>
      <c r="C960" s="52" t="s">
        <v>427</v>
      </c>
      <c r="D960" s="49">
        <v>2025</v>
      </c>
      <c r="E960" s="104">
        <v>2021</v>
      </c>
      <c r="F960" s="92" t="s">
        <v>515</v>
      </c>
      <c r="G960" s="51">
        <v>13</v>
      </c>
      <c r="H960" s="54">
        <v>2535</v>
      </c>
      <c r="I960" s="54">
        <f>H960*J959</f>
        <v>22038935.917741936</v>
      </c>
      <c r="J960" s="7"/>
    </row>
    <row r="961" spans="1:35" s="75" customFormat="1" ht="16.5" hidden="1" customHeight="1" x14ac:dyDescent="0.25">
      <c r="A961" s="74"/>
      <c r="B961" s="53" t="s">
        <v>646</v>
      </c>
      <c r="C961" s="56" t="s">
        <v>81</v>
      </c>
      <c r="D961" s="56"/>
      <c r="E961" s="104">
        <v>2022</v>
      </c>
      <c r="F961" s="104" t="s">
        <v>515</v>
      </c>
      <c r="G961" s="53" t="e">
        <f>SUMIF(#REF!,$E$961,#REF!)</f>
        <v>#REF!</v>
      </c>
      <c r="H961" s="53" t="e">
        <f>SUMIF(#REF!,$E$961,#REF!)</f>
        <v>#REF!</v>
      </c>
      <c r="I961" s="57" t="e">
        <f>SUMIF(#REF!,$E$961,#REF!)</f>
        <v>#REF!</v>
      </c>
      <c r="J961" s="71"/>
      <c r="K961" s="71"/>
      <c r="L961" s="71"/>
      <c r="M961" s="71"/>
      <c r="N961" s="71"/>
      <c r="O961" s="71"/>
      <c r="P961" s="71"/>
      <c r="Q961" s="71"/>
      <c r="R961" s="71"/>
      <c r="S961" s="71"/>
      <c r="T961" s="71"/>
      <c r="U961" s="71"/>
      <c r="V961" s="71"/>
      <c r="W961" s="71"/>
      <c r="X961" s="71"/>
      <c r="Y961" s="71"/>
      <c r="Z961" s="71"/>
      <c r="AA961" s="71"/>
      <c r="AB961" s="71"/>
      <c r="AC961" s="71"/>
      <c r="AD961" s="71"/>
      <c r="AE961" s="71"/>
      <c r="AF961" s="71"/>
      <c r="AG961" s="71"/>
      <c r="AH961" s="71"/>
      <c r="AI961" s="71"/>
    </row>
    <row r="962" spans="1:35" s="75" customFormat="1" ht="15.75" hidden="1" x14ac:dyDescent="0.25">
      <c r="A962" s="74"/>
      <c r="B962" s="53" t="s">
        <v>646</v>
      </c>
      <c r="C962" s="56" t="s">
        <v>81</v>
      </c>
      <c r="D962" s="56"/>
      <c r="E962" s="104">
        <v>2023</v>
      </c>
      <c r="F962" s="104" t="s">
        <v>515</v>
      </c>
      <c r="G962" s="53" t="e">
        <f>SUMIF(#REF!,$E$962,#REF!)</f>
        <v>#REF!</v>
      </c>
      <c r="H962" s="53" t="e">
        <f>SUMIF(#REF!,$E$962,#REF!)</f>
        <v>#REF!</v>
      </c>
      <c r="I962" s="57" t="e">
        <f>SUMIF(#REF!,$E$962,#REF!)</f>
        <v>#REF!</v>
      </c>
      <c r="J962" s="71"/>
      <c r="K962" s="71"/>
      <c r="L962" s="71"/>
      <c r="M962" s="71"/>
      <c r="N962" s="71"/>
      <c r="O962" s="71"/>
      <c r="P962" s="71"/>
      <c r="Q962" s="71"/>
      <c r="R962" s="71"/>
      <c r="S962" s="71"/>
      <c r="T962" s="71"/>
      <c r="U962" s="71"/>
      <c r="V962" s="71"/>
      <c r="W962" s="71"/>
      <c r="X962" s="71"/>
      <c r="Y962" s="71"/>
      <c r="Z962" s="71"/>
      <c r="AA962" s="71"/>
      <c r="AB962" s="71"/>
      <c r="AC962" s="71"/>
      <c r="AD962" s="71"/>
      <c r="AE962" s="71"/>
      <c r="AF962" s="71"/>
      <c r="AG962" s="71"/>
      <c r="AH962" s="71"/>
      <c r="AI962" s="71"/>
    </row>
    <row r="963" spans="1:35" s="71" customFormat="1" ht="47.25" x14ac:dyDescent="0.25">
      <c r="A963" s="73"/>
      <c r="B963" s="51" t="s">
        <v>648</v>
      </c>
      <c r="C963" s="102" t="s">
        <v>649</v>
      </c>
      <c r="D963" s="99"/>
      <c r="E963" s="100"/>
      <c r="F963" s="92" t="s">
        <v>515</v>
      </c>
      <c r="G963" s="73"/>
      <c r="H963" s="101"/>
      <c r="I963" s="101"/>
      <c r="J963" s="185">
        <f>[21]Лист1!E114</f>
        <v>6204.8955965181776</v>
      </c>
    </row>
    <row r="964" spans="1:35" s="71" customFormat="1" ht="30" customHeight="1" x14ac:dyDescent="0.25">
      <c r="A964" s="73"/>
      <c r="B964" s="51" t="s">
        <v>648</v>
      </c>
      <c r="C964" s="52" t="s">
        <v>427</v>
      </c>
      <c r="D964" s="49">
        <v>2025</v>
      </c>
      <c r="E964" s="104">
        <v>2021</v>
      </c>
      <c r="F964" s="92" t="s">
        <v>515</v>
      </c>
      <c r="G964" s="51">
        <f>SUMIF($E$967:$E$985,$E$964,$G$967:$G$985)</f>
        <v>4</v>
      </c>
      <c r="H964" s="54">
        <v>2154</v>
      </c>
      <c r="I964" s="54">
        <f>G964*J963</f>
        <v>24819.582386072711</v>
      </c>
      <c r="J964" s="7"/>
    </row>
    <row r="965" spans="1:35" s="75" customFormat="1" ht="16.5" hidden="1" customHeight="1" x14ac:dyDescent="0.25">
      <c r="A965" s="74"/>
      <c r="B965" s="53" t="s">
        <v>648</v>
      </c>
      <c r="C965" s="56" t="s">
        <v>81</v>
      </c>
      <c r="D965" s="56"/>
      <c r="E965" s="104">
        <v>2022</v>
      </c>
      <c r="F965" s="104" t="s">
        <v>515</v>
      </c>
      <c r="G965" s="53">
        <f>SUMIF($E$967:$E$985,$E$965,$G$967:$G$985)</f>
        <v>7</v>
      </c>
      <c r="H965" s="57">
        <f>SUMIF($E$967:$E$985,$E$965,$H$967:$H$985)</f>
        <v>2214</v>
      </c>
      <c r="I965" s="57">
        <f>SUMIF($E$967:$E$985,$E$965,$I$967:$I$985)</f>
        <v>7510.1213499999994</v>
      </c>
      <c r="J965" s="71"/>
      <c r="K965" s="71"/>
      <c r="L965" s="71"/>
      <c r="M965" s="71"/>
      <c r="N965" s="71"/>
      <c r="O965" s="71"/>
      <c r="P965" s="71"/>
      <c r="Q965" s="71"/>
      <c r="R965" s="71"/>
      <c r="S965" s="71"/>
      <c r="T965" s="71"/>
      <c r="U965" s="71"/>
      <c r="V965" s="71"/>
      <c r="W965" s="71"/>
      <c r="X965" s="71"/>
      <c r="Y965" s="71"/>
      <c r="Z965" s="71"/>
      <c r="AA965" s="71"/>
      <c r="AB965" s="71"/>
      <c r="AC965" s="71"/>
      <c r="AD965" s="71"/>
      <c r="AE965" s="71"/>
      <c r="AF965" s="71"/>
      <c r="AG965" s="71"/>
      <c r="AH965" s="71"/>
      <c r="AI965" s="71"/>
    </row>
    <row r="966" spans="1:35" s="75" customFormat="1" ht="15.75" hidden="1" x14ac:dyDescent="0.25">
      <c r="A966" s="74"/>
      <c r="B966" s="53" t="s">
        <v>648</v>
      </c>
      <c r="C966" s="56" t="s">
        <v>81</v>
      </c>
      <c r="D966" s="56"/>
      <c r="E966" s="104">
        <v>2023</v>
      </c>
      <c r="F966" s="104" t="s">
        <v>515</v>
      </c>
      <c r="G966" s="53">
        <f>SUMIF($E$967:$E$985,$E$966,$G$967:$G$985)</f>
        <v>9</v>
      </c>
      <c r="H966" s="57">
        <f>SUMIF($E$967:$E$985,$E$966,$H$967:$H$985)</f>
        <v>4140</v>
      </c>
      <c r="I966" s="57">
        <f>SUMIF($E$967:$E$985,$E$966,$I$967:$I$985)</f>
        <v>19600.041879999997</v>
      </c>
      <c r="J966" s="71"/>
      <c r="K966" s="71"/>
      <c r="L966" s="71"/>
      <c r="M966" s="71"/>
      <c r="N966" s="71"/>
      <c r="O966" s="71"/>
      <c r="P966" s="71"/>
      <c r="Q966" s="71"/>
      <c r="R966" s="71"/>
      <c r="S966" s="71"/>
      <c r="T966" s="71"/>
      <c r="U966" s="71"/>
      <c r="V966" s="71"/>
      <c r="W966" s="71"/>
      <c r="X966" s="71"/>
      <c r="Y966" s="71"/>
      <c r="Z966" s="71"/>
      <c r="AA966" s="71"/>
      <c r="AB966" s="71"/>
      <c r="AC966" s="71"/>
      <c r="AD966" s="71"/>
      <c r="AE966" s="71"/>
      <c r="AF966" s="71"/>
      <c r="AG966" s="71"/>
      <c r="AH966" s="71"/>
      <c r="AI966" s="71"/>
    </row>
    <row r="967" spans="1:35" s="71" customFormat="1" ht="29.25" hidden="1" customHeight="1" outlineLevel="1" x14ac:dyDescent="0.25">
      <c r="A967" s="74">
        <v>2804</v>
      </c>
      <c r="B967" s="45" t="s">
        <v>648</v>
      </c>
      <c r="C967" s="60" t="s">
        <v>650</v>
      </c>
      <c r="D967" s="60"/>
      <c r="E967" s="74">
        <v>2022</v>
      </c>
      <c r="F967" s="74" t="s">
        <v>515</v>
      </c>
      <c r="G967" s="45">
        <v>1</v>
      </c>
      <c r="H967" s="45">
        <v>435</v>
      </c>
      <c r="I967" s="45">
        <v>1199.6969999999999</v>
      </c>
    </row>
    <row r="968" spans="1:35" s="71" customFormat="1" ht="29.25" hidden="1" customHeight="1" outlineLevel="1" x14ac:dyDescent="0.25">
      <c r="A968" s="74">
        <v>2713</v>
      </c>
      <c r="B968" s="45" t="s">
        <v>648</v>
      </c>
      <c r="C968" s="60" t="s">
        <v>651</v>
      </c>
      <c r="D968" s="60"/>
      <c r="E968" s="74">
        <v>2022</v>
      </c>
      <c r="F968" s="74" t="s">
        <v>515</v>
      </c>
      <c r="G968" s="45">
        <v>2</v>
      </c>
      <c r="H968" s="45">
        <v>177</v>
      </c>
      <c r="I968" s="45">
        <v>1605.9349999999999</v>
      </c>
    </row>
    <row r="969" spans="1:35" s="71" customFormat="1" ht="29.25" hidden="1" customHeight="1" outlineLevel="1" x14ac:dyDescent="0.25">
      <c r="A969" s="74">
        <v>166</v>
      </c>
      <c r="B969" s="45" t="s">
        <v>648</v>
      </c>
      <c r="C969" s="60" t="s">
        <v>652</v>
      </c>
      <c r="D969" s="60"/>
      <c r="E969" s="74">
        <v>2022</v>
      </c>
      <c r="F969" s="74" t="s">
        <v>515</v>
      </c>
      <c r="G969" s="45">
        <v>1</v>
      </c>
      <c r="H969" s="45">
        <v>600</v>
      </c>
      <c r="I969" s="45">
        <v>1858</v>
      </c>
    </row>
    <row r="970" spans="1:35" s="71" customFormat="1" ht="29.25" hidden="1" customHeight="1" outlineLevel="1" x14ac:dyDescent="0.25">
      <c r="A970" s="74">
        <v>184</v>
      </c>
      <c r="B970" s="45" t="s">
        <v>648</v>
      </c>
      <c r="C970" s="60" t="s">
        <v>653</v>
      </c>
      <c r="D970" s="60"/>
      <c r="E970" s="74">
        <v>2022</v>
      </c>
      <c r="F970" s="74" t="s">
        <v>515</v>
      </c>
      <c r="G970" s="45">
        <v>1</v>
      </c>
      <c r="H970" s="45">
        <v>405</v>
      </c>
      <c r="I970" s="45">
        <v>1040</v>
      </c>
    </row>
    <row r="971" spans="1:35" s="71" customFormat="1" ht="29.25" hidden="1" customHeight="1" outlineLevel="1" x14ac:dyDescent="0.25">
      <c r="A971" s="74">
        <v>402</v>
      </c>
      <c r="B971" s="45" t="s">
        <v>648</v>
      </c>
      <c r="C971" s="60" t="s">
        <v>170</v>
      </c>
      <c r="D971" s="60"/>
      <c r="E971" s="74">
        <v>2022</v>
      </c>
      <c r="F971" s="74" t="s">
        <v>515</v>
      </c>
      <c r="G971" s="45">
        <v>1</v>
      </c>
      <c r="H971" s="45">
        <v>447</v>
      </c>
      <c r="I971" s="45">
        <v>996</v>
      </c>
    </row>
    <row r="972" spans="1:35" s="71" customFormat="1" ht="29.25" hidden="1" customHeight="1" outlineLevel="1" x14ac:dyDescent="0.25">
      <c r="A972" s="74">
        <v>2990</v>
      </c>
      <c r="B972" s="45" t="s">
        <v>648</v>
      </c>
      <c r="C972" s="82" t="s">
        <v>654</v>
      </c>
      <c r="D972" s="82"/>
      <c r="E972" s="74">
        <v>2022</v>
      </c>
      <c r="F972" s="74"/>
      <c r="G972" s="45">
        <v>1</v>
      </c>
      <c r="H972" s="45">
        <v>150</v>
      </c>
      <c r="I972" s="61">
        <v>810.48934999999994</v>
      </c>
    </row>
    <row r="973" spans="1:35" s="71" customFormat="1" ht="29.25" hidden="1" customHeight="1" outlineLevel="1" x14ac:dyDescent="0.25">
      <c r="A973" s="74">
        <v>4419</v>
      </c>
      <c r="B973" s="68" t="s">
        <v>648</v>
      </c>
      <c r="C973" s="60" t="s">
        <v>327</v>
      </c>
      <c r="D973" s="60"/>
      <c r="E973" s="74">
        <v>2023</v>
      </c>
      <c r="F973" s="74" t="s">
        <v>515</v>
      </c>
      <c r="G973" s="45">
        <v>1</v>
      </c>
      <c r="H973" s="61">
        <v>250</v>
      </c>
      <c r="I973" s="61">
        <v>1949</v>
      </c>
    </row>
    <row r="974" spans="1:35" s="71" customFormat="1" ht="29.25" hidden="1" customHeight="1" outlineLevel="1" x14ac:dyDescent="0.25">
      <c r="A974" s="74">
        <v>3165</v>
      </c>
      <c r="B974" s="45" t="s">
        <v>648</v>
      </c>
      <c r="C974" s="60" t="s">
        <v>655</v>
      </c>
      <c r="D974" s="60"/>
      <c r="E974" s="74">
        <v>2023</v>
      </c>
      <c r="F974" s="74" t="s">
        <v>515</v>
      </c>
      <c r="G974" s="45">
        <v>1</v>
      </c>
      <c r="H974" s="61">
        <v>600</v>
      </c>
      <c r="I974" s="61">
        <v>3172.5509999999999</v>
      </c>
    </row>
    <row r="975" spans="1:35" s="71" customFormat="1" ht="29.25" hidden="1" customHeight="1" outlineLevel="1" x14ac:dyDescent="0.25">
      <c r="A975" s="74">
        <v>551</v>
      </c>
      <c r="B975" s="45" t="s">
        <v>648</v>
      </c>
      <c r="C975" s="60" t="s">
        <v>220</v>
      </c>
      <c r="D975" s="60"/>
      <c r="E975" s="74">
        <v>2023</v>
      </c>
      <c r="F975" s="74" t="s">
        <v>515</v>
      </c>
      <c r="G975" s="45">
        <v>1</v>
      </c>
      <c r="H975" s="61">
        <v>90</v>
      </c>
      <c r="I975" s="61">
        <v>1570.80872</v>
      </c>
    </row>
    <row r="976" spans="1:35" s="71" customFormat="1" ht="29.25" hidden="1" customHeight="1" outlineLevel="1" x14ac:dyDescent="0.25">
      <c r="A976" s="74">
        <v>5746</v>
      </c>
      <c r="B976" s="45" t="s">
        <v>648</v>
      </c>
      <c r="C976" s="60" t="s">
        <v>241</v>
      </c>
      <c r="D976" s="60"/>
      <c r="E976" s="74">
        <v>2023</v>
      </c>
      <c r="F976" s="74" t="s">
        <v>515</v>
      </c>
      <c r="G976" s="45">
        <v>1</v>
      </c>
      <c r="H976" s="61">
        <v>300</v>
      </c>
      <c r="I976" s="61">
        <v>1473.77638</v>
      </c>
    </row>
    <row r="977" spans="1:35" s="71" customFormat="1" ht="29.25" hidden="1" customHeight="1" outlineLevel="1" x14ac:dyDescent="0.25">
      <c r="A977" s="74">
        <v>3098</v>
      </c>
      <c r="B977" s="45" t="s">
        <v>648</v>
      </c>
      <c r="C977" s="60" t="s">
        <v>245</v>
      </c>
      <c r="D977" s="60"/>
      <c r="E977" s="74">
        <v>2023</v>
      </c>
      <c r="F977" s="74" t="s">
        <v>515</v>
      </c>
      <c r="G977" s="45">
        <v>1</v>
      </c>
      <c r="H977" s="61">
        <v>500</v>
      </c>
      <c r="I977" s="61">
        <v>2083.9057799999996</v>
      </c>
    </row>
    <row r="978" spans="1:35" s="71" customFormat="1" ht="29.25" hidden="1" customHeight="1" outlineLevel="1" x14ac:dyDescent="0.25">
      <c r="A978" s="74">
        <v>3009</v>
      </c>
      <c r="B978" s="45" t="s">
        <v>648</v>
      </c>
      <c r="C978" s="60" t="s">
        <v>656</v>
      </c>
      <c r="D978" s="60"/>
      <c r="E978" s="74">
        <v>2023</v>
      </c>
      <c r="F978" s="74" t="s">
        <v>515</v>
      </c>
      <c r="G978" s="45">
        <v>1</v>
      </c>
      <c r="H978" s="61">
        <v>450</v>
      </c>
      <c r="I978" s="61">
        <v>1276</v>
      </c>
    </row>
    <row r="979" spans="1:35" s="71" customFormat="1" ht="29.25" hidden="1" customHeight="1" outlineLevel="1" x14ac:dyDescent="0.25">
      <c r="A979" s="74">
        <v>4503</v>
      </c>
      <c r="B979" s="45" t="s">
        <v>648</v>
      </c>
      <c r="C979" s="60" t="s">
        <v>326</v>
      </c>
      <c r="D979" s="60"/>
      <c r="E979" s="74">
        <v>2023</v>
      </c>
      <c r="F979" s="74" t="s">
        <v>515</v>
      </c>
      <c r="G979" s="45">
        <v>1</v>
      </c>
      <c r="H979" s="61">
        <v>900</v>
      </c>
      <c r="I979" s="61">
        <v>2503</v>
      </c>
    </row>
    <row r="980" spans="1:35" s="71" customFormat="1" ht="29.25" hidden="1" customHeight="1" outlineLevel="1" x14ac:dyDescent="0.25">
      <c r="A980" s="74">
        <v>3127</v>
      </c>
      <c r="B980" s="45" t="s">
        <v>648</v>
      </c>
      <c r="C980" s="60" t="s">
        <v>337</v>
      </c>
      <c r="D980" s="60"/>
      <c r="E980" s="74">
        <v>2023</v>
      </c>
      <c r="F980" s="74" t="s">
        <v>515</v>
      </c>
      <c r="G980" s="45">
        <v>1</v>
      </c>
      <c r="H980" s="61">
        <v>450</v>
      </c>
      <c r="I980" s="61">
        <v>2645</v>
      </c>
    </row>
    <row r="981" spans="1:35" s="71" customFormat="1" ht="29.25" hidden="1" customHeight="1" outlineLevel="1" x14ac:dyDescent="0.25">
      <c r="A981" s="74">
        <v>3055</v>
      </c>
      <c r="B981" s="45" t="s">
        <v>648</v>
      </c>
      <c r="C981" s="60" t="s">
        <v>657</v>
      </c>
      <c r="D981" s="60"/>
      <c r="E981" s="74">
        <v>2023</v>
      </c>
      <c r="F981" s="74" t="s">
        <v>515</v>
      </c>
      <c r="G981" s="45">
        <v>1</v>
      </c>
      <c r="H981" s="61">
        <v>600</v>
      </c>
      <c r="I981" s="61">
        <v>2926</v>
      </c>
    </row>
    <row r="982" spans="1:35" s="71" customFormat="1" ht="29.25" hidden="1" customHeight="1" outlineLevel="1" x14ac:dyDescent="0.25">
      <c r="A982" s="83">
        <v>9601</v>
      </c>
      <c r="B982" s="45" t="s">
        <v>648</v>
      </c>
      <c r="C982" s="82" t="s">
        <v>658</v>
      </c>
      <c r="D982" s="82"/>
      <c r="E982" s="74">
        <v>2021</v>
      </c>
      <c r="F982" s="74" t="s">
        <v>515</v>
      </c>
      <c r="G982" s="45">
        <v>1</v>
      </c>
      <c r="H982" s="45">
        <v>537</v>
      </c>
      <c r="I982" s="61">
        <v>1570</v>
      </c>
    </row>
    <row r="983" spans="1:35" s="71" customFormat="1" ht="29.25" hidden="1" customHeight="1" outlineLevel="1" x14ac:dyDescent="0.25">
      <c r="A983" s="119">
        <v>9615</v>
      </c>
      <c r="B983" s="45" t="s">
        <v>648</v>
      </c>
      <c r="C983" s="82" t="s">
        <v>659</v>
      </c>
      <c r="D983" s="82"/>
      <c r="E983" s="74">
        <v>2021</v>
      </c>
      <c r="F983" s="74"/>
      <c r="G983" s="45">
        <v>1</v>
      </c>
      <c r="H983" s="45">
        <v>450</v>
      </c>
      <c r="I983" s="61">
        <v>967.58264999999994</v>
      </c>
    </row>
    <row r="984" spans="1:35" s="71" customFormat="1" ht="29.25" hidden="1" customHeight="1" outlineLevel="1" x14ac:dyDescent="0.25">
      <c r="A984" s="83">
        <v>9591</v>
      </c>
      <c r="B984" s="45" t="s">
        <v>648</v>
      </c>
      <c r="C984" s="82" t="s">
        <v>660</v>
      </c>
      <c r="D984" s="82"/>
      <c r="E984" s="74">
        <v>2021</v>
      </c>
      <c r="F984" s="74" t="s">
        <v>515</v>
      </c>
      <c r="G984" s="45">
        <v>1</v>
      </c>
      <c r="H984" s="45">
        <v>417</v>
      </c>
      <c r="I984" s="61">
        <v>1077</v>
      </c>
    </row>
    <row r="985" spans="1:35" s="71" customFormat="1" ht="29.25" hidden="1" customHeight="1" outlineLevel="1" x14ac:dyDescent="0.25">
      <c r="A985" s="83">
        <v>9669</v>
      </c>
      <c r="B985" s="45" t="s">
        <v>648</v>
      </c>
      <c r="C985" s="82" t="s">
        <v>494</v>
      </c>
      <c r="D985" s="82"/>
      <c r="E985" s="74">
        <v>2021</v>
      </c>
      <c r="F985" s="74" t="s">
        <v>515</v>
      </c>
      <c r="G985" s="45">
        <v>1</v>
      </c>
      <c r="H985" s="45">
        <v>750</v>
      </c>
      <c r="I985" s="61">
        <v>1716</v>
      </c>
    </row>
    <row r="986" spans="1:35" s="71" customFormat="1" ht="15.75" hidden="1" collapsed="1" x14ac:dyDescent="0.25">
      <c r="A986" s="86"/>
      <c r="B986" s="45"/>
      <c r="C986" s="82"/>
      <c r="D986" s="82"/>
      <c r="E986" s="74"/>
      <c r="F986" s="74"/>
      <c r="G986" s="45"/>
      <c r="H986" s="45"/>
      <c r="I986" s="61"/>
    </row>
    <row r="987" spans="1:35" s="72" customFormat="1" ht="39" customHeight="1" x14ac:dyDescent="0.25">
      <c r="A987" s="200"/>
      <c r="B987" s="197" t="s">
        <v>661</v>
      </c>
      <c r="C987" s="198"/>
      <c r="D987" s="198"/>
      <c r="E987" s="198"/>
      <c r="F987" s="198"/>
      <c r="G987" s="198"/>
      <c r="H987" s="198"/>
      <c r="I987" s="199"/>
      <c r="J987" s="71"/>
      <c r="K987" s="71"/>
      <c r="L987" s="71"/>
      <c r="M987" s="71"/>
      <c r="N987" s="71"/>
      <c r="O987" s="71"/>
      <c r="P987" s="71"/>
      <c r="Q987" s="71"/>
      <c r="R987" s="71"/>
      <c r="S987" s="71"/>
      <c r="T987" s="71"/>
      <c r="U987" s="71"/>
      <c r="V987" s="71"/>
      <c r="W987" s="71"/>
      <c r="X987" s="71"/>
      <c r="Y987" s="71"/>
      <c r="Z987" s="71"/>
      <c r="AA987" s="71"/>
      <c r="AB987" s="71"/>
      <c r="AC987" s="71"/>
      <c r="AD987" s="71"/>
      <c r="AE987" s="71"/>
      <c r="AF987" s="71"/>
      <c r="AG987" s="71"/>
      <c r="AH987" s="71"/>
      <c r="AI987" s="71"/>
    </row>
    <row r="988" spans="1:35" s="71" customFormat="1" ht="19.5" customHeight="1" collapsed="1" x14ac:dyDescent="0.25">
      <c r="A988" s="201"/>
      <c r="B988" s="186" t="s">
        <v>662</v>
      </c>
      <c r="C988" s="188" t="s">
        <v>663</v>
      </c>
      <c r="D988" s="120"/>
      <c r="E988" s="203"/>
      <c r="F988" s="186" t="s">
        <v>489</v>
      </c>
      <c r="G988" s="186"/>
      <c r="H988" s="186"/>
      <c r="I988" s="186"/>
    </row>
    <row r="989" spans="1:35" s="71" customFormat="1" ht="16.5" customHeight="1" x14ac:dyDescent="0.25">
      <c r="A989" s="201"/>
      <c r="B989" s="187"/>
      <c r="C989" s="189"/>
      <c r="D989" s="173"/>
      <c r="E989" s="204"/>
      <c r="F989" s="187" t="s">
        <v>489</v>
      </c>
      <c r="G989" s="187"/>
      <c r="H989" s="187"/>
      <c r="I989" s="187"/>
    </row>
    <row r="990" spans="1:35" s="71" customFormat="1" ht="15.75" x14ac:dyDescent="0.25">
      <c r="A990" s="201"/>
      <c r="B990" s="51" t="s">
        <v>662</v>
      </c>
      <c r="C990" s="52" t="s">
        <v>427</v>
      </c>
      <c r="D990" s="49">
        <v>2025</v>
      </c>
      <c r="E990" s="104">
        <v>2021</v>
      </c>
      <c r="F990" s="92" t="s">
        <v>489</v>
      </c>
      <c r="G990" s="51">
        <v>676</v>
      </c>
      <c r="H990" s="54">
        <v>5358.6200000000008</v>
      </c>
      <c r="I990" s="54">
        <f>G990*J990/1000</f>
        <v>38975.516839999997</v>
      </c>
      <c r="J990" s="185">
        <f>[21]Лист1!E132</f>
        <v>57656.09</v>
      </c>
    </row>
    <row r="991" spans="1:35" s="75" customFormat="1" ht="16.5" hidden="1" customHeight="1" x14ac:dyDescent="0.25">
      <c r="A991" s="202"/>
      <c r="B991" s="53" t="s">
        <v>662</v>
      </c>
      <c r="C991" s="56" t="s">
        <v>81</v>
      </c>
      <c r="D991" s="56"/>
      <c r="E991" s="104">
        <v>2022</v>
      </c>
      <c r="F991" s="104" t="s">
        <v>489</v>
      </c>
      <c r="G991" s="53" t="e">
        <f>SUMIF(#REF!,$E$991,#REF!)</f>
        <v>#REF!</v>
      </c>
      <c r="H991" s="57" t="e">
        <f>SUMIF(#REF!,$E$991,#REF!)</f>
        <v>#REF!</v>
      </c>
      <c r="I991" s="57" t="e">
        <f>SUMIF(#REF!,$E$991,#REF!)</f>
        <v>#REF!</v>
      </c>
      <c r="J991" s="71"/>
      <c r="K991" s="71"/>
      <c r="L991" s="71"/>
      <c r="M991" s="71"/>
      <c r="N991" s="71"/>
      <c r="O991" s="71"/>
      <c r="P991" s="71"/>
      <c r="Q991" s="71"/>
      <c r="R991" s="71"/>
      <c r="S991" s="71"/>
      <c r="T991" s="71"/>
      <c r="U991" s="71"/>
      <c r="V991" s="71"/>
      <c r="W991" s="71"/>
      <c r="X991" s="71"/>
      <c r="Y991" s="71"/>
      <c r="Z991" s="71"/>
      <c r="AA991" s="71"/>
      <c r="AB991" s="71"/>
      <c r="AC991" s="71"/>
      <c r="AD991" s="71"/>
      <c r="AE991" s="71"/>
      <c r="AF991" s="71"/>
      <c r="AG991" s="71"/>
      <c r="AH991" s="71"/>
      <c r="AI991" s="71"/>
    </row>
    <row r="992" spans="1:35" s="75" customFormat="1" ht="15.75" hidden="1" x14ac:dyDescent="0.25">
      <c r="A992" s="74"/>
      <c r="B992" s="53" t="s">
        <v>662</v>
      </c>
      <c r="C992" s="56" t="s">
        <v>82</v>
      </c>
      <c r="D992" s="56"/>
      <c r="E992" s="104">
        <v>2023</v>
      </c>
      <c r="F992" s="104" t="s">
        <v>489</v>
      </c>
      <c r="G992" s="53" t="e">
        <f>SUMIF(#REF!,$E$992,#REF!)</f>
        <v>#REF!</v>
      </c>
      <c r="H992" s="57" t="e">
        <f>SUMIF(#REF!,$E$992,#REF!)</f>
        <v>#REF!</v>
      </c>
      <c r="I992" s="57" t="e">
        <f>SUMIF(#REF!,$E$992,#REF!)</f>
        <v>#REF!</v>
      </c>
      <c r="J992" s="71"/>
      <c r="K992" s="71"/>
      <c r="L992" s="71"/>
      <c r="M992" s="71"/>
      <c r="N992" s="71"/>
      <c r="O992" s="71"/>
      <c r="P992" s="71"/>
      <c r="Q992" s="71"/>
      <c r="R992" s="71"/>
      <c r="S992" s="71"/>
      <c r="T992" s="71"/>
      <c r="U992" s="71"/>
      <c r="V992" s="71"/>
      <c r="W992" s="71"/>
      <c r="X992" s="71"/>
      <c r="Y992" s="71"/>
      <c r="Z992" s="71"/>
      <c r="AA992" s="71"/>
      <c r="AB992" s="71"/>
      <c r="AC992" s="71"/>
      <c r="AD992" s="71"/>
      <c r="AE992" s="71"/>
      <c r="AF992" s="71"/>
      <c r="AG992" s="71"/>
      <c r="AH992" s="71"/>
      <c r="AI992" s="71"/>
    </row>
    <row r="993" spans="1:35" s="71" customFormat="1" ht="19.149999999999999" customHeight="1" x14ac:dyDescent="0.25">
      <c r="A993" s="73"/>
      <c r="B993" s="186" t="s">
        <v>664</v>
      </c>
      <c r="C993" s="188" t="s">
        <v>665</v>
      </c>
      <c r="D993" s="120"/>
      <c r="E993" s="190"/>
      <c r="F993" s="186" t="s">
        <v>489</v>
      </c>
      <c r="G993" s="186"/>
      <c r="H993" s="192"/>
      <c r="I993" s="192"/>
    </row>
    <row r="994" spans="1:35" s="71" customFormat="1" ht="22.9" customHeight="1" x14ac:dyDescent="0.25">
      <c r="A994" s="73"/>
      <c r="B994" s="187"/>
      <c r="C994" s="189"/>
      <c r="D994" s="173"/>
      <c r="E994" s="191" t="s">
        <v>489</v>
      </c>
      <c r="F994" s="187" t="s">
        <v>489</v>
      </c>
      <c r="G994" s="187"/>
      <c r="H994" s="193"/>
      <c r="I994" s="193"/>
    </row>
    <row r="995" spans="1:35" s="71" customFormat="1" ht="24" customHeight="1" x14ac:dyDescent="0.25">
      <c r="A995" s="73"/>
      <c r="B995" s="51" t="s">
        <v>664</v>
      </c>
      <c r="C995" s="52" t="s">
        <v>430</v>
      </c>
      <c r="D995" s="49">
        <v>2025</v>
      </c>
      <c r="E995" s="95">
        <v>2021</v>
      </c>
      <c r="F995" s="92" t="s">
        <v>489</v>
      </c>
      <c r="G995" s="51">
        <v>33</v>
      </c>
      <c r="H995" s="54">
        <v>20383.13</v>
      </c>
      <c r="I995" s="54">
        <f>J995*G995</f>
        <v>2726603.2199999997</v>
      </c>
      <c r="J995" s="185">
        <f>[21]Лист1!E133</f>
        <v>82624.34</v>
      </c>
    </row>
    <row r="996" spans="1:35" s="75" customFormat="1" ht="16.5" hidden="1" customHeight="1" x14ac:dyDescent="0.25">
      <c r="A996" s="74"/>
      <c r="B996" s="46" t="s">
        <v>664</v>
      </c>
      <c r="C996" s="47" t="s">
        <v>81</v>
      </c>
      <c r="D996" s="47"/>
      <c r="E996" s="95">
        <v>2022</v>
      </c>
      <c r="F996" s="95" t="s">
        <v>489</v>
      </c>
      <c r="G996" s="48">
        <f>SUMIF($E$998:$E$8723,$E$996,$G$998:$G$8723)</f>
        <v>6307</v>
      </c>
      <c r="H996" s="48">
        <f>SUMIF($E$998:$E$8723,$E$996,$H$998:$H$8723)</f>
        <v>102103.53400000001</v>
      </c>
      <c r="I996" s="48">
        <f>SUMIF($E$998:$E$8723,$E$996,$I$998:$I$8723)</f>
        <v>190918.02863199997</v>
      </c>
      <c r="J996" s="71"/>
      <c r="K996" s="71"/>
      <c r="L996" s="71"/>
      <c r="M996" s="71"/>
      <c r="N996" s="71"/>
      <c r="O996" s="71"/>
      <c r="P996" s="71"/>
      <c r="Q996" s="71"/>
      <c r="R996" s="71"/>
      <c r="S996" s="71"/>
      <c r="T996" s="71"/>
      <c r="U996" s="71"/>
      <c r="V996" s="71"/>
      <c r="W996" s="71"/>
      <c r="X996" s="71"/>
      <c r="Y996" s="71"/>
      <c r="Z996" s="71"/>
      <c r="AA996" s="71"/>
      <c r="AB996" s="71"/>
      <c r="AC996" s="71"/>
      <c r="AD996" s="71"/>
      <c r="AE996" s="71"/>
      <c r="AF996" s="71"/>
      <c r="AG996" s="71"/>
      <c r="AH996" s="71"/>
      <c r="AI996" s="71"/>
    </row>
    <row r="997" spans="1:35" s="75" customFormat="1" ht="15.75" hidden="1" x14ac:dyDescent="0.25">
      <c r="A997" s="74"/>
      <c r="B997" s="46" t="s">
        <v>664</v>
      </c>
      <c r="C997" s="47" t="s">
        <v>81</v>
      </c>
      <c r="D997" s="47"/>
      <c r="E997" s="95">
        <v>2023</v>
      </c>
      <c r="F997" s="95" t="s">
        <v>489</v>
      </c>
      <c r="G997" s="48">
        <f>SUMIF($E$998:$E$8723,$E$997,$G$998:$G$8723)</f>
        <v>3826</v>
      </c>
      <c r="H997" s="48">
        <f>SUMIF($E$998:$E$8723,$E$997,$H$998:$H$8723)</f>
        <v>67253.290000000008</v>
      </c>
      <c r="I997" s="48">
        <f>SUMIF($E$998:$E$8723,$E$997,$I$998:$I$8723)</f>
        <v>185428.86114800049</v>
      </c>
      <c r="J997" s="71"/>
      <c r="K997" s="71"/>
      <c r="L997" s="71"/>
      <c r="M997" s="71"/>
      <c r="N997" s="71"/>
      <c r="O997" s="71"/>
      <c r="P997" s="71"/>
      <c r="Q997" s="71"/>
      <c r="R997" s="71"/>
      <c r="S997" s="71"/>
      <c r="T997" s="71"/>
      <c r="U997" s="71"/>
      <c r="V997" s="71"/>
      <c r="W997" s="71"/>
      <c r="X997" s="71"/>
      <c r="Y997" s="71"/>
      <c r="Z997" s="71"/>
      <c r="AA997" s="71"/>
      <c r="AB997" s="71"/>
      <c r="AC997" s="71"/>
      <c r="AD997" s="71"/>
      <c r="AE997" s="71"/>
      <c r="AF997" s="71"/>
      <c r="AG997" s="71"/>
      <c r="AH997" s="71"/>
      <c r="AI997" s="71"/>
    </row>
    <row r="998" spans="1:35" s="71" customFormat="1" ht="16.5" hidden="1" customHeight="1" outlineLevel="1" x14ac:dyDescent="0.25">
      <c r="A998" s="74">
        <v>2985</v>
      </c>
      <c r="B998" s="45" t="s">
        <v>664</v>
      </c>
      <c r="C998" s="60" t="s">
        <v>94</v>
      </c>
      <c r="D998" s="60"/>
      <c r="E998" s="74">
        <v>2022</v>
      </c>
      <c r="F998" s="74" t="s">
        <v>489</v>
      </c>
      <c r="G998" s="61">
        <v>1</v>
      </c>
      <c r="H998" s="45">
        <v>150</v>
      </c>
      <c r="I998" s="74">
        <v>77.069000000000003</v>
      </c>
    </row>
    <row r="999" spans="1:35" s="71" customFormat="1" ht="16.5" hidden="1" customHeight="1" outlineLevel="1" x14ac:dyDescent="0.25">
      <c r="A999" s="74">
        <v>2815</v>
      </c>
      <c r="B999" s="45" t="s">
        <v>664</v>
      </c>
      <c r="C999" s="60" t="s">
        <v>95</v>
      </c>
      <c r="D999" s="60"/>
      <c r="E999" s="74">
        <v>2022</v>
      </c>
      <c r="F999" s="74" t="s">
        <v>489</v>
      </c>
      <c r="G999" s="61">
        <v>1</v>
      </c>
      <c r="H999" s="45">
        <v>15</v>
      </c>
      <c r="I999" s="74">
        <f>0.186637*(1000)</f>
        <v>186.637</v>
      </c>
    </row>
    <row r="1000" spans="1:35" s="71" customFormat="1" ht="16.5" hidden="1" customHeight="1" outlineLevel="1" x14ac:dyDescent="0.25">
      <c r="A1000" s="74">
        <v>2888</v>
      </c>
      <c r="B1000" s="45" t="s">
        <v>664</v>
      </c>
      <c r="C1000" s="60" t="s">
        <v>666</v>
      </c>
      <c r="D1000" s="60"/>
      <c r="E1000" s="74">
        <v>2022</v>
      </c>
      <c r="F1000" s="74" t="s">
        <v>489</v>
      </c>
      <c r="G1000" s="61">
        <v>1</v>
      </c>
      <c r="H1000" s="45">
        <v>15</v>
      </c>
      <c r="I1000" s="74">
        <f>0.124584*(1000)</f>
        <v>124.584</v>
      </c>
    </row>
    <row r="1001" spans="1:35" s="71" customFormat="1" ht="39" hidden="1" customHeight="1" outlineLevel="1" x14ac:dyDescent="0.25">
      <c r="A1001" s="74">
        <v>2917</v>
      </c>
      <c r="B1001" s="45" t="s">
        <v>664</v>
      </c>
      <c r="C1001" s="60" t="s">
        <v>667</v>
      </c>
      <c r="D1001" s="60"/>
      <c r="E1001" s="74">
        <v>2022</v>
      </c>
      <c r="F1001" s="74" t="s">
        <v>489</v>
      </c>
      <c r="G1001" s="61">
        <v>1</v>
      </c>
      <c r="H1001" s="45">
        <v>15</v>
      </c>
      <c r="I1001" s="74">
        <f>0.176075*(1000)</f>
        <v>176.07500000000002</v>
      </c>
    </row>
    <row r="1002" spans="1:35" s="71" customFormat="1" ht="16.5" hidden="1" customHeight="1" outlineLevel="1" x14ac:dyDescent="0.25">
      <c r="A1002" s="74">
        <v>2922</v>
      </c>
      <c r="B1002" s="45" t="s">
        <v>664</v>
      </c>
      <c r="C1002" s="60" t="s">
        <v>97</v>
      </c>
      <c r="D1002" s="60"/>
      <c r="E1002" s="74">
        <v>2022</v>
      </c>
      <c r="F1002" s="74" t="s">
        <v>489</v>
      </c>
      <c r="G1002" s="61">
        <v>1</v>
      </c>
      <c r="H1002" s="45">
        <v>15</v>
      </c>
      <c r="I1002" s="74">
        <f>0.211258*(1000)</f>
        <v>211.25800000000001</v>
      </c>
    </row>
    <row r="1003" spans="1:35" s="71" customFormat="1" ht="16.5" hidden="1" customHeight="1" outlineLevel="1" x14ac:dyDescent="0.25">
      <c r="A1003" s="74">
        <v>2923</v>
      </c>
      <c r="B1003" s="45" t="s">
        <v>664</v>
      </c>
      <c r="C1003" s="60" t="s">
        <v>98</v>
      </c>
      <c r="D1003" s="60"/>
      <c r="E1003" s="74">
        <v>2022</v>
      </c>
      <c r="F1003" s="74" t="s">
        <v>489</v>
      </c>
      <c r="G1003" s="61">
        <v>11</v>
      </c>
      <c r="H1003" s="45">
        <v>185</v>
      </c>
      <c r="I1003" s="74">
        <f>0.638719*(1000)</f>
        <v>638.71900000000005</v>
      </c>
    </row>
    <row r="1004" spans="1:35" s="71" customFormat="1" ht="16.5" hidden="1" customHeight="1" outlineLevel="1" x14ac:dyDescent="0.25">
      <c r="A1004" s="74">
        <v>2710</v>
      </c>
      <c r="B1004" s="45" t="s">
        <v>664</v>
      </c>
      <c r="C1004" s="60" t="s">
        <v>100</v>
      </c>
      <c r="D1004" s="60"/>
      <c r="E1004" s="74">
        <v>2022</v>
      </c>
      <c r="F1004" s="74" t="s">
        <v>489</v>
      </c>
      <c r="G1004" s="61">
        <v>1</v>
      </c>
      <c r="H1004" s="45">
        <v>208.3</v>
      </c>
      <c r="I1004" s="74">
        <f>0.088393*(1000)</f>
        <v>88.393000000000001</v>
      </c>
    </row>
    <row r="1005" spans="1:35" s="71" customFormat="1" ht="16.5" hidden="1" customHeight="1" outlineLevel="1" x14ac:dyDescent="0.25">
      <c r="A1005" s="74">
        <v>2751</v>
      </c>
      <c r="B1005" s="45" t="s">
        <v>664</v>
      </c>
      <c r="C1005" s="60" t="s">
        <v>668</v>
      </c>
      <c r="D1005" s="60"/>
      <c r="E1005" s="74">
        <v>2022</v>
      </c>
      <c r="F1005" s="74" t="s">
        <v>489</v>
      </c>
      <c r="G1005" s="61">
        <v>1</v>
      </c>
      <c r="H1005" s="45">
        <v>15</v>
      </c>
      <c r="I1005" s="74">
        <f>0.054517*(1000)</f>
        <v>54.517000000000003</v>
      </c>
    </row>
    <row r="1006" spans="1:35" s="71" customFormat="1" ht="16.5" hidden="1" customHeight="1" outlineLevel="1" x14ac:dyDescent="0.25">
      <c r="A1006" s="74">
        <v>2766</v>
      </c>
      <c r="B1006" s="45" t="s">
        <v>664</v>
      </c>
      <c r="C1006" s="60" t="s">
        <v>669</v>
      </c>
      <c r="D1006" s="60"/>
      <c r="E1006" s="74">
        <v>2022</v>
      </c>
      <c r="F1006" s="74" t="s">
        <v>489</v>
      </c>
      <c r="G1006" s="61">
        <v>1</v>
      </c>
      <c r="H1006" s="45">
        <v>5</v>
      </c>
      <c r="I1006" s="74">
        <f>0.087392*(1000)</f>
        <v>87.391999999999996</v>
      </c>
    </row>
    <row r="1007" spans="1:35" s="71" customFormat="1" ht="16.5" hidden="1" customHeight="1" outlineLevel="1" x14ac:dyDescent="0.25">
      <c r="A1007" s="74">
        <v>2770</v>
      </c>
      <c r="B1007" s="45" t="s">
        <v>664</v>
      </c>
      <c r="C1007" s="60" t="s">
        <v>670</v>
      </c>
      <c r="D1007" s="60"/>
      <c r="E1007" s="74">
        <v>2022</v>
      </c>
      <c r="F1007" s="74" t="s">
        <v>489</v>
      </c>
      <c r="G1007" s="61">
        <v>1</v>
      </c>
      <c r="H1007" s="45">
        <v>100</v>
      </c>
      <c r="I1007" s="74">
        <f>0.117113*(1000)</f>
        <v>117.113</v>
      </c>
    </row>
    <row r="1008" spans="1:35" s="71" customFormat="1" ht="16.5" hidden="1" customHeight="1" outlineLevel="1" x14ac:dyDescent="0.25">
      <c r="A1008" s="74">
        <v>2771</v>
      </c>
      <c r="B1008" s="45" t="s">
        <v>664</v>
      </c>
      <c r="C1008" s="60" t="s">
        <v>671</v>
      </c>
      <c r="D1008" s="60"/>
      <c r="E1008" s="74">
        <v>2022</v>
      </c>
      <c r="F1008" s="74" t="s">
        <v>489</v>
      </c>
      <c r="G1008" s="61">
        <v>1</v>
      </c>
      <c r="H1008" s="45">
        <v>15</v>
      </c>
      <c r="I1008" s="74">
        <f>0.081748*(1000)</f>
        <v>81.748000000000005</v>
      </c>
    </row>
    <row r="1009" spans="1:9" s="71" customFormat="1" ht="16.5" hidden="1" customHeight="1" outlineLevel="1" x14ac:dyDescent="0.25">
      <c r="A1009" s="74">
        <v>2778</v>
      </c>
      <c r="B1009" s="45" t="s">
        <v>664</v>
      </c>
      <c r="C1009" s="60" t="s">
        <v>672</v>
      </c>
      <c r="D1009" s="60"/>
      <c r="E1009" s="74">
        <v>2022</v>
      </c>
      <c r="F1009" s="74" t="s">
        <v>489</v>
      </c>
      <c r="G1009" s="61">
        <v>1</v>
      </c>
      <c r="H1009" s="45">
        <v>15</v>
      </c>
      <c r="I1009" s="74">
        <f>0.058*(1000)</f>
        <v>58</v>
      </c>
    </row>
    <row r="1010" spans="1:9" s="71" customFormat="1" ht="16.5" hidden="1" customHeight="1" outlineLevel="1" x14ac:dyDescent="0.25">
      <c r="A1010" s="74">
        <v>2779</v>
      </c>
      <c r="B1010" s="45" t="s">
        <v>664</v>
      </c>
      <c r="C1010" s="60" t="s">
        <v>673</v>
      </c>
      <c r="D1010" s="60"/>
      <c r="E1010" s="74">
        <v>2022</v>
      </c>
      <c r="F1010" s="74" t="s">
        <v>489</v>
      </c>
      <c r="G1010" s="61">
        <v>1</v>
      </c>
      <c r="H1010" s="45">
        <v>150</v>
      </c>
      <c r="I1010" s="74">
        <f>0.313286*(1000)</f>
        <v>313.286</v>
      </c>
    </row>
    <row r="1011" spans="1:9" s="71" customFormat="1" ht="16.5" hidden="1" customHeight="1" outlineLevel="1" x14ac:dyDescent="0.25">
      <c r="A1011" s="74">
        <v>2781</v>
      </c>
      <c r="B1011" s="45" t="s">
        <v>664</v>
      </c>
      <c r="C1011" s="60" t="s">
        <v>674</v>
      </c>
      <c r="D1011" s="60"/>
      <c r="E1011" s="74">
        <v>2022</v>
      </c>
      <c r="F1011" s="74" t="s">
        <v>489</v>
      </c>
      <c r="G1011" s="61">
        <v>1</v>
      </c>
      <c r="H1011" s="45">
        <v>50</v>
      </c>
      <c r="I1011" s="74">
        <f>0.090052*(1000)</f>
        <v>90.051999999999992</v>
      </c>
    </row>
    <row r="1012" spans="1:9" s="71" customFormat="1" ht="16.5" hidden="1" customHeight="1" outlineLevel="1" x14ac:dyDescent="0.25">
      <c r="A1012" s="74">
        <v>2784</v>
      </c>
      <c r="B1012" s="45" t="s">
        <v>664</v>
      </c>
      <c r="C1012" s="60" t="s">
        <v>538</v>
      </c>
      <c r="D1012" s="60"/>
      <c r="E1012" s="74">
        <v>2022</v>
      </c>
      <c r="F1012" s="74" t="s">
        <v>489</v>
      </c>
      <c r="G1012" s="61">
        <v>1</v>
      </c>
      <c r="H1012" s="45">
        <v>30</v>
      </c>
      <c r="I1012" s="74">
        <f>0.118668*(1000)</f>
        <v>118.66799999999999</v>
      </c>
    </row>
    <row r="1013" spans="1:9" s="71" customFormat="1" ht="48.75" hidden="1" customHeight="1" outlineLevel="1" x14ac:dyDescent="0.25">
      <c r="A1013" s="74">
        <v>2785</v>
      </c>
      <c r="B1013" s="45" t="s">
        <v>664</v>
      </c>
      <c r="C1013" s="60" t="s">
        <v>102</v>
      </c>
      <c r="D1013" s="60"/>
      <c r="E1013" s="74">
        <v>2022</v>
      </c>
      <c r="F1013" s="74" t="s">
        <v>489</v>
      </c>
      <c r="G1013" s="61">
        <v>1</v>
      </c>
      <c r="H1013" s="45">
        <v>150</v>
      </c>
      <c r="I1013" s="74">
        <f>0.135747*(1000)</f>
        <v>135.74700000000001</v>
      </c>
    </row>
    <row r="1014" spans="1:9" s="71" customFormat="1" ht="16.5" hidden="1" customHeight="1" outlineLevel="1" x14ac:dyDescent="0.25">
      <c r="A1014" s="74">
        <v>2795</v>
      </c>
      <c r="B1014" s="45" t="s">
        <v>664</v>
      </c>
      <c r="C1014" s="60" t="s">
        <v>675</v>
      </c>
      <c r="D1014" s="60"/>
      <c r="E1014" s="74">
        <v>2022</v>
      </c>
      <c r="F1014" s="74" t="s">
        <v>489</v>
      </c>
      <c r="G1014" s="61">
        <v>1</v>
      </c>
      <c r="H1014" s="45">
        <v>15</v>
      </c>
      <c r="I1014" s="74">
        <f>0.088036*(1000)</f>
        <v>88.036000000000001</v>
      </c>
    </row>
    <row r="1015" spans="1:9" s="71" customFormat="1" ht="16.5" hidden="1" customHeight="1" outlineLevel="1" x14ac:dyDescent="0.25">
      <c r="A1015" s="74">
        <v>2796</v>
      </c>
      <c r="B1015" s="45" t="s">
        <v>664</v>
      </c>
      <c r="C1015" s="60" t="s">
        <v>676</v>
      </c>
      <c r="D1015" s="60"/>
      <c r="E1015" s="74">
        <v>2022</v>
      </c>
      <c r="F1015" s="74" t="s">
        <v>489</v>
      </c>
      <c r="G1015" s="61">
        <v>1</v>
      </c>
      <c r="H1015" s="45">
        <v>100</v>
      </c>
      <c r="I1015" s="74">
        <f>0.074492*(1000)</f>
        <v>74.492000000000004</v>
      </c>
    </row>
    <row r="1016" spans="1:9" s="71" customFormat="1" ht="16.5" hidden="1" customHeight="1" outlineLevel="1" x14ac:dyDescent="0.25">
      <c r="A1016" s="74">
        <v>2802</v>
      </c>
      <c r="B1016" s="45" t="s">
        <v>664</v>
      </c>
      <c r="C1016" s="60" t="s">
        <v>103</v>
      </c>
      <c r="D1016" s="60"/>
      <c r="E1016" s="74">
        <v>2022</v>
      </c>
      <c r="F1016" s="74" t="s">
        <v>489</v>
      </c>
      <c r="G1016" s="61">
        <v>2</v>
      </c>
      <c r="H1016" s="45">
        <v>300</v>
      </c>
      <c r="I1016" s="74">
        <f>0.26984*(1000)</f>
        <v>269.84000000000003</v>
      </c>
    </row>
    <row r="1017" spans="1:9" s="71" customFormat="1" ht="16.5" hidden="1" customHeight="1" outlineLevel="1" x14ac:dyDescent="0.25">
      <c r="A1017" s="74">
        <v>2807</v>
      </c>
      <c r="B1017" s="45" t="s">
        <v>664</v>
      </c>
      <c r="C1017" s="60" t="s">
        <v>677</v>
      </c>
      <c r="D1017" s="60"/>
      <c r="E1017" s="74">
        <v>2022</v>
      </c>
      <c r="F1017" s="74" t="s">
        <v>489</v>
      </c>
      <c r="G1017" s="61">
        <v>1</v>
      </c>
      <c r="H1017" s="45">
        <v>100</v>
      </c>
      <c r="I1017" s="74">
        <f>0.109289*(1000)</f>
        <v>109.289</v>
      </c>
    </row>
    <row r="1018" spans="1:9" s="71" customFormat="1" ht="16.5" hidden="1" customHeight="1" outlineLevel="1" x14ac:dyDescent="0.25">
      <c r="A1018" s="74">
        <v>2814</v>
      </c>
      <c r="B1018" s="45" t="s">
        <v>664</v>
      </c>
      <c r="C1018" s="60" t="s">
        <v>678</v>
      </c>
      <c r="D1018" s="60"/>
      <c r="E1018" s="74">
        <v>2022</v>
      </c>
      <c r="F1018" s="74" t="s">
        <v>489</v>
      </c>
      <c r="G1018" s="61">
        <v>1</v>
      </c>
      <c r="H1018" s="45">
        <v>60</v>
      </c>
      <c r="I1018" s="74">
        <f>0.127208*(1000)</f>
        <v>127.20799999999998</v>
      </c>
    </row>
    <row r="1019" spans="1:9" s="71" customFormat="1" ht="16.5" hidden="1" customHeight="1" outlineLevel="1" x14ac:dyDescent="0.25">
      <c r="A1019" s="74">
        <v>2840</v>
      </c>
      <c r="B1019" s="45" t="s">
        <v>664</v>
      </c>
      <c r="C1019" s="60" t="s">
        <v>104</v>
      </c>
      <c r="D1019" s="60"/>
      <c r="E1019" s="74">
        <v>2022</v>
      </c>
      <c r="F1019" s="74" t="s">
        <v>489</v>
      </c>
      <c r="G1019" s="61">
        <v>1</v>
      </c>
      <c r="H1019" s="45">
        <v>150</v>
      </c>
      <c r="I1019" s="74">
        <f>0.082386*(1000)</f>
        <v>82.385999999999996</v>
      </c>
    </row>
    <row r="1020" spans="1:9" s="71" customFormat="1" ht="16.5" hidden="1" customHeight="1" outlineLevel="1" x14ac:dyDescent="0.25">
      <c r="A1020" s="74">
        <v>2843</v>
      </c>
      <c r="B1020" s="45" t="s">
        <v>664</v>
      </c>
      <c r="C1020" s="60" t="s">
        <v>679</v>
      </c>
      <c r="D1020" s="60"/>
      <c r="E1020" s="74">
        <v>2022</v>
      </c>
      <c r="F1020" s="74" t="s">
        <v>489</v>
      </c>
      <c r="G1020" s="61">
        <v>1</v>
      </c>
      <c r="H1020" s="45">
        <v>15</v>
      </c>
      <c r="I1020" s="74">
        <f>0.153549*(1000)</f>
        <v>153.54899999999998</v>
      </c>
    </row>
    <row r="1021" spans="1:9" s="71" customFormat="1" ht="16.5" hidden="1" customHeight="1" outlineLevel="1" x14ac:dyDescent="0.25">
      <c r="A1021" s="74">
        <v>2845</v>
      </c>
      <c r="B1021" s="45" t="s">
        <v>664</v>
      </c>
      <c r="C1021" s="60" t="s">
        <v>680</v>
      </c>
      <c r="D1021" s="60"/>
      <c r="E1021" s="74">
        <v>2022</v>
      </c>
      <c r="F1021" s="74" t="s">
        <v>489</v>
      </c>
      <c r="G1021" s="61">
        <v>1</v>
      </c>
      <c r="H1021" s="45">
        <v>15</v>
      </c>
      <c r="I1021" s="74">
        <f>0.110777*(1000)</f>
        <v>110.777</v>
      </c>
    </row>
    <row r="1022" spans="1:9" s="71" customFormat="1" ht="16.5" hidden="1" customHeight="1" outlineLevel="1" x14ac:dyDescent="0.25">
      <c r="A1022" s="74">
        <v>2863</v>
      </c>
      <c r="B1022" s="45" t="s">
        <v>664</v>
      </c>
      <c r="C1022" s="60" t="s">
        <v>539</v>
      </c>
      <c r="D1022" s="60"/>
      <c r="E1022" s="74">
        <v>2022</v>
      </c>
      <c r="F1022" s="74" t="s">
        <v>489</v>
      </c>
      <c r="G1022" s="61">
        <v>3</v>
      </c>
      <c r="H1022" s="45">
        <v>45</v>
      </c>
      <c r="I1022" s="74">
        <f>0.158553*(1000)</f>
        <v>158.553</v>
      </c>
    </row>
    <row r="1023" spans="1:9" s="71" customFormat="1" ht="16.5" hidden="1" customHeight="1" outlineLevel="1" x14ac:dyDescent="0.25">
      <c r="A1023" s="74">
        <v>2913</v>
      </c>
      <c r="B1023" s="45" t="s">
        <v>664</v>
      </c>
      <c r="C1023" s="60" t="s">
        <v>681</v>
      </c>
      <c r="D1023" s="60"/>
      <c r="E1023" s="74">
        <v>2022</v>
      </c>
      <c r="F1023" s="74" t="s">
        <v>489</v>
      </c>
      <c r="G1023" s="61">
        <v>1</v>
      </c>
      <c r="H1023" s="45">
        <v>15</v>
      </c>
      <c r="I1023" s="74">
        <f>0.081434*(1000)</f>
        <v>81.434000000000012</v>
      </c>
    </row>
    <row r="1024" spans="1:9" s="71" customFormat="1" ht="16.5" hidden="1" customHeight="1" outlineLevel="1" x14ac:dyDescent="0.25">
      <c r="A1024" s="74">
        <v>2993</v>
      </c>
      <c r="B1024" s="45" t="s">
        <v>664</v>
      </c>
      <c r="C1024" s="60" t="s">
        <v>106</v>
      </c>
      <c r="D1024" s="60"/>
      <c r="E1024" s="74">
        <v>2022</v>
      </c>
      <c r="F1024" s="74" t="s">
        <v>489</v>
      </c>
      <c r="G1024" s="61">
        <v>1</v>
      </c>
      <c r="H1024" s="45">
        <v>15</v>
      </c>
      <c r="I1024" s="74">
        <f>0.160031*(1000)</f>
        <v>160.03100000000001</v>
      </c>
    </row>
    <row r="1025" spans="1:9" s="71" customFormat="1" ht="16.5" hidden="1" customHeight="1" outlineLevel="1" x14ac:dyDescent="0.25">
      <c r="A1025" s="74">
        <v>2733</v>
      </c>
      <c r="B1025" s="45" t="s">
        <v>664</v>
      </c>
      <c r="C1025" s="60" t="s">
        <v>109</v>
      </c>
      <c r="D1025" s="60"/>
      <c r="E1025" s="74">
        <v>2022</v>
      </c>
      <c r="F1025" s="74" t="s">
        <v>489</v>
      </c>
      <c r="G1025" s="61">
        <v>1</v>
      </c>
      <c r="H1025" s="45">
        <v>150</v>
      </c>
      <c r="I1025" s="74">
        <f>0.05178*(1000)</f>
        <v>51.78</v>
      </c>
    </row>
    <row r="1026" spans="1:9" s="71" customFormat="1" ht="16.5" hidden="1" customHeight="1" outlineLevel="1" x14ac:dyDescent="0.25">
      <c r="A1026" s="74">
        <v>2768</v>
      </c>
      <c r="B1026" s="45" t="s">
        <v>664</v>
      </c>
      <c r="C1026" s="60" t="s">
        <v>110</v>
      </c>
      <c r="D1026" s="60"/>
      <c r="E1026" s="74">
        <v>2022</v>
      </c>
      <c r="F1026" s="74" t="s">
        <v>489</v>
      </c>
      <c r="G1026" s="61">
        <v>6</v>
      </c>
      <c r="H1026" s="45">
        <v>75</v>
      </c>
      <c r="I1026" s="74">
        <f>0.2577*(1000)</f>
        <v>257.7</v>
      </c>
    </row>
    <row r="1027" spans="1:9" s="71" customFormat="1" ht="16.5" hidden="1" customHeight="1" outlineLevel="1" x14ac:dyDescent="0.25">
      <c r="A1027" s="74">
        <v>2769</v>
      </c>
      <c r="B1027" s="45" t="s">
        <v>664</v>
      </c>
      <c r="C1027" s="60" t="s">
        <v>111</v>
      </c>
      <c r="D1027" s="60"/>
      <c r="E1027" s="74">
        <v>2022</v>
      </c>
      <c r="F1027" s="74" t="s">
        <v>489</v>
      </c>
      <c r="G1027" s="61">
        <v>4</v>
      </c>
      <c r="H1027" s="45">
        <v>60</v>
      </c>
      <c r="I1027" s="74">
        <f>0.160962*(1000)</f>
        <v>160.96199999999999</v>
      </c>
    </row>
    <row r="1028" spans="1:9" s="71" customFormat="1" ht="16.5" hidden="1" customHeight="1" outlineLevel="1" x14ac:dyDescent="0.25">
      <c r="A1028" s="74">
        <v>2804</v>
      </c>
      <c r="B1028" s="45" t="s">
        <v>664</v>
      </c>
      <c r="C1028" s="60" t="s">
        <v>650</v>
      </c>
      <c r="D1028" s="60"/>
      <c r="E1028" s="74">
        <v>2022</v>
      </c>
      <c r="F1028" s="74" t="s">
        <v>489</v>
      </c>
      <c r="G1028" s="61">
        <v>30</v>
      </c>
      <c r="H1028" s="45">
        <v>435</v>
      </c>
      <c r="I1028" s="74">
        <f>1.648379*(1000)</f>
        <v>1648.3790000000001</v>
      </c>
    </row>
    <row r="1029" spans="1:9" s="71" customFormat="1" ht="16.5" hidden="1" customHeight="1" outlineLevel="1" x14ac:dyDescent="0.25">
      <c r="A1029" s="74">
        <v>2811</v>
      </c>
      <c r="B1029" s="45" t="s">
        <v>664</v>
      </c>
      <c r="C1029" s="60" t="s">
        <v>112</v>
      </c>
      <c r="D1029" s="60"/>
      <c r="E1029" s="74">
        <v>2022</v>
      </c>
      <c r="F1029" s="74" t="s">
        <v>489</v>
      </c>
      <c r="G1029" s="61">
        <v>2</v>
      </c>
      <c r="H1029" s="45">
        <v>45</v>
      </c>
      <c r="I1029" s="74">
        <f>0.102569*(1000)</f>
        <v>102.56899999999999</v>
      </c>
    </row>
    <row r="1030" spans="1:9" s="71" customFormat="1" ht="16.5" hidden="1" customHeight="1" outlineLevel="1" x14ac:dyDescent="0.25">
      <c r="A1030" s="74">
        <v>2846</v>
      </c>
      <c r="B1030" s="45" t="s">
        <v>664</v>
      </c>
      <c r="C1030" s="60" t="s">
        <v>682</v>
      </c>
      <c r="D1030" s="60"/>
      <c r="E1030" s="74">
        <v>2022</v>
      </c>
      <c r="F1030" s="74" t="s">
        <v>489</v>
      </c>
      <c r="G1030" s="61">
        <v>1</v>
      </c>
      <c r="H1030" s="45">
        <v>15</v>
      </c>
      <c r="I1030" s="74">
        <f>0.096283*(1000)</f>
        <v>96.282999999999987</v>
      </c>
    </row>
    <row r="1031" spans="1:9" s="71" customFormat="1" ht="16.5" hidden="1" customHeight="1" outlineLevel="1" x14ac:dyDescent="0.25">
      <c r="A1031" s="74">
        <v>2851</v>
      </c>
      <c r="B1031" s="45" t="s">
        <v>664</v>
      </c>
      <c r="C1031" s="60" t="s">
        <v>683</v>
      </c>
      <c r="D1031" s="60"/>
      <c r="E1031" s="74">
        <v>2022</v>
      </c>
      <c r="F1031" s="74" t="s">
        <v>489</v>
      </c>
      <c r="G1031" s="61">
        <v>2</v>
      </c>
      <c r="H1031" s="45">
        <v>136.52000000000001</v>
      </c>
      <c r="I1031" s="74">
        <f>0.223265*(1000)</f>
        <v>223.26499999999999</v>
      </c>
    </row>
    <row r="1032" spans="1:9" s="71" customFormat="1" ht="16.5" hidden="1" customHeight="1" outlineLevel="1" x14ac:dyDescent="0.25">
      <c r="A1032" s="74">
        <v>2885</v>
      </c>
      <c r="B1032" s="45" t="s">
        <v>664</v>
      </c>
      <c r="C1032" s="60" t="s">
        <v>684</v>
      </c>
      <c r="D1032" s="60"/>
      <c r="E1032" s="74">
        <v>2022</v>
      </c>
      <c r="F1032" s="74" t="s">
        <v>489</v>
      </c>
      <c r="G1032" s="61">
        <v>1</v>
      </c>
      <c r="H1032" s="45">
        <v>19</v>
      </c>
      <c r="I1032" s="74">
        <f>0.127953*(1000)</f>
        <v>127.95300000000002</v>
      </c>
    </row>
    <row r="1033" spans="1:9" s="71" customFormat="1" ht="16.5" hidden="1" customHeight="1" outlineLevel="1" x14ac:dyDescent="0.25">
      <c r="A1033" s="74">
        <v>2911</v>
      </c>
      <c r="B1033" s="45" t="s">
        <v>664</v>
      </c>
      <c r="C1033" s="60" t="s">
        <v>685</v>
      </c>
      <c r="D1033" s="60"/>
      <c r="E1033" s="74">
        <v>2022</v>
      </c>
      <c r="F1033" s="74" t="s">
        <v>489</v>
      </c>
      <c r="G1033" s="61">
        <v>1</v>
      </c>
      <c r="H1033" s="45">
        <v>45</v>
      </c>
      <c r="I1033" s="74">
        <f>0.102375*(1000)</f>
        <v>102.375</v>
      </c>
    </row>
    <row r="1034" spans="1:9" s="71" customFormat="1" ht="16.5" hidden="1" customHeight="1" outlineLevel="1" x14ac:dyDescent="0.25">
      <c r="A1034" s="74">
        <v>2912</v>
      </c>
      <c r="B1034" s="45" t="s">
        <v>664</v>
      </c>
      <c r="C1034" s="60" t="s">
        <v>686</v>
      </c>
      <c r="D1034" s="60"/>
      <c r="E1034" s="74">
        <v>2022</v>
      </c>
      <c r="F1034" s="74" t="s">
        <v>489</v>
      </c>
      <c r="G1034" s="61">
        <v>1</v>
      </c>
      <c r="H1034" s="45">
        <v>15</v>
      </c>
      <c r="I1034" s="74">
        <f>0.127143*(1000)</f>
        <v>127.143</v>
      </c>
    </row>
    <row r="1035" spans="1:9" s="71" customFormat="1" ht="16.5" hidden="1" customHeight="1" outlineLevel="1" x14ac:dyDescent="0.25">
      <c r="A1035" s="74">
        <v>2914</v>
      </c>
      <c r="B1035" s="45" t="s">
        <v>664</v>
      </c>
      <c r="C1035" s="60" t="s">
        <v>687</v>
      </c>
      <c r="D1035" s="60"/>
      <c r="E1035" s="74">
        <v>2022</v>
      </c>
      <c r="F1035" s="74" t="s">
        <v>489</v>
      </c>
      <c r="G1035" s="61">
        <v>1</v>
      </c>
      <c r="H1035" s="45">
        <v>120</v>
      </c>
      <c r="I1035" s="74">
        <f>0.057584*(1000)</f>
        <v>57.584000000000003</v>
      </c>
    </row>
    <row r="1036" spans="1:9" s="71" customFormat="1" ht="16.5" hidden="1" customHeight="1" outlineLevel="1" x14ac:dyDescent="0.25">
      <c r="A1036" s="74">
        <v>2916</v>
      </c>
      <c r="B1036" s="45" t="s">
        <v>664</v>
      </c>
      <c r="C1036" s="60" t="s">
        <v>688</v>
      </c>
      <c r="D1036" s="60"/>
      <c r="E1036" s="74">
        <v>2022</v>
      </c>
      <c r="F1036" s="74" t="s">
        <v>489</v>
      </c>
      <c r="G1036" s="61">
        <v>1</v>
      </c>
      <c r="H1036" s="45">
        <v>100</v>
      </c>
      <c r="I1036" s="74">
        <f>0.065129*(1000)</f>
        <v>65.129000000000005</v>
      </c>
    </row>
    <row r="1037" spans="1:9" s="71" customFormat="1" ht="16.5" hidden="1" customHeight="1" outlineLevel="1" x14ac:dyDescent="0.25">
      <c r="A1037" s="74">
        <v>2858</v>
      </c>
      <c r="B1037" s="45" t="s">
        <v>664</v>
      </c>
      <c r="C1037" s="60" t="s">
        <v>689</v>
      </c>
      <c r="D1037" s="60"/>
      <c r="E1037" s="74">
        <v>2022</v>
      </c>
      <c r="F1037" s="74" t="s">
        <v>489</v>
      </c>
      <c r="G1037" s="61">
        <v>1</v>
      </c>
      <c r="H1037" s="45">
        <v>150</v>
      </c>
      <c r="I1037" s="74">
        <f>0.071908*(1000)</f>
        <v>71.908000000000001</v>
      </c>
    </row>
    <row r="1038" spans="1:9" s="71" customFormat="1" ht="16.5" hidden="1" customHeight="1" outlineLevel="1" x14ac:dyDescent="0.25">
      <c r="A1038" s="74">
        <v>2842</v>
      </c>
      <c r="B1038" s="45" t="s">
        <v>664</v>
      </c>
      <c r="C1038" s="60" t="s">
        <v>690</v>
      </c>
      <c r="D1038" s="60"/>
      <c r="E1038" s="74">
        <v>2022</v>
      </c>
      <c r="F1038" s="74" t="s">
        <v>489</v>
      </c>
      <c r="G1038" s="61">
        <v>1</v>
      </c>
      <c r="H1038" s="45">
        <v>30</v>
      </c>
      <c r="I1038" s="74">
        <f>0.04053*(1000)</f>
        <v>40.529999999999994</v>
      </c>
    </row>
    <row r="1039" spans="1:9" s="71" customFormat="1" ht="16.5" hidden="1" customHeight="1" outlineLevel="1" x14ac:dyDescent="0.25">
      <c r="A1039" s="74">
        <v>2919</v>
      </c>
      <c r="B1039" s="45" t="s">
        <v>664</v>
      </c>
      <c r="C1039" s="60" t="s">
        <v>113</v>
      </c>
      <c r="D1039" s="60"/>
      <c r="E1039" s="74">
        <v>2022</v>
      </c>
      <c r="F1039" s="74" t="s">
        <v>489</v>
      </c>
      <c r="G1039" s="61">
        <v>3</v>
      </c>
      <c r="H1039" s="45">
        <v>30</v>
      </c>
      <c r="I1039" s="74">
        <f>0.123748*(1000)</f>
        <v>123.74799999999999</v>
      </c>
    </row>
    <row r="1040" spans="1:9" s="71" customFormat="1" ht="16.5" hidden="1" customHeight="1" outlineLevel="1" x14ac:dyDescent="0.25">
      <c r="A1040" s="74">
        <v>2920</v>
      </c>
      <c r="B1040" s="45" t="s">
        <v>664</v>
      </c>
      <c r="C1040" s="60" t="s">
        <v>114</v>
      </c>
      <c r="D1040" s="60"/>
      <c r="E1040" s="74">
        <v>2022</v>
      </c>
      <c r="F1040" s="74" t="s">
        <v>489</v>
      </c>
      <c r="G1040" s="61">
        <v>1</v>
      </c>
      <c r="H1040" s="45">
        <v>15</v>
      </c>
      <c r="I1040" s="74">
        <f>0.071662*(1000)</f>
        <v>71.662000000000006</v>
      </c>
    </row>
    <row r="1041" spans="1:9" s="71" customFormat="1" ht="16.5" hidden="1" customHeight="1" outlineLevel="1" x14ac:dyDescent="0.25">
      <c r="A1041" s="74">
        <v>4112</v>
      </c>
      <c r="B1041" s="45" t="s">
        <v>664</v>
      </c>
      <c r="C1041" s="60" t="s">
        <v>540</v>
      </c>
      <c r="D1041" s="60"/>
      <c r="E1041" s="74">
        <v>2022</v>
      </c>
      <c r="F1041" s="74" t="s">
        <v>489</v>
      </c>
      <c r="G1041" s="61">
        <v>3</v>
      </c>
      <c r="H1041" s="45">
        <v>45</v>
      </c>
      <c r="I1041" s="74">
        <f>0.23130784*(1000)</f>
        <v>231.30784</v>
      </c>
    </row>
    <row r="1042" spans="1:9" s="71" customFormat="1" ht="16.5" hidden="1" customHeight="1" outlineLevel="1" x14ac:dyDescent="0.25">
      <c r="A1042" s="74">
        <v>4113</v>
      </c>
      <c r="B1042" s="45" t="s">
        <v>664</v>
      </c>
      <c r="C1042" s="60" t="s">
        <v>116</v>
      </c>
      <c r="D1042" s="60"/>
      <c r="E1042" s="74">
        <v>2022</v>
      </c>
      <c r="F1042" s="74" t="s">
        <v>489</v>
      </c>
      <c r="G1042" s="61">
        <v>2</v>
      </c>
      <c r="H1042" s="45">
        <v>138</v>
      </c>
      <c r="I1042" s="74">
        <f>0.32107059*(1000)</f>
        <v>321.07058999999998</v>
      </c>
    </row>
    <row r="1043" spans="1:9" s="71" customFormat="1" ht="16.5" hidden="1" customHeight="1" outlineLevel="1" x14ac:dyDescent="0.25">
      <c r="A1043" s="74">
        <v>4114</v>
      </c>
      <c r="B1043" s="45" t="s">
        <v>664</v>
      </c>
      <c r="C1043" s="60" t="s">
        <v>541</v>
      </c>
      <c r="D1043" s="60"/>
      <c r="E1043" s="74">
        <v>2022</v>
      </c>
      <c r="F1043" s="74" t="s">
        <v>489</v>
      </c>
      <c r="G1043" s="61">
        <v>1</v>
      </c>
      <c r="H1043" s="45">
        <v>15</v>
      </c>
      <c r="I1043" s="74">
        <f>0.15566718*(1000)</f>
        <v>155.66718</v>
      </c>
    </row>
    <row r="1044" spans="1:9" s="71" customFormat="1" ht="16.5" hidden="1" customHeight="1" outlineLevel="1" x14ac:dyDescent="0.25">
      <c r="A1044" s="74">
        <v>4117</v>
      </c>
      <c r="B1044" s="45" t="s">
        <v>664</v>
      </c>
      <c r="C1044" s="60" t="s">
        <v>117</v>
      </c>
      <c r="D1044" s="60"/>
      <c r="E1044" s="74">
        <v>2022</v>
      </c>
      <c r="F1044" s="74" t="s">
        <v>489</v>
      </c>
      <c r="G1044" s="61">
        <v>19</v>
      </c>
      <c r="H1044" s="45">
        <v>300</v>
      </c>
      <c r="I1044" s="74">
        <f>1.04717016*(1000)</f>
        <v>1047.1701600000001</v>
      </c>
    </row>
    <row r="1045" spans="1:9" s="71" customFormat="1" ht="16.5" hidden="1" customHeight="1" outlineLevel="1" x14ac:dyDescent="0.25">
      <c r="A1045" s="74">
        <v>4129</v>
      </c>
      <c r="B1045" s="45" t="s">
        <v>664</v>
      </c>
      <c r="C1045" s="60" t="s">
        <v>691</v>
      </c>
      <c r="D1045" s="60"/>
      <c r="E1045" s="74">
        <v>2022</v>
      </c>
      <c r="F1045" s="74" t="s">
        <v>489</v>
      </c>
      <c r="G1045" s="61">
        <v>1</v>
      </c>
      <c r="H1045" s="45">
        <v>50</v>
      </c>
      <c r="I1045" s="74">
        <f>0.01770396*(1000)</f>
        <v>17.703960000000002</v>
      </c>
    </row>
    <row r="1046" spans="1:9" s="71" customFormat="1" ht="16.5" hidden="1" customHeight="1" outlineLevel="1" x14ac:dyDescent="0.25">
      <c r="A1046" s="74">
        <v>4130</v>
      </c>
      <c r="B1046" s="45" t="s">
        <v>664</v>
      </c>
      <c r="C1046" s="60" t="s">
        <v>692</v>
      </c>
      <c r="D1046" s="60"/>
      <c r="E1046" s="74">
        <v>2022</v>
      </c>
      <c r="F1046" s="74" t="s">
        <v>489</v>
      </c>
      <c r="G1046" s="61">
        <v>1</v>
      </c>
      <c r="H1046" s="45">
        <v>10</v>
      </c>
      <c r="I1046" s="74">
        <f>0.01320125*(1000)</f>
        <v>13.20125</v>
      </c>
    </row>
    <row r="1047" spans="1:9" s="71" customFormat="1" ht="16.5" hidden="1" customHeight="1" outlineLevel="1" x14ac:dyDescent="0.25">
      <c r="A1047" s="74">
        <v>4131</v>
      </c>
      <c r="B1047" s="45" t="s">
        <v>664</v>
      </c>
      <c r="C1047" s="60" t="s">
        <v>693</v>
      </c>
      <c r="D1047" s="60"/>
      <c r="E1047" s="74">
        <v>2022</v>
      </c>
      <c r="F1047" s="74" t="s">
        <v>489</v>
      </c>
      <c r="G1047" s="61">
        <v>1</v>
      </c>
      <c r="H1047" s="45">
        <v>20</v>
      </c>
      <c r="I1047" s="74">
        <f>0.01224269*(1000)</f>
        <v>12.24269</v>
      </c>
    </row>
    <row r="1048" spans="1:9" s="71" customFormat="1" ht="16.5" hidden="1" customHeight="1" outlineLevel="1" x14ac:dyDescent="0.25">
      <c r="A1048" s="74">
        <v>4192</v>
      </c>
      <c r="B1048" s="45" t="s">
        <v>664</v>
      </c>
      <c r="C1048" s="60" t="s">
        <v>694</v>
      </c>
      <c r="D1048" s="60"/>
      <c r="E1048" s="74">
        <v>2022</v>
      </c>
      <c r="F1048" s="74" t="s">
        <v>489</v>
      </c>
      <c r="G1048" s="61">
        <v>1</v>
      </c>
      <c r="H1048" s="45">
        <v>15</v>
      </c>
      <c r="I1048" s="74">
        <f>0.01773565*(1000)</f>
        <v>17.73565</v>
      </c>
    </row>
    <row r="1049" spans="1:9" s="71" customFormat="1" ht="16.5" hidden="1" customHeight="1" outlineLevel="1" x14ac:dyDescent="0.25">
      <c r="A1049" s="74">
        <v>4193</v>
      </c>
      <c r="B1049" s="45" t="s">
        <v>664</v>
      </c>
      <c r="C1049" s="60" t="s">
        <v>695</v>
      </c>
      <c r="D1049" s="60"/>
      <c r="E1049" s="74">
        <v>2022</v>
      </c>
      <c r="F1049" s="74" t="s">
        <v>489</v>
      </c>
      <c r="G1049" s="61">
        <v>1</v>
      </c>
      <c r="H1049" s="45">
        <v>10</v>
      </c>
      <c r="I1049" s="74">
        <f>0.0121342*(1000)</f>
        <v>12.1342</v>
      </c>
    </row>
    <row r="1050" spans="1:9" s="71" customFormat="1" ht="16.5" hidden="1" customHeight="1" outlineLevel="1" x14ac:dyDescent="0.25">
      <c r="A1050" s="74">
        <v>4195</v>
      </c>
      <c r="B1050" s="45" t="s">
        <v>664</v>
      </c>
      <c r="C1050" s="60" t="s">
        <v>696</v>
      </c>
      <c r="D1050" s="60"/>
      <c r="E1050" s="74">
        <v>2022</v>
      </c>
      <c r="F1050" s="74" t="s">
        <v>489</v>
      </c>
      <c r="G1050" s="61">
        <v>1</v>
      </c>
      <c r="H1050" s="45">
        <v>15</v>
      </c>
      <c r="I1050" s="74">
        <f>0.01770396*(1000)</f>
        <v>17.703960000000002</v>
      </c>
    </row>
    <row r="1051" spans="1:9" s="71" customFormat="1" ht="16.5" hidden="1" customHeight="1" outlineLevel="1" x14ac:dyDescent="0.25">
      <c r="A1051" s="74">
        <v>4201</v>
      </c>
      <c r="B1051" s="45" t="s">
        <v>664</v>
      </c>
      <c r="C1051" s="60" t="s">
        <v>697</v>
      </c>
      <c r="D1051" s="60"/>
      <c r="E1051" s="74">
        <v>2022</v>
      </c>
      <c r="F1051" s="74" t="s">
        <v>489</v>
      </c>
      <c r="G1051" s="61">
        <v>1</v>
      </c>
      <c r="H1051" s="45">
        <v>15</v>
      </c>
      <c r="I1051" s="74">
        <f>0.0191935*(1000)</f>
        <v>19.1935</v>
      </c>
    </row>
    <row r="1052" spans="1:9" s="71" customFormat="1" ht="16.5" hidden="1" customHeight="1" outlineLevel="1" x14ac:dyDescent="0.25">
      <c r="A1052" s="74">
        <v>4202</v>
      </c>
      <c r="B1052" s="45" t="s">
        <v>664</v>
      </c>
      <c r="C1052" s="60" t="s">
        <v>698</v>
      </c>
      <c r="D1052" s="60"/>
      <c r="E1052" s="74">
        <v>2022</v>
      </c>
      <c r="F1052" s="74" t="s">
        <v>489</v>
      </c>
      <c r="G1052" s="61">
        <v>1</v>
      </c>
      <c r="H1052" s="45">
        <v>5.5</v>
      </c>
      <c r="I1052" s="74">
        <f>0.01353762*(1000)</f>
        <v>13.53762</v>
      </c>
    </row>
    <row r="1053" spans="1:9" s="71" customFormat="1" ht="16.5" hidden="1" customHeight="1" outlineLevel="1" x14ac:dyDescent="0.25">
      <c r="A1053" s="74">
        <v>4203</v>
      </c>
      <c r="B1053" s="45" t="s">
        <v>664</v>
      </c>
      <c r="C1053" s="60" t="s">
        <v>699</v>
      </c>
      <c r="D1053" s="60"/>
      <c r="E1053" s="74">
        <v>2022</v>
      </c>
      <c r="F1053" s="74" t="s">
        <v>489</v>
      </c>
      <c r="G1053" s="61">
        <v>1</v>
      </c>
      <c r="H1053" s="45">
        <v>2</v>
      </c>
      <c r="I1053" s="74">
        <f>0.01340315*(1000)</f>
        <v>13.40315</v>
      </c>
    </row>
    <row r="1054" spans="1:9" s="71" customFormat="1" ht="16.5" hidden="1" customHeight="1" outlineLevel="1" x14ac:dyDescent="0.25">
      <c r="A1054" s="74">
        <v>4204</v>
      </c>
      <c r="B1054" s="45" t="s">
        <v>664</v>
      </c>
      <c r="C1054" s="60" t="s">
        <v>700</v>
      </c>
      <c r="D1054" s="60"/>
      <c r="E1054" s="74">
        <v>2022</v>
      </c>
      <c r="F1054" s="74" t="s">
        <v>489</v>
      </c>
      <c r="G1054" s="61">
        <v>1</v>
      </c>
      <c r="H1054" s="45">
        <v>15</v>
      </c>
      <c r="I1054" s="74">
        <f>0.0187723*(1000)</f>
        <v>18.772299999999998</v>
      </c>
    </row>
    <row r="1055" spans="1:9" s="71" customFormat="1" ht="16.5" hidden="1" customHeight="1" outlineLevel="1" x14ac:dyDescent="0.25">
      <c r="A1055" s="74">
        <v>4205</v>
      </c>
      <c r="B1055" s="45" t="s">
        <v>664</v>
      </c>
      <c r="C1055" s="60" t="s">
        <v>701</v>
      </c>
      <c r="D1055" s="60"/>
      <c r="E1055" s="74">
        <v>2022</v>
      </c>
      <c r="F1055" s="74" t="s">
        <v>489</v>
      </c>
      <c r="G1055" s="61">
        <v>1</v>
      </c>
      <c r="H1055" s="45">
        <v>15</v>
      </c>
      <c r="I1055" s="74">
        <f>0.01885621*(1000)</f>
        <v>18.856210000000001</v>
      </c>
    </row>
    <row r="1056" spans="1:9" s="71" customFormat="1" ht="16.5" hidden="1" customHeight="1" outlineLevel="1" x14ac:dyDescent="0.25">
      <c r="A1056" s="74">
        <v>4208</v>
      </c>
      <c r="B1056" s="45" t="s">
        <v>664</v>
      </c>
      <c r="C1056" s="60" t="s">
        <v>702</v>
      </c>
      <c r="D1056" s="60"/>
      <c r="E1056" s="74">
        <v>2022</v>
      </c>
      <c r="F1056" s="74" t="s">
        <v>489</v>
      </c>
      <c r="G1056" s="61">
        <v>1</v>
      </c>
      <c r="H1056" s="45">
        <v>15</v>
      </c>
      <c r="I1056" s="74">
        <f>0.01790286*(1000)</f>
        <v>17.90286</v>
      </c>
    </row>
    <row r="1057" spans="1:9" s="71" customFormat="1" ht="16.5" hidden="1" customHeight="1" outlineLevel="1" x14ac:dyDescent="0.25">
      <c r="A1057" s="74">
        <v>4212</v>
      </c>
      <c r="B1057" s="45" t="s">
        <v>664</v>
      </c>
      <c r="C1057" s="60" t="s">
        <v>703</v>
      </c>
      <c r="D1057" s="60"/>
      <c r="E1057" s="74">
        <v>2022</v>
      </c>
      <c r="F1057" s="74" t="s">
        <v>489</v>
      </c>
      <c r="G1057" s="61">
        <v>1</v>
      </c>
      <c r="H1057" s="45">
        <v>13</v>
      </c>
      <c r="I1057" s="74">
        <f>0.01822423*(1000)</f>
        <v>18.224230000000002</v>
      </c>
    </row>
    <row r="1058" spans="1:9" s="71" customFormat="1" ht="16.5" hidden="1" customHeight="1" outlineLevel="1" x14ac:dyDescent="0.25">
      <c r="A1058" s="74">
        <v>4214</v>
      </c>
      <c r="B1058" s="45" t="s">
        <v>664</v>
      </c>
      <c r="C1058" s="60" t="s">
        <v>704</v>
      </c>
      <c r="D1058" s="60"/>
      <c r="E1058" s="74">
        <v>2022</v>
      </c>
      <c r="F1058" s="74" t="s">
        <v>489</v>
      </c>
      <c r="G1058" s="61">
        <v>1</v>
      </c>
      <c r="H1058" s="45">
        <v>100</v>
      </c>
      <c r="I1058" s="74">
        <f>0.01781245*(1000)</f>
        <v>17.812450000000002</v>
      </c>
    </row>
    <row r="1059" spans="1:9" s="71" customFormat="1" ht="16.5" hidden="1" customHeight="1" outlineLevel="1" x14ac:dyDescent="0.25">
      <c r="A1059" s="74">
        <v>4215</v>
      </c>
      <c r="B1059" s="45" t="s">
        <v>664</v>
      </c>
      <c r="C1059" s="60" t="s">
        <v>705</v>
      </c>
      <c r="D1059" s="60"/>
      <c r="E1059" s="74">
        <v>2022</v>
      </c>
      <c r="F1059" s="74" t="s">
        <v>489</v>
      </c>
      <c r="G1059" s="61">
        <v>1</v>
      </c>
      <c r="H1059" s="45">
        <v>15</v>
      </c>
      <c r="I1059" s="74">
        <f>0.01781244*(1000)</f>
        <v>17.812439999999999</v>
      </c>
    </row>
    <row r="1060" spans="1:9" s="71" customFormat="1" ht="16.5" hidden="1" customHeight="1" outlineLevel="1" x14ac:dyDescent="0.25">
      <c r="A1060" s="74">
        <v>4217</v>
      </c>
      <c r="B1060" s="45" t="s">
        <v>664</v>
      </c>
      <c r="C1060" s="60" t="s">
        <v>706</v>
      </c>
      <c r="D1060" s="60"/>
      <c r="E1060" s="74">
        <v>2022</v>
      </c>
      <c r="F1060" s="74" t="s">
        <v>489</v>
      </c>
      <c r="G1060" s="61">
        <v>1</v>
      </c>
      <c r="H1060" s="45">
        <v>15</v>
      </c>
      <c r="I1060" s="74">
        <f>0.01773565*(1000)</f>
        <v>17.73565</v>
      </c>
    </row>
    <row r="1061" spans="1:9" s="71" customFormat="1" ht="16.5" hidden="1" customHeight="1" outlineLevel="1" x14ac:dyDescent="0.25">
      <c r="A1061" s="74">
        <v>4218</v>
      </c>
      <c r="B1061" s="45" t="s">
        <v>664</v>
      </c>
      <c r="C1061" s="60" t="s">
        <v>707</v>
      </c>
      <c r="D1061" s="60"/>
      <c r="E1061" s="74">
        <v>2022</v>
      </c>
      <c r="F1061" s="74" t="s">
        <v>489</v>
      </c>
      <c r="G1061" s="61">
        <v>1</v>
      </c>
      <c r="H1061" s="45">
        <v>5</v>
      </c>
      <c r="I1061" s="74">
        <f>0.01774291*(1000)</f>
        <v>17.742910000000002</v>
      </c>
    </row>
    <row r="1062" spans="1:9" s="71" customFormat="1" ht="16.5" hidden="1" customHeight="1" outlineLevel="1" x14ac:dyDescent="0.25">
      <c r="A1062" s="74">
        <v>4220</v>
      </c>
      <c r="B1062" s="45" t="s">
        <v>664</v>
      </c>
      <c r="C1062" s="60" t="s">
        <v>708</v>
      </c>
      <c r="D1062" s="60"/>
      <c r="E1062" s="74">
        <v>2022</v>
      </c>
      <c r="F1062" s="74" t="s">
        <v>489</v>
      </c>
      <c r="G1062" s="61">
        <v>1</v>
      </c>
      <c r="H1062" s="45">
        <v>15</v>
      </c>
      <c r="I1062" s="74">
        <f>0.01770396*(1000)</f>
        <v>17.703960000000002</v>
      </c>
    </row>
    <row r="1063" spans="1:9" s="71" customFormat="1" ht="16.5" hidden="1" customHeight="1" outlineLevel="1" x14ac:dyDescent="0.25">
      <c r="A1063" s="74">
        <v>2780</v>
      </c>
      <c r="B1063" s="45" t="s">
        <v>664</v>
      </c>
      <c r="C1063" s="60" t="s">
        <v>709</v>
      </c>
      <c r="D1063" s="60"/>
      <c r="E1063" s="74">
        <v>2022</v>
      </c>
      <c r="F1063" s="74" t="s">
        <v>489</v>
      </c>
      <c r="G1063" s="61">
        <v>1</v>
      </c>
      <c r="H1063" s="45">
        <v>15</v>
      </c>
      <c r="I1063" s="74">
        <f>0.05373536*(1000)</f>
        <v>53.73536</v>
      </c>
    </row>
    <row r="1064" spans="1:9" s="71" customFormat="1" ht="16.5" hidden="1" customHeight="1" outlineLevel="1" x14ac:dyDescent="0.25">
      <c r="A1064" s="74">
        <v>2786</v>
      </c>
      <c r="B1064" s="45" t="s">
        <v>664</v>
      </c>
      <c r="C1064" s="60" t="s">
        <v>710</v>
      </c>
      <c r="D1064" s="60"/>
      <c r="E1064" s="74">
        <v>2022</v>
      </c>
      <c r="F1064" s="74" t="s">
        <v>489</v>
      </c>
      <c r="G1064" s="61">
        <v>1</v>
      </c>
      <c r="H1064" s="45">
        <v>60</v>
      </c>
      <c r="I1064" s="74">
        <f>0.17778806*(1000)</f>
        <v>177.78806</v>
      </c>
    </row>
    <row r="1065" spans="1:9" s="71" customFormat="1" ht="16.5" hidden="1" customHeight="1" outlineLevel="1" x14ac:dyDescent="0.25">
      <c r="A1065" s="74">
        <v>2803</v>
      </c>
      <c r="B1065" s="45" t="s">
        <v>664</v>
      </c>
      <c r="C1065" s="60" t="s">
        <v>711</v>
      </c>
      <c r="D1065" s="60"/>
      <c r="E1065" s="74">
        <v>2022</v>
      </c>
      <c r="F1065" s="74" t="s">
        <v>489</v>
      </c>
      <c r="G1065" s="61">
        <v>1</v>
      </c>
      <c r="H1065" s="45">
        <v>130</v>
      </c>
      <c r="I1065" s="74">
        <f>0.37423217*(1000)</f>
        <v>374.23217</v>
      </c>
    </row>
    <row r="1066" spans="1:9" s="71" customFormat="1" ht="16.5" hidden="1" customHeight="1" outlineLevel="1" x14ac:dyDescent="0.25">
      <c r="A1066" s="74">
        <v>2809</v>
      </c>
      <c r="B1066" s="45" t="s">
        <v>664</v>
      </c>
      <c r="C1066" s="60" t="s">
        <v>712</v>
      </c>
      <c r="D1066" s="60"/>
      <c r="E1066" s="74">
        <v>2022</v>
      </c>
      <c r="F1066" s="74" t="s">
        <v>489</v>
      </c>
      <c r="G1066" s="61">
        <v>1</v>
      </c>
      <c r="H1066" s="45">
        <v>45</v>
      </c>
      <c r="I1066" s="74">
        <f>0.07490668*(1000)</f>
        <v>74.906680000000009</v>
      </c>
    </row>
    <row r="1067" spans="1:9" s="71" customFormat="1" ht="16.5" hidden="1" customHeight="1" outlineLevel="1" x14ac:dyDescent="0.25">
      <c r="A1067" s="74">
        <v>2859</v>
      </c>
      <c r="B1067" s="45" t="s">
        <v>664</v>
      </c>
      <c r="C1067" s="60" t="s">
        <v>713</v>
      </c>
      <c r="D1067" s="60"/>
      <c r="E1067" s="74">
        <v>2022</v>
      </c>
      <c r="F1067" s="74" t="s">
        <v>489</v>
      </c>
      <c r="G1067" s="61">
        <v>1</v>
      </c>
      <c r="H1067" s="45">
        <v>100</v>
      </c>
      <c r="I1067" s="74">
        <f>0.066515*(1000)</f>
        <v>66.515000000000001</v>
      </c>
    </row>
    <row r="1068" spans="1:9" s="71" customFormat="1" ht="16.5" hidden="1" customHeight="1" outlineLevel="1" x14ac:dyDescent="0.25">
      <c r="A1068" s="74">
        <v>2861</v>
      </c>
      <c r="B1068" s="45" t="s">
        <v>664</v>
      </c>
      <c r="C1068" s="60" t="s">
        <v>714</v>
      </c>
      <c r="D1068" s="60"/>
      <c r="E1068" s="74">
        <v>2022</v>
      </c>
      <c r="F1068" s="74" t="s">
        <v>489</v>
      </c>
      <c r="G1068" s="61">
        <v>1</v>
      </c>
      <c r="H1068" s="45">
        <v>100</v>
      </c>
      <c r="I1068" s="74">
        <f>0.14129474*(1000)</f>
        <v>141.29473999999999</v>
      </c>
    </row>
    <row r="1069" spans="1:9" s="71" customFormat="1" ht="16.5" hidden="1" customHeight="1" outlineLevel="1" x14ac:dyDescent="0.25">
      <c r="A1069" s="74">
        <v>2862</v>
      </c>
      <c r="B1069" s="45" t="s">
        <v>664</v>
      </c>
      <c r="C1069" s="60" t="s">
        <v>542</v>
      </c>
      <c r="D1069" s="60"/>
      <c r="E1069" s="74">
        <v>2022</v>
      </c>
      <c r="F1069" s="74" t="s">
        <v>489</v>
      </c>
      <c r="G1069" s="61">
        <v>1</v>
      </c>
      <c r="H1069" s="45">
        <v>50</v>
      </c>
      <c r="I1069" s="74">
        <f>0.07628801*(1000)</f>
        <v>76.28801</v>
      </c>
    </row>
    <row r="1070" spans="1:9" s="71" customFormat="1" ht="16.5" hidden="1" customHeight="1" outlineLevel="1" x14ac:dyDescent="0.25">
      <c r="A1070" s="74">
        <v>2867</v>
      </c>
      <c r="B1070" s="45" t="s">
        <v>664</v>
      </c>
      <c r="C1070" s="60" t="s">
        <v>715</v>
      </c>
      <c r="D1070" s="60"/>
      <c r="E1070" s="74">
        <v>2022</v>
      </c>
      <c r="F1070" s="74" t="s">
        <v>489</v>
      </c>
      <c r="G1070" s="61">
        <v>1</v>
      </c>
      <c r="H1070" s="45">
        <v>100</v>
      </c>
      <c r="I1070" s="74">
        <f>0.11927671*(1000)</f>
        <v>119.27670999999999</v>
      </c>
    </row>
    <row r="1071" spans="1:9" s="71" customFormat="1" ht="16.5" hidden="1" customHeight="1" outlineLevel="1" x14ac:dyDescent="0.25">
      <c r="A1071" s="74">
        <v>2910</v>
      </c>
      <c r="B1071" s="45" t="s">
        <v>664</v>
      </c>
      <c r="C1071" s="60" t="s">
        <v>716</v>
      </c>
      <c r="D1071" s="60"/>
      <c r="E1071" s="74">
        <v>2022</v>
      </c>
      <c r="F1071" s="74" t="s">
        <v>489</v>
      </c>
      <c r="G1071" s="61">
        <v>1</v>
      </c>
      <c r="H1071" s="45">
        <v>100</v>
      </c>
      <c r="I1071" s="74">
        <f>0.07789337*(1000)</f>
        <v>77.893370000000004</v>
      </c>
    </row>
    <row r="1072" spans="1:9" s="71" customFormat="1" ht="16.5" hidden="1" customHeight="1" outlineLevel="1" x14ac:dyDescent="0.25">
      <c r="A1072" s="74">
        <v>2915</v>
      </c>
      <c r="B1072" s="45" t="s">
        <v>664</v>
      </c>
      <c r="C1072" s="60" t="s">
        <v>543</v>
      </c>
      <c r="D1072" s="60"/>
      <c r="E1072" s="74">
        <v>2022</v>
      </c>
      <c r="F1072" s="74" t="s">
        <v>489</v>
      </c>
      <c r="G1072" s="61">
        <v>1</v>
      </c>
      <c r="H1072" s="45">
        <v>80</v>
      </c>
      <c r="I1072" s="74">
        <f>0.13590346*(1000)</f>
        <v>135.90346</v>
      </c>
    </row>
    <row r="1073" spans="1:9" s="71" customFormat="1" ht="16.5" hidden="1" customHeight="1" outlineLevel="1" x14ac:dyDescent="0.25">
      <c r="A1073" s="74">
        <v>4119</v>
      </c>
      <c r="B1073" s="45" t="s">
        <v>664</v>
      </c>
      <c r="C1073" s="60" t="s">
        <v>717</v>
      </c>
      <c r="D1073" s="60"/>
      <c r="E1073" s="74">
        <v>2022</v>
      </c>
      <c r="F1073" s="74" t="s">
        <v>489</v>
      </c>
      <c r="G1073" s="61">
        <v>1</v>
      </c>
      <c r="H1073" s="45">
        <v>6</v>
      </c>
      <c r="I1073" s="74">
        <f>0.15627329*(1000)</f>
        <v>156.27329</v>
      </c>
    </row>
    <row r="1074" spans="1:9" s="71" customFormat="1" ht="16.5" hidden="1" customHeight="1" outlineLevel="1" x14ac:dyDescent="0.25">
      <c r="A1074" s="74">
        <v>4121</v>
      </c>
      <c r="B1074" s="45" t="s">
        <v>664</v>
      </c>
      <c r="C1074" s="60" t="s">
        <v>718</v>
      </c>
      <c r="D1074" s="60"/>
      <c r="E1074" s="74">
        <v>2022</v>
      </c>
      <c r="F1074" s="74" t="s">
        <v>489</v>
      </c>
      <c r="G1074" s="61">
        <v>1</v>
      </c>
      <c r="H1074" s="45">
        <v>30</v>
      </c>
      <c r="I1074" s="74">
        <f>0.13104344*(1000)</f>
        <v>131.04344</v>
      </c>
    </row>
    <row r="1075" spans="1:9" s="71" customFormat="1" ht="16.5" hidden="1" customHeight="1" outlineLevel="1" x14ac:dyDescent="0.25">
      <c r="A1075" s="74">
        <v>4122</v>
      </c>
      <c r="B1075" s="45" t="s">
        <v>664</v>
      </c>
      <c r="C1075" s="60" t="s">
        <v>719</v>
      </c>
      <c r="D1075" s="60"/>
      <c r="E1075" s="74">
        <v>2022</v>
      </c>
      <c r="F1075" s="74" t="s">
        <v>489</v>
      </c>
      <c r="G1075" s="61">
        <v>1</v>
      </c>
      <c r="H1075" s="45">
        <v>15</v>
      </c>
      <c r="I1075" s="74">
        <f>0.12309242*(1000)</f>
        <v>123.09241999999999</v>
      </c>
    </row>
    <row r="1076" spans="1:9" s="71" customFormat="1" ht="16.5" hidden="1" customHeight="1" outlineLevel="1" x14ac:dyDescent="0.25">
      <c r="A1076" s="74">
        <v>4123</v>
      </c>
      <c r="B1076" s="45" t="s">
        <v>664</v>
      </c>
      <c r="C1076" s="60" t="s">
        <v>720</v>
      </c>
      <c r="D1076" s="60"/>
      <c r="E1076" s="74">
        <v>2022</v>
      </c>
      <c r="F1076" s="74" t="s">
        <v>489</v>
      </c>
      <c r="G1076" s="61">
        <v>1</v>
      </c>
      <c r="H1076" s="45">
        <v>75</v>
      </c>
      <c r="I1076" s="74">
        <f>0.13083193*(1000)</f>
        <v>130.83193</v>
      </c>
    </row>
    <row r="1077" spans="1:9" s="71" customFormat="1" ht="16.5" hidden="1" customHeight="1" outlineLevel="1" x14ac:dyDescent="0.25">
      <c r="A1077" s="74">
        <v>4124</v>
      </c>
      <c r="B1077" s="45" t="s">
        <v>664</v>
      </c>
      <c r="C1077" s="60" t="s">
        <v>721</v>
      </c>
      <c r="D1077" s="60"/>
      <c r="E1077" s="74">
        <v>2022</v>
      </c>
      <c r="F1077" s="74" t="s">
        <v>489</v>
      </c>
      <c r="G1077" s="61">
        <v>1</v>
      </c>
      <c r="H1077" s="45">
        <v>108.67</v>
      </c>
      <c r="I1077" s="74">
        <f>0.2282809*(1000)</f>
        <v>228.2809</v>
      </c>
    </row>
    <row r="1078" spans="1:9" s="71" customFormat="1" ht="16.5" hidden="1" customHeight="1" outlineLevel="1" x14ac:dyDescent="0.25">
      <c r="A1078" s="74">
        <v>4128</v>
      </c>
      <c r="B1078" s="45" t="s">
        <v>664</v>
      </c>
      <c r="C1078" s="60" t="s">
        <v>722</v>
      </c>
      <c r="D1078" s="60"/>
      <c r="E1078" s="74">
        <v>2022</v>
      </c>
      <c r="F1078" s="74" t="s">
        <v>489</v>
      </c>
      <c r="G1078" s="61">
        <v>1</v>
      </c>
      <c r="H1078" s="45">
        <v>34</v>
      </c>
      <c r="I1078" s="74">
        <f>0.17286533*(1000)</f>
        <v>172.86533</v>
      </c>
    </row>
    <row r="1079" spans="1:9" s="71" customFormat="1" ht="16.5" hidden="1" customHeight="1" outlineLevel="1" x14ac:dyDescent="0.25">
      <c r="A1079" s="74">
        <v>2760</v>
      </c>
      <c r="B1079" s="45" t="s">
        <v>664</v>
      </c>
      <c r="C1079" s="60" t="s">
        <v>723</v>
      </c>
      <c r="D1079" s="60"/>
      <c r="E1079" s="74">
        <v>2022</v>
      </c>
      <c r="F1079" s="74" t="s">
        <v>489</v>
      </c>
      <c r="G1079" s="61">
        <v>1</v>
      </c>
      <c r="H1079" s="45">
        <v>15</v>
      </c>
      <c r="I1079" s="74">
        <f>0.06260733*(1000)</f>
        <v>62.607330000000005</v>
      </c>
    </row>
    <row r="1080" spans="1:9" s="71" customFormat="1" ht="16.5" hidden="1" customHeight="1" outlineLevel="1" x14ac:dyDescent="0.25">
      <c r="A1080" s="74">
        <v>2782</v>
      </c>
      <c r="B1080" s="45" t="s">
        <v>664</v>
      </c>
      <c r="C1080" s="60" t="s">
        <v>724</v>
      </c>
      <c r="D1080" s="60"/>
      <c r="E1080" s="74">
        <v>2022</v>
      </c>
      <c r="F1080" s="74" t="s">
        <v>489</v>
      </c>
      <c r="G1080" s="61">
        <v>1</v>
      </c>
      <c r="H1080" s="45">
        <v>65</v>
      </c>
      <c r="I1080" s="74">
        <f>0.07355375*(1000)</f>
        <v>73.553750000000008</v>
      </c>
    </row>
    <row r="1081" spans="1:9" s="71" customFormat="1" ht="16.5" hidden="1" customHeight="1" outlineLevel="1" x14ac:dyDescent="0.25">
      <c r="A1081" s="74">
        <v>2806</v>
      </c>
      <c r="B1081" s="45" t="s">
        <v>664</v>
      </c>
      <c r="C1081" s="60" t="s">
        <v>725</v>
      </c>
      <c r="D1081" s="60"/>
      <c r="E1081" s="74">
        <v>2022</v>
      </c>
      <c r="F1081" s="74" t="s">
        <v>489</v>
      </c>
      <c r="G1081" s="61">
        <v>1</v>
      </c>
      <c r="H1081" s="45">
        <v>7.5</v>
      </c>
      <c r="I1081" s="74">
        <f>0.06658069*(1000)</f>
        <v>66.580690000000004</v>
      </c>
    </row>
    <row r="1082" spans="1:9" s="71" customFormat="1" ht="16.5" hidden="1" customHeight="1" outlineLevel="1" x14ac:dyDescent="0.25">
      <c r="A1082" s="74">
        <v>2808</v>
      </c>
      <c r="B1082" s="45" t="s">
        <v>664</v>
      </c>
      <c r="C1082" s="60" t="s">
        <v>726</v>
      </c>
      <c r="D1082" s="60"/>
      <c r="E1082" s="74">
        <v>2022</v>
      </c>
      <c r="F1082" s="74" t="s">
        <v>489</v>
      </c>
      <c r="G1082" s="61">
        <v>1</v>
      </c>
      <c r="H1082" s="45">
        <v>15</v>
      </c>
      <c r="I1082" s="74">
        <f>0.06047029*(1000)</f>
        <v>60.470290000000006</v>
      </c>
    </row>
    <row r="1083" spans="1:9" s="71" customFormat="1" ht="16.5" hidden="1" customHeight="1" outlineLevel="1" x14ac:dyDescent="0.25">
      <c r="A1083" s="74">
        <v>2813</v>
      </c>
      <c r="B1083" s="45" t="s">
        <v>664</v>
      </c>
      <c r="C1083" s="60" t="s">
        <v>727</v>
      </c>
      <c r="D1083" s="60"/>
      <c r="E1083" s="74">
        <v>2022</v>
      </c>
      <c r="F1083" s="74" t="s">
        <v>489</v>
      </c>
      <c r="G1083" s="61">
        <v>1</v>
      </c>
      <c r="H1083" s="45">
        <v>150</v>
      </c>
      <c r="I1083" s="74">
        <f>0.48088007*(1000)</f>
        <v>480.88006999999999</v>
      </c>
    </row>
    <row r="1084" spans="1:9" s="71" customFormat="1" ht="16.5" hidden="1" customHeight="1" outlineLevel="1" x14ac:dyDescent="0.25">
      <c r="A1084" s="74">
        <v>2847</v>
      </c>
      <c r="B1084" s="45" t="s">
        <v>664</v>
      </c>
      <c r="C1084" s="60" t="s">
        <v>728</v>
      </c>
      <c r="D1084" s="60"/>
      <c r="E1084" s="74">
        <v>2022</v>
      </c>
      <c r="F1084" s="74" t="s">
        <v>489</v>
      </c>
      <c r="G1084" s="61">
        <v>2</v>
      </c>
      <c r="H1084" s="45">
        <v>25</v>
      </c>
      <c r="I1084" s="74">
        <f>0.11177326*(1000)</f>
        <v>111.77325999999999</v>
      </c>
    </row>
    <row r="1085" spans="1:9" s="71" customFormat="1" ht="16.5" hidden="1" customHeight="1" outlineLevel="1" x14ac:dyDescent="0.25">
      <c r="A1085" s="74">
        <v>2866</v>
      </c>
      <c r="B1085" s="45" t="s">
        <v>664</v>
      </c>
      <c r="C1085" s="60" t="s">
        <v>122</v>
      </c>
      <c r="D1085" s="60"/>
      <c r="E1085" s="74">
        <v>2022</v>
      </c>
      <c r="F1085" s="74" t="s">
        <v>489</v>
      </c>
      <c r="G1085" s="61">
        <v>1</v>
      </c>
      <c r="H1085" s="45">
        <v>15</v>
      </c>
      <c r="I1085" s="74">
        <f>0.06390799*(1000)</f>
        <v>63.907989999999998</v>
      </c>
    </row>
    <row r="1086" spans="1:9" s="71" customFormat="1" ht="16.5" hidden="1" customHeight="1" outlineLevel="1" x14ac:dyDescent="0.25">
      <c r="A1086" s="74">
        <v>2869</v>
      </c>
      <c r="B1086" s="45" t="s">
        <v>664</v>
      </c>
      <c r="C1086" s="60" t="s">
        <v>729</v>
      </c>
      <c r="D1086" s="60"/>
      <c r="E1086" s="74">
        <v>2022</v>
      </c>
      <c r="F1086" s="74" t="s">
        <v>489</v>
      </c>
      <c r="G1086" s="61">
        <v>1</v>
      </c>
      <c r="H1086" s="45">
        <v>30</v>
      </c>
      <c r="I1086" s="74">
        <f>0.06612518*(1000)</f>
        <v>66.12518</v>
      </c>
    </row>
    <row r="1087" spans="1:9" s="71" customFormat="1" ht="16.5" hidden="1" customHeight="1" outlineLevel="1" x14ac:dyDescent="0.25">
      <c r="A1087" s="74">
        <v>2870</v>
      </c>
      <c r="B1087" s="45" t="s">
        <v>664</v>
      </c>
      <c r="C1087" s="60" t="s">
        <v>730</v>
      </c>
      <c r="D1087" s="60"/>
      <c r="E1087" s="74">
        <v>2022</v>
      </c>
      <c r="F1087" s="74" t="s">
        <v>489</v>
      </c>
      <c r="G1087" s="61">
        <v>1</v>
      </c>
      <c r="H1087" s="45">
        <v>10</v>
      </c>
      <c r="I1087" s="74">
        <f>0.06375697*(1000)</f>
        <v>63.756969999999995</v>
      </c>
    </row>
    <row r="1088" spans="1:9" s="71" customFormat="1" ht="16.5" hidden="1" customHeight="1" outlineLevel="1" x14ac:dyDescent="0.25">
      <c r="A1088" s="74">
        <v>2880</v>
      </c>
      <c r="B1088" s="45" t="s">
        <v>664</v>
      </c>
      <c r="C1088" s="60" t="s">
        <v>731</v>
      </c>
      <c r="D1088" s="60"/>
      <c r="E1088" s="74">
        <v>2022</v>
      </c>
      <c r="F1088" s="74" t="s">
        <v>489</v>
      </c>
      <c r="G1088" s="61">
        <v>1</v>
      </c>
      <c r="H1088" s="45">
        <v>40</v>
      </c>
      <c r="I1088" s="74">
        <f>0.04022737*(1000)</f>
        <v>40.227370000000001</v>
      </c>
    </row>
    <row r="1089" spans="1:9" s="71" customFormat="1" ht="16.5" hidden="1" customHeight="1" outlineLevel="1" x14ac:dyDescent="0.25">
      <c r="A1089" s="74">
        <v>2882</v>
      </c>
      <c r="B1089" s="45" t="s">
        <v>664</v>
      </c>
      <c r="C1089" s="60" t="s">
        <v>732</v>
      </c>
      <c r="D1089" s="60"/>
      <c r="E1089" s="74">
        <v>2022</v>
      </c>
      <c r="F1089" s="74" t="s">
        <v>489</v>
      </c>
      <c r="G1089" s="61">
        <v>1</v>
      </c>
      <c r="H1089" s="45">
        <v>30</v>
      </c>
      <c r="I1089" s="74">
        <f>0.06609034*(1000)</f>
        <v>66.090339999999998</v>
      </c>
    </row>
    <row r="1090" spans="1:9" s="71" customFormat="1" ht="16.5" hidden="1" customHeight="1" outlineLevel="1" x14ac:dyDescent="0.25">
      <c r="A1090" s="74">
        <v>2894</v>
      </c>
      <c r="B1090" s="45" t="s">
        <v>664</v>
      </c>
      <c r="C1090" s="60" t="s">
        <v>733</v>
      </c>
      <c r="D1090" s="60"/>
      <c r="E1090" s="74">
        <v>2022</v>
      </c>
      <c r="F1090" s="74" t="s">
        <v>489</v>
      </c>
      <c r="G1090" s="61">
        <v>1</v>
      </c>
      <c r="H1090" s="45">
        <v>15</v>
      </c>
      <c r="I1090" s="74">
        <f>0.06341616*(1000)</f>
        <v>63.416159999999998</v>
      </c>
    </row>
    <row r="1091" spans="1:9" s="71" customFormat="1" ht="16.5" hidden="1" customHeight="1" outlineLevel="1" x14ac:dyDescent="0.25">
      <c r="A1091" s="74">
        <v>2895</v>
      </c>
      <c r="B1091" s="45" t="s">
        <v>664</v>
      </c>
      <c r="C1091" s="60" t="s">
        <v>734</v>
      </c>
      <c r="D1091" s="60"/>
      <c r="E1091" s="74">
        <v>2022</v>
      </c>
      <c r="F1091" s="74" t="s">
        <v>489</v>
      </c>
      <c r="G1091" s="61">
        <v>1</v>
      </c>
      <c r="H1091" s="45">
        <v>15</v>
      </c>
      <c r="I1091" s="74">
        <f>0.06528063*(1000)</f>
        <v>65.280630000000002</v>
      </c>
    </row>
    <row r="1092" spans="1:9" s="71" customFormat="1" ht="16.5" hidden="1" customHeight="1" outlineLevel="1" x14ac:dyDescent="0.25">
      <c r="A1092" s="74">
        <v>2908</v>
      </c>
      <c r="B1092" s="45" t="s">
        <v>664</v>
      </c>
      <c r="C1092" s="60" t="s">
        <v>735</v>
      </c>
      <c r="D1092" s="60"/>
      <c r="E1092" s="74">
        <v>2022</v>
      </c>
      <c r="F1092" s="74" t="s">
        <v>489</v>
      </c>
      <c r="G1092" s="61">
        <v>1</v>
      </c>
      <c r="H1092" s="45">
        <v>15</v>
      </c>
      <c r="I1092" s="74">
        <f>0.07515931*(1000)</f>
        <v>75.159309999999991</v>
      </c>
    </row>
    <row r="1093" spans="1:9" s="71" customFormat="1" ht="16.5" hidden="1" customHeight="1" outlineLevel="1" x14ac:dyDescent="0.25">
      <c r="A1093" s="74">
        <v>2909</v>
      </c>
      <c r="B1093" s="45" t="s">
        <v>664</v>
      </c>
      <c r="C1093" s="60" t="s">
        <v>736</v>
      </c>
      <c r="D1093" s="60"/>
      <c r="E1093" s="74">
        <v>2022</v>
      </c>
      <c r="F1093" s="74" t="s">
        <v>489</v>
      </c>
      <c r="G1093" s="61">
        <v>1</v>
      </c>
      <c r="H1093" s="45">
        <v>15</v>
      </c>
      <c r="I1093" s="74">
        <f>0.07543737*(1000)</f>
        <v>75.437370000000001</v>
      </c>
    </row>
    <row r="1094" spans="1:9" s="71" customFormat="1" ht="16.5" hidden="1" customHeight="1" outlineLevel="1" x14ac:dyDescent="0.25">
      <c r="A1094" s="74">
        <v>2986</v>
      </c>
      <c r="B1094" s="45" t="s">
        <v>664</v>
      </c>
      <c r="C1094" s="60" t="s">
        <v>737</v>
      </c>
      <c r="D1094" s="60"/>
      <c r="E1094" s="74">
        <v>2022</v>
      </c>
      <c r="F1094" s="74" t="s">
        <v>489</v>
      </c>
      <c r="G1094" s="61">
        <v>1</v>
      </c>
      <c r="H1094" s="45">
        <v>15</v>
      </c>
      <c r="I1094" s="74">
        <f>0.06333302*(1000)</f>
        <v>63.333020000000005</v>
      </c>
    </row>
    <row r="1095" spans="1:9" s="71" customFormat="1" ht="16.5" hidden="1" customHeight="1" outlineLevel="1" x14ac:dyDescent="0.25">
      <c r="A1095" s="74">
        <v>2989</v>
      </c>
      <c r="B1095" s="45" t="s">
        <v>664</v>
      </c>
      <c r="C1095" s="60" t="s">
        <v>738</v>
      </c>
      <c r="D1095" s="60"/>
      <c r="E1095" s="74">
        <v>2022</v>
      </c>
      <c r="F1095" s="74" t="s">
        <v>489</v>
      </c>
      <c r="G1095" s="61">
        <v>1</v>
      </c>
      <c r="H1095" s="45">
        <v>15</v>
      </c>
      <c r="I1095" s="74">
        <f>0.06227643*(1000)</f>
        <v>62.276429999999998</v>
      </c>
    </row>
    <row r="1096" spans="1:9" s="71" customFormat="1" ht="16.5" hidden="1" customHeight="1" outlineLevel="1" x14ac:dyDescent="0.25">
      <c r="A1096" s="74">
        <v>2994</v>
      </c>
      <c r="B1096" s="45" t="s">
        <v>664</v>
      </c>
      <c r="C1096" s="60" t="s">
        <v>739</v>
      </c>
      <c r="D1096" s="60"/>
      <c r="E1096" s="74">
        <v>2022</v>
      </c>
      <c r="F1096" s="74" t="s">
        <v>489</v>
      </c>
      <c r="G1096" s="61">
        <v>1</v>
      </c>
      <c r="H1096" s="45">
        <v>15</v>
      </c>
      <c r="I1096" s="74">
        <f>0.0632429*(1000)</f>
        <v>63.242900000000006</v>
      </c>
    </row>
    <row r="1097" spans="1:9" s="71" customFormat="1" ht="16.5" hidden="1" customHeight="1" outlineLevel="1" x14ac:dyDescent="0.25">
      <c r="A1097" s="74">
        <v>2995</v>
      </c>
      <c r="B1097" s="45" t="s">
        <v>664</v>
      </c>
      <c r="C1097" s="60" t="s">
        <v>740</v>
      </c>
      <c r="D1097" s="60"/>
      <c r="E1097" s="74">
        <v>2022</v>
      </c>
      <c r="F1097" s="74" t="s">
        <v>489</v>
      </c>
      <c r="G1097" s="61">
        <v>1</v>
      </c>
      <c r="H1097" s="45">
        <v>15</v>
      </c>
      <c r="I1097" s="74">
        <f>0.06363889*(1000)</f>
        <v>63.638890000000004</v>
      </c>
    </row>
    <row r="1098" spans="1:9" s="71" customFormat="1" ht="16.5" hidden="1" customHeight="1" outlineLevel="1" x14ac:dyDescent="0.25">
      <c r="A1098" s="74">
        <v>2998</v>
      </c>
      <c r="B1098" s="45" t="s">
        <v>664</v>
      </c>
      <c r="C1098" s="60" t="s">
        <v>741</v>
      </c>
      <c r="D1098" s="60"/>
      <c r="E1098" s="74">
        <v>2022</v>
      </c>
      <c r="F1098" s="74" t="s">
        <v>489</v>
      </c>
      <c r="G1098" s="61">
        <v>1</v>
      </c>
      <c r="H1098" s="45">
        <v>15</v>
      </c>
      <c r="I1098" s="74">
        <f>0.06160184*(1000)</f>
        <v>61.601839999999996</v>
      </c>
    </row>
    <row r="1099" spans="1:9" s="71" customFormat="1" ht="16.5" hidden="1" customHeight="1" outlineLevel="1" x14ac:dyDescent="0.25">
      <c r="A1099" s="74">
        <v>3007</v>
      </c>
      <c r="B1099" s="45" t="s">
        <v>664</v>
      </c>
      <c r="C1099" s="60" t="s">
        <v>742</v>
      </c>
      <c r="D1099" s="60"/>
      <c r="E1099" s="74">
        <v>2022</v>
      </c>
      <c r="F1099" s="74" t="s">
        <v>489</v>
      </c>
      <c r="G1099" s="61">
        <v>1</v>
      </c>
      <c r="H1099" s="45">
        <v>15</v>
      </c>
      <c r="I1099" s="74">
        <f>0.06033055*(1000)</f>
        <v>60.330549999999995</v>
      </c>
    </row>
    <row r="1100" spans="1:9" s="71" customFormat="1" ht="16.5" hidden="1" customHeight="1" outlineLevel="1" x14ac:dyDescent="0.25">
      <c r="A1100" s="74">
        <v>3008</v>
      </c>
      <c r="B1100" s="45" t="s">
        <v>664</v>
      </c>
      <c r="C1100" s="60" t="s">
        <v>743</v>
      </c>
      <c r="D1100" s="60"/>
      <c r="E1100" s="74">
        <v>2022</v>
      </c>
      <c r="F1100" s="74" t="s">
        <v>489</v>
      </c>
      <c r="G1100" s="61">
        <v>1</v>
      </c>
      <c r="H1100" s="45">
        <v>15</v>
      </c>
      <c r="I1100" s="74">
        <f>0.06160242*(1000)</f>
        <v>61.602419999999995</v>
      </c>
    </row>
    <row r="1101" spans="1:9" s="71" customFormat="1" ht="16.5" hidden="1" customHeight="1" outlineLevel="1" x14ac:dyDescent="0.25">
      <c r="A1101" s="74">
        <v>3012</v>
      </c>
      <c r="B1101" s="45" t="s">
        <v>664</v>
      </c>
      <c r="C1101" s="60" t="s">
        <v>744</v>
      </c>
      <c r="D1101" s="60"/>
      <c r="E1101" s="74">
        <v>2022</v>
      </c>
      <c r="F1101" s="74" t="s">
        <v>489</v>
      </c>
      <c r="G1101" s="61">
        <v>1</v>
      </c>
      <c r="H1101" s="45">
        <v>55</v>
      </c>
      <c r="I1101" s="74">
        <f>0.06113566*(1000)</f>
        <v>61.135660000000001</v>
      </c>
    </row>
    <row r="1102" spans="1:9" s="71" customFormat="1" ht="16.5" hidden="1" customHeight="1" outlineLevel="1" x14ac:dyDescent="0.25">
      <c r="A1102" s="74">
        <v>3013</v>
      </c>
      <c r="B1102" s="45" t="s">
        <v>664</v>
      </c>
      <c r="C1102" s="60" t="s">
        <v>745</v>
      </c>
      <c r="D1102" s="60"/>
      <c r="E1102" s="74">
        <v>2022</v>
      </c>
      <c r="F1102" s="74" t="s">
        <v>489</v>
      </c>
      <c r="G1102" s="61">
        <v>1</v>
      </c>
      <c r="H1102" s="45">
        <v>8</v>
      </c>
      <c r="I1102" s="74">
        <f>0.06227676*(1000)</f>
        <v>62.276760000000003</v>
      </c>
    </row>
    <row r="1103" spans="1:9" s="71" customFormat="1" ht="16.5" hidden="1" customHeight="1" outlineLevel="1" x14ac:dyDescent="0.25">
      <c r="A1103" s="74">
        <v>3014</v>
      </c>
      <c r="B1103" s="45" t="s">
        <v>664</v>
      </c>
      <c r="C1103" s="60" t="s">
        <v>746</v>
      </c>
      <c r="D1103" s="60"/>
      <c r="E1103" s="74">
        <v>2022</v>
      </c>
      <c r="F1103" s="74" t="s">
        <v>489</v>
      </c>
      <c r="G1103" s="61">
        <v>1</v>
      </c>
      <c r="H1103" s="45">
        <v>15</v>
      </c>
      <c r="I1103" s="74">
        <f>0.06082195*(1000)</f>
        <v>60.821950000000001</v>
      </c>
    </row>
    <row r="1104" spans="1:9" s="71" customFormat="1" ht="16.5" hidden="1" customHeight="1" outlineLevel="1" x14ac:dyDescent="0.25">
      <c r="A1104" s="74">
        <v>4115</v>
      </c>
      <c r="B1104" s="45" t="s">
        <v>664</v>
      </c>
      <c r="C1104" s="60" t="s">
        <v>747</v>
      </c>
      <c r="D1104" s="60"/>
      <c r="E1104" s="74">
        <v>2022</v>
      </c>
      <c r="F1104" s="74" t="s">
        <v>489</v>
      </c>
      <c r="G1104" s="61">
        <v>1</v>
      </c>
      <c r="H1104" s="45">
        <v>15</v>
      </c>
      <c r="I1104" s="74">
        <f>0.062948*(1000)</f>
        <v>62.948000000000008</v>
      </c>
    </row>
    <row r="1105" spans="1:9" s="71" customFormat="1" ht="16.5" hidden="1" customHeight="1" outlineLevel="1" x14ac:dyDescent="0.25">
      <c r="A1105" s="74">
        <v>4116</v>
      </c>
      <c r="B1105" s="45" t="s">
        <v>664</v>
      </c>
      <c r="C1105" s="60" t="s">
        <v>748</v>
      </c>
      <c r="D1105" s="60"/>
      <c r="E1105" s="74">
        <v>2022</v>
      </c>
      <c r="F1105" s="74" t="s">
        <v>489</v>
      </c>
      <c r="G1105" s="61">
        <v>1</v>
      </c>
      <c r="H1105" s="45">
        <v>50</v>
      </c>
      <c r="I1105" s="74">
        <f>0.09449788*(1000)</f>
        <v>94.497880000000009</v>
      </c>
    </row>
    <row r="1106" spans="1:9" s="71" customFormat="1" ht="16.5" hidden="1" customHeight="1" outlineLevel="1" x14ac:dyDescent="0.25">
      <c r="A1106" s="74">
        <v>4222</v>
      </c>
      <c r="B1106" s="45" t="s">
        <v>664</v>
      </c>
      <c r="C1106" s="60" t="s">
        <v>749</v>
      </c>
      <c r="D1106" s="60"/>
      <c r="E1106" s="74">
        <v>2022</v>
      </c>
      <c r="F1106" s="74" t="s">
        <v>489</v>
      </c>
      <c r="G1106" s="61">
        <v>1</v>
      </c>
      <c r="H1106" s="45">
        <v>15</v>
      </c>
      <c r="I1106" s="74">
        <f>0.05473398*(1000)</f>
        <v>54.733980000000003</v>
      </c>
    </row>
    <row r="1107" spans="1:9" s="71" customFormat="1" ht="16.5" hidden="1" customHeight="1" outlineLevel="1" x14ac:dyDescent="0.25">
      <c r="A1107" s="74">
        <v>4226</v>
      </c>
      <c r="B1107" s="45" t="s">
        <v>664</v>
      </c>
      <c r="C1107" s="60" t="s">
        <v>750</v>
      </c>
      <c r="D1107" s="60"/>
      <c r="E1107" s="74">
        <v>2022</v>
      </c>
      <c r="F1107" s="74" t="s">
        <v>489</v>
      </c>
      <c r="G1107" s="61">
        <v>1</v>
      </c>
      <c r="H1107" s="45">
        <v>12</v>
      </c>
      <c r="I1107" s="74">
        <f>0.19102077*(1000)</f>
        <v>191.02077</v>
      </c>
    </row>
    <row r="1108" spans="1:9" s="71" customFormat="1" ht="16.5" hidden="1" customHeight="1" outlineLevel="1" x14ac:dyDescent="0.25">
      <c r="A1108" s="74">
        <v>4227</v>
      </c>
      <c r="B1108" s="45" t="s">
        <v>664</v>
      </c>
      <c r="C1108" s="60" t="s">
        <v>751</v>
      </c>
      <c r="D1108" s="60"/>
      <c r="E1108" s="74">
        <v>2022</v>
      </c>
      <c r="F1108" s="74" t="s">
        <v>489</v>
      </c>
      <c r="G1108" s="61">
        <v>1</v>
      </c>
      <c r="H1108" s="45">
        <v>4.5</v>
      </c>
      <c r="I1108" s="74">
        <f>0.20340742*(1000)</f>
        <v>203.40742</v>
      </c>
    </row>
    <row r="1109" spans="1:9" s="71" customFormat="1" ht="16.5" hidden="1" customHeight="1" outlineLevel="1" x14ac:dyDescent="0.25">
      <c r="A1109" s="74">
        <v>4229</v>
      </c>
      <c r="B1109" s="45" t="s">
        <v>664</v>
      </c>
      <c r="C1109" s="60" t="s">
        <v>752</v>
      </c>
      <c r="D1109" s="60"/>
      <c r="E1109" s="74">
        <v>2022</v>
      </c>
      <c r="F1109" s="74" t="s">
        <v>489</v>
      </c>
      <c r="G1109" s="61">
        <v>3</v>
      </c>
      <c r="H1109" s="45">
        <v>25</v>
      </c>
      <c r="I1109" s="74">
        <f>0.23497886*(1000)</f>
        <v>234.97886</v>
      </c>
    </row>
    <row r="1110" spans="1:9" s="71" customFormat="1" ht="16.5" hidden="1" customHeight="1" outlineLevel="1" x14ac:dyDescent="0.25">
      <c r="A1110" s="74">
        <v>4231</v>
      </c>
      <c r="B1110" s="45" t="s">
        <v>664</v>
      </c>
      <c r="C1110" s="60" t="s">
        <v>753</v>
      </c>
      <c r="D1110" s="60"/>
      <c r="E1110" s="74">
        <v>2022</v>
      </c>
      <c r="F1110" s="74" t="s">
        <v>489</v>
      </c>
      <c r="G1110" s="61">
        <v>1</v>
      </c>
      <c r="H1110" s="45">
        <v>14.5</v>
      </c>
      <c r="I1110" s="74">
        <f>0.0367859*(1000)</f>
        <v>36.785900000000005</v>
      </c>
    </row>
    <row r="1111" spans="1:9" s="71" customFormat="1" ht="16.5" hidden="1" customHeight="1" outlineLevel="1" x14ac:dyDescent="0.25">
      <c r="A1111" s="74">
        <v>4232</v>
      </c>
      <c r="B1111" s="45" t="s">
        <v>664</v>
      </c>
      <c r="C1111" s="60" t="s">
        <v>754</v>
      </c>
      <c r="D1111" s="60"/>
      <c r="E1111" s="74">
        <v>2022</v>
      </c>
      <c r="F1111" s="74" t="s">
        <v>489</v>
      </c>
      <c r="G1111" s="61">
        <v>1</v>
      </c>
      <c r="H1111" s="45">
        <v>15</v>
      </c>
      <c r="I1111" s="74">
        <f>0.03678591*(1000)</f>
        <v>36.785910000000001</v>
      </c>
    </row>
    <row r="1112" spans="1:9" s="71" customFormat="1" ht="16.5" hidden="1" customHeight="1" outlineLevel="1" x14ac:dyDescent="0.25">
      <c r="A1112" s="74">
        <v>4233</v>
      </c>
      <c r="B1112" s="45" t="s">
        <v>664</v>
      </c>
      <c r="C1112" s="60" t="s">
        <v>755</v>
      </c>
      <c r="D1112" s="60"/>
      <c r="E1112" s="74">
        <v>2022</v>
      </c>
      <c r="F1112" s="74" t="s">
        <v>489</v>
      </c>
      <c r="G1112" s="61">
        <v>1</v>
      </c>
      <c r="H1112" s="45">
        <v>15</v>
      </c>
      <c r="I1112" s="74">
        <f>0.0367859*(1000)</f>
        <v>36.785900000000005</v>
      </c>
    </row>
    <row r="1113" spans="1:9" s="71" customFormat="1" ht="16.5" hidden="1" customHeight="1" outlineLevel="1" x14ac:dyDescent="0.25">
      <c r="A1113" s="74">
        <v>4234</v>
      </c>
      <c r="B1113" s="45" t="s">
        <v>664</v>
      </c>
      <c r="C1113" s="60" t="s">
        <v>756</v>
      </c>
      <c r="D1113" s="60"/>
      <c r="E1113" s="74">
        <v>2022</v>
      </c>
      <c r="F1113" s="74" t="s">
        <v>489</v>
      </c>
      <c r="G1113" s="61">
        <v>1</v>
      </c>
      <c r="H1113" s="45">
        <v>15</v>
      </c>
      <c r="I1113" s="74">
        <f>0.0360953*(1000)</f>
        <v>36.095299999999995</v>
      </c>
    </row>
    <row r="1114" spans="1:9" s="71" customFormat="1" ht="16.5" hidden="1" customHeight="1" outlineLevel="1" x14ac:dyDescent="0.25">
      <c r="A1114" s="74">
        <v>4235</v>
      </c>
      <c r="B1114" s="45" t="s">
        <v>664</v>
      </c>
      <c r="C1114" s="60" t="s">
        <v>757</v>
      </c>
      <c r="D1114" s="60"/>
      <c r="E1114" s="74">
        <v>2022</v>
      </c>
      <c r="F1114" s="74" t="s">
        <v>489</v>
      </c>
      <c r="G1114" s="61">
        <v>1</v>
      </c>
      <c r="H1114" s="45">
        <v>14.5</v>
      </c>
      <c r="I1114" s="74">
        <f>0.03607664*(1000)</f>
        <v>36.076639999999998</v>
      </c>
    </row>
    <row r="1115" spans="1:9" s="71" customFormat="1" ht="16.5" hidden="1" customHeight="1" outlineLevel="1" x14ac:dyDescent="0.25">
      <c r="A1115" s="74">
        <v>4236</v>
      </c>
      <c r="B1115" s="45" t="s">
        <v>664</v>
      </c>
      <c r="C1115" s="60" t="s">
        <v>758</v>
      </c>
      <c r="D1115" s="60"/>
      <c r="E1115" s="74">
        <v>2022</v>
      </c>
      <c r="F1115" s="74" t="s">
        <v>489</v>
      </c>
      <c r="G1115" s="61">
        <v>1</v>
      </c>
      <c r="H1115" s="45">
        <v>14.5</v>
      </c>
      <c r="I1115" s="74">
        <f>0.03607665*(1000)</f>
        <v>36.076650000000001</v>
      </c>
    </row>
    <row r="1116" spans="1:9" s="71" customFormat="1" ht="16.5" hidden="1" customHeight="1" outlineLevel="1" x14ac:dyDescent="0.25">
      <c r="A1116" s="74">
        <v>4239</v>
      </c>
      <c r="B1116" s="45" t="s">
        <v>664</v>
      </c>
      <c r="C1116" s="60" t="s">
        <v>759</v>
      </c>
      <c r="D1116" s="60"/>
      <c r="E1116" s="74">
        <v>2022</v>
      </c>
      <c r="F1116" s="74" t="s">
        <v>489</v>
      </c>
      <c r="G1116" s="61">
        <v>1</v>
      </c>
      <c r="H1116" s="45">
        <v>15</v>
      </c>
      <c r="I1116" s="74">
        <f>0.03607664*(1000)</f>
        <v>36.076639999999998</v>
      </c>
    </row>
    <row r="1117" spans="1:9" s="71" customFormat="1" ht="16.5" hidden="1" customHeight="1" outlineLevel="1" x14ac:dyDescent="0.25">
      <c r="A1117" s="74">
        <v>4240</v>
      </c>
      <c r="B1117" s="45" t="s">
        <v>664</v>
      </c>
      <c r="C1117" s="60" t="s">
        <v>760</v>
      </c>
      <c r="D1117" s="60"/>
      <c r="E1117" s="74">
        <v>2022</v>
      </c>
      <c r="F1117" s="74" t="s">
        <v>489</v>
      </c>
      <c r="G1117" s="61">
        <v>1</v>
      </c>
      <c r="H1117" s="45">
        <v>10</v>
      </c>
      <c r="I1117" s="74">
        <f>0.0360953*(1000)</f>
        <v>36.095299999999995</v>
      </c>
    </row>
    <row r="1118" spans="1:9" s="71" customFormat="1" ht="16.5" hidden="1" customHeight="1" outlineLevel="1" x14ac:dyDescent="0.25">
      <c r="A1118" s="74">
        <v>4241</v>
      </c>
      <c r="B1118" s="45" t="s">
        <v>664</v>
      </c>
      <c r="C1118" s="60" t="s">
        <v>761</v>
      </c>
      <c r="D1118" s="60"/>
      <c r="E1118" s="74">
        <v>2022</v>
      </c>
      <c r="F1118" s="74" t="s">
        <v>489</v>
      </c>
      <c r="G1118" s="61">
        <v>1</v>
      </c>
      <c r="H1118" s="45">
        <v>15</v>
      </c>
      <c r="I1118" s="74">
        <f>0.03611407*(1000)</f>
        <v>36.114069999999998</v>
      </c>
    </row>
    <row r="1119" spans="1:9" s="71" customFormat="1" ht="16.5" hidden="1" customHeight="1" outlineLevel="1" x14ac:dyDescent="0.25">
      <c r="A1119" s="74">
        <v>4242</v>
      </c>
      <c r="B1119" s="45" t="s">
        <v>664</v>
      </c>
      <c r="C1119" s="60" t="s">
        <v>762</v>
      </c>
      <c r="D1119" s="60"/>
      <c r="E1119" s="74">
        <v>2022</v>
      </c>
      <c r="F1119" s="74" t="s">
        <v>489</v>
      </c>
      <c r="G1119" s="61">
        <v>1</v>
      </c>
      <c r="H1119" s="45">
        <v>15</v>
      </c>
      <c r="I1119" s="74">
        <f>0.0351762*(1000)</f>
        <v>35.176199999999994</v>
      </c>
    </row>
    <row r="1120" spans="1:9" s="71" customFormat="1" ht="16.5" hidden="1" customHeight="1" outlineLevel="1" x14ac:dyDescent="0.25">
      <c r="A1120" s="74">
        <v>4243</v>
      </c>
      <c r="B1120" s="45" t="s">
        <v>664</v>
      </c>
      <c r="C1120" s="60" t="s">
        <v>763</v>
      </c>
      <c r="D1120" s="60"/>
      <c r="E1120" s="74">
        <v>2022</v>
      </c>
      <c r="F1120" s="74" t="s">
        <v>489</v>
      </c>
      <c r="G1120" s="61">
        <v>1</v>
      </c>
      <c r="H1120" s="45">
        <v>10</v>
      </c>
      <c r="I1120" s="74">
        <f>0.03543906*(1000)</f>
        <v>35.439060000000005</v>
      </c>
    </row>
    <row r="1121" spans="1:9" s="71" customFormat="1" ht="16.5" hidden="1" customHeight="1" outlineLevel="1" x14ac:dyDescent="0.25">
      <c r="A1121" s="74">
        <v>4244</v>
      </c>
      <c r="B1121" s="45" t="s">
        <v>664</v>
      </c>
      <c r="C1121" s="60" t="s">
        <v>764</v>
      </c>
      <c r="D1121" s="60"/>
      <c r="E1121" s="74">
        <v>2022</v>
      </c>
      <c r="F1121" s="74" t="s">
        <v>489</v>
      </c>
      <c r="G1121" s="61">
        <v>1</v>
      </c>
      <c r="H1121" s="45">
        <v>15</v>
      </c>
      <c r="I1121" s="74">
        <f>0.0352419*(1000)</f>
        <v>35.241900000000001</v>
      </c>
    </row>
    <row r="1122" spans="1:9" s="71" customFormat="1" ht="16.5" hidden="1" customHeight="1" outlineLevel="1" x14ac:dyDescent="0.25">
      <c r="A1122" s="74">
        <v>4253</v>
      </c>
      <c r="B1122" s="45" t="s">
        <v>664</v>
      </c>
      <c r="C1122" s="60" t="s">
        <v>765</v>
      </c>
      <c r="D1122" s="60"/>
      <c r="E1122" s="74">
        <v>2022</v>
      </c>
      <c r="F1122" s="74" t="s">
        <v>489</v>
      </c>
      <c r="G1122" s="61">
        <v>1</v>
      </c>
      <c r="H1122" s="45">
        <v>12</v>
      </c>
      <c r="I1122" s="74">
        <f>0.03524188*(1000)</f>
        <v>35.241880000000002</v>
      </c>
    </row>
    <row r="1123" spans="1:9" s="71" customFormat="1" ht="16.5" hidden="1" customHeight="1" outlineLevel="1" x14ac:dyDescent="0.25">
      <c r="A1123" s="74">
        <v>4254</v>
      </c>
      <c r="B1123" s="45" t="s">
        <v>664</v>
      </c>
      <c r="C1123" s="60" t="s">
        <v>766</v>
      </c>
      <c r="D1123" s="60"/>
      <c r="E1123" s="74">
        <v>2022</v>
      </c>
      <c r="F1123" s="74" t="s">
        <v>489</v>
      </c>
      <c r="G1123" s="61">
        <v>1</v>
      </c>
      <c r="H1123" s="45">
        <v>15</v>
      </c>
      <c r="I1123" s="74">
        <f>0.0351762*(1000)</f>
        <v>35.176199999999994</v>
      </c>
    </row>
    <row r="1124" spans="1:9" s="71" customFormat="1" ht="16.5" hidden="1" customHeight="1" outlineLevel="1" x14ac:dyDescent="0.25">
      <c r="A1124" s="74">
        <v>4255</v>
      </c>
      <c r="B1124" s="45" t="s">
        <v>664</v>
      </c>
      <c r="C1124" s="60" t="s">
        <v>767</v>
      </c>
      <c r="D1124" s="60"/>
      <c r="E1124" s="74">
        <v>2022</v>
      </c>
      <c r="F1124" s="74" t="s">
        <v>489</v>
      </c>
      <c r="G1124" s="61">
        <v>1</v>
      </c>
      <c r="H1124" s="45">
        <v>15</v>
      </c>
      <c r="I1124" s="74">
        <f>0.03543905*(1000)</f>
        <v>35.439050000000002</v>
      </c>
    </row>
    <row r="1125" spans="1:9" s="71" customFormat="1" ht="16.5" hidden="1" customHeight="1" outlineLevel="1" x14ac:dyDescent="0.25">
      <c r="A1125" s="74">
        <v>4256</v>
      </c>
      <c r="B1125" s="45" t="s">
        <v>664</v>
      </c>
      <c r="C1125" s="60" t="s">
        <v>768</v>
      </c>
      <c r="D1125" s="60"/>
      <c r="E1125" s="74">
        <v>2022</v>
      </c>
      <c r="F1125" s="74" t="s">
        <v>489</v>
      </c>
      <c r="G1125" s="61">
        <v>1</v>
      </c>
      <c r="H1125" s="45">
        <v>10</v>
      </c>
      <c r="I1125" s="74">
        <f>0.03524191*(1000)</f>
        <v>35.241910000000004</v>
      </c>
    </row>
    <row r="1126" spans="1:9" s="71" customFormat="1" ht="16.5" hidden="1" customHeight="1" outlineLevel="1" x14ac:dyDescent="0.25">
      <c r="A1126" s="74">
        <v>4260</v>
      </c>
      <c r="B1126" s="45" t="s">
        <v>664</v>
      </c>
      <c r="C1126" s="60" t="s">
        <v>769</v>
      </c>
      <c r="D1126" s="60"/>
      <c r="E1126" s="74">
        <v>2022</v>
      </c>
      <c r="F1126" s="74" t="s">
        <v>489</v>
      </c>
      <c r="G1126" s="61">
        <v>1</v>
      </c>
      <c r="H1126" s="45">
        <v>15</v>
      </c>
      <c r="I1126" s="74">
        <f>0.03543906*(1000)</f>
        <v>35.439060000000005</v>
      </c>
    </row>
    <row r="1127" spans="1:9" s="71" customFormat="1" ht="16.5" hidden="1" customHeight="1" outlineLevel="1" x14ac:dyDescent="0.25">
      <c r="A1127" s="74">
        <v>4263</v>
      </c>
      <c r="B1127" s="45" t="s">
        <v>664</v>
      </c>
      <c r="C1127" s="60" t="s">
        <v>770</v>
      </c>
      <c r="D1127" s="60"/>
      <c r="E1127" s="74">
        <v>2022</v>
      </c>
      <c r="F1127" s="74" t="s">
        <v>489</v>
      </c>
      <c r="G1127" s="61">
        <v>1</v>
      </c>
      <c r="H1127" s="45">
        <v>15</v>
      </c>
      <c r="I1127" s="74">
        <f>0.03517618*(1000)</f>
        <v>35.176180000000002</v>
      </c>
    </row>
    <row r="1128" spans="1:9" s="71" customFormat="1" ht="16.5" hidden="1" customHeight="1" outlineLevel="1" x14ac:dyDescent="0.25">
      <c r="A1128" s="74">
        <v>4264</v>
      </c>
      <c r="B1128" s="45" t="s">
        <v>664</v>
      </c>
      <c r="C1128" s="60" t="s">
        <v>771</v>
      </c>
      <c r="D1128" s="60"/>
      <c r="E1128" s="74">
        <v>2022</v>
      </c>
      <c r="F1128" s="74" t="s">
        <v>489</v>
      </c>
      <c r="G1128" s="61">
        <v>1</v>
      </c>
      <c r="H1128" s="45">
        <v>15</v>
      </c>
      <c r="I1128" s="74">
        <f>0.03524191*(1000)</f>
        <v>35.241910000000004</v>
      </c>
    </row>
    <row r="1129" spans="1:9" s="71" customFormat="1" ht="16.5" hidden="1" customHeight="1" outlineLevel="1" x14ac:dyDescent="0.25">
      <c r="A1129" s="74">
        <v>4267</v>
      </c>
      <c r="B1129" s="45" t="s">
        <v>664</v>
      </c>
      <c r="C1129" s="60" t="s">
        <v>772</v>
      </c>
      <c r="D1129" s="60"/>
      <c r="E1129" s="74">
        <v>2022</v>
      </c>
      <c r="F1129" s="74" t="s">
        <v>489</v>
      </c>
      <c r="G1129" s="61">
        <v>1</v>
      </c>
      <c r="H1129" s="45">
        <v>15</v>
      </c>
      <c r="I1129" s="74">
        <f>0.03524188*(1000)</f>
        <v>35.241880000000002</v>
      </c>
    </row>
    <row r="1130" spans="1:9" s="71" customFormat="1" ht="16.5" hidden="1" customHeight="1" outlineLevel="1" x14ac:dyDescent="0.25">
      <c r="A1130" s="74">
        <v>4269</v>
      </c>
      <c r="B1130" s="45" t="s">
        <v>664</v>
      </c>
      <c r="C1130" s="60" t="s">
        <v>773</v>
      </c>
      <c r="D1130" s="60"/>
      <c r="E1130" s="74">
        <v>2022</v>
      </c>
      <c r="F1130" s="74" t="s">
        <v>489</v>
      </c>
      <c r="G1130" s="61">
        <v>1</v>
      </c>
      <c r="H1130" s="45">
        <v>60</v>
      </c>
      <c r="I1130" s="74">
        <f>0.03524188*(1000)</f>
        <v>35.241880000000002</v>
      </c>
    </row>
    <row r="1131" spans="1:9" s="71" customFormat="1" ht="16.5" hidden="1" customHeight="1" outlineLevel="1" x14ac:dyDescent="0.25">
      <c r="A1131" s="74">
        <v>4271</v>
      </c>
      <c r="B1131" s="45" t="s">
        <v>664</v>
      </c>
      <c r="C1131" s="60" t="s">
        <v>774</v>
      </c>
      <c r="D1131" s="60"/>
      <c r="E1131" s="74">
        <v>2022</v>
      </c>
      <c r="F1131" s="74" t="s">
        <v>489</v>
      </c>
      <c r="G1131" s="61">
        <v>1</v>
      </c>
      <c r="H1131" s="45">
        <v>15</v>
      </c>
      <c r="I1131" s="74">
        <f>0.03498454*(1000)</f>
        <v>34.984540000000003</v>
      </c>
    </row>
    <row r="1132" spans="1:9" s="71" customFormat="1" ht="16.5" hidden="1" customHeight="1" outlineLevel="1" x14ac:dyDescent="0.25">
      <c r="A1132" s="74">
        <v>4277</v>
      </c>
      <c r="B1132" s="45" t="s">
        <v>664</v>
      </c>
      <c r="C1132" s="60" t="s">
        <v>775</v>
      </c>
      <c r="D1132" s="60"/>
      <c r="E1132" s="74">
        <v>2022</v>
      </c>
      <c r="F1132" s="74" t="s">
        <v>489</v>
      </c>
      <c r="G1132" s="61">
        <v>1</v>
      </c>
      <c r="H1132" s="45">
        <v>15</v>
      </c>
      <c r="I1132" s="74">
        <f>0.0351389*(1000)</f>
        <v>35.1389</v>
      </c>
    </row>
    <row r="1133" spans="1:9" s="71" customFormat="1" ht="16.5" hidden="1" customHeight="1" outlineLevel="1" x14ac:dyDescent="0.25">
      <c r="A1133" s="74">
        <v>4285</v>
      </c>
      <c r="B1133" s="45" t="s">
        <v>664</v>
      </c>
      <c r="C1133" s="60" t="s">
        <v>776</v>
      </c>
      <c r="D1133" s="60"/>
      <c r="E1133" s="74">
        <v>2022</v>
      </c>
      <c r="F1133" s="74" t="s">
        <v>489</v>
      </c>
      <c r="G1133" s="61">
        <v>1</v>
      </c>
      <c r="H1133" s="45">
        <v>15</v>
      </c>
      <c r="I1133" s="74">
        <f>0.03526761*(1000)</f>
        <v>35.267609999999998</v>
      </c>
    </row>
    <row r="1134" spans="1:9" s="71" customFormat="1" ht="16.5" hidden="1" customHeight="1" outlineLevel="1" x14ac:dyDescent="0.25">
      <c r="A1134" s="74">
        <v>4286</v>
      </c>
      <c r="B1134" s="45" t="s">
        <v>664</v>
      </c>
      <c r="C1134" s="60" t="s">
        <v>777</v>
      </c>
      <c r="D1134" s="60"/>
      <c r="E1134" s="74">
        <v>2022</v>
      </c>
      <c r="F1134" s="74" t="s">
        <v>489</v>
      </c>
      <c r="G1134" s="61">
        <v>1</v>
      </c>
      <c r="H1134" s="45">
        <v>5</v>
      </c>
      <c r="I1134" s="74">
        <f>0.03526761*(1000)</f>
        <v>35.267609999999998</v>
      </c>
    </row>
    <row r="1135" spans="1:9" s="71" customFormat="1" ht="16.5" hidden="1" customHeight="1" outlineLevel="1" x14ac:dyDescent="0.25">
      <c r="A1135" s="74">
        <v>4289</v>
      </c>
      <c r="B1135" s="45" t="s">
        <v>664</v>
      </c>
      <c r="C1135" s="60" t="s">
        <v>778</v>
      </c>
      <c r="D1135" s="60"/>
      <c r="E1135" s="74">
        <v>2022</v>
      </c>
      <c r="F1135" s="74" t="s">
        <v>489</v>
      </c>
      <c r="G1135" s="61">
        <v>1</v>
      </c>
      <c r="H1135" s="45">
        <v>15</v>
      </c>
      <c r="I1135" s="74">
        <f>0.03579344*(1000)</f>
        <v>35.793440000000004</v>
      </c>
    </row>
    <row r="1136" spans="1:9" s="71" customFormat="1" ht="16.5" hidden="1" customHeight="1" outlineLevel="1" x14ac:dyDescent="0.25">
      <c r="A1136" s="74">
        <v>4290</v>
      </c>
      <c r="B1136" s="45" t="s">
        <v>664</v>
      </c>
      <c r="C1136" s="60" t="s">
        <v>779</v>
      </c>
      <c r="D1136" s="60"/>
      <c r="E1136" s="74">
        <v>2022</v>
      </c>
      <c r="F1136" s="74" t="s">
        <v>489</v>
      </c>
      <c r="G1136" s="61">
        <v>1</v>
      </c>
      <c r="H1136" s="45">
        <v>15</v>
      </c>
      <c r="I1136" s="74">
        <f>0.03526761*(1000)</f>
        <v>35.267609999999998</v>
      </c>
    </row>
    <row r="1137" spans="1:9" s="71" customFormat="1" ht="16.5" hidden="1" customHeight="1" outlineLevel="1" x14ac:dyDescent="0.25">
      <c r="A1137" s="74">
        <v>4291</v>
      </c>
      <c r="B1137" s="45" t="s">
        <v>664</v>
      </c>
      <c r="C1137" s="60" t="s">
        <v>780</v>
      </c>
      <c r="D1137" s="60"/>
      <c r="E1137" s="74">
        <v>2022</v>
      </c>
      <c r="F1137" s="74" t="s">
        <v>489</v>
      </c>
      <c r="G1137" s="61">
        <v>1</v>
      </c>
      <c r="H1137" s="45">
        <v>15</v>
      </c>
      <c r="I1137" s="74">
        <f>0.03504757*(1000)</f>
        <v>35.04757</v>
      </c>
    </row>
    <row r="1138" spans="1:9" s="71" customFormat="1" ht="16.5" hidden="1" customHeight="1" outlineLevel="1" x14ac:dyDescent="0.25">
      <c r="A1138" s="74">
        <v>4296</v>
      </c>
      <c r="B1138" s="45" t="s">
        <v>664</v>
      </c>
      <c r="C1138" s="60" t="s">
        <v>781</v>
      </c>
      <c r="D1138" s="60"/>
      <c r="E1138" s="74">
        <v>2022</v>
      </c>
      <c r="F1138" s="74" t="s">
        <v>489</v>
      </c>
      <c r="G1138" s="61">
        <v>1</v>
      </c>
      <c r="H1138" s="45">
        <v>15</v>
      </c>
      <c r="I1138" s="74">
        <f>0.03511327*(1000)</f>
        <v>35.11327</v>
      </c>
    </row>
    <row r="1139" spans="1:9" s="71" customFormat="1" ht="16.5" hidden="1" customHeight="1" outlineLevel="1" x14ac:dyDescent="0.25">
      <c r="A1139" s="74">
        <v>4297</v>
      </c>
      <c r="B1139" s="45" t="s">
        <v>664</v>
      </c>
      <c r="C1139" s="60" t="s">
        <v>782</v>
      </c>
      <c r="D1139" s="60"/>
      <c r="E1139" s="74">
        <v>2022</v>
      </c>
      <c r="F1139" s="74" t="s">
        <v>489</v>
      </c>
      <c r="G1139" s="61">
        <v>1</v>
      </c>
      <c r="H1139" s="45">
        <v>15</v>
      </c>
      <c r="I1139" s="74">
        <f>0.03504757*(1000)</f>
        <v>35.04757</v>
      </c>
    </row>
    <row r="1140" spans="1:9" s="71" customFormat="1" ht="16.5" hidden="1" customHeight="1" outlineLevel="1" x14ac:dyDescent="0.25">
      <c r="A1140" s="74">
        <v>4299</v>
      </c>
      <c r="B1140" s="45" t="s">
        <v>664</v>
      </c>
      <c r="C1140" s="60" t="s">
        <v>783</v>
      </c>
      <c r="D1140" s="60"/>
      <c r="E1140" s="74">
        <v>2022</v>
      </c>
      <c r="F1140" s="74" t="s">
        <v>489</v>
      </c>
      <c r="G1140" s="61">
        <v>1</v>
      </c>
      <c r="H1140" s="45">
        <v>15</v>
      </c>
      <c r="I1140" s="74">
        <f>0.03563912*(1000)</f>
        <v>35.639120000000005</v>
      </c>
    </row>
    <row r="1141" spans="1:9" s="71" customFormat="1" ht="16.5" hidden="1" customHeight="1" outlineLevel="1" x14ac:dyDescent="0.25">
      <c r="A1141" s="74">
        <v>4301</v>
      </c>
      <c r="B1141" s="45" t="s">
        <v>664</v>
      </c>
      <c r="C1141" s="60" t="s">
        <v>784</v>
      </c>
      <c r="D1141" s="60"/>
      <c r="E1141" s="74">
        <v>2022</v>
      </c>
      <c r="F1141" s="74" t="s">
        <v>489</v>
      </c>
      <c r="G1141" s="61">
        <v>1</v>
      </c>
      <c r="H1141" s="45">
        <v>15</v>
      </c>
      <c r="I1141" s="74">
        <f>0.03511327*(1000)</f>
        <v>35.11327</v>
      </c>
    </row>
    <row r="1142" spans="1:9" s="71" customFormat="1" ht="16.5" hidden="1" customHeight="1" outlineLevel="1" x14ac:dyDescent="0.25">
      <c r="A1142" s="74">
        <v>4305</v>
      </c>
      <c r="B1142" s="45" t="s">
        <v>664</v>
      </c>
      <c r="C1142" s="60" t="s">
        <v>785</v>
      </c>
      <c r="D1142" s="60"/>
      <c r="E1142" s="74">
        <v>2022</v>
      </c>
      <c r="F1142" s="74" t="s">
        <v>489</v>
      </c>
      <c r="G1142" s="61">
        <v>1</v>
      </c>
      <c r="H1142" s="45">
        <v>15</v>
      </c>
      <c r="I1142" s="74">
        <f>0.03504823*(1000)</f>
        <v>35.048229999999997</v>
      </c>
    </row>
    <row r="1143" spans="1:9" s="71" customFormat="1" ht="16.5" hidden="1" customHeight="1" outlineLevel="1" x14ac:dyDescent="0.25">
      <c r="A1143" s="74">
        <v>4306</v>
      </c>
      <c r="B1143" s="45" t="s">
        <v>664</v>
      </c>
      <c r="C1143" s="60" t="s">
        <v>786</v>
      </c>
      <c r="D1143" s="60"/>
      <c r="E1143" s="74">
        <v>2022</v>
      </c>
      <c r="F1143" s="74" t="s">
        <v>489</v>
      </c>
      <c r="G1143" s="61">
        <v>1</v>
      </c>
      <c r="H1143" s="45">
        <v>15</v>
      </c>
      <c r="I1143" s="74">
        <f>0.03563974*(1000)</f>
        <v>35.639740000000003</v>
      </c>
    </row>
    <row r="1144" spans="1:9" s="71" customFormat="1" ht="16.5" hidden="1" customHeight="1" outlineLevel="1" x14ac:dyDescent="0.25">
      <c r="A1144" s="74">
        <v>4307</v>
      </c>
      <c r="B1144" s="45" t="s">
        <v>664</v>
      </c>
      <c r="C1144" s="60" t="s">
        <v>787</v>
      </c>
      <c r="D1144" s="60"/>
      <c r="E1144" s="74">
        <v>2022</v>
      </c>
      <c r="F1144" s="74" t="s">
        <v>489</v>
      </c>
      <c r="G1144" s="61">
        <v>1</v>
      </c>
      <c r="H1144" s="45">
        <v>15</v>
      </c>
      <c r="I1144" s="74">
        <f>0.03563975*(1000)</f>
        <v>35.639749999999999</v>
      </c>
    </row>
    <row r="1145" spans="1:9" s="71" customFormat="1" ht="16.5" hidden="1" customHeight="1" outlineLevel="1" x14ac:dyDescent="0.25">
      <c r="A1145" s="74">
        <v>4312</v>
      </c>
      <c r="B1145" s="45" t="s">
        <v>664</v>
      </c>
      <c r="C1145" s="60" t="s">
        <v>788</v>
      </c>
      <c r="D1145" s="60"/>
      <c r="E1145" s="74">
        <v>2022</v>
      </c>
      <c r="F1145" s="74" t="s">
        <v>489</v>
      </c>
      <c r="G1145" s="61">
        <v>1</v>
      </c>
      <c r="H1145" s="45">
        <v>2</v>
      </c>
      <c r="I1145" s="74">
        <f>0.0364852*(1000)</f>
        <v>36.485199999999999</v>
      </c>
    </row>
    <row r="1146" spans="1:9" s="71" customFormat="1" ht="16.5" hidden="1" customHeight="1" outlineLevel="1" x14ac:dyDescent="0.25">
      <c r="A1146" s="74">
        <v>4313</v>
      </c>
      <c r="B1146" s="45" t="s">
        <v>664</v>
      </c>
      <c r="C1146" s="60" t="s">
        <v>789</v>
      </c>
      <c r="D1146" s="60"/>
      <c r="E1146" s="74">
        <v>2022</v>
      </c>
      <c r="F1146" s="74" t="s">
        <v>489</v>
      </c>
      <c r="G1146" s="61">
        <v>1</v>
      </c>
      <c r="H1146" s="45">
        <v>3.6</v>
      </c>
      <c r="I1146" s="74">
        <f>0.0364852*(1000)</f>
        <v>36.485199999999999</v>
      </c>
    </row>
    <row r="1147" spans="1:9" s="71" customFormat="1" ht="16.5" hidden="1" customHeight="1" outlineLevel="1" x14ac:dyDescent="0.25">
      <c r="A1147" s="74">
        <v>4314</v>
      </c>
      <c r="B1147" s="45" t="s">
        <v>664</v>
      </c>
      <c r="C1147" s="60" t="s">
        <v>790</v>
      </c>
      <c r="D1147" s="60"/>
      <c r="E1147" s="74">
        <v>2022</v>
      </c>
      <c r="F1147" s="74" t="s">
        <v>489</v>
      </c>
      <c r="G1147" s="61">
        <v>1</v>
      </c>
      <c r="H1147" s="45">
        <v>2</v>
      </c>
      <c r="I1147" s="74">
        <f>0.03727154*(1000)</f>
        <v>37.271540000000002</v>
      </c>
    </row>
    <row r="1148" spans="1:9" s="71" customFormat="1" ht="16.5" hidden="1" customHeight="1" outlineLevel="1" x14ac:dyDescent="0.25">
      <c r="A1148" s="74">
        <v>4315</v>
      </c>
      <c r="B1148" s="45" t="s">
        <v>664</v>
      </c>
      <c r="C1148" s="60" t="s">
        <v>791</v>
      </c>
      <c r="D1148" s="60"/>
      <c r="E1148" s="74">
        <v>2022</v>
      </c>
      <c r="F1148" s="74" t="s">
        <v>489</v>
      </c>
      <c r="G1148" s="61">
        <v>1</v>
      </c>
      <c r="H1148" s="45">
        <v>2</v>
      </c>
      <c r="I1148" s="74">
        <f>0.0383837*(1000)</f>
        <v>38.383699999999997</v>
      </c>
    </row>
    <row r="1149" spans="1:9" s="71" customFormat="1" ht="16.5" hidden="1" customHeight="1" outlineLevel="1" x14ac:dyDescent="0.25">
      <c r="A1149" s="74">
        <v>4316</v>
      </c>
      <c r="B1149" s="45" t="s">
        <v>664</v>
      </c>
      <c r="C1149" s="60" t="s">
        <v>792</v>
      </c>
      <c r="D1149" s="60"/>
      <c r="E1149" s="74">
        <v>2022</v>
      </c>
      <c r="F1149" s="74" t="s">
        <v>489</v>
      </c>
      <c r="G1149" s="61">
        <v>1</v>
      </c>
      <c r="H1149" s="45">
        <v>70</v>
      </c>
      <c r="I1149" s="74">
        <f>0.04713737*(1000)</f>
        <v>47.137369999999997</v>
      </c>
    </row>
    <row r="1150" spans="1:9" s="71" customFormat="1" ht="16.5" hidden="1" customHeight="1" outlineLevel="1" x14ac:dyDescent="0.25">
      <c r="A1150" s="74">
        <v>4317</v>
      </c>
      <c r="B1150" s="45" t="s">
        <v>664</v>
      </c>
      <c r="C1150" s="60" t="s">
        <v>793</v>
      </c>
      <c r="D1150" s="60"/>
      <c r="E1150" s="74">
        <v>2022</v>
      </c>
      <c r="F1150" s="74" t="s">
        <v>489</v>
      </c>
      <c r="G1150" s="61">
        <v>1</v>
      </c>
      <c r="H1150" s="45">
        <v>13</v>
      </c>
      <c r="I1150" s="74">
        <f>0.03753761*(1000)</f>
        <v>37.537610000000001</v>
      </c>
    </row>
    <row r="1151" spans="1:9" s="71" customFormat="1" ht="16.5" hidden="1" customHeight="1" outlineLevel="1" x14ac:dyDescent="0.25">
      <c r="A1151" s="74">
        <v>4318</v>
      </c>
      <c r="B1151" s="45" t="s">
        <v>664</v>
      </c>
      <c r="C1151" s="60" t="s">
        <v>794</v>
      </c>
      <c r="D1151" s="60"/>
      <c r="E1151" s="74">
        <v>2022</v>
      </c>
      <c r="F1151" s="74" t="s">
        <v>489</v>
      </c>
      <c r="G1151" s="61">
        <v>1</v>
      </c>
      <c r="H1151" s="45">
        <v>12</v>
      </c>
      <c r="I1151" s="74">
        <f>0.03753762*(1000)</f>
        <v>37.537620000000004</v>
      </c>
    </row>
    <row r="1152" spans="1:9" s="71" customFormat="1" ht="16.5" hidden="1" customHeight="1" outlineLevel="1" x14ac:dyDescent="0.25">
      <c r="A1152" s="74">
        <v>4320</v>
      </c>
      <c r="B1152" s="45" t="s">
        <v>664</v>
      </c>
      <c r="C1152" s="60" t="s">
        <v>795</v>
      </c>
      <c r="D1152" s="60"/>
      <c r="E1152" s="74">
        <v>2022</v>
      </c>
      <c r="F1152" s="74" t="s">
        <v>489</v>
      </c>
      <c r="G1152" s="61">
        <v>1</v>
      </c>
      <c r="H1152" s="45">
        <v>14.4</v>
      </c>
      <c r="I1152" s="74">
        <f>0.0375376*(1000)</f>
        <v>37.537599999999998</v>
      </c>
    </row>
    <row r="1153" spans="1:9" s="71" customFormat="1" ht="16.5" hidden="1" customHeight="1" outlineLevel="1" x14ac:dyDescent="0.25">
      <c r="A1153" s="74">
        <v>4321</v>
      </c>
      <c r="B1153" s="45" t="s">
        <v>664</v>
      </c>
      <c r="C1153" s="60" t="s">
        <v>796</v>
      </c>
      <c r="D1153" s="60"/>
      <c r="E1153" s="74">
        <v>2022</v>
      </c>
      <c r="F1153" s="74" t="s">
        <v>489</v>
      </c>
      <c r="G1153" s="61">
        <v>1</v>
      </c>
      <c r="H1153" s="45">
        <v>14.4</v>
      </c>
      <c r="I1153" s="74">
        <f>0.03753761*(1000)</f>
        <v>37.537610000000001</v>
      </c>
    </row>
    <row r="1154" spans="1:9" s="71" customFormat="1" ht="16.5" hidden="1" customHeight="1" outlineLevel="1" x14ac:dyDescent="0.25">
      <c r="A1154" s="74">
        <v>4322</v>
      </c>
      <c r="B1154" s="45" t="s">
        <v>664</v>
      </c>
      <c r="C1154" s="60" t="s">
        <v>797</v>
      </c>
      <c r="D1154" s="60"/>
      <c r="E1154" s="74">
        <v>2022</v>
      </c>
      <c r="F1154" s="74" t="s">
        <v>489</v>
      </c>
      <c r="G1154" s="61">
        <v>1</v>
      </c>
      <c r="H1154" s="45">
        <v>3</v>
      </c>
      <c r="I1154" s="74">
        <f>0.03698156*(1000)</f>
        <v>36.981559999999995</v>
      </c>
    </row>
    <row r="1155" spans="1:9" s="71" customFormat="1" ht="16.5" hidden="1" customHeight="1" outlineLevel="1" x14ac:dyDescent="0.25">
      <c r="A1155" s="74">
        <v>4324</v>
      </c>
      <c r="B1155" s="45" t="s">
        <v>664</v>
      </c>
      <c r="C1155" s="60" t="s">
        <v>798</v>
      </c>
      <c r="D1155" s="60"/>
      <c r="E1155" s="74">
        <v>2022</v>
      </c>
      <c r="F1155" s="74" t="s">
        <v>489</v>
      </c>
      <c r="G1155" s="61">
        <v>1</v>
      </c>
      <c r="H1155" s="45">
        <v>63</v>
      </c>
      <c r="I1155" s="74">
        <f>0.04670716*(1000)</f>
        <v>46.707159999999995</v>
      </c>
    </row>
    <row r="1156" spans="1:9" s="71" customFormat="1" ht="16.5" hidden="1" customHeight="1" outlineLevel="1" x14ac:dyDescent="0.25">
      <c r="A1156" s="74">
        <v>4326</v>
      </c>
      <c r="B1156" s="45" t="s">
        <v>664</v>
      </c>
      <c r="C1156" s="60" t="s">
        <v>799</v>
      </c>
      <c r="D1156" s="60"/>
      <c r="E1156" s="74">
        <v>2022</v>
      </c>
      <c r="F1156" s="74" t="s">
        <v>489</v>
      </c>
      <c r="G1156" s="61">
        <v>1</v>
      </c>
      <c r="H1156" s="45">
        <v>5</v>
      </c>
      <c r="I1156" s="74">
        <f>0.04670714*(1000)</f>
        <v>46.707140000000003</v>
      </c>
    </row>
    <row r="1157" spans="1:9" s="71" customFormat="1" ht="16.5" hidden="1" customHeight="1" outlineLevel="1" x14ac:dyDescent="0.25">
      <c r="A1157" s="74">
        <v>4327</v>
      </c>
      <c r="B1157" s="45" t="s">
        <v>664</v>
      </c>
      <c r="C1157" s="60" t="s">
        <v>800</v>
      </c>
      <c r="D1157" s="60"/>
      <c r="E1157" s="74">
        <v>2022</v>
      </c>
      <c r="F1157" s="74" t="s">
        <v>489</v>
      </c>
      <c r="G1157" s="61">
        <v>1</v>
      </c>
      <c r="H1157" s="45">
        <v>13</v>
      </c>
      <c r="I1157" s="74">
        <f>0.03851188*(1000)</f>
        <v>38.511879999999998</v>
      </c>
    </row>
    <row r="1158" spans="1:9" s="71" customFormat="1" ht="16.5" hidden="1" customHeight="1" outlineLevel="1" x14ac:dyDescent="0.25">
      <c r="A1158" s="74">
        <v>4328</v>
      </c>
      <c r="B1158" s="45" t="s">
        <v>664</v>
      </c>
      <c r="C1158" s="60" t="s">
        <v>801</v>
      </c>
      <c r="D1158" s="60"/>
      <c r="E1158" s="74">
        <v>2022</v>
      </c>
      <c r="F1158" s="74" t="s">
        <v>489</v>
      </c>
      <c r="G1158" s="61">
        <v>1</v>
      </c>
      <c r="H1158" s="45">
        <v>20</v>
      </c>
      <c r="I1158" s="74">
        <f>0.03851187*(1000)</f>
        <v>38.511869999999995</v>
      </c>
    </row>
    <row r="1159" spans="1:9" s="71" customFormat="1" ht="16.5" hidden="1" customHeight="1" outlineLevel="1" x14ac:dyDescent="0.25">
      <c r="A1159" s="74">
        <v>4329</v>
      </c>
      <c r="B1159" s="45" t="s">
        <v>664</v>
      </c>
      <c r="C1159" s="60" t="s">
        <v>802</v>
      </c>
      <c r="D1159" s="60"/>
      <c r="E1159" s="74">
        <v>2022</v>
      </c>
      <c r="F1159" s="74" t="s">
        <v>489</v>
      </c>
      <c r="G1159" s="61">
        <v>1</v>
      </c>
      <c r="H1159" s="45">
        <v>32</v>
      </c>
      <c r="I1159" s="74">
        <f>0.03851188*(1000)</f>
        <v>38.511879999999998</v>
      </c>
    </row>
    <row r="1160" spans="1:9" s="71" customFormat="1" ht="16.5" hidden="1" customHeight="1" outlineLevel="1" x14ac:dyDescent="0.25">
      <c r="A1160" s="74">
        <v>4330</v>
      </c>
      <c r="B1160" s="45" t="s">
        <v>664</v>
      </c>
      <c r="C1160" s="60" t="s">
        <v>803</v>
      </c>
      <c r="D1160" s="60"/>
      <c r="E1160" s="74">
        <v>2022</v>
      </c>
      <c r="F1160" s="74" t="s">
        <v>489</v>
      </c>
      <c r="G1160" s="61">
        <v>1</v>
      </c>
      <c r="H1160" s="45">
        <v>15</v>
      </c>
      <c r="I1160" s="74">
        <f>0.03851187*(1000)</f>
        <v>38.511869999999995</v>
      </c>
    </row>
    <row r="1161" spans="1:9" s="71" customFormat="1" ht="16.5" hidden="1" customHeight="1" outlineLevel="1" x14ac:dyDescent="0.25">
      <c r="A1161" s="74">
        <v>4331</v>
      </c>
      <c r="B1161" s="45" t="s">
        <v>664</v>
      </c>
      <c r="C1161" s="60" t="s">
        <v>804</v>
      </c>
      <c r="D1161" s="60"/>
      <c r="E1161" s="74">
        <v>2022</v>
      </c>
      <c r="F1161" s="74" t="s">
        <v>489</v>
      </c>
      <c r="G1161" s="61">
        <v>1</v>
      </c>
      <c r="H1161" s="45">
        <v>15</v>
      </c>
      <c r="I1161" s="74">
        <f>0.03851188*(1000)</f>
        <v>38.511879999999998</v>
      </c>
    </row>
    <row r="1162" spans="1:9" s="71" customFormat="1" ht="16.5" hidden="1" customHeight="1" outlineLevel="1" x14ac:dyDescent="0.25">
      <c r="A1162" s="74">
        <v>4332</v>
      </c>
      <c r="B1162" s="45" t="s">
        <v>664</v>
      </c>
      <c r="C1162" s="60" t="s">
        <v>805</v>
      </c>
      <c r="D1162" s="60"/>
      <c r="E1162" s="74">
        <v>2022</v>
      </c>
      <c r="F1162" s="74" t="s">
        <v>489</v>
      </c>
      <c r="G1162" s="61">
        <v>1</v>
      </c>
      <c r="H1162" s="45">
        <v>5</v>
      </c>
      <c r="I1162" s="74">
        <f>0.03871173*(1000)</f>
        <v>38.711730000000003</v>
      </c>
    </row>
    <row r="1163" spans="1:9" s="71" customFormat="1" ht="16.5" hidden="1" customHeight="1" outlineLevel="1" x14ac:dyDescent="0.25">
      <c r="A1163" s="74">
        <v>4336</v>
      </c>
      <c r="B1163" s="45" t="s">
        <v>664</v>
      </c>
      <c r="C1163" s="60" t="s">
        <v>806</v>
      </c>
      <c r="D1163" s="60"/>
      <c r="E1163" s="74">
        <v>2022</v>
      </c>
      <c r="F1163" s="74" t="s">
        <v>489</v>
      </c>
      <c r="G1163" s="61">
        <v>1</v>
      </c>
      <c r="H1163" s="45">
        <v>4</v>
      </c>
      <c r="I1163" s="74">
        <f>0.04208061*(1000)</f>
        <v>42.08061</v>
      </c>
    </row>
    <row r="1164" spans="1:9" s="71" customFormat="1" ht="16.5" hidden="1" customHeight="1" outlineLevel="1" x14ac:dyDescent="0.25">
      <c r="A1164" s="74">
        <v>4338</v>
      </c>
      <c r="B1164" s="45" t="s">
        <v>664</v>
      </c>
      <c r="C1164" s="60" t="s">
        <v>807</v>
      </c>
      <c r="D1164" s="60"/>
      <c r="E1164" s="74">
        <v>2022</v>
      </c>
      <c r="F1164" s="74" t="s">
        <v>489</v>
      </c>
      <c r="G1164" s="61">
        <v>1</v>
      </c>
      <c r="H1164" s="45">
        <v>10</v>
      </c>
      <c r="I1164" s="74">
        <f>0.04057708*(1000)</f>
        <v>40.577080000000002</v>
      </c>
    </row>
    <row r="1165" spans="1:9" s="71" customFormat="1" ht="16.5" hidden="1" customHeight="1" outlineLevel="1" x14ac:dyDescent="0.25">
      <c r="A1165" s="74">
        <v>4345</v>
      </c>
      <c r="B1165" s="45" t="s">
        <v>664</v>
      </c>
      <c r="C1165" s="60" t="s">
        <v>808</v>
      </c>
      <c r="D1165" s="60"/>
      <c r="E1165" s="74">
        <v>2022</v>
      </c>
      <c r="F1165" s="74" t="s">
        <v>489</v>
      </c>
      <c r="G1165" s="61">
        <v>1</v>
      </c>
      <c r="H1165" s="45">
        <v>12</v>
      </c>
      <c r="I1165" s="74">
        <f>0.03919018*(1000)</f>
        <v>39.190179999999998</v>
      </c>
    </row>
    <row r="1166" spans="1:9" s="71" customFormat="1" ht="16.5" hidden="1" customHeight="1" outlineLevel="1" x14ac:dyDescent="0.25">
      <c r="A1166" s="74">
        <v>4346</v>
      </c>
      <c r="B1166" s="45" t="s">
        <v>664</v>
      </c>
      <c r="C1166" s="60" t="s">
        <v>809</v>
      </c>
      <c r="D1166" s="60"/>
      <c r="E1166" s="74">
        <v>2022</v>
      </c>
      <c r="F1166" s="74" t="s">
        <v>489</v>
      </c>
      <c r="G1166" s="61">
        <v>1</v>
      </c>
      <c r="H1166" s="45">
        <v>15</v>
      </c>
      <c r="I1166" s="74">
        <f>0.03922348*(1000)</f>
        <v>39.223479999999995</v>
      </c>
    </row>
    <row r="1167" spans="1:9" s="71" customFormat="1" ht="16.5" hidden="1" customHeight="1" outlineLevel="1" x14ac:dyDescent="0.25">
      <c r="A1167" s="74">
        <v>4347</v>
      </c>
      <c r="B1167" s="45" t="s">
        <v>664</v>
      </c>
      <c r="C1167" s="60" t="s">
        <v>810</v>
      </c>
      <c r="D1167" s="60"/>
      <c r="E1167" s="74">
        <v>2022</v>
      </c>
      <c r="F1167" s="74" t="s">
        <v>489</v>
      </c>
      <c r="G1167" s="61">
        <v>1</v>
      </c>
      <c r="H1167" s="45">
        <v>10</v>
      </c>
      <c r="I1167" s="74">
        <f>0.03928466*(1000)</f>
        <v>39.284660000000002</v>
      </c>
    </row>
    <row r="1168" spans="1:9" s="71" customFormat="1" ht="16.5" hidden="1" customHeight="1" outlineLevel="1" x14ac:dyDescent="0.25">
      <c r="A1168" s="74">
        <v>4351</v>
      </c>
      <c r="B1168" s="45" t="s">
        <v>664</v>
      </c>
      <c r="C1168" s="60" t="s">
        <v>811</v>
      </c>
      <c r="D1168" s="60"/>
      <c r="E1168" s="74">
        <v>2022</v>
      </c>
      <c r="F1168" s="74" t="s">
        <v>489</v>
      </c>
      <c r="G1168" s="61">
        <v>1</v>
      </c>
      <c r="H1168" s="45">
        <v>12</v>
      </c>
      <c r="I1168" s="74">
        <f>0.03872864*(1000)</f>
        <v>38.728639999999999</v>
      </c>
    </row>
    <row r="1169" spans="1:9" s="71" customFormat="1" ht="16.5" hidden="1" customHeight="1" outlineLevel="1" x14ac:dyDescent="0.25">
      <c r="A1169" s="74">
        <v>4352</v>
      </c>
      <c r="B1169" s="45" t="s">
        <v>664</v>
      </c>
      <c r="C1169" s="60" t="s">
        <v>812</v>
      </c>
      <c r="D1169" s="60"/>
      <c r="E1169" s="74">
        <v>2022</v>
      </c>
      <c r="F1169" s="74" t="s">
        <v>489</v>
      </c>
      <c r="G1169" s="61">
        <v>1</v>
      </c>
      <c r="H1169" s="45">
        <v>15</v>
      </c>
      <c r="I1169" s="74">
        <f>0.03872864*(1000)</f>
        <v>38.728639999999999</v>
      </c>
    </row>
    <row r="1170" spans="1:9" s="71" customFormat="1" ht="16.5" hidden="1" customHeight="1" outlineLevel="1" x14ac:dyDescent="0.25">
      <c r="A1170" s="74">
        <v>4353</v>
      </c>
      <c r="B1170" s="45" t="s">
        <v>664</v>
      </c>
      <c r="C1170" s="60" t="s">
        <v>813</v>
      </c>
      <c r="D1170" s="60"/>
      <c r="E1170" s="74">
        <v>2022</v>
      </c>
      <c r="F1170" s="74" t="s">
        <v>489</v>
      </c>
      <c r="G1170" s="61">
        <v>1</v>
      </c>
      <c r="H1170" s="45">
        <v>1</v>
      </c>
      <c r="I1170" s="74">
        <f>0.03872864*(1000)</f>
        <v>38.728639999999999</v>
      </c>
    </row>
    <row r="1171" spans="1:9" s="71" customFormat="1" ht="16.5" hidden="1" customHeight="1" outlineLevel="1" x14ac:dyDescent="0.25">
      <c r="A1171" s="74">
        <v>4354</v>
      </c>
      <c r="B1171" s="45" t="s">
        <v>664</v>
      </c>
      <c r="C1171" s="60" t="s">
        <v>814</v>
      </c>
      <c r="D1171" s="60"/>
      <c r="E1171" s="74">
        <v>2022</v>
      </c>
      <c r="F1171" s="74" t="s">
        <v>489</v>
      </c>
      <c r="G1171" s="61">
        <v>1</v>
      </c>
      <c r="H1171" s="45">
        <v>13</v>
      </c>
      <c r="I1171" s="74">
        <f>0.0385743*(1000)</f>
        <v>38.574300000000001</v>
      </c>
    </row>
    <row r="1172" spans="1:9" s="71" customFormat="1" ht="16.5" hidden="1" customHeight="1" outlineLevel="1" x14ac:dyDescent="0.25">
      <c r="A1172" s="74">
        <v>4355</v>
      </c>
      <c r="B1172" s="45" t="s">
        <v>664</v>
      </c>
      <c r="C1172" s="60" t="s">
        <v>815</v>
      </c>
      <c r="D1172" s="60"/>
      <c r="E1172" s="74">
        <v>2022</v>
      </c>
      <c r="F1172" s="74" t="s">
        <v>489</v>
      </c>
      <c r="G1172" s="61">
        <v>1</v>
      </c>
      <c r="H1172" s="45">
        <v>15</v>
      </c>
      <c r="I1172" s="74">
        <f>0.0385743*(1000)</f>
        <v>38.574300000000001</v>
      </c>
    </row>
    <row r="1173" spans="1:9" s="71" customFormat="1" ht="16.5" hidden="1" customHeight="1" outlineLevel="1" x14ac:dyDescent="0.25">
      <c r="A1173" s="74">
        <v>4356</v>
      </c>
      <c r="B1173" s="45" t="s">
        <v>664</v>
      </c>
      <c r="C1173" s="60" t="s">
        <v>816</v>
      </c>
      <c r="D1173" s="60"/>
      <c r="E1173" s="74">
        <v>2022</v>
      </c>
      <c r="F1173" s="74" t="s">
        <v>489</v>
      </c>
      <c r="G1173" s="61">
        <v>1</v>
      </c>
      <c r="H1173" s="45">
        <v>13.5</v>
      </c>
      <c r="I1173" s="74">
        <f>0.03857431*(1000)</f>
        <v>38.574309999999997</v>
      </c>
    </row>
    <row r="1174" spans="1:9" s="71" customFormat="1" ht="16.5" hidden="1" customHeight="1" outlineLevel="1" x14ac:dyDescent="0.25">
      <c r="A1174" s="74">
        <v>4358</v>
      </c>
      <c r="B1174" s="45" t="s">
        <v>664</v>
      </c>
      <c r="C1174" s="60" t="s">
        <v>817</v>
      </c>
      <c r="D1174" s="60"/>
      <c r="E1174" s="74">
        <v>2022</v>
      </c>
      <c r="F1174" s="74" t="s">
        <v>489</v>
      </c>
      <c r="G1174" s="61">
        <v>1</v>
      </c>
      <c r="H1174" s="45">
        <v>15</v>
      </c>
      <c r="I1174" s="74">
        <f>0.03872939*(1000)</f>
        <v>38.729390000000002</v>
      </c>
    </row>
    <row r="1175" spans="1:9" s="71" customFormat="1" ht="16.5" hidden="1" customHeight="1" outlineLevel="1" x14ac:dyDescent="0.25">
      <c r="A1175" s="74">
        <v>4360</v>
      </c>
      <c r="B1175" s="45" t="s">
        <v>664</v>
      </c>
      <c r="C1175" s="60" t="s">
        <v>818</v>
      </c>
      <c r="D1175" s="60"/>
      <c r="E1175" s="74">
        <v>2022</v>
      </c>
      <c r="F1175" s="74" t="s">
        <v>489</v>
      </c>
      <c r="G1175" s="61">
        <v>1</v>
      </c>
      <c r="H1175" s="45">
        <v>11</v>
      </c>
      <c r="I1175" s="74">
        <f>0.03862901*(1000)</f>
        <v>38.629010000000001</v>
      </c>
    </row>
    <row r="1176" spans="1:9" s="71" customFormat="1" ht="16.5" hidden="1" customHeight="1" outlineLevel="1" x14ac:dyDescent="0.25">
      <c r="A1176" s="74">
        <v>4361</v>
      </c>
      <c r="B1176" s="45" t="s">
        <v>664</v>
      </c>
      <c r="C1176" s="60" t="s">
        <v>819</v>
      </c>
      <c r="D1176" s="60"/>
      <c r="E1176" s="74">
        <v>2022</v>
      </c>
      <c r="F1176" s="74" t="s">
        <v>489</v>
      </c>
      <c r="G1176" s="61">
        <v>1</v>
      </c>
      <c r="H1176" s="45">
        <v>6</v>
      </c>
      <c r="I1176" s="74">
        <f>0.03878333*(1000)</f>
        <v>38.783329999999999</v>
      </c>
    </row>
    <row r="1177" spans="1:9" s="71" customFormat="1" ht="16.5" hidden="1" customHeight="1" outlineLevel="1" x14ac:dyDescent="0.25">
      <c r="A1177" s="74">
        <v>4362</v>
      </c>
      <c r="B1177" s="45" t="s">
        <v>664</v>
      </c>
      <c r="C1177" s="60" t="s">
        <v>820</v>
      </c>
      <c r="D1177" s="60"/>
      <c r="E1177" s="74">
        <v>2022</v>
      </c>
      <c r="F1177" s="74" t="s">
        <v>489</v>
      </c>
      <c r="G1177" s="61">
        <v>1</v>
      </c>
      <c r="H1177" s="45">
        <v>14</v>
      </c>
      <c r="I1177" s="74">
        <f>0.03878334*(1000)</f>
        <v>38.783340000000003</v>
      </c>
    </row>
    <row r="1178" spans="1:9" s="71" customFormat="1" ht="16.5" hidden="1" customHeight="1" outlineLevel="1" x14ac:dyDescent="0.25">
      <c r="A1178" s="74">
        <v>4366</v>
      </c>
      <c r="B1178" s="45" t="s">
        <v>664</v>
      </c>
      <c r="C1178" s="60" t="s">
        <v>821</v>
      </c>
      <c r="D1178" s="60"/>
      <c r="E1178" s="74">
        <v>2022</v>
      </c>
      <c r="F1178" s="74" t="s">
        <v>489</v>
      </c>
      <c r="G1178" s="61">
        <v>1</v>
      </c>
      <c r="H1178" s="45">
        <v>13</v>
      </c>
      <c r="I1178" s="74">
        <f>0.03878333*(1000)</f>
        <v>38.783329999999999</v>
      </c>
    </row>
    <row r="1179" spans="1:9" s="71" customFormat="1" ht="16.5" hidden="1" customHeight="1" outlineLevel="1" x14ac:dyDescent="0.25">
      <c r="A1179" s="74">
        <v>4370</v>
      </c>
      <c r="B1179" s="45" t="s">
        <v>664</v>
      </c>
      <c r="C1179" s="60" t="s">
        <v>822</v>
      </c>
      <c r="D1179" s="60"/>
      <c r="E1179" s="74">
        <v>2022</v>
      </c>
      <c r="F1179" s="74" t="s">
        <v>489</v>
      </c>
      <c r="G1179" s="61">
        <v>1</v>
      </c>
      <c r="H1179" s="45">
        <v>15</v>
      </c>
      <c r="I1179" s="74">
        <f>0.03878334*(1000)</f>
        <v>38.783340000000003</v>
      </c>
    </row>
    <row r="1180" spans="1:9" s="71" customFormat="1" ht="16.5" hidden="1" customHeight="1" outlineLevel="1" x14ac:dyDescent="0.25">
      <c r="A1180" s="74">
        <v>4371</v>
      </c>
      <c r="B1180" s="45" t="s">
        <v>664</v>
      </c>
      <c r="C1180" s="60" t="s">
        <v>823</v>
      </c>
      <c r="D1180" s="60"/>
      <c r="E1180" s="74">
        <v>2022</v>
      </c>
      <c r="F1180" s="74" t="s">
        <v>489</v>
      </c>
      <c r="G1180" s="61">
        <v>1</v>
      </c>
      <c r="H1180" s="45">
        <v>12</v>
      </c>
      <c r="I1180" s="74">
        <f>0.03671551*(1000)</f>
        <v>36.715510000000002</v>
      </c>
    </row>
    <row r="1181" spans="1:9" s="71" customFormat="1" ht="16.5" hidden="1" customHeight="1" outlineLevel="1" x14ac:dyDescent="0.25">
      <c r="A1181" s="74">
        <v>4372</v>
      </c>
      <c r="B1181" s="45" t="s">
        <v>664</v>
      </c>
      <c r="C1181" s="60" t="s">
        <v>824</v>
      </c>
      <c r="D1181" s="60"/>
      <c r="E1181" s="74">
        <v>2022</v>
      </c>
      <c r="F1181" s="74" t="s">
        <v>489</v>
      </c>
      <c r="G1181" s="61">
        <v>1</v>
      </c>
      <c r="H1181" s="45">
        <v>14</v>
      </c>
      <c r="I1181" s="74">
        <f>0.0343505*(1000)</f>
        <v>34.350499999999997</v>
      </c>
    </row>
    <row r="1182" spans="1:9" s="71" customFormat="1" ht="16.5" hidden="1" customHeight="1" outlineLevel="1" x14ac:dyDescent="0.25">
      <c r="A1182" s="74">
        <v>4373</v>
      </c>
      <c r="B1182" s="45" t="s">
        <v>664</v>
      </c>
      <c r="C1182" s="60" t="s">
        <v>825</v>
      </c>
      <c r="D1182" s="60"/>
      <c r="E1182" s="74">
        <v>2022</v>
      </c>
      <c r="F1182" s="74" t="s">
        <v>489</v>
      </c>
      <c r="G1182" s="61">
        <v>1</v>
      </c>
      <c r="H1182" s="45">
        <v>15</v>
      </c>
      <c r="I1182" s="74">
        <f>0.0343505*(1000)</f>
        <v>34.350499999999997</v>
      </c>
    </row>
    <row r="1183" spans="1:9" s="71" customFormat="1" ht="16.5" hidden="1" customHeight="1" outlineLevel="1" x14ac:dyDescent="0.25">
      <c r="A1183" s="74">
        <v>4374</v>
      </c>
      <c r="B1183" s="45" t="s">
        <v>664</v>
      </c>
      <c r="C1183" s="60" t="s">
        <v>826</v>
      </c>
      <c r="D1183" s="60"/>
      <c r="E1183" s="74">
        <v>2022</v>
      </c>
      <c r="F1183" s="74" t="s">
        <v>489</v>
      </c>
      <c r="G1183" s="61">
        <v>1</v>
      </c>
      <c r="H1183" s="45">
        <v>15</v>
      </c>
      <c r="I1183" s="74">
        <f>0.03435049*(1000)</f>
        <v>34.350490000000001</v>
      </c>
    </row>
    <row r="1184" spans="1:9" s="71" customFormat="1" ht="16.5" hidden="1" customHeight="1" outlineLevel="1" x14ac:dyDescent="0.25">
      <c r="A1184" s="74">
        <v>4379</v>
      </c>
      <c r="B1184" s="45" t="s">
        <v>664</v>
      </c>
      <c r="C1184" s="60" t="s">
        <v>827</v>
      </c>
      <c r="D1184" s="60"/>
      <c r="E1184" s="74">
        <v>2022</v>
      </c>
      <c r="F1184" s="74" t="s">
        <v>489</v>
      </c>
      <c r="G1184" s="61">
        <v>1</v>
      </c>
      <c r="H1184" s="45">
        <v>10</v>
      </c>
      <c r="I1184" s="74">
        <f>0.0343505*(1000)</f>
        <v>34.350499999999997</v>
      </c>
    </row>
    <row r="1185" spans="1:9" s="71" customFormat="1" ht="16.5" hidden="1" customHeight="1" outlineLevel="1" x14ac:dyDescent="0.25">
      <c r="A1185" s="74">
        <v>4385</v>
      </c>
      <c r="B1185" s="45" t="s">
        <v>664</v>
      </c>
      <c r="C1185" s="60" t="s">
        <v>828</v>
      </c>
      <c r="D1185" s="60"/>
      <c r="E1185" s="74">
        <v>2022</v>
      </c>
      <c r="F1185" s="74" t="s">
        <v>489</v>
      </c>
      <c r="G1185" s="61">
        <v>1</v>
      </c>
      <c r="H1185" s="45">
        <v>15</v>
      </c>
      <c r="I1185" s="74">
        <f>0.03435053*(1000)</f>
        <v>34.350529999999999</v>
      </c>
    </row>
    <row r="1186" spans="1:9" s="71" customFormat="1" ht="16.5" hidden="1" customHeight="1" outlineLevel="1" x14ac:dyDescent="0.25">
      <c r="A1186" s="74">
        <v>4386</v>
      </c>
      <c r="B1186" s="45" t="s">
        <v>664</v>
      </c>
      <c r="C1186" s="60" t="s">
        <v>829</v>
      </c>
      <c r="D1186" s="60"/>
      <c r="E1186" s="74">
        <v>2022</v>
      </c>
      <c r="F1186" s="74" t="s">
        <v>489</v>
      </c>
      <c r="G1186" s="61">
        <v>1</v>
      </c>
      <c r="H1186" s="45">
        <v>15</v>
      </c>
      <c r="I1186" s="74">
        <f>0.0343505*(1000)</f>
        <v>34.350499999999997</v>
      </c>
    </row>
    <row r="1187" spans="1:9" s="71" customFormat="1" ht="16.5" hidden="1" customHeight="1" outlineLevel="1" x14ac:dyDescent="0.25">
      <c r="A1187" s="74">
        <v>4391</v>
      </c>
      <c r="B1187" s="45" t="s">
        <v>664</v>
      </c>
      <c r="C1187" s="60" t="s">
        <v>830</v>
      </c>
      <c r="D1187" s="60"/>
      <c r="E1187" s="74">
        <v>2022</v>
      </c>
      <c r="F1187" s="74" t="s">
        <v>489</v>
      </c>
      <c r="G1187" s="61">
        <v>1</v>
      </c>
      <c r="H1187" s="45">
        <v>15</v>
      </c>
      <c r="I1187" s="74">
        <f>0.03435048*(1000)</f>
        <v>34.350480000000005</v>
      </c>
    </row>
    <row r="1188" spans="1:9" s="71" customFormat="1" ht="16.5" hidden="1" customHeight="1" outlineLevel="1" x14ac:dyDescent="0.25">
      <c r="A1188" s="74">
        <v>4399</v>
      </c>
      <c r="B1188" s="45" t="s">
        <v>664</v>
      </c>
      <c r="C1188" s="60" t="s">
        <v>831</v>
      </c>
      <c r="D1188" s="60"/>
      <c r="E1188" s="74">
        <v>2022</v>
      </c>
      <c r="F1188" s="74" t="s">
        <v>489</v>
      </c>
      <c r="G1188" s="61">
        <v>1</v>
      </c>
      <c r="H1188" s="45">
        <v>15</v>
      </c>
      <c r="I1188" s="74">
        <f>0.03435046*(1000)</f>
        <v>34.350459999999998</v>
      </c>
    </row>
    <row r="1189" spans="1:9" s="71" customFormat="1" ht="16.5" hidden="1" customHeight="1" outlineLevel="1" x14ac:dyDescent="0.25">
      <c r="A1189" s="74">
        <v>4402</v>
      </c>
      <c r="B1189" s="45" t="s">
        <v>664</v>
      </c>
      <c r="C1189" s="60" t="s">
        <v>832</v>
      </c>
      <c r="D1189" s="60"/>
      <c r="E1189" s="74">
        <v>2022</v>
      </c>
      <c r="F1189" s="74" t="s">
        <v>489</v>
      </c>
      <c r="G1189" s="61">
        <v>1</v>
      </c>
      <c r="H1189" s="45">
        <v>13</v>
      </c>
      <c r="I1189" s="74">
        <f>0.0343505*(1000)</f>
        <v>34.350499999999997</v>
      </c>
    </row>
    <row r="1190" spans="1:9" s="71" customFormat="1" ht="16.5" hidden="1" customHeight="1" outlineLevel="1" x14ac:dyDescent="0.25">
      <c r="A1190" s="74">
        <v>4409</v>
      </c>
      <c r="B1190" s="45" t="s">
        <v>664</v>
      </c>
      <c r="C1190" s="60" t="s">
        <v>833</v>
      </c>
      <c r="D1190" s="60"/>
      <c r="E1190" s="74">
        <v>2022</v>
      </c>
      <c r="F1190" s="74" t="s">
        <v>489</v>
      </c>
      <c r="G1190" s="61">
        <v>1</v>
      </c>
      <c r="H1190" s="45">
        <v>15</v>
      </c>
      <c r="I1190" s="74">
        <f>0.03435049*(1000)</f>
        <v>34.350490000000001</v>
      </c>
    </row>
    <row r="1191" spans="1:9" s="71" customFormat="1" ht="16.5" hidden="1" customHeight="1" outlineLevel="1" x14ac:dyDescent="0.25">
      <c r="A1191" s="74">
        <v>4415</v>
      </c>
      <c r="B1191" s="45" t="s">
        <v>664</v>
      </c>
      <c r="C1191" s="60" t="s">
        <v>834</v>
      </c>
      <c r="D1191" s="60"/>
      <c r="E1191" s="74">
        <v>2022</v>
      </c>
      <c r="F1191" s="74" t="s">
        <v>489</v>
      </c>
      <c r="G1191" s="61">
        <v>1</v>
      </c>
      <c r="H1191" s="45">
        <v>15</v>
      </c>
      <c r="I1191" s="74">
        <f>0.03435051*(1000)</f>
        <v>34.35051</v>
      </c>
    </row>
    <row r="1192" spans="1:9" s="71" customFormat="1" ht="16.5" hidden="1" customHeight="1" outlineLevel="1" x14ac:dyDescent="0.25">
      <c r="A1192" s="74">
        <v>4418</v>
      </c>
      <c r="B1192" s="45" t="s">
        <v>664</v>
      </c>
      <c r="C1192" s="60" t="s">
        <v>835</v>
      </c>
      <c r="D1192" s="60"/>
      <c r="E1192" s="74">
        <v>2022</v>
      </c>
      <c r="F1192" s="74" t="s">
        <v>489</v>
      </c>
      <c r="G1192" s="61">
        <v>1</v>
      </c>
      <c r="H1192" s="45">
        <v>15</v>
      </c>
      <c r="I1192" s="74">
        <f>0.03435049*(1000)</f>
        <v>34.350490000000001</v>
      </c>
    </row>
    <row r="1193" spans="1:9" s="71" customFormat="1" ht="16.5" hidden="1" customHeight="1" outlineLevel="1" x14ac:dyDescent="0.25">
      <c r="A1193" s="74">
        <v>4423</v>
      </c>
      <c r="B1193" s="45" t="s">
        <v>664</v>
      </c>
      <c r="C1193" s="60" t="s">
        <v>836</v>
      </c>
      <c r="D1193" s="60"/>
      <c r="E1193" s="74">
        <v>2022</v>
      </c>
      <c r="F1193" s="74" t="s">
        <v>489</v>
      </c>
      <c r="G1193" s="61">
        <v>1</v>
      </c>
      <c r="H1193" s="45">
        <v>15</v>
      </c>
      <c r="I1193" s="74">
        <f>0.03435051*(1000)</f>
        <v>34.35051</v>
      </c>
    </row>
    <row r="1194" spans="1:9" s="71" customFormat="1" ht="16.5" hidden="1" customHeight="1" outlineLevel="1" x14ac:dyDescent="0.25">
      <c r="A1194" s="74">
        <v>4430</v>
      </c>
      <c r="B1194" s="45" t="s">
        <v>664</v>
      </c>
      <c r="C1194" s="60" t="s">
        <v>837</v>
      </c>
      <c r="D1194" s="60"/>
      <c r="E1194" s="74">
        <v>2022</v>
      </c>
      <c r="F1194" s="74" t="s">
        <v>489</v>
      </c>
      <c r="G1194" s="61">
        <v>1</v>
      </c>
      <c r="H1194" s="45">
        <v>10</v>
      </c>
      <c r="I1194" s="74">
        <f>0.03431774*(1000)</f>
        <v>34.317740000000001</v>
      </c>
    </row>
    <row r="1195" spans="1:9" s="71" customFormat="1" ht="16.5" hidden="1" customHeight="1" outlineLevel="1" x14ac:dyDescent="0.25">
      <c r="A1195" s="74">
        <v>4432</v>
      </c>
      <c r="B1195" s="45" t="s">
        <v>664</v>
      </c>
      <c r="C1195" s="60" t="s">
        <v>838</v>
      </c>
      <c r="D1195" s="60"/>
      <c r="E1195" s="74">
        <v>2022</v>
      </c>
      <c r="F1195" s="74" t="s">
        <v>489</v>
      </c>
      <c r="G1195" s="61">
        <v>1</v>
      </c>
      <c r="H1195" s="45">
        <v>15</v>
      </c>
      <c r="I1195" s="74">
        <f>0.03435051*(1000)</f>
        <v>34.35051</v>
      </c>
    </row>
    <row r="1196" spans="1:9" s="71" customFormat="1" ht="16.5" hidden="1" customHeight="1" outlineLevel="1" x14ac:dyDescent="0.25">
      <c r="A1196" s="74">
        <v>4433</v>
      </c>
      <c r="B1196" s="45" t="s">
        <v>664</v>
      </c>
      <c r="C1196" s="60" t="s">
        <v>839</v>
      </c>
      <c r="D1196" s="60"/>
      <c r="E1196" s="74">
        <v>2022</v>
      </c>
      <c r="F1196" s="74" t="s">
        <v>489</v>
      </c>
      <c r="G1196" s="61">
        <v>1</v>
      </c>
      <c r="H1196" s="45">
        <v>15</v>
      </c>
      <c r="I1196" s="74">
        <f t="shared" ref="I1196:I1203" si="0">0.0343505*(1000)</f>
        <v>34.350499999999997</v>
      </c>
    </row>
    <row r="1197" spans="1:9" s="71" customFormat="1" ht="16.5" hidden="1" customHeight="1" outlineLevel="1" x14ac:dyDescent="0.25">
      <c r="A1197" s="74">
        <v>4435</v>
      </c>
      <c r="B1197" s="45" t="s">
        <v>664</v>
      </c>
      <c r="C1197" s="60" t="s">
        <v>840</v>
      </c>
      <c r="D1197" s="60"/>
      <c r="E1197" s="74">
        <v>2022</v>
      </c>
      <c r="F1197" s="74" t="s">
        <v>489</v>
      </c>
      <c r="G1197" s="61">
        <v>1</v>
      </c>
      <c r="H1197" s="45">
        <v>15</v>
      </c>
      <c r="I1197" s="74">
        <f t="shared" si="0"/>
        <v>34.350499999999997</v>
      </c>
    </row>
    <row r="1198" spans="1:9" s="71" customFormat="1" ht="16.5" hidden="1" customHeight="1" outlineLevel="1" x14ac:dyDescent="0.25">
      <c r="A1198" s="74">
        <v>4442</v>
      </c>
      <c r="B1198" s="45" t="s">
        <v>664</v>
      </c>
      <c r="C1198" s="60" t="s">
        <v>841</v>
      </c>
      <c r="D1198" s="60"/>
      <c r="E1198" s="74">
        <v>2022</v>
      </c>
      <c r="F1198" s="74" t="s">
        <v>489</v>
      </c>
      <c r="G1198" s="61">
        <v>1</v>
      </c>
      <c r="H1198" s="45">
        <v>15</v>
      </c>
      <c r="I1198" s="74">
        <f t="shared" si="0"/>
        <v>34.350499999999997</v>
      </c>
    </row>
    <row r="1199" spans="1:9" s="71" customFormat="1" ht="16.5" hidden="1" customHeight="1" outlineLevel="1" x14ac:dyDescent="0.25">
      <c r="A1199" s="74">
        <v>4444</v>
      </c>
      <c r="B1199" s="45" t="s">
        <v>664</v>
      </c>
      <c r="C1199" s="60" t="s">
        <v>842</v>
      </c>
      <c r="D1199" s="60"/>
      <c r="E1199" s="74">
        <v>2022</v>
      </c>
      <c r="F1199" s="74" t="s">
        <v>489</v>
      </c>
      <c r="G1199" s="61">
        <v>1</v>
      </c>
      <c r="H1199" s="45">
        <v>14</v>
      </c>
      <c r="I1199" s="74">
        <f t="shared" si="0"/>
        <v>34.350499999999997</v>
      </c>
    </row>
    <row r="1200" spans="1:9" s="71" customFormat="1" ht="16.5" hidden="1" customHeight="1" outlineLevel="1" x14ac:dyDescent="0.25">
      <c r="A1200" s="74">
        <v>4446</v>
      </c>
      <c r="B1200" s="45" t="s">
        <v>664</v>
      </c>
      <c r="C1200" s="60" t="s">
        <v>843</v>
      </c>
      <c r="D1200" s="60"/>
      <c r="E1200" s="74">
        <v>2022</v>
      </c>
      <c r="F1200" s="74" t="s">
        <v>489</v>
      </c>
      <c r="G1200" s="61">
        <v>1</v>
      </c>
      <c r="H1200" s="45">
        <v>15</v>
      </c>
      <c r="I1200" s="74">
        <f t="shared" si="0"/>
        <v>34.350499999999997</v>
      </c>
    </row>
    <row r="1201" spans="1:9" s="71" customFormat="1" ht="16.5" hidden="1" customHeight="1" outlineLevel="1" x14ac:dyDescent="0.25">
      <c r="A1201" s="74">
        <v>4454</v>
      </c>
      <c r="B1201" s="45" t="s">
        <v>664</v>
      </c>
      <c r="C1201" s="60" t="s">
        <v>844</v>
      </c>
      <c r="D1201" s="60"/>
      <c r="E1201" s="74">
        <v>2022</v>
      </c>
      <c r="F1201" s="74" t="s">
        <v>489</v>
      </c>
      <c r="G1201" s="61">
        <v>1</v>
      </c>
      <c r="H1201" s="45">
        <v>10</v>
      </c>
      <c r="I1201" s="74">
        <f t="shared" si="0"/>
        <v>34.350499999999997</v>
      </c>
    </row>
    <row r="1202" spans="1:9" s="71" customFormat="1" ht="16.5" hidden="1" customHeight="1" outlineLevel="1" x14ac:dyDescent="0.25">
      <c r="A1202" s="74">
        <v>4456</v>
      </c>
      <c r="B1202" s="45" t="s">
        <v>664</v>
      </c>
      <c r="C1202" s="60" t="s">
        <v>845</v>
      </c>
      <c r="D1202" s="60"/>
      <c r="E1202" s="74">
        <v>2022</v>
      </c>
      <c r="F1202" s="74" t="s">
        <v>489</v>
      </c>
      <c r="G1202" s="61">
        <v>1</v>
      </c>
      <c r="H1202" s="45">
        <v>11</v>
      </c>
      <c r="I1202" s="74">
        <f t="shared" si="0"/>
        <v>34.350499999999997</v>
      </c>
    </row>
    <row r="1203" spans="1:9" s="71" customFormat="1" ht="16.5" hidden="1" customHeight="1" outlineLevel="1" x14ac:dyDescent="0.25">
      <c r="A1203" s="74">
        <v>4465</v>
      </c>
      <c r="B1203" s="45" t="s">
        <v>664</v>
      </c>
      <c r="C1203" s="60" t="s">
        <v>846</v>
      </c>
      <c r="D1203" s="60"/>
      <c r="E1203" s="74">
        <v>2022</v>
      </c>
      <c r="F1203" s="74" t="s">
        <v>489</v>
      </c>
      <c r="G1203" s="61">
        <v>1</v>
      </c>
      <c r="H1203" s="45">
        <v>15</v>
      </c>
      <c r="I1203" s="74">
        <f t="shared" si="0"/>
        <v>34.350499999999997</v>
      </c>
    </row>
    <row r="1204" spans="1:9" s="71" customFormat="1" ht="16.5" hidden="1" customHeight="1" outlineLevel="1" x14ac:dyDescent="0.25">
      <c r="A1204" s="74">
        <v>4470</v>
      </c>
      <c r="B1204" s="45" t="s">
        <v>664</v>
      </c>
      <c r="C1204" s="60" t="s">
        <v>847</v>
      </c>
      <c r="D1204" s="60"/>
      <c r="E1204" s="74">
        <v>2022</v>
      </c>
      <c r="F1204" s="74" t="s">
        <v>489</v>
      </c>
      <c r="G1204" s="61">
        <v>1</v>
      </c>
      <c r="H1204" s="45">
        <v>15</v>
      </c>
      <c r="I1204" s="74">
        <f>0.03431317*(1000)</f>
        <v>34.31317</v>
      </c>
    </row>
    <row r="1205" spans="1:9" s="71" customFormat="1" ht="16.5" hidden="1" customHeight="1" outlineLevel="1" x14ac:dyDescent="0.25">
      <c r="A1205" s="74">
        <v>4472</v>
      </c>
      <c r="B1205" s="45" t="s">
        <v>664</v>
      </c>
      <c r="C1205" s="60" t="s">
        <v>848</v>
      </c>
      <c r="D1205" s="60"/>
      <c r="E1205" s="74">
        <v>2022</v>
      </c>
      <c r="F1205" s="74" t="s">
        <v>489</v>
      </c>
      <c r="G1205" s="61">
        <v>1</v>
      </c>
      <c r="H1205" s="45">
        <v>15</v>
      </c>
      <c r="I1205" s="74">
        <f>0.03421564*(1000)</f>
        <v>34.21564</v>
      </c>
    </row>
    <row r="1206" spans="1:9" s="71" customFormat="1" ht="16.5" hidden="1" customHeight="1" outlineLevel="1" x14ac:dyDescent="0.25">
      <c r="A1206" s="74">
        <v>4473</v>
      </c>
      <c r="B1206" s="45" t="s">
        <v>664</v>
      </c>
      <c r="C1206" s="60" t="s">
        <v>849</v>
      </c>
      <c r="D1206" s="60"/>
      <c r="E1206" s="74">
        <v>2022</v>
      </c>
      <c r="F1206" s="74" t="s">
        <v>489</v>
      </c>
      <c r="G1206" s="61">
        <v>1</v>
      </c>
      <c r="H1206" s="45">
        <v>15</v>
      </c>
      <c r="I1206" s="74">
        <f>0.03425293*(1000)</f>
        <v>34.252929999999999</v>
      </c>
    </row>
    <row r="1207" spans="1:9" s="71" customFormat="1" ht="16.5" hidden="1" customHeight="1" outlineLevel="1" x14ac:dyDescent="0.25">
      <c r="A1207" s="74">
        <v>4476</v>
      </c>
      <c r="B1207" s="45" t="s">
        <v>664</v>
      </c>
      <c r="C1207" s="60" t="s">
        <v>850</v>
      </c>
      <c r="D1207" s="60"/>
      <c r="E1207" s="74">
        <v>2022</v>
      </c>
      <c r="F1207" s="74" t="s">
        <v>489</v>
      </c>
      <c r="G1207" s="61">
        <v>1</v>
      </c>
      <c r="H1207" s="45">
        <v>11</v>
      </c>
      <c r="I1207" s="74">
        <f>0.03421564*(1000)</f>
        <v>34.21564</v>
      </c>
    </row>
    <row r="1208" spans="1:9" s="71" customFormat="1" ht="16.5" hidden="1" customHeight="1" outlineLevel="1" x14ac:dyDescent="0.25">
      <c r="A1208" s="74">
        <v>4487</v>
      </c>
      <c r="B1208" s="45" t="s">
        <v>664</v>
      </c>
      <c r="C1208" s="60" t="s">
        <v>851</v>
      </c>
      <c r="D1208" s="60"/>
      <c r="E1208" s="74">
        <v>2022</v>
      </c>
      <c r="F1208" s="74" t="s">
        <v>489</v>
      </c>
      <c r="G1208" s="61">
        <v>1</v>
      </c>
      <c r="H1208" s="45">
        <v>12</v>
      </c>
      <c r="I1208" s="74">
        <f>0.03406126*(1000)</f>
        <v>34.061260000000004</v>
      </c>
    </row>
    <row r="1209" spans="1:9" s="71" customFormat="1" ht="16.5" hidden="1" customHeight="1" outlineLevel="1" x14ac:dyDescent="0.25">
      <c r="A1209" s="74">
        <v>4489</v>
      </c>
      <c r="B1209" s="45" t="s">
        <v>664</v>
      </c>
      <c r="C1209" s="60" t="s">
        <v>852</v>
      </c>
      <c r="D1209" s="60"/>
      <c r="E1209" s="74">
        <v>2022</v>
      </c>
      <c r="F1209" s="74" t="s">
        <v>489</v>
      </c>
      <c r="G1209" s="61">
        <v>1</v>
      </c>
      <c r="H1209" s="45">
        <v>15</v>
      </c>
      <c r="I1209" s="74">
        <f>0.03406126*(1000)</f>
        <v>34.061260000000004</v>
      </c>
    </row>
    <row r="1210" spans="1:9" s="71" customFormat="1" ht="16.5" hidden="1" customHeight="1" outlineLevel="1" x14ac:dyDescent="0.25">
      <c r="A1210" s="74">
        <v>4493</v>
      </c>
      <c r="B1210" s="45" t="s">
        <v>664</v>
      </c>
      <c r="C1210" s="60" t="s">
        <v>853</v>
      </c>
      <c r="D1210" s="60"/>
      <c r="E1210" s="74">
        <v>2022</v>
      </c>
      <c r="F1210" s="74" t="s">
        <v>489</v>
      </c>
      <c r="G1210" s="61">
        <v>1</v>
      </c>
      <c r="H1210" s="45">
        <v>15</v>
      </c>
      <c r="I1210" s="74">
        <f>0.03406126*(1000)</f>
        <v>34.061260000000004</v>
      </c>
    </row>
    <row r="1211" spans="1:9" s="71" customFormat="1" ht="16.5" hidden="1" customHeight="1" outlineLevel="1" x14ac:dyDescent="0.25">
      <c r="A1211" s="74">
        <v>4498</v>
      </c>
      <c r="B1211" s="45" t="s">
        <v>664</v>
      </c>
      <c r="C1211" s="60" t="s">
        <v>854</v>
      </c>
      <c r="D1211" s="60"/>
      <c r="E1211" s="74">
        <v>2022</v>
      </c>
      <c r="F1211" s="74" t="s">
        <v>489</v>
      </c>
      <c r="G1211" s="61">
        <v>1</v>
      </c>
      <c r="H1211" s="45">
        <v>15</v>
      </c>
      <c r="I1211" s="74">
        <f>0.03421564*(1000)</f>
        <v>34.21564</v>
      </c>
    </row>
    <row r="1212" spans="1:9" s="71" customFormat="1" ht="16.5" hidden="1" customHeight="1" outlineLevel="1" x14ac:dyDescent="0.25">
      <c r="A1212" s="74">
        <v>4500</v>
      </c>
      <c r="B1212" s="45" t="s">
        <v>664</v>
      </c>
      <c r="C1212" s="60" t="s">
        <v>855</v>
      </c>
      <c r="D1212" s="60"/>
      <c r="E1212" s="74">
        <v>2022</v>
      </c>
      <c r="F1212" s="74" t="s">
        <v>489</v>
      </c>
      <c r="G1212" s="61">
        <v>1</v>
      </c>
      <c r="H1212" s="45">
        <v>15</v>
      </c>
      <c r="I1212" s="74">
        <f>0.03421564*(1000)</f>
        <v>34.21564</v>
      </c>
    </row>
    <row r="1213" spans="1:9" s="71" customFormat="1" ht="16.5" hidden="1" customHeight="1" outlineLevel="1" x14ac:dyDescent="0.25">
      <c r="A1213" s="74">
        <v>4531</v>
      </c>
      <c r="B1213" s="45" t="s">
        <v>664</v>
      </c>
      <c r="C1213" s="60" t="s">
        <v>856</v>
      </c>
      <c r="D1213" s="60"/>
      <c r="E1213" s="74">
        <v>2022</v>
      </c>
      <c r="F1213" s="74" t="s">
        <v>489</v>
      </c>
      <c r="G1213" s="61">
        <v>1</v>
      </c>
      <c r="H1213" s="45">
        <v>15</v>
      </c>
      <c r="I1213" s="74">
        <f>0.03406126*(1000)</f>
        <v>34.061260000000004</v>
      </c>
    </row>
    <row r="1214" spans="1:9" s="71" customFormat="1" ht="16.5" hidden="1" customHeight="1" outlineLevel="1" x14ac:dyDescent="0.25">
      <c r="A1214" s="74">
        <v>4532</v>
      </c>
      <c r="B1214" s="45" t="s">
        <v>664</v>
      </c>
      <c r="C1214" s="60" t="s">
        <v>857</v>
      </c>
      <c r="D1214" s="60"/>
      <c r="E1214" s="74">
        <v>2022</v>
      </c>
      <c r="F1214" s="74" t="s">
        <v>489</v>
      </c>
      <c r="G1214" s="61">
        <v>1</v>
      </c>
      <c r="H1214" s="45">
        <v>12</v>
      </c>
      <c r="I1214" s="74">
        <f>0.03421564*(1000)</f>
        <v>34.21564</v>
      </c>
    </row>
    <row r="1215" spans="1:9" s="71" customFormat="1" ht="16.5" hidden="1" customHeight="1" outlineLevel="1" x14ac:dyDescent="0.25">
      <c r="A1215" s="74">
        <v>4534</v>
      </c>
      <c r="B1215" s="45" t="s">
        <v>664</v>
      </c>
      <c r="C1215" s="60" t="s">
        <v>858</v>
      </c>
      <c r="D1215" s="60"/>
      <c r="E1215" s="74">
        <v>2022</v>
      </c>
      <c r="F1215" s="74" t="s">
        <v>489</v>
      </c>
      <c r="G1215" s="61">
        <v>1</v>
      </c>
      <c r="H1215" s="45">
        <v>14</v>
      </c>
      <c r="I1215" s="74">
        <f>0.03421564*(1000)</f>
        <v>34.21564</v>
      </c>
    </row>
    <row r="1216" spans="1:9" s="71" customFormat="1" ht="16.5" hidden="1" customHeight="1" outlineLevel="1" x14ac:dyDescent="0.25">
      <c r="A1216" s="74">
        <v>4539</v>
      </c>
      <c r="B1216" s="45" t="s">
        <v>664</v>
      </c>
      <c r="C1216" s="60" t="s">
        <v>859</v>
      </c>
      <c r="D1216" s="60"/>
      <c r="E1216" s="74">
        <v>2022</v>
      </c>
      <c r="F1216" s="74" t="s">
        <v>489</v>
      </c>
      <c r="G1216" s="61">
        <v>1</v>
      </c>
      <c r="H1216" s="45">
        <v>12</v>
      </c>
      <c r="I1216" s="74">
        <f>0.03406126*(1000)</f>
        <v>34.061260000000004</v>
      </c>
    </row>
    <row r="1217" spans="1:9" s="71" customFormat="1" ht="16.5" hidden="1" customHeight="1" outlineLevel="1" x14ac:dyDescent="0.25">
      <c r="A1217" s="74">
        <v>4540</v>
      </c>
      <c r="B1217" s="45" t="s">
        <v>664</v>
      </c>
      <c r="C1217" s="60" t="s">
        <v>860</v>
      </c>
      <c r="D1217" s="60"/>
      <c r="E1217" s="74">
        <v>2022</v>
      </c>
      <c r="F1217" s="74" t="s">
        <v>489</v>
      </c>
      <c r="G1217" s="61">
        <v>1</v>
      </c>
      <c r="H1217" s="45">
        <v>15</v>
      </c>
      <c r="I1217" s="74">
        <f>0.03406126*(1000)</f>
        <v>34.061260000000004</v>
      </c>
    </row>
    <row r="1218" spans="1:9" s="71" customFormat="1" ht="16.5" hidden="1" customHeight="1" outlineLevel="1" x14ac:dyDescent="0.25">
      <c r="A1218" s="74">
        <v>4541</v>
      </c>
      <c r="B1218" s="45" t="s">
        <v>664</v>
      </c>
      <c r="C1218" s="60" t="s">
        <v>861</v>
      </c>
      <c r="D1218" s="60"/>
      <c r="E1218" s="74">
        <v>2022</v>
      </c>
      <c r="F1218" s="74" t="s">
        <v>489</v>
      </c>
      <c r="G1218" s="61">
        <v>1</v>
      </c>
      <c r="H1218" s="45">
        <v>12</v>
      </c>
      <c r="I1218" s="74">
        <f>0.03405981*(1000)</f>
        <v>34.059810000000006</v>
      </c>
    </row>
    <row r="1219" spans="1:9" s="71" customFormat="1" ht="16.5" hidden="1" customHeight="1" outlineLevel="1" x14ac:dyDescent="0.25">
      <c r="A1219" s="74">
        <v>4542</v>
      </c>
      <c r="B1219" s="45" t="s">
        <v>664</v>
      </c>
      <c r="C1219" s="60" t="s">
        <v>862</v>
      </c>
      <c r="D1219" s="60"/>
      <c r="E1219" s="74">
        <v>2022</v>
      </c>
      <c r="F1219" s="74" t="s">
        <v>489</v>
      </c>
      <c r="G1219" s="61">
        <v>1</v>
      </c>
      <c r="H1219" s="45">
        <v>235</v>
      </c>
      <c r="I1219" s="74">
        <f>0.47096844*(1000)</f>
        <v>470.96843999999999</v>
      </c>
    </row>
    <row r="1220" spans="1:9" s="71" customFormat="1" ht="16.5" hidden="1" customHeight="1" outlineLevel="1" x14ac:dyDescent="0.25">
      <c r="A1220" s="74">
        <v>4543</v>
      </c>
      <c r="B1220" s="45" t="s">
        <v>664</v>
      </c>
      <c r="C1220" s="60" t="s">
        <v>863</v>
      </c>
      <c r="D1220" s="60"/>
      <c r="E1220" s="74">
        <v>2022</v>
      </c>
      <c r="F1220" s="74" t="s">
        <v>489</v>
      </c>
      <c r="G1220" s="61">
        <v>1</v>
      </c>
      <c r="H1220" s="45">
        <v>100</v>
      </c>
      <c r="I1220" s="74">
        <f>0.47118763*(1000)</f>
        <v>471.18763000000001</v>
      </c>
    </row>
    <row r="1221" spans="1:9" s="71" customFormat="1" ht="16.5" hidden="1" customHeight="1" outlineLevel="1" x14ac:dyDescent="0.25">
      <c r="A1221" s="74">
        <v>4544</v>
      </c>
      <c r="B1221" s="45" t="s">
        <v>664</v>
      </c>
      <c r="C1221" s="60" t="s">
        <v>864</v>
      </c>
      <c r="D1221" s="60"/>
      <c r="E1221" s="74">
        <v>2022</v>
      </c>
      <c r="F1221" s="74" t="s">
        <v>489</v>
      </c>
      <c r="G1221" s="61">
        <v>1</v>
      </c>
      <c r="H1221" s="45">
        <v>12</v>
      </c>
      <c r="I1221" s="74">
        <f>0.47383077*(1000)</f>
        <v>473.83077000000003</v>
      </c>
    </row>
    <row r="1222" spans="1:9" s="71" customFormat="1" ht="16.5" hidden="1" customHeight="1" outlineLevel="1" x14ac:dyDescent="0.25">
      <c r="A1222" s="74">
        <v>4545</v>
      </c>
      <c r="B1222" s="45" t="s">
        <v>664</v>
      </c>
      <c r="C1222" s="60" t="s">
        <v>865</v>
      </c>
      <c r="D1222" s="60"/>
      <c r="E1222" s="74">
        <v>2022</v>
      </c>
      <c r="F1222" s="74" t="s">
        <v>489</v>
      </c>
      <c r="G1222" s="61">
        <v>1</v>
      </c>
      <c r="H1222" s="45">
        <v>150</v>
      </c>
      <c r="I1222" s="74">
        <f>0.4728893*(1000)</f>
        <v>472.88929999999999</v>
      </c>
    </row>
    <row r="1223" spans="1:9" s="71" customFormat="1" ht="16.5" hidden="1" customHeight="1" outlineLevel="1" x14ac:dyDescent="0.25">
      <c r="A1223" s="74">
        <v>4546</v>
      </c>
      <c r="B1223" s="45" t="s">
        <v>664</v>
      </c>
      <c r="C1223" s="60" t="s">
        <v>866</v>
      </c>
      <c r="D1223" s="60"/>
      <c r="E1223" s="74">
        <v>2022</v>
      </c>
      <c r="F1223" s="74" t="s">
        <v>489</v>
      </c>
      <c r="G1223" s="61">
        <v>1</v>
      </c>
      <c r="H1223" s="45">
        <v>100</v>
      </c>
      <c r="I1223" s="74">
        <f>0.4738104*(1000)</f>
        <v>473.81040000000002</v>
      </c>
    </row>
    <row r="1224" spans="1:9" s="71" customFormat="1" ht="16.5" hidden="1" customHeight="1" outlineLevel="1" x14ac:dyDescent="0.25">
      <c r="A1224" s="74">
        <v>4547</v>
      </c>
      <c r="B1224" s="45" t="s">
        <v>664</v>
      </c>
      <c r="C1224" s="60" t="s">
        <v>125</v>
      </c>
      <c r="D1224" s="60"/>
      <c r="E1224" s="74">
        <v>2022</v>
      </c>
      <c r="F1224" s="74" t="s">
        <v>489</v>
      </c>
      <c r="G1224" s="61">
        <v>1</v>
      </c>
      <c r="H1224" s="45">
        <v>140</v>
      </c>
      <c r="I1224" s="74">
        <f>0.1978213*(1000)</f>
        <v>197.82130000000001</v>
      </c>
    </row>
    <row r="1225" spans="1:9" s="71" customFormat="1" ht="16.5" hidden="1" customHeight="1" outlineLevel="1" x14ac:dyDescent="0.25">
      <c r="A1225" s="74">
        <v>4548</v>
      </c>
      <c r="B1225" s="45" t="s">
        <v>664</v>
      </c>
      <c r="C1225" s="60" t="s">
        <v>126</v>
      </c>
      <c r="D1225" s="60"/>
      <c r="E1225" s="74">
        <v>2022</v>
      </c>
      <c r="F1225" s="74" t="s">
        <v>489</v>
      </c>
      <c r="G1225" s="61">
        <v>1</v>
      </c>
      <c r="H1225" s="45">
        <v>149</v>
      </c>
      <c r="I1225" s="74">
        <f>0.27812726*(1000)</f>
        <v>278.12725999999998</v>
      </c>
    </row>
    <row r="1226" spans="1:9" s="71" customFormat="1" ht="16.5" hidden="1" customHeight="1" outlineLevel="1" x14ac:dyDescent="0.25">
      <c r="A1226" s="74">
        <v>2712</v>
      </c>
      <c r="B1226" s="45" t="s">
        <v>664</v>
      </c>
      <c r="C1226" s="60" t="s">
        <v>127</v>
      </c>
      <c r="D1226" s="60"/>
      <c r="E1226" s="74">
        <v>2022</v>
      </c>
      <c r="F1226" s="74" t="s">
        <v>489</v>
      </c>
      <c r="G1226" s="61">
        <v>1</v>
      </c>
      <c r="H1226" s="45">
        <v>300</v>
      </c>
      <c r="I1226" s="74">
        <f>0.13146*(1000)</f>
        <v>131.45999999999998</v>
      </c>
    </row>
    <row r="1227" spans="1:9" s="71" customFormat="1" ht="16.5" hidden="1" customHeight="1" outlineLevel="1" x14ac:dyDescent="0.25">
      <c r="A1227" s="74">
        <v>2736</v>
      </c>
      <c r="B1227" s="45" t="s">
        <v>664</v>
      </c>
      <c r="C1227" s="60" t="s">
        <v>867</v>
      </c>
      <c r="D1227" s="60"/>
      <c r="E1227" s="74">
        <v>2022</v>
      </c>
      <c r="F1227" s="74" t="s">
        <v>489</v>
      </c>
      <c r="G1227" s="61">
        <v>3</v>
      </c>
      <c r="H1227" s="45">
        <v>31</v>
      </c>
      <c r="I1227" s="74">
        <f>0.067453*(1000)</f>
        <v>67.453000000000003</v>
      </c>
    </row>
    <row r="1228" spans="1:9" s="71" customFormat="1" ht="16.5" hidden="1" customHeight="1" outlineLevel="1" x14ac:dyDescent="0.25">
      <c r="A1228" s="74">
        <v>2746</v>
      </c>
      <c r="B1228" s="45" t="s">
        <v>664</v>
      </c>
      <c r="C1228" s="60" t="s">
        <v>868</v>
      </c>
      <c r="D1228" s="60"/>
      <c r="E1228" s="74">
        <v>2022</v>
      </c>
      <c r="F1228" s="74" t="s">
        <v>489</v>
      </c>
      <c r="G1228" s="61">
        <v>2</v>
      </c>
      <c r="H1228" s="45">
        <v>12</v>
      </c>
      <c r="I1228" s="74">
        <f>0.053406*(1000)</f>
        <v>53.405999999999999</v>
      </c>
    </row>
    <row r="1229" spans="1:9" s="71" customFormat="1" ht="16.5" hidden="1" customHeight="1" outlineLevel="1" x14ac:dyDescent="0.25">
      <c r="A1229" s="74">
        <v>2759</v>
      </c>
      <c r="B1229" s="45" t="s">
        <v>664</v>
      </c>
      <c r="C1229" s="60" t="s">
        <v>869</v>
      </c>
      <c r="D1229" s="60"/>
      <c r="E1229" s="74">
        <v>2022</v>
      </c>
      <c r="F1229" s="74" t="s">
        <v>489</v>
      </c>
      <c r="G1229" s="61">
        <v>3</v>
      </c>
      <c r="H1229" s="45">
        <v>36.47</v>
      </c>
      <c r="I1229" s="74">
        <f>0.086889*(1000)</f>
        <v>86.888999999999996</v>
      </c>
    </row>
    <row r="1230" spans="1:9" s="71" customFormat="1" ht="16.5" hidden="1" customHeight="1" outlineLevel="1" x14ac:dyDescent="0.25">
      <c r="A1230" s="74">
        <v>2773</v>
      </c>
      <c r="B1230" s="45" t="s">
        <v>664</v>
      </c>
      <c r="C1230" s="60" t="s">
        <v>870</v>
      </c>
      <c r="D1230" s="60"/>
      <c r="E1230" s="74">
        <v>2022</v>
      </c>
      <c r="F1230" s="74" t="s">
        <v>489</v>
      </c>
      <c r="G1230" s="61">
        <v>1</v>
      </c>
      <c r="H1230" s="45">
        <v>5</v>
      </c>
      <c r="I1230" s="74">
        <f>0.039235*(1000)</f>
        <v>39.234999999999999</v>
      </c>
    </row>
    <row r="1231" spans="1:9" s="71" customFormat="1" ht="16.5" hidden="1" customHeight="1" outlineLevel="1" x14ac:dyDescent="0.25">
      <c r="A1231" s="74">
        <v>2789</v>
      </c>
      <c r="B1231" s="45" t="s">
        <v>664</v>
      </c>
      <c r="C1231" s="60" t="s">
        <v>871</v>
      </c>
      <c r="D1231" s="60"/>
      <c r="E1231" s="74">
        <v>2022</v>
      </c>
      <c r="F1231" s="74" t="s">
        <v>489</v>
      </c>
      <c r="G1231" s="61">
        <v>1</v>
      </c>
      <c r="H1231" s="45">
        <v>15</v>
      </c>
      <c r="I1231" s="74">
        <f>0.039155*(1000)</f>
        <v>39.155000000000001</v>
      </c>
    </row>
    <row r="1232" spans="1:9" s="71" customFormat="1" ht="16.5" hidden="1" customHeight="1" outlineLevel="1" x14ac:dyDescent="0.25">
      <c r="A1232" s="74">
        <v>2794</v>
      </c>
      <c r="B1232" s="45" t="s">
        <v>664</v>
      </c>
      <c r="C1232" s="60" t="s">
        <v>872</v>
      </c>
      <c r="D1232" s="60"/>
      <c r="E1232" s="74">
        <v>2022</v>
      </c>
      <c r="F1232" s="74" t="s">
        <v>489</v>
      </c>
      <c r="G1232" s="61">
        <v>1</v>
      </c>
      <c r="H1232" s="45">
        <v>10</v>
      </c>
      <c r="I1232" s="74">
        <f>0.029518*(1000)</f>
        <v>29.518000000000001</v>
      </c>
    </row>
    <row r="1233" spans="1:9" s="71" customFormat="1" ht="16.5" hidden="1" customHeight="1" outlineLevel="1" x14ac:dyDescent="0.25">
      <c r="A1233" s="74">
        <v>2801</v>
      </c>
      <c r="B1233" s="45" t="s">
        <v>664</v>
      </c>
      <c r="C1233" s="60" t="s">
        <v>873</v>
      </c>
      <c r="D1233" s="60"/>
      <c r="E1233" s="74">
        <v>2022</v>
      </c>
      <c r="F1233" s="74" t="s">
        <v>489</v>
      </c>
      <c r="G1233" s="61">
        <v>4</v>
      </c>
      <c r="H1233" s="45">
        <v>27</v>
      </c>
      <c r="I1233" s="74">
        <f>0.07227261*(1000)</f>
        <v>72.27261</v>
      </c>
    </row>
    <row r="1234" spans="1:9" s="71" customFormat="1" ht="16.5" hidden="1" customHeight="1" outlineLevel="1" x14ac:dyDescent="0.25">
      <c r="A1234" s="74">
        <v>2805</v>
      </c>
      <c r="B1234" s="45" t="s">
        <v>664</v>
      </c>
      <c r="C1234" s="60" t="s">
        <v>874</v>
      </c>
      <c r="D1234" s="60"/>
      <c r="E1234" s="74">
        <v>2022</v>
      </c>
      <c r="F1234" s="74" t="s">
        <v>489</v>
      </c>
      <c r="G1234" s="61">
        <v>2</v>
      </c>
      <c r="H1234" s="45">
        <v>30</v>
      </c>
      <c r="I1234" s="74">
        <f>0.052311*(1000)</f>
        <v>52.311</v>
      </c>
    </row>
    <row r="1235" spans="1:9" s="71" customFormat="1" ht="16.5" hidden="1" customHeight="1" outlineLevel="1" x14ac:dyDescent="0.25">
      <c r="A1235" s="74">
        <v>2810</v>
      </c>
      <c r="B1235" s="45" t="s">
        <v>664</v>
      </c>
      <c r="C1235" s="60" t="s">
        <v>875</v>
      </c>
      <c r="D1235" s="60"/>
      <c r="E1235" s="74">
        <v>2022</v>
      </c>
      <c r="F1235" s="74" t="s">
        <v>489</v>
      </c>
      <c r="G1235" s="61">
        <v>1</v>
      </c>
      <c r="H1235" s="45">
        <v>10</v>
      </c>
      <c r="I1235" s="74">
        <f>0.090238*(1000)</f>
        <v>90.238</v>
      </c>
    </row>
    <row r="1236" spans="1:9" s="71" customFormat="1" ht="16.5" hidden="1" customHeight="1" outlineLevel="1" x14ac:dyDescent="0.25">
      <c r="A1236" s="74">
        <v>2812</v>
      </c>
      <c r="B1236" s="45" t="s">
        <v>664</v>
      </c>
      <c r="C1236" s="60" t="s">
        <v>876</v>
      </c>
      <c r="D1236" s="60"/>
      <c r="E1236" s="74">
        <v>2022</v>
      </c>
      <c r="F1236" s="74" t="s">
        <v>489</v>
      </c>
      <c r="G1236" s="61">
        <v>1</v>
      </c>
      <c r="H1236" s="45">
        <v>10</v>
      </c>
      <c r="I1236" s="74">
        <f>0.029411*(1000)</f>
        <v>29.411000000000001</v>
      </c>
    </row>
    <row r="1237" spans="1:9" s="71" customFormat="1" ht="16.5" hidden="1" customHeight="1" outlineLevel="1" x14ac:dyDescent="0.25">
      <c r="A1237" s="74">
        <v>2844</v>
      </c>
      <c r="B1237" s="45" t="s">
        <v>664</v>
      </c>
      <c r="C1237" s="60" t="s">
        <v>877</v>
      </c>
      <c r="D1237" s="60"/>
      <c r="E1237" s="74">
        <v>2022</v>
      </c>
      <c r="F1237" s="74" t="s">
        <v>489</v>
      </c>
      <c r="G1237" s="61">
        <v>1</v>
      </c>
      <c r="H1237" s="45">
        <v>80</v>
      </c>
      <c r="I1237" s="74">
        <f>0.10055*(1000)</f>
        <v>100.55</v>
      </c>
    </row>
    <row r="1238" spans="1:9" s="71" customFormat="1" ht="16.5" hidden="1" customHeight="1" outlineLevel="1" x14ac:dyDescent="0.25">
      <c r="A1238" s="74">
        <v>2881</v>
      </c>
      <c r="B1238" s="45" t="s">
        <v>664</v>
      </c>
      <c r="C1238" s="60" t="s">
        <v>128</v>
      </c>
      <c r="D1238" s="60"/>
      <c r="E1238" s="74">
        <v>2022</v>
      </c>
      <c r="F1238" s="74" t="s">
        <v>489</v>
      </c>
      <c r="G1238" s="61">
        <v>1</v>
      </c>
      <c r="H1238" s="45">
        <v>130</v>
      </c>
      <c r="I1238" s="74">
        <f>0.134121*(1000)</f>
        <v>134.12099999999998</v>
      </c>
    </row>
    <row r="1239" spans="1:9" s="71" customFormat="1" ht="16.5" hidden="1" customHeight="1" outlineLevel="1" x14ac:dyDescent="0.25">
      <c r="A1239" s="74">
        <v>2887</v>
      </c>
      <c r="B1239" s="45" t="s">
        <v>664</v>
      </c>
      <c r="C1239" s="60" t="s">
        <v>878</v>
      </c>
      <c r="D1239" s="60"/>
      <c r="E1239" s="74">
        <v>2022</v>
      </c>
      <c r="F1239" s="74" t="s">
        <v>489</v>
      </c>
      <c r="G1239" s="61">
        <v>1</v>
      </c>
      <c r="H1239" s="45">
        <v>100</v>
      </c>
      <c r="I1239" s="74">
        <f>0.082333*(1000)</f>
        <v>82.332999999999998</v>
      </c>
    </row>
    <row r="1240" spans="1:9" s="71" customFormat="1" ht="16.5" hidden="1" customHeight="1" outlineLevel="1" x14ac:dyDescent="0.25">
      <c r="A1240" s="74">
        <v>2929</v>
      </c>
      <c r="B1240" s="45" t="s">
        <v>664</v>
      </c>
      <c r="C1240" s="60" t="s">
        <v>879</v>
      </c>
      <c r="D1240" s="60"/>
      <c r="E1240" s="74">
        <v>2022</v>
      </c>
      <c r="F1240" s="74" t="s">
        <v>489</v>
      </c>
      <c r="G1240" s="61">
        <v>2</v>
      </c>
      <c r="H1240" s="45">
        <v>27</v>
      </c>
      <c r="I1240" s="74">
        <f>0.04682857*(1000)</f>
        <v>46.828569999999999</v>
      </c>
    </row>
    <row r="1241" spans="1:9" s="71" customFormat="1" ht="16.5" hidden="1" customHeight="1" outlineLevel="1" x14ac:dyDescent="0.25">
      <c r="A1241" s="74">
        <v>2930</v>
      </c>
      <c r="B1241" s="45" t="s">
        <v>664</v>
      </c>
      <c r="C1241" s="60" t="s">
        <v>880</v>
      </c>
      <c r="D1241" s="60"/>
      <c r="E1241" s="74">
        <v>2022</v>
      </c>
      <c r="F1241" s="74" t="s">
        <v>489</v>
      </c>
      <c r="G1241" s="61">
        <v>1</v>
      </c>
      <c r="H1241" s="45">
        <v>5</v>
      </c>
      <c r="I1241" s="74">
        <f>0.03525092*(1000)</f>
        <v>35.250920000000001</v>
      </c>
    </row>
    <row r="1242" spans="1:9" s="71" customFormat="1" ht="16.5" hidden="1" customHeight="1" outlineLevel="1" x14ac:dyDescent="0.25">
      <c r="A1242" s="74">
        <v>2931</v>
      </c>
      <c r="B1242" s="45" t="s">
        <v>664</v>
      </c>
      <c r="C1242" s="60" t="s">
        <v>881</v>
      </c>
      <c r="D1242" s="60"/>
      <c r="E1242" s="74">
        <v>2022</v>
      </c>
      <c r="F1242" s="74" t="s">
        <v>489</v>
      </c>
      <c r="G1242" s="61">
        <v>2</v>
      </c>
      <c r="H1242" s="45">
        <v>28</v>
      </c>
      <c r="I1242" s="74">
        <f>0.06951559*(1000)</f>
        <v>69.515590000000003</v>
      </c>
    </row>
    <row r="1243" spans="1:9" s="71" customFormat="1" ht="16.5" hidden="1" customHeight="1" outlineLevel="1" x14ac:dyDescent="0.25">
      <c r="A1243" s="74">
        <v>2932</v>
      </c>
      <c r="B1243" s="45" t="s">
        <v>664</v>
      </c>
      <c r="C1243" s="60" t="s">
        <v>882</v>
      </c>
      <c r="D1243" s="60"/>
      <c r="E1243" s="74">
        <v>2022</v>
      </c>
      <c r="F1243" s="74" t="s">
        <v>489</v>
      </c>
      <c r="G1243" s="61">
        <v>2</v>
      </c>
      <c r="H1243" s="45">
        <v>17</v>
      </c>
      <c r="I1243" s="74">
        <f>0.06438746*(1000)</f>
        <v>64.38745999999999</v>
      </c>
    </row>
    <row r="1244" spans="1:9" s="71" customFormat="1" ht="16.5" hidden="1" customHeight="1" outlineLevel="1" x14ac:dyDescent="0.25">
      <c r="A1244" s="74">
        <v>2934</v>
      </c>
      <c r="B1244" s="45" t="s">
        <v>664</v>
      </c>
      <c r="C1244" s="60" t="s">
        <v>883</v>
      </c>
      <c r="D1244" s="60"/>
      <c r="E1244" s="74">
        <v>2022</v>
      </c>
      <c r="F1244" s="74" t="s">
        <v>489</v>
      </c>
      <c r="G1244" s="61">
        <v>3</v>
      </c>
      <c r="H1244" s="45">
        <v>29</v>
      </c>
      <c r="I1244" s="74">
        <f>0.10109676*(1000)</f>
        <v>101.09675999999999</v>
      </c>
    </row>
    <row r="1245" spans="1:9" s="71" customFormat="1" ht="16.5" hidden="1" customHeight="1" outlineLevel="1" x14ac:dyDescent="0.25">
      <c r="A1245" s="74">
        <v>2935</v>
      </c>
      <c r="B1245" s="45" t="s">
        <v>664</v>
      </c>
      <c r="C1245" s="60" t="s">
        <v>884</v>
      </c>
      <c r="D1245" s="60"/>
      <c r="E1245" s="74">
        <v>2022</v>
      </c>
      <c r="F1245" s="74" t="s">
        <v>489</v>
      </c>
      <c r="G1245" s="61">
        <v>3</v>
      </c>
      <c r="H1245" s="45">
        <v>33</v>
      </c>
      <c r="I1245" s="74">
        <f>0.09736707*(1000)</f>
        <v>97.367069999999998</v>
      </c>
    </row>
    <row r="1246" spans="1:9" s="71" customFormat="1" ht="16.5" hidden="1" customHeight="1" outlineLevel="1" x14ac:dyDescent="0.25">
      <c r="A1246" s="74">
        <v>2940</v>
      </c>
      <c r="B1246" s="45" t="s">
        <v>664</v>
      </c>
      <c r="C1246" s="60" t="s">
        <v>885</v>
      </c>
      <c r="D1246" s="60"/>
      <c r="E1246" s="74">
        <v>2022</v>
      </c>
      <c r="F1246" s="74" t="s">
        <v>489</v>
      </c>
      <c r="G1246" s="61">
        <v>3</v>
      </c>
      <c r="H1246" s="45">
        <v>31</v>
      </c>
      <c r="I1246" s="74">
        <f>0.08577041*(1000)</f>
        <v>85.770409999999998</v>
      </c>
    </row>
    <row r="1247" spans="1:9" s="71" customFormat="1" ht="16.5" hidden="1" customHeight="1" outlineLevel="1" x14ac:dyDescent="0.25">
      <c r="A1247" s="74">
        <v>2945</v>
      </c>
      <c r="B1247" s="45" t="s">
        <v>664</v>
      </c>
      <c r="C1247" s="60" t="s">
        <v>886</v>
      </c>
      <c r="D1247" s="60"/>
      <c r="E1247" s="74">
        <v>2022</v>
      </c>
      <c r="F1247" s="74" t="s">
        <v>489</v>
      </c>
      <c r="G1247" s="61">
        <v>2</v>
      </c>
      <c r="H1247" s="45">
        <v>10</v>
      </c>
      <c r="I1247" s="74">
        <f>0.04721791*(1000)</f>
        <v>47.217910000000003</v>
      </c>
    </row>
    <row r="1248" spans="1:9" s="71" customFormat="1" ht="16.5" hidden="1" customHeight="1" outlineLevel="1" x14ac:dyDescent="0.25">
      <c r="A1248" s="74">
        <v>2965</v>
      </c>
      <c r="B1248" s="45" t="s">
        <v>664</v>
      </c>
      <c r="C1248" s="60" t="s">
        <v>887</v>
      </c>
      <c r="D1248" s="60"/>
      <c r="E1248" s="74">
        <v>2022</v>
      </c>
      <c r="F1248" s="74" t="s">
        <v>489</v>
      </c>
      <c r="G1248" s="61">
        <v>2</v>
      </c>
      <c r="H1248" s="45">
        <v>20</v>
      </c>
      <c r="I1248" s="74">
        <f>0.03824764*(1000)</f>
        <v>38.247639999999997</v>
      </c>
    </row>
    <row r="1249" spans="1:9" s="71" customFormat="1" ht="16.5" hidden="1" customHeight="1" outlineLevel="1" x14ac:dyDescent="0.25">
      <c r="A1249" s="74">
        <v>2966</v>
      </c>
      <c r="B1249" s="45" t="s">
        <v>664</v>
      </c>
      <c r="C1249" s="60" t="s">
        <v>888</v>
      </c>
      <c r="D1249" s="60"/>
      <c r="E1249" s="74">
        <v>2022</v>
      </c>
      <c r="F1249" s="74" t="s">
        <v>489</v>
      </c>
      <c r="G1249" s="61">
        <v>1</v>
      </c>
      <c r="H1249" s="45">
        <v>15</v>
      </c>
      <c r="I1249" s="74">
        <f>0.02574581*(1000)</f>
        <v>25.745810000000002</v>
      </c>
    </row>
    <row r="1250" spans="1:9" s="71" customFormat="1" ht="16.5" hidden="1" customHeight="1" outlineLevel="1" x14ac:dyDescent="0.25">
      <c r="A1250" s="74">
        <v>2990</v>
      </c>
      <c r="B1250" s="45" t="s">
        <v>664</v>
      </c>
      <c r="C1250" s="60" t="s">
        <v>654</v>
      </c>
      <c r="D1250" s="60"/>
      <c r="E1250" s="74">
        <v>2022</v>
      </c>
      <c r="F1250" s="74" t="s">
        <v>489</v>
      </c>
      <c r="G1250" s="61">
        <v>1</v>
      </c>
      <c r="H1250" s="45">
        <v>150</v>
      </c>
      <c r="I1250" s="74">
        <f>0.17073262*(1000)</f>
        <v>170.73262</v>
      </c>
    </row>
    <row r="1251" spans="1:9" s="71" customFormat="1" ht="16.5" hidden="1" customHeight="1" outlineLevel="1" x14ac:dyDescent="0.25">
      <c r="A1251" s="74">
        <v>3003</v>
      </c>
      <c r="B1251" s="45" t="s">
        <v>664</v>
      </c>
      <c r="C1251" s="60" t="s">
        <v>889</v>
      </c>
      <c r="D1251" s="60"/>
      <c r="E1251" s="74">
        <v>2022</v>
      </c>
      <c r="F1251" s="74" t="s">
        <v>489</v>
      </c>
      <c r="G1251" s="61">
        <v>12</v>
      </c>
      <c r="H1251" s="45">
        <v>185</v>
      </c>
      <c r="I1251" s="74">
        <f>0.463605*(1000)</f>
        <v>463.60499999999996</v>
      </c>
    </row>
    <row r="1252" spans="1:9" s="71" customFormat="1" ht="16.5" hidden="1" customHeight="1" outlineLevel="1" x14ac:dyDescent="0.25">
      <c r="A1252" s="74">
        <v>3009</v>
      </c>
      <c r="B1252" s="45" t="s">
        <v>664</v>
      </c>
      <c r="C1252" s="60" t="s">
        <v>890</v>
      </c>
      <c r="D1252" s="60"/>
      <c r="E1252" s="74">
        <v>2022</v>
      </c>
      <c r="F1252" s="74" t="s">
        <v>489</v>
      </c>
      <c r="G1252" s="61">
        <v>1</v>
      </c>
      <c r="H1252" s="45">
        <v>15</v>
      </c>
      <c r="I1252" s="74">
        <f>0.02178738*(1000)</f>
        <v>21.787379999999999</v>
      </c>
    </row>
    <row r="1253" spans="1:9" s="71" customFormat="1" ht="16.5" hidden="1" customHeight="1" outlineLevel="1" x14ac:dyDescent="0.25">
      <c r="A1253" s="74">
        <v>3011</v>
      </c>
      <c r="B1253" s="45" t="s">
        <v>664</v>
      </c>
      <c r="C1253" s="60" t="s">
        <v>891</v>
      </c>
      <c r="D1253" s="60"/>
      <c r="E1253" s="74">
        <v>2022</v>
      </c>
      <c r="F1253" s="74" t="s">
        <v>489</v>
      </c>
      <c r="G1253" s="61">
        <v>1</v>
      </c>
      <c r="H1253" s="45">
        <v>5</v>
      </c>
      <c r="I1253" s="74">
        <f>0.0217877*(1000)</f>
        <v>21.787700000000001</v>
      </c>
    </row>
    <row r="1254" spans="1:9" s="71" customFormat="1" ht="16.5" hidden="1" customHeight="1" outlineLevel="1" x14ac:dyDescent="0.25">
      <c r="A1254" s="74">
        <v>2711</v>
      </c>
      <c r="B1254" s="45" t="s">
        <v>664</v>
      </c>
      <c r="C1254" s="60" t="s">
        <v>892</v>
      </c>
      <c r="D1254" s="60"/>
      <c r="E1254" s="74">
        <v>2022</v>
      </c>
      <c r="F1254" s="74" t="s">
        <v>489</v>
      </c>
      <c r="G1254" s="61">
        <v>2</v>
      </c>
      <c r="H1254" s="45">
        <v>194.71</v>
      </c>
      <c r="I1254" s="74">
        <f>0.525567*(1000)</f>
        <v>525.56700000000001</v>
      </c>
    </row>
    <row r="1255" spans="1:9" s="71" customFormat="1" ht="16.5" hidden="1" customHeight="1" outlineLevel="1" x14ac:dyDescent="0.25">
      <c r="A1255" s="74">
        <v>2737</v>
      </c>
      <c r="B1255" s="45" t="s">
        <v>664</v>
      </c>
      <c r="C1255" s="60" t="s">
        <v>893</v>
      </c>
      <c r="D1255" s="60"/>
      <c r="E1255" s="74">
        <v>2022</v>
      </c>
      <c r="F1255" s="74" t="s">
        <v>489</v>
      </c>
      <c r="G1255" s="61">
        <v>11</v>
      </c>
      <c r="H1255" s="45">
        <v>137</v>
      </c>
      <c r="I1255" s="74">
        <f>0.20217965*(1000)</f>
        <v>202.17964999999998</v>
      </c>
    </row>
    <row r="1256" spans="1:9" s="71" customFormat="1" ht="16.5" hidden="1" customHeight="1" outlineLevel="1" x14ac:dyDescent="0.25">
      <c r="A1256" s="74">
        <v>2739</v>
      </c>
      <c r="B1256" s="45" t="s">
        <v>664</v>
      </c>
      <c r="C1256" s="60" t="s">
        <v>894</v>
      </c>
      <c r="D1256" s="60"/>
      <c r="E1256" s="74">
        <v>2022</v>
      </c>
      <c r="F1256" s="74" t="s">
        <v>489</v>
      </c>
      <c r="G1256" s="61">
        <v>1</v>
      </c>
      <c r="H1256" s="45">
        <v>15</v>
      </c>
      <c r="I1256" s="74">
        <f>0.02677759*(1000)</f>
        <v>26.77759</v>
      </c>
    </row>
    <row r="1257" spans="1:9" s="71" customFormat="1" ht="16.5" hidden="1" customHeight="1" outlineLevel="1" x14ac:dyDescent="0.25">
      <c r="A1257" s="74">
        <v>2740</v>
      </c>
      <c r="B1257" s="45" t="s">
        <v>664</v>
      </c>
      <c r="C1257" s="60" t="s">
        <v>895</v>
      </c>
      <c r="D1257" s="60"/>
      <c r="E1257" s="74">
        <v>2022</v>
      </c>
      <c r="F1257" s="74" t="s">
        <v>489</v>
      </c>
      <c r="G1257" s="61">
        <v>8</v>
      </c>
      <c r="H1257" s="45">
        <v>90</v>
      </c>
      <c r="I1257" s="74">
        <f>0.14204158*(1000)</f>
        <v>142.04158000000001</v>
      </c>
    </row>
    <row r="1258" spans="1:9" s="71" customFormat="1" ht="16.5" hidden="1" customHeight="1" outlineLevel="1" x14ac:dyDescent="0.25">
      <c r="A1258" s="74">
        <v>2742</v>
      </c>
      <c r="B1258" s="45" t="s">
        <v>664</v>
      </c>
      <c r="C1258" s="60" t="s">
        <v>896</v>
      </c>
      <c r="D1258" s="60"/>
      <c r="E1258" s="74">
        <v>2022</v>
      </c>
      <c r="F1258" s="74" t="s">
        <v>489</v>
      </c>
      <c r="G1258" s="61">
        <v>6</v>
      </c>
      <c r="H1258" s="45">
        <v>75</v>
      </c>
      <c r="I1258" s="74">
        <f>0.10230505*(1000)</f>
        <v>102.30504999999999</v>
      </c>
    </row>
    <row r="1259" spans="1:9" s="71" customFormat="1" ht="16.5" hidden="1" customHeight="1" outlineLevel="1" x14ac:dyDescent="0.25">
      <c r="A1259" s="74">
        <v>2744</v>
      </c>
      <c r="B1259" s="45" t="s">
        <v>664</v>
      </c>
      <c r="C1259" s="60" t="s">
        <v>897</v>
      </c>
      <c r="D1259" s="60"/>
      <c r="E1259" s="74">
        <v>2022</v>
      </c>
      <c r="F1259" s="74" t="s">
        <v>489</v>
      </c>
      <c r="G1259" s="61">
        <v>7</v>
      </c>
      <c r="H1259" s="45">
        <v>80</v>
      </c>
      <c r="I1259" s="74">
        <f>0.10811874*(1000)</f>
        <v>108.11874</v>
      </c>
    </row>
    <row r="1260" spans="1:9" s="71" customFormat="1" ht="16.5" hidden="1" customHeight="1" outlineLevel="1" x14ac:dyDescent="0.25">
      <c r="A1260" s="74">
        <v>2745</v>
      </c>
      <c r="B1260" s="45" t="s">
        <v>664</v>
      </c>
      <c r="C1260" s="60" t="s">
        <v>898</v>
      </c>
      <c r="D1260" s="60"/>
      <c r="E1260" s="74">
        <v>2022</v>
      </c>
      <c r="F1260" s="74" t="s">
        <v>489</v>
      </c>
      <c r="G1260" s="61">
        <v>6</v>
      </c>
      <c r="H1260" s="45">
        <v>70</v>
      </c>
      <c r="I1260" s="74">
        <f>0.10256023*(1000)</f>
        <v>102.56023</v>
      </c>
    </row>
    <row r="1261" spans="1:9" s="71" customFormat="1" ht="16.5" hidden="1" customHeight="1" outlineLevel="1" x14ac:dyDescent="0.25">
      <c r="A1261" s="74">
        <v>2747</v>
      </c>
      <c r="B1261" s="45" t="s">
        <v>664</v>
      </c>
      <c r="C1261" s="60" t="s">
        <v>899</v>
      </c>
      <c r="D1261" s="60"/>
      <c r="E1261" s="74">
        <v>2022</v>
      </c>
      <c r="F1261" s="74" t="s">
        <v>489</v>
      </c>
      <c r="G1261" s="61">
        <v>1</v>
      </c>
      <c r="H1261" s="45">
        <v>12</v>
      </c>
      <c r="I1261" s="74">
        <f>0.03499978*(1000)</f>
        <v>34.999780000000001</v>
      </c>
    </row>
    <row r="1262" spans="1:9" s="71" customFormat="1" ht="16.5" hidden="1" customHeight="1" outlineLevel="1" x14ac:dyDescent="0.25">
      <c r="A1262" s="74">
        <v>2748</v>
      </c>
      <c r="B1262" s="45" t="s">
        <v>664</v>
      </c>
      <c r="C1262" s="60" t="s">
        <v>900</v>
      </c>
      <c r="D1262" s="60"/>
      <c r="E1262" s="74">
        <v>2022</v>
      </c>
      <c r="F1262" s="74" t="s">
        <v>489</v>
      </c>
      <c r="G1262" s="61">
        <v>2</v>
      </c>
      <c r="H1262" s="45">
        <v>20</v>
      </c>
      <c r="I1262" s="74">
        <f>0.06936719*(1000)</f>
        <v>69.367189999999994</v>
      </c>
    </row>
    <row r="1263" spans="1:9" s="71" customFormat="1" ht="16.5" hidden="1" customHeight="1" outlineLevel="1" x14ac:dyDescent="0.25">
      <c r="A1263" s="74">
        <v>2753</v>
      </c>
      <c r="B1263" s="45" t="s">
        <v>664</v>
      </c>
      <c r="C1263" s="60" t="s">
        <v>901</v>
      </c>
      <c r="D1263" s="60"/>
      <c r="E1263" s="74">
        <v>2022</v>
      </c>
      <c r="F1263" s="74" t="s">
        <v>489</v>
      </c>
      <c r="G1263" s="61">
        <v>13</v>
      </c>
      <c r="H1263" s="45">
        <v>167</v>
      </c>
      <c r="I1263" s="74">
        <f>0.21397526*(1000)</f>
        <v>213.97525999999999</v>
      </c>
    </row>
    <row r="1264" spans="1:9" s="71" customFormat="1" ht="16.5" hidden="1" customHeight="1" outlineLevel="1" x14ac:dyDescent="0.25">
      <c r="A1264" s="74">
        <v>2754</v>
      </c>
      <c r="B1264" s="45" t="s">
        <v>664</v>
      </c>
      <c r="C1264" s="60" t="s">
        <v>902</v>
      </c>
      <c r="D1264" s="60"/>
      <c r="E1264" s="74">
        <v>2022</v>
      </c>
      <c r="F1264" s="74" t="s">
        <v>489</v>
      </c>
      <c r="G1264" s="61">
        <v>2</v>
      </c>
      <c r="H1264" s="45">
        <v>23</v>
      </c>
      <c r="I1264" s="74">
        <f>0.04937032*(1000)</f>
        <v>49.37032</v>
      </c>
    </row>
    <row r="1265" spans="1:9" s="71" customFormat="1" ht="16.5" hidden="1" customHeight="1" outlineLevel="1" x14ac:dyDescent="0.25">
      <c r="A1265" s="74">
        <v>2755</v>
      </c>
      <c r="B1265" s="45" t="s">
        <v>664</v>
      </c>
      <c r="C1265" s="60" t="s">
        <v>903</v>
      </c>
      <c r="D1265" s="60"/>
      <c r="E1265" s="74">
        <v>2022</v>
      </c>
      <c r="F1265" s="74" t="s">
        <v>489</v>
      </c>
      <c r="G1265" s="61">
        <v>6</v>
      </c>
      <c r="H1265" s="45">
        <v>65</v>
      </c>
      <c r="I1265" s="74">
        <f>0.08565756*(1000)</f>
        <v>85.657559999999989</v>
      </c>
    </row>
    <row r="1266" spans="1:9" s="71" customFormat="1" ht="16.5" hidden="1" customHeight="1" outlineLevel="1" x14ac:dyDescent="0.25">
      <c r="A1266" s="74">
        <v>2756</v>
      </c>
      <c r="B1266" s="45" t="s">
        <v>664</v>
      </c>
      <c r="C1266" s="60" t="s">
        <v>904</v>
      </c>
      <c r="D1266" s="60"/>
      <c r="E1266" s="74">
        <v>2022</v>
      </c>
      <c r="F1266" s="74" t="s">
        <v>489</v>
      </c>
      <c r="G1266" s="61">
        <v>5</v>
      </c>
      <c r="H1266" s="45">
        <v>57</v>
      </c>
      <c r="I1266" s="74">
        <f>0.14098678*(1000)</f>
        <v>140.98678000000001</v>
      </c>
    </row>
    <row r="1267" spans="1:9" s="71" customFormat="1" ht="16.5" hidden="1" customHeight="1" outlineLevel="1" x14ac:dyDescent="0.25">
      <c r="A1267" s="74">
        <v>2757</v>
      </c>
      <c r="B1267" s="45" t="s">
        <v>664</v>
      </c>
      <c r="C1267" s="60" t="s">
        <v>905</v>
      </c>
      <c r="D1267" s="60"/>
      <c r="E1267" s="74">
        <v>2022</v>
      </c>
      <c r="F1267" s="74" t="s">
        <v>489</v>
      </c>
      <c r="G1267" s="61">
        <v>6</v>
      </c>
      <c r="H1267" s="45">
        <v>75</v>
      </c>
      <c r="I1267" s="74">
        <f>0.10230503*(1000)</f>
        <v>102.30503</v>
      </c>
    </row>
    <row r="1268" spans="1:9" s="71" customFormat="1" ht="16.5" hidden="1" customHeight="1" outlineLevel="1" x14ac:dyDescent="0.25">
      <c r="A1268" s="74">
        <v>2758</v>
      </c>
      <c r="B1268" s="45" t="s">
        <v>664</v>
      </c>
      <c r="C1268" s="60" t="s">
        <v>906</v>
      </c>
      <c r="D1268" s="60"/>
      <c r="E1268" s="74">
        <v>2022</v>
      </c>
      <c r="F1268" s="74" t="s">
        <v>489</v>
      </c>
      <c r="G1268" s="61">
        <v>5</v>
      </c>
      <c r="H1268" s="45">
        <v>62</v>
      </c>
      <c r="I1268" s="74">
        <f>0.08337475*(1000)</f>
        <v>83.374749999999992</v>
      </c>
    </row>
    <row r="1269" spans="1:9" s="71" customFormat="1" ht="16.5" hidden="1" customHeight="1" outlineLevel="1" x14ac:dyDescent="0.25">
      <c r="A1269" s="74">
        <v>2761</v>
      </c>
      <c r="B1269" s="45" t="s">
        <v>664</v>
      </c>
      <c r="C1269" s="60" t="s">
        <v>907</v>
      </c>
      <c r="D1269" s="60"/>
      <c r="E1269" s="74">
        <v>2022</v>
      </c>
      <c r="F1269" s="74" t="s">
        <v>489</v>
      </c>
      <c r="G1269" s="61">
        <v>11</v>
      </c>
      <c r="H1269" s="45">
        <v>145</v>
      </c>
      <c r="I1269" s="74">
        <f>0.20140731*(1000)</f>
        <v>201.40731</v>
      </c>
    </row>
    <row r="1270" spans="1:9" s="71" customFormat="1" ht="16.5" hidden="1" customHeight="1" outlineLevel="1" x14ac:dyDescent="0.25">
      <c r="A1270" s="74">
        <v>2762</v>
      </c>
      <c r="B1270" s="45" t="s">
        <v>664</v>
      </c>
      <c r="C1270" s="60" t="s">
        <v>908</v>
      </c>
      <c r="D1270" s="60"/>
      <c r="E1270" s="74">
        <v>2022</v>
      </c>
      <c r="F1270" s="74" t="s">
        <v>489</v>
      </c>
      <c r="G1270" s="61">
        <v>7</v>
      </c>
      <c r="H1270" s="45">
        <v>75</v>
      </c>
      <c r="I1270" s="74">
        <f>0.08642305*(1000)</f>
        <v>86.423050000000003</v>
      </c>
    </row>
    <row r="1271" spans="1:9" s="71" customFormat="1" ht="16.5" hidden="1" customHeight="1" outlineLevel="1" x14ac:dyDescent="0.25">
      <c r="A1271" s="74">
        <v>2763</v>
      </c>
      <c r="B1271" s="45" t="s">
        <v>664</v>
      </c>
      <c r="C1271" s="60" t="s">
        <v>909</v>
      </c>
      <c r="D1271" s="60"/>
      <c r="E1271" s="74">
        <v>2022</v>
      </c>
      <c r="F1271" s="74" t="s">
        <v>489</v>
      </c>
      <c r="G1271" s="61">
        <v>1</v>
      </c>
      <c r="H1271" s="45">
        <v>50</v>
      </c>
      <c r="I1271" s="74">
        <f>0.03872536*(1000)</f>
        <v>38.725360000000002</v>
      </c>
    </row>
    <row r="1272" spans="1:9" s="71" customFormat="1" ht="16.5" hidden="1" customHeight="1" outlineLevel="1" x14ac:dyDescent="0.25">
      <c r="A1272" s="74">
        <v>2764</v>
      </c>
      <c r="B1272" s="45" t="s">
        <v>664</v>
      </c>
      <c r="C1272" s="60" t="s">
        <v>910</v>
      </c>
      <c r="D1272" s="60"/>
      <c r="E1272" s="74">
        <v>2022</v>
      </c>
      <c r="F1272" s="74" t="s">
        <v>489</v>
      </c>
      <c r="G1272" s="61">
        <v>2</v>
      </c>
      <c r="H1272" s="45">
        <v>25</v>
      </c>
      <c r="I1272" s="74">
        <f>0.06386349*(1000)</f>
        <v>63.863489999999992</v>
      </c>
    </row>
    <row r="1273" spans="1:9" s="71" customFormat="1" ht="16.5" hidden="1" customHeight="1" outlineLevel="1" x14ac:dyDescent="0.25">
      <c r="A1273" s="74">
        <v>2767</v>
      </c>
      <c r="B1273" s="45" t="s">
        <v>664</v>
      </c>
      <c r="C1273" s="60" t="s">
        <v>911</v>
      </c>
      <c r="D1273" s="60"/>
      <c r="E1273" s="74">
        <v>2022</v>
      </c>
      <c r="F1273" s="74" t="s">
        <v>489</v>
      </c>
      <c r="G1273" s="61">
        <v>17</v>
      </c>
      <c r="H1273" s="45">
        <v>178</v>
      </c>
      <c r="I1273" s="74">
        <f>0.2308727*(1000)</f>
        <v>230.87269999999998</v>
      </c>
    </row>
    <row r="1274" spans="1:9" s="71" customFormat="1" ht="16.5" hidden="1" customHeight="1" outlineLevel="1" x14ac:dyDescent="0.25">
      <c r="A1274" s="74">
        <v>2774</v>
      </c>
      <c r="B1274" s="45" t="s">
        <v>664</v>
      </c>
      <c r="C1274" s="60" t="s">
        <v>912</v>
      </c>
      <c r="D1274" s="60"/>
      <c r="E1274" s="74">
        <v>2022</v>
      </c>
      <c r="F1274" s="74" t="s">
        <v>489</v>
      </c>
      <c r="G1274" s="61">
        <v>7</v>
      </c>
      <c r="H1274" s="45">
        <v>83</v>
      </c>
      <c r="I1274" s="74">
        <f>0.16502509*(1000)</f>
        <v>165.02509000000001</v>
      </c>
    </row>
    <row r="1275" spans="1:9" s="71" customFormat="1" ht="16.5" hidden="1" customHeight="1" outlineLevel="1" x14ac:dyDescent="0.25">
      <c r="A1275" s="74">
        <v>2775</v>
      </c>
      <c r="B1275" s="45" t="s">
        <v>664</v>
      </c>
      <c r="C1275" s="60" t="s">
        <v>913</v>
      </c>
      <c r="D1275" s="60"/>
      <c r="E1275" s="74">
        <v>2022</v>
      </c>
      <c r="F1275" s="74" t="s">
        <v>489</v>
      </c>
      <c r="G1275" s="61">
        <v>1</v>
      </c>
      <c r="H1275" s="45">
        <v>40</v>
      </c>
      <c r="I1275" s="74">
        <f>0.03539498*(1000)</f>
        <v>35.394979999999997</v>
      </c>
    </row>
    <row r="1276" spans="1:9" s="71" customFormat="1" ht="16.5" hidden="1" customHeight="1" outlineLevel="1" x14ac:dyDescent="0.25">
      <c r="A1276" s="74">
        <v>2787</v>
      </c>
      <c r="B1276" s="45" t="s">
        <v>664</v>
      </c>
      <c r="C1276" s="60" t="s">
        <v>914</v>
      </c>
      <c r="D1276" s="60"/>
      <c r="E1276" s="74">
        <v>2022</v>
      </c>
      <c r="F1276" s="74" t="s">
        <v>489</v>
      </c>
      <c r="G1276" s="61">
        <v>17</v>
      </c>
      <c r="H1276" s="45">
        <v>196</v>
      </c>
      <c r="I1276" s="74">
        <f>0.27716325*(1000)</f>
        <v>277.16325000000001</v>
      </c>
    </row>
    <row r="1277" spans="1:9" s="71" customFormat="1" ht="16.5" hidden="1" customHeight="1" outlineLevel="1" x14ac:dyDescent="0.25">
      <c r="A1277" s="74">
        <v>2790</v>
      </c>
      <c r="B1277" s="45" t="s">
        <v>664</v>
      </c>
      <c r="C1277" s="60" t="s">
        <v>915</v>
      </c>
      <c r="D1277" s="60"/>
      <c r="E1277" s="74">
        <v>2022</v>
      </c>
      <c r="F1277" s="74" t="s">
        <v>489</v>
      </c>
      <c r="G1277" s="61">
        <v>5</v>
      </c>
      <c r="H1277" s="45">
        <v>59</v>
      </c>
      <c r="I1277" s="74">
        <f>0.13952465*(1000)</f>
        <v>139.52465000000001</v>
      </c>
    </row>
    <row r="1278" spans="1:9" s="71" customFormat="1" ht="16.5" hidden="1" customHeight="1" outlineLevel="1" x14ac:dyDescent="0.25">
      <c r="A1278" s="74">
        <v>2791</v>
      </c>
      <c r="B1278" s="45" t="s">
        <v>664</v>
      </c>
      <c r="C1278" s="60" t="s">
        <v>916</v>
      </c>
      <c r="D1278" s="60"/>
      <c r="E1278" s="74">
        <v>2022</v>
      </c>
      <c r="F1278" s="74" t="s">
        <v>489</v>
      </c>
      <c r="G1278" s="61">
        <v>28</v>
      </c>
      <c r="H1278" s="45">
        <v>388</v>
      </c>
      <c r="I1278" s="74">
        <f>0.47251064*(1000)</f>
        <v>472.51063999999997</v>
      </c>
    </row>
    <row r="1279" spans="1:9" s="71" customFormat="1" ht="16.5" hidden="1" customHeight="1" outlineLevel="1" x14ac:dyDescent="0.25">
      <c r="A1279" s="74">
        <v>2800</v>
      </c>
      <c r="B1279" s="45" t="s">
        <v>664</v>
      </c>
      <c r="C1279" s="60" t="s">
        <v>917</v>
      </c>
      <c r="D1279" s="60"/>
      <c r="E1279" s="74">
        <v>2022</v>
      </c>
      <c r="F1279" s="74" t="s">
        <v>489</v>
      </c>
      <c r="G1279" s="61">
        <v>1</v>
      </c>
      <c r="H1279" s="45">
        <v>58</v>
      </c>
      <c r="I1279" s="74">
        <f>0.04091864*(1000)</f>
        <v>40.918639999999996</v>
      </c>
    </row>
    <row r="1280" spans="1:9" s="71" customFormat="1" ht="16.5" hidden="1" customHeight="1" outlineLevel="1" x14ac:dyDescent="0.25">
      <c r="A1280" s="74">
        <v>2817</v>
      </c>
      <c r="B1280" s="45" t="s">
        <v>664</v>
      </c>
      <c r="C1280" s="60" t="s">
        <v>918</v>
      </c>
      <c r="D1280" s="60"/>
      <c r="E1280" s="74">
        <v>2022</v>
      </c>
      <c r="F1280" s="74" t="s">
        <v>489</v>
      </c>
      <c r="G1280" s="61">
        <v>1</v>
      </c>
      <c r="H1280" s="45">
        <v>10</v>
      </c>
      <c r="I1280" s="74">
        <f>0.02949997*(1000)</f>
        <v>29.499970000000001</v>
      </c>
    </row>
    <row r="1281" spans="1:9" s="71" customFormat="1" ht="16.5" hidden="1" customHeight="1" outlineLevel="1" x14ac:dyDescent="0.25">
      <c r="A1281" s="74">
        <v>2818</v>
      </c>
      <c r="B1281" s="45" t="s">
        <v>664</v>
      </c>
      <c r="C1281" s="60" t="s">
        <v>919</v>
      </c>
      <c r="D1281" s="60"/>
      <c r="E1281" s="74">
        <v>2022</v>
      </c>
      <c r="F1281" s="74" t="s">
        <v>489</v>
      </c>
      <c r="G1281" s="61">
        <v>1</v>
      </c>
      <c r="H1281" s="45">
        <v>15</v>
      </c>
      <c r="I1281" s="74">
        <f>0.01817633*(1000)</f>
        <v>18.17633</v>
      </c>
    </row>
    <row r="1282" spans="1:9" s="71" customFormat="1" ht="16.5" hidden="1" customHeight="1" outlineLevel="1" x14ac:dyDescent="0.25">
      <c r="A1282" s="74">
        <v>2819</v>
      </c>
      <c r="B1282" s="45" t="s">
        <v>664</v>
      </c>
      <c r="C1282" s="60" t="s">
        <v>920</v>
      </c>
      <c r="D1282" s="60"/>
      <c r="E1282" s="74">
        <v>2022</v>
      </c>
      <c r="F1282" s="74" t="s">
        <v>489</v>
      </c>
      <c r="G1282" s="61">
        <v>1</v>
      </c>
      <c r="H1282" s="45">
        <v>10</v>
      </c>
      <c r="I1282" s="74">
        <f>0.01892015*(1000)</f>
        <v>18.92015</v>
      </c>
    </row>
    <row r="1283" spans="1:9" s="71" customFormat="1" ht="16.5" hidden="1" customHeight="1" outlineLevel="1" x14ac:dyDescent="0.25">
      <c r="A1283" s="74">
        <v>2820</v>
      </c>
      <c r="B1283" s="45" t="s">
        <v>664</v>
      </c>
      <c r="C1283" s="60" t="s">
        <v>921</v>
      </c>
      <c r="D1283" s="60"/>
      <c r="E1283" s="74">
        <v>2022</v>
      </c>
      <c r="F1283" s="74" t="s">
        <v>489</v>
      </c>
      <c r="G1283" s="61">
        <v>7</v>
      </c>
      <c r="H1283" s="45">
        <v>90</v>
      </c>
      <c r="I1283" s="74">
        <f>0.10242959*(1000)</f>
        <v>102.42959</v>
      </c>
    </row>
    <row r="1284" spans="1:9" s="71" customFormat="1" ht="16.5" hidden="1" customHeight="1" outlineLevel="1" x14ac:dyDescent="0.25">
      <c r="A1284" s="74">
        <v>2821</v>
      </c>
      <c r="B1284" s="45" t="s">
        <v>664</v>
      </c>
      <c r="C1284" s="60" t="s">
        <v>922</v>
      </c>
      <c r="D1284" s="60"/>
      <c r="E1284" s="74">
        <v>2022</v>
      </c>
      <c r="F1284" s="74" t="s">
        <v>489</v>
      </c>
      <c r="G1284" s="61">
        <v>4</v>
      </c>
      <c r="H1284" s="45">
        <v>60</v>
      </c>
      <c r="I1284" s="74">
        <f>0.07340217*(1000)</f>
        <v>73.402169999999998</v>
      </c>
    </row>
    <row r="1285" spans="1:9" s="71" customFormat="1" ht="16.5" hidden="1" customHeight="1" outlineLevel="1" x14ac:dyDescent="0.25">
      <c r="A1285" s="74">
        <v>2822</v>
      </c>
      <c r="B1285" s="45" t="s">
        <v>664</v>
      </c>
      <c r="C1285" s="60" t="s">
        <v>923</v>
      </c>
      <c r="D1285" s="60"/>
      <c r="E1285" s="74">
        <v>2022</v>
      </c>
      <c r="F1285" s="74" t="s">
        <v>489</v>
      </c>
      <c r="G1285" s="61">
        <v>1</v>
      </c>
      <c r="H1285" s="45">
        <v>45</v>
      </c>
      <c r="I1285" s="74">
        <f>0.01820872*(1000)</f>
        <v>18.20872</v>
      </c>
    </row>
    <row r="1286" spans="1:9" s="71" customFormat="1" ht="16.5" hidden="1" customHeight="1" outlineLevel="1" x14ac:dyDescent="0.25">
      <c r="A1286" s="74">
        <v>2823</v>
      </c>
      <c r="B1286" s="45" t="s">
        <v>664</v>
      </c>
      <c r="C1286" s="60" t="s">
        <v>924</v>
      </c>
      <c r="D1286" s="60"/>
      <c r="E1286" s="74">
        <v>2022</v>
      </c>
      <c r="F1286" s="74" t="s">
        <v>489</v>
      </c>
      <c r="G1286" s="61">
        <v>1</v>
      </c>
      <c r="H1286" s="45">
        <v>40</v>
      </c>
      <c r="I1286" s="74">
        <f>0.02714291*(1000)</f>
        <v>27.142910000000001</v>
      </c>
    </row>
    <row r="1287" spans="1:9" s="71" customFormat="1" ht="16.5" hidden="1" customHeight="1" outlineLevel="1" x14ac:dyDescent="0.25">
      <c r="A1287" s="74">
        <v>2825</v>
      </c>
      <c r="B1287" s="45" t="s">
        <v>664</v>
      </c>
      <c r="C1287" s="60" t="s">
        <v>925</v>
      </c>
      <c r="D1287" s="60"/>
      <c r="E1287" s="74">
        <v>2022</v>
      </c>
      <c r="F1287" s="74" t="s">
        <v>489</v>
      </c>
      <c r="G1287" s="61">
        <v>2</v>
      </c>
      <c r="H1287" s="45">
        <v>25</v>
      </c>
      <c r="I1287" s="74">
        <f>0.03940598*(1000)</f>
        <v>39.40598</v>
      </c>
    </row>
    <row r="1288" spans="1:9" s="71" customFormat="1" ht="16.5" hidden="1" customHeight="1" outlineLevel="1" x14ac:dyDescent="0.25">
      <c r="A1288" s="74">
        <v>2826</v>
      </c>
      <c r="B1288" s="45" t="s">
        <v>664</v>
      </c>
      <c r="C1288" s="60" t="s">
        <v>926</v>
      </c>
      <c r="D1288" s="60"/>
      <c r="E1288" s="74">
        <v>2022</v>
      </c>
      <c r="F1288" s="74" t="s">
        <v>489</v>
      </c>
      <c r="G1288" s="61">
        <v>8</v>
      </c>
      <c r="H1288" s="45">
        <v>105</v>
      </c>
      <c r="I1288" s="74">
        <f>0.10321053*(1000)</f>
        <v>103.21052999999999</v>
      </c>
    </row>
    <row r="1289" spans="1:9" s="71" customFormat="1" ht="16.5" hidden="1" customHeight="1" outlineLevel="1" x14ac:dyDescent="0.25">
      <c r="A1289" s="74">
        <v>2827</v>
      </c>
      <c r="B1289" s="45" t="s">
        <v>664</v>
      </c>
      <c r="C1289" s="60" t="s">
        <v>927</v>
      </c>
      <c r="D1289" s="60"/>
      <c r="E1289" s="74">
        <v>2022</v>
      </c>
      <c r="F1289" s="74" t="s">
        <v>489</v>
      </c>
      <c r="G1289" s="61">
        <v>4</v>
      </c>
      <c r="H1289" s="45">
        <v>47</v>
      </c>
      <c r="I1289" s="74">
        <f>0.06369498*(1000)</f>
        <v>63.694980000000001</v>
      </c>
    </row>
    <row r="1290" spans="1:9" s="71" customFormat="1" ht="16.5" hidden="1" customHeight="1" outlineLevel="1" x14ac:dyDescent="0.25">
      <c r="A1290" s="74">
        <v>2828</v>
      </c>
      <c r="B1290" s="45" t="s">
        <v>664</v>
      </c>
      <c r="C1290" s="60" t="s">
        <v>928</v>
      </c>
      <c r="D1290" s="60"/>
      <c r="E1290" s="74">
        <v>2022</v>
      </c>
      <c r="F1290" s="74" t="s">
        <v>489</v>
      </c>
      <c r="G1290" s="61">
        <v>2</v>
      </c>
      <c r="H1290" s="45">
        <v>16</v>
      </c>
      <c r="I1290" s="74">
        <f>0.0295663*(1000)</f>
        <v>29.566300000000002</v>
      </c>
    </row>
    <row r="1291" spans="1:9" s="71" customFormat="1" ht="16.5" hidden="1" customHeight="1" outlineLevel="1" x14ac:dyDescent="0.25">
      <c r="A1291" s="74">
        <v>2829</v>
      </c>
      <c r="B1291" s="45" t="s">
        <v>664</v>
      </c>
      <c r="C1291" s="60" t="s">
        <v>929</v>
      </c>
      <c r="D1291" s="60"/>
      <c r="E1291" s="74">
        <v>2022</v>
      </c>
      <c r="F1291" s="74" t="s">
        <v>489</v>
      </c>
      <c r="G1291" s="61">
        <v>1</v>
      </c>
      <c r="H1291" s="45">
        <v>50</v>
      </c>
      <c r="I1291" s="74">
        <f>0.01809625*(1000)</f>
        <v>18.096250000000001</v>
      </c>
    </row>
    <row r="1292" spans="1:9" s="71" customFormat="1" ht="16.5" hidden="1" customHeight="1" outlineLevel="1" x14ac:dyDescent="0.25">
      <c r="A1292" s="74">
        <v>2830</v>
      </c>
      <c r="B1292" s="45" t="s">
        <v>664</v>
      </c>
      <c r="C1292" s="60" t="s">
        <v>930</v>
      </c>
      <c r="D1292" s="60"/>
      <c r="E1292" s="74">
        <v>2022</v>
      </c>
      <c r="F1292" s="74" t="s">
        <v>489</v>
      </c>
      <c r="G1292" s="61">
        <v>2</v>
      </c>
      <c r="H1292" s="45">
        <v>24</v>
      </c>
      <c r="I1292" s="74">
        <f>0.03670102*(1000)</f>
        <v>36.70102</v>
      </c>
    </row>
    <row r="1293" spans="1:9" s="71" customFormat="1" ht="16.5" hidden="1" customHeight="1" outlineLevel="1" x14ac:dyDescent="0.25">
      <c r="A1293" s="74">
        <v>2832</v>
      </c>
      <c r="B1293" s="45" t="s">
        <v>664</v>
      </c>
      <c r="C1293" s="60" t="s">
        <v>931</v>
      </c>
      <c r="D1293" s="60"/>
      <c r="E1293" s="74">
        <v>2022</v>
      </c>
      <c r="F1293" s="74" t="s">
        <v>489</v>
      </c>
      <c r="G1293" s="61">
        <v>3</v>
      </c>
      <c r="H1293" s="45">
        <v>45</v>
      </c>
      <c r="I1293" s="74">
        <f>0.05482882*(1000)</f>
        <v>54.82882</v>
      </c>
    </row>
    <row r="1294" spans="1:9" s="71" customFormat="1" ht="16.5" hidden="1" customHeight="1" outlineLevel="1" x14ac:dyDescent="0.25">
      <c r="A1294" s="74">
        <v>2833</v>
      </c>
      <c r="B1294" s="45" t="s">
        <v>664</v>
      </c>
      <c r="C1294" s="60" t="s">
        <v>932</v>
      </c>
      <c r="D1294" s="60"/>
      <c r="E1294" s="74">
        <v>2022</v>
      </c>
      <c r="F1294" s="74" t="s">
        <v>489</v>
      </c>
      <c r="G1294" s="61">
        <v>13</v>
      </c>
      <c r="H1294" s="45">
        <v>150</v>
      </c>
      <c r="I1294" s="74">
        <f>0.16686151*(1000)</f>
        <v>166.86150999999998</v>
      </c>
    </row>
    <row r="1295" spans="1:9" s="71" customFormat="1" ht="16.5" hidden="1" customHeight="1" outlineLevel="1" x14ac:dyDescent="0.25">
      <c r="A1295" s="74">
        <v>2834</v>
      </c>
      <c r="B1295" s="45" t="s">
        <v>664</v>
      </c>
      <c r="C1295" s="60" t="s">
        <v>933</v>
      </c>
      <c r="D1295" s="60"/>
      <c r="E1295" s="74">
        <v>2022</v>
      </c>
      <c r="F1295" s="74" t="s">
        <v>489</v>
      </c>
      <c r="G1295" s="61">
        <v>1</v>
      </c>
      <c r="H1295" s="45">
        <v>50</v>
      </c>
      <c r="I1295" s="74">
        <f>0.02479167*(1000)</f>
        <v>24.79167</v>
      </c>
    </row>
    <row r="1296" spans="1:9" s="71" customFormat="1" ht="16.5" hidden="1" customHeight="1" outlineLevel="1" x14ac:dyDescent="0.25">
      <c r="A1296" s="74">
        <v>2835</v>
      </c>
      <c r="B1296" s="45" t="s">
        <v>664</v>
      </c>
      <c r="C1296" s="60" t="s">
        <v>934</v>
      </c>
      <c r="D1296" s="60"/>
      <c r="E1296" s="74">
        <v>2022</v>
      </c>
      <c r="F1296" s="74" t="s">
        <v>489</v>
      </c>
      <c r="G1296" s="61">
        <v>1</v>
      </c>
      <c r="H1296" s="45">
        <v>13</v>
      </c>
      <c r="I1296" s="74">
        <f>0.02564976*(1000)</f>
        <v>25.649760000000001</v>
      </c>
    </row>
    <row r="1297" spans="1:9" s="71" customFormat="1" ht="16.5" hidden="1" customHeight="1" outlineLevel="1" x14ac:dyDescent="0.25">
      <c r="A1297" s="74">
        <v>2836</v>
      </c>
      <c r="B1297" s="45" t="s">
        <v>664</v>
      </c>
      <c r="C1297" s="60" t="s">
        <v>935</v>
      </c>
      <c r="D1297" s="60"/>
      <c r="E1297" s="74">
        <v>2022</v>
      </c>
      <c r="F1297" s="74" t="s">
        <v>489</v>
      </c>
      <c r="G1297" s="61">
        <v>1</v>
      </c>
      <c r="H1297" s="45">
        <v>15</v>
      </c>
      <c r="I1297" s="74">
        <f>0.02564982*(1000)</f>
        <v>25.649820000000002</v>
      </c>
    </row>
    <row r="1298" spans="1:9" s="71" customFormat="1" ht="16.5" hidden="1" customHeight="1" outlineLevel="1" x14ac:dyDescent="0.25">
      <c r="A1298" s="74">
        <v>2838</v>
      </c>
      <c r="B1298" s="45" t="s">
        <v>664</v>
      </c>
      <c r="C1298" s="60" t="s">
        <v>936</v>
      </c>
      <c r="D1298" s="60"/>
      <c r="E1298" s="74">
        <v>2022</v>
      </c>
      <c r="F1298" s="74" t="s">
        <v>489</v>
      </c>
      <c r="G1298" s="61">
        <v>3</v>
      </c>
      <c r="H1298" s="45">
        <v>29</v>
      </c>
      <c r="I1298" s="74">
        <f>0.05801438*(1000)</f>
        <v>58.014379999999996</v>
      </c>
    </row>
    <row r="1299" spans="1:9" s="71" customFormat="1" ht="16.5" hidden="1" customHeight="1" outlineLevel="1" x14ac:dyDescent="0.25">
      <c r="A1299" s="74">
        <v>2849</v>
      </c>
      <c r="B1299" s="45" t="s">
        <v>664</v>
      </c>
      <c r="C1299" s="60" t="s">
        <v>937</v>
      </c>
      <c r="D1299" s="60"/>
      <c r="E1299" s="74">
        <v>2022</v>
      </c>
      <c r="F1299" s="74" t="s">
        <v>489</v>
      </c>
      <c r="G1299" s="61">
        <v>1</v>
      </c>
      <c r="H1299" s="45">
        <v>15</v>
      </c>
      <c r="I1299" s="74">
        <f>0.02590878*(1000)</f>
        <v>25.90878</v>
      </c>
    </row>
    <row r="1300" spans="1:9" s="71" customFormat="1" ht="16.5" hidden="1" customHeight="1" outlineLevel="1" x14ac:dyDescent="0.25">
      <c r="A1300" s="74">
        <v>2854</v>
      </c>
      <c r="B1300" s="45" t="s">
        <v>664</v>
      </c>
      <c r="C1300" s="60" t="s">
        <v>938</v>
      </c>
      <c r="D1300" s="60"/>
      <c r="E1300" s="74">
        <v>2022</v>
      </c>
      <c r="F1300" s="74" t="s">
        <v>489</v>
      </c>
      <c r="G1300" s="61">
        <v>1</v>
      </c>
      <c r="H1300" s="45">
        <v>15</v>
      </c>
      <c r="I1300" s="74">
        <f>0.02649016*(1000)</f>
        <v>26.490159999999999</v>
      </c>
    </row>
    <row r="1301" spans="1:9" s="71" customFormat="1" ht="16.5" hidden="1" customHeight="1" outlineLevel="1" x14ac:dyDescent="0.25">
      <c r="A1301" s="74">
        <v>2856</v>
      </c>
      <c r="B1301" s="45" t="s">
        <v>664</v>
      </c>
      <c r="C1301" s="60" t="s">
        <v>939</v>
      </c>
      <c r="D1301" s="60"/>
      <c r="E1301" s="74">
        <v>2022</v>
      </c>
      <c r="F1301" s="74" t="s">
        <v>489</v>
      </c>
      <c r="G1301" s="61">
        <v>1</v>
      </c>
      <c r="H1301" s="45">
        <v>10</v>
      </c>
      <c r="I1301" s="74">
        <f>0.02541802*(1000)</f>
        <v>25.418019999999999</v>
      </c>
    </row>
    <row r="1302" spans="1:9" s="71" customFormat="1" ht="16.5" hidden="1" customHeight="1" outlineLevel="1" x14ac:dyDescent="0.25">
      <c r="A1302" s="74">
        <v>2857</v>
      </c>
      <c r="B1302" s="45" t="s">
        <v>664</v>
      </c>
      <c r="C1302" s="60" t="s">
        <v>940</v>
      </c>
      <c r="D1302" s="60"/>
      <c r="E1302" s="74">
        <v>2022</v>
      </c>
      <c r="F1302" s="74" t="s">
        <v>489</v>
      </c>
      <c r="G1302" s="61">
        <v>1</v>
      </c>
      <c r="H1302" s="45">
        <v>15</v>
      </c>
      <c r="I1302" s="74">
        <f>0.02541802*(1000)</f>
        <v>25.418019999999999</v>
      </c>
    </row>
    <row r="1303" spans="1:9" s="71" customFormat="1" ht="16.5" hidden="1" customHeight="1" outlineLevel="1" x14ac:dyDescent="0.25">
      <c r="A1303" s="74">
        <v>2864</v>
      </c>
      <c r="B1303" s="45" t="s">
        <v>664</v>
      </c>
      <c r="C1303" s="60" t="s">
        <v>941</v>
      </c>
      <c r="D1303" s="60"/>
      <c r="E1303" s="74">
        <v>2022</v>
      </c>
      <c r="F1303" s="74" t="s">
        <v>489</v>
      </c>
      <c r="G1303" s="61">
        <v>1</v>
      </c>
      <c r="H1303" s="45">
        <v>15</v>
      </c>
      <c r="I1303" s="74">
        <f>0.03607603*(1000)</f>
        <v>36.076030000000003</v>
      </c>
    </row>
    <row r="1304" spans="1:9" s="71" customFormat="1" ht="16.5" hidden="1" customHeight="1" outlineLevel="1" x14ac:dyDescent="0.25">
      <c r="A1304" s="74">
        <v>2865</v>
      </c>
      <c r="B1304" s="45" t="s">
        <v>664</v>
      </c>
      <c r="C1304" s="60" t="s">
        <v>942</v>
      </c>
      <c r="D1304" s="60"/>
      <c r="E1304" s="74">
        <v>2022</v>
      </c>
      <c r="F1304" s="74" t="s">
        <v>489</v>
      </c>
      <c r="G1304" s="61">
        <v>1</v>
      </c>
      <c r="H1304" s="45">
        <v>45</v>
      </c>
      <c r="I1304" s="74">
        <f>0.02609855*(1000)</f>
        <v>26.098550000000003</v>
      </c>
    </row>
    <row r="1305" spans="1:9" s="71" customFormat="1" ht="16.5" hidden="1" customHeight="1" outlineLevel="1" x14ac:dyDescent="0.25">
      <c r="A1305" s="74">
        <v>2871</v>
      </c>
      <c r="B1305" s="45" t="s">
        <v>664</v>
      </c>
      <c r="C1305" s="60" t="s">
        <v>943</v>
      </c>
      <c r="D1305" s="60"/>
      <c r="E1305" s="74">
        <v>2022</v>
      </c>
      <c r="F1305" s="74" t="s">
        <v>489</v>
      </c>
      <c r="G1305" s="61">
        <v>1</v>
      </c>
      <c r="H1305" s="45">
        <v>42</v>
      </c>
      <c r="I1305" s="74">
        <f>0.03464245*(1000)</f>
        <v>34.642449999999997</v>
      </c>
    </row>
    <row r="1306" spans="1:9" s="71" customFormat="1" ht="16.5" hidden="1" customHeight="1" outlineLevel="1" x14ac:dyDescent="0.25">
      <c r="A1306" s="74">
        <v>2872</v>
      </c>
      <c r="B1306" s="45" t="s">
        <v>664</v>
      </c>
      <c r="C1306" s="60" t="s">
        <v>944</v>
      </c>
      <c r="D1306" s="60"/>
      <c r="E1306" s="74">
        <v>2022</v>
      </c>
      <c r="F1306" s="74" t="s">
        <v>489</v>
      </c>
      <c r="G1306" s="61">
        <v>2</v>
      </c>
      <c r="H1306" s="45">
        <v>5</v>
      </c>
      <c r="I1306" s="74">
        <f>0.03807793*(1000)</f>
        <v>38.077930000000002</v>
      </c>
    </row>
    <row r="1307" spans="1:9" s="71" customFormat="1" ht="16.5" hidden="1" customHeight="1" outlineLevel="1" x14ac:dyDescent="0.25">
      <c r="A1307" s="74">
        <v>2873</v>
      </c>
      <c r="B1307" s="45" t="s">
        <v>664</v>
      </c>
      <c r="C1307" s="60" t="s">
        <v>945</v>
      </c>
      <c r="D1307" s="60"/>
      <c r="E1307" s="74">
        <v>2022</v>
      </c>
      <c r="F1307" s="74" t="s">
        <v>489</v>
      </c>
      <c r="G1307" s="61">
        <v>1</v>
      </c>
      <c r="H1307" s="45">
        <v>35</v>
      </c>
      <c r="I1307" s="74">
        <f>0.02604725*(1000)</f>
        <v>26.047250000000002</v>
      </c>
    </row>
    <row r="1308" spans="1:9" s="71" customFormat="1" ht="16.5" hidden="1" customHeight="1" outlineLevel="1" x14ac:dyDescent="0.25">
      <c r="A1308" s="74">
        <v>2874</v>
      </c>
      <c r="B1308" s="45" t="s">
        <v>664</v>
      </c>
      <c r="C1308" s="60" t="s">
        <v>946</v>
      </c>
      <c r="D1308" s="60"/>
      <c r="E1308" s="74">
        <v>2022</v>
      </c>
      <c r="F1308" s="74" t="s">
        <v>489</v>
      </c>
      <c r="G1308" s="61">
        <v>1</v>
      </c>
      <c r="H1308" s="45">
        <v>90</v>
      </c>
      <c r="I1308" s="74">
        <f>0.03864867*(1000)</f>
        <v>38.648670000000003</v>
      </c>
    </row>
    <row r="1309" spans="1:9" s="71" customFormat="1" ht="16.5" hidden="1" customHeight="1" outlineLevel="1" x14ac:dyDescent="0.25">
      <c r="A1309" s="74">
        <v>2875</v>
      </c>
      <c r="B1309" s="45" t="s">
        <v>664</v>
      </c>
      <c r="C1309" s="60" t="s">
        <v>947</v>
      </c>
      <c r="D1309" s="60"/>
      <c r="E1309" s="74">
        <v>2022</v>
      </c>
      <c r="F1309" s="74" t="s">
        <v>489</v>
      </c>
      <c r="G1309" s="61">
        <v>2</v>
      </c>
      <c r="H1309" s="45">
        <v>7</v>
      </c>
      <c r="I1309" s="74">
        <f>0.03798254*(1000)</f>
        <v>37.98254</v>
      </c>
    </row>
    <row r="1310" spans="1:9" s="71" customFormat="1" ht="16.5" hidden="1" customHeight="1" outlineLevel="1" x14ac:dyDescent="0.25">
      <c r="A1310" s="74">
        <v>2877</v>
      </c>
      <c r="B1310" s="45" t="s">
        <v>664</v>
      </c>
      <c r="C1310" s="60" t="s">
        <v>948</v>
      </c>
      <c r="D1310" s="60"/>
      <c r="E1310" s="74">
        <v>2022</v>
      </c>
      <c r="F1310" s="74" t="s">
        <v>489</v>
      </c>
      <c r="G1310" s="61">
        <v>1</v>
      </c>
      <c r="H1310" s="45">
        <v>10</v>
      </c>
      <c r="I1310" s="74">
        <f>0.03474204*(1000)</f>
        <v>34.742040000000003</v>
      </c>
    </row>
    <row r="1311" spans="1:9" s="71" customFormat="1" ht="16.5" hidden="1" customHeight="1" outlineLevel="1" x14ac:dyDescent="0.25">
      <c r="A1311" s="74">
        <v>2891</v>
      </c>
      <c r="B1311" s="45" t="s">
        <v>664</v>
      </c>
      <c r="C1311" s="60" t="s">
        <v>949</v>
      </c>
      <c r="D1311" s="60"/>
      <c r="E1311" s="74">
        <v>2022</v>
      </c>
      <c r="F1311" s="74" t="s">
        <v>489</v>
      </c>
      <c r="G1311" s="61">
        <v>1</v>
      </c>
      <c r="H1311" s="45">
        <v>15</v>
      </c>
      <c r="I1311" s="74">
        <f>0.0250114*(1000)</f>
        <v>25.011399999999998</v>
      </c>
    </row>
    <row r="1312" spans="1:9" s="71" customFormat="1" ht="16.5" hidden="1" customHeight="1" outlineLevel="1" x14ac:dyDescent="0.25">
      <c r="A1312" s="74">
        <v>2892</v>
      </c>
      <c r="B1312" s="45" t="s">
        <v>664</v>
      </c>
      <c r="C1312" s="60" t="s">
        <v>950</v>
      </c>
      <c r="D1312" s="60"/>
      <c r="E1312" s="74">
        <v>2022</v>
      </c>
      <c r="F1312" s="74" t="s">
        <v>489</v>
      </c>
      <c r="G1312" s="61">
        <v>2</v>
      </c>
      <c r="H1312" s="45">
        <v>8</v>
      </c>
      <c r="I1312" s="74">
        <f>0.03807792*(1000)</f>
        <v>38.077919999999999</v>
      </c>
    </row>
    <row r="1313" spans="1:9" s="71" customFormat="1" ht="16.5" hidden="1" customHeight="1" outlineLevel="1" x14ac:dyDescent="0.25">
      <c r="A1313" s="74">
        <v>2893</v>
      </c>
      <c r="B1313" s="45" t="s">
        <v>664</v>
      </c>
      <c r="C1313" s="60" t="s">
        <v>951</v>
      </c>
      <c r="D1313" s="60"/>
      <c r="E1313" s="74">
        <v>2022</v>
      </c>
      <c r="F1313" s="74" t="s">
        <v>489</v>
      </c>
      <c r="G1313" s="61">
        <v>1</v>
      </c>
      <c r="H1313" s="45">
        <v>50</v>
      </c>
      <c r="I1313" s="74">
        <f>0.02507907*(1000)</f>
        <v>25.079069999999998</v>
      </c>
    </row>
    <row r="1314" spans="1:9" s="71" customFormat="1" ht="16.5" hidden="1" customHeight="1" outlineLevel="1" x14ac:dyDescent="0.25">
      <c r="A1314" s="74">
        <v>2896</v>
      </c>
      <c r="B1314" s="45" t="s">
        <v>664</v>
      </c>
      <c r="C1314" s="60" t="s">
        <v>952</v>
      </c>
      <c r="D1314" s="60"/>
      <c r="E1314" s="74">
        <v>2022</v>
      </c>
      <c r="F1314" s="74" t="s">
        <v>489</v>
      </c>
      <c r="G1314" s="61">
        <v>1</v>
      </c>
      <c r="H1314" s="45">
        <v>10</v>
      </c>
      <c r="I1314" s="74">
        <f>0.02490979*(1000)</f>
        <v>24.909790000000001</v>
      </c>
    </row>
    <row r="1315" spans="1:9" s="71" customFormat="1" ht="16.5" hidden="1" customHeight="1" outlineLevel="1" x14ac:dyDescent="0.25">
      <c r="A1315" s="74">
        <v>2898</v>
      </c>
      <c r="B1315" s="45" t="s">
        <v>664</v>
      </c>
      <c r="C1315" s="60" t="s">
        <v>953</v>
      </c>
      <c r="D1315" s="60"/>
      <c r="E1315" s="74">
        <v>2022</v>
      </c>
      <c r="F1315" s="74" t="s">
        <v>489</v>
      </c>
      <c r="G1315" s="61">
        <v>1</v>
      </c>
      <c r="H1315" s="45">
        <v>2</v>
      </c>
      <c r="I1315" s="74">
        <f>0.02507909*(1000)</f>
        <v>25.079089999999997</v>
      </c>
    </row>
    <row r="1316" spans="1:9" s="71" customFormat="1" ht="16.5" hidden="1" customHeight="1" outlineLevel="1" x14ac:dyDescent="0.25">
      <c r="A1316" s="74">
        <v>2899</v>
      </c>
      <c r="B1316" s="45" t="s">
        <v>664</v>
      </c>
      <c r="C1316" s="60" t="s">
        <v>954</v>
      </c>
      <c r="D1316" s="60"/>
      <c r="E1316" s="74">
        <v>2022</v>
      </c>
      <c r="F1316" s="74" t="s">
        <v>489</v>
      </c>
      <c r="G1316" s="61">
        <v>1</v>
      </c>
      <c r="H1316" s="45">
        <v>2</v>
      </c>
      <c r="I1316" s="74">
        <f>0.02504226*(1000)</f>
        <v>25.042259999999999</v>
      </c>
    </row>
    <row r="1317" spans="1:9" s="71" customFormat="1" ht="16.5" hidden="1" customHeight="1" outlineLevel="1" x14ac:dyDescent="0.25">
      <c r="A1317" s="74">
        <v>2900</v>
      </c>
      <c r="B1317" s="45" t="s">
        <v>664</v>
      </c>
      <c r="C1317" s="60" t="s">
        <v>955</v>
      </c>
      <c r="D1317" s="60"/>
      <c r="E1317" s="74">
        <v>2022</v>
      </c>
      <c r="F1317" s="74" t="s">
        <v>489</v>
      </c>
      <c r="G1317" s="61">
        <v>1</v>
      </c>
      <c r="H1317" s="45">
        <v>2</v>
      </c>
      <c r="I1317" s="74">
        <f>0.02660444*(1000)</f>
        <v>26.60444</v>
      </c>
    </row>
    <row r="1318" spans="1:9" s="71" customFormat="1" ht="16.5" hidden="1" customHeight="1" outlineLevel="1" x14ac:dyDescent="0.25">
      <c r="A1318" s="74">
        <v>2901</v>
      </c>
      <c r="B1318" s="45" t="s">
        <v>664</v>
      </c>
      <c r="C1318" s="60" t="s">
        <v>956</v>
      </c>
      <c r="D1318" s="60"/>
      <c r="E1318" s="74">
        <v>2022</v>
      </c>
      <c r="F1318" s="74" t="s">
        <v>489</v>
      </c>
      <c r="G1318" s="61">
        <v>1</v>
      </c>
      <c r="H1318" s="45">
        <v>2</v>
      </c>
      <c r="I1318" s="74">
        <f>0.02497752*(1000)</f>
        <v>24.977519999999998</v>
      </c>
    </row>
    <row r="1319" spans="1:9" s="71" customFormat="1" ht="16.5" hidden="1" customHeight="1" outlineLevel="1" x14ac:dyDescent="0.25">
      <c r="A1319" s="74">
        <v>2902</v>
      </c>
      <c r="B1319" s="45" t="s">
        <v>664</v>
      </c>
      <c r="C1319" s="60" t="s">
        <v>957</v>
      </c>
      <c r="D1319" s="60"/>
      <c r="E1319" s="74">
        <v>2022</v>
      </c>
      <c r="F1319" s="74" t="s">
        <v>489</v>
      </c>
      <c r="G1319" s="61">
        <v>1</v>
      </c>
      <c r="H1319" s="45">
        <v>2</v>
      </c>
      <c r="I1319" s="74">
        <f>0.0250114*(1000)</f>
        <v>25.011399999999998</v>
      </c>
    </row>
    <row r="1320" spans="1:9" s="71" customFormat="1" ht="16.5" hidden="1" customHeight="1" outlineLevel="1" x14ac:dyDescent="0.25">
      <c r="A1320" s="74">
        <v>2903</v>
      </c>
      <c r="B1320" s="45" t="s">
        <v>664</v>
      </c>
      <c r="C1320" s="60" t="s">
        <v>958</v>
      </c>
      <c r="D1320" s="60"/>
      <c r="E1320" s="74">
        <v>2022</v>
      </c>
      <c r="F1320" s="74" t="s">
        <v>489</v>
      </c>
      <c r="G1320" s="61">
        <v>1</v>
      </c>
      <c r="H1320" s="45">
        <v>2</v>
      </c>
      <c r="I1320" s="74">
        <f>0.02505453*(1000)</f>
        <v>25.05453</v>
      </c>
    </row>
    <row r="1321" spans="1:9" s="71" customFormat="1" ht="16.5" hidden="1" customHeight="1" outlineLevel="1" x14ac:dyDescent="0.25">
      <c r="A1321" s="74">
        <v>2904</v>
      </c>
      <c r="B1321" s="45" t="s">
        <v>664</v>
      </c>
      <c r="C1321" s="60" t="s">
        <v>959</v>
      </c>
      <c r="D1321" s="60"/>
      <c r="E1321" s="74">
        <v>2022</v>
      </c>
      <c r="F1321" s="74" t="s">
        <v>489</v>
      </c>
      <c r="G1321" s="61">
        <v>1</v>
      </c>
      <c r="H1321" s="45">
        <v>2</v>
      </c>
      <c r="I1321" s="74">
        <f>0.02490981*(1000)</f>
        <v>24.90981</v>
      </c>
    </row>
    <row r="1322" spans="1:9" s="71" customFormat="1" ht="16.5" hidden="1" customHeight="1" outlineLevel="1" x14ac:dyDescent="0.25">
      <c r="A1322" s="74">
        <v>2905</v>
      </c>
      <c r="B1322" s="45" t="s">
        <v>664</v>
      </c>
      <c r="C1322" s="60" t="s">
        <v>960</v>
      </c>
      <c r="D1322" s="60"/>
      <c r="E1322" s="74">
        <v>2022</v>
      </c>
      <c r="F1322" s="74" t="s">
        <v>489</v>
      </c>
      <c r="G1322" s="61">
        <v>1</v>
      </c>
      <c r="H1322" s="45">
        <v>2.8</v>
      </c>
      <c r="I1322" s="74">
        <f>0.02507909*(1000)</f>
        <v>25.079089999999997</v>
      </c>
    </row>
    <row r="1323" spans="1:9" s="71" customFormat="1" ht="16.5" hidden="1" customHeight="1" outlineLevel="1" x14ac:dyDescent="0.25">
      <c r="A1323" s="74">
        <v>2907</v>
      </c>
      <c r="B1323" s="45" t="s">
        <v>664</v>
      </c>
      <c r="C1323" s="60" t="s">
        <v>961</v>
      </c>
      <c r="D1323" s="60"/>
      <c r="E1323" s="74">
        <v>2022</v>
      </c>
      <c r="F1323" s="74" t="s">
        <v>489</v>
      </c>
      <c r="G1323" s="61">
        <v>10</v>
      </c>
      <c r="H1323" s="45">
        <v>134</v>
      </c>
      <c r="I1323" s="74">
        <f>0.15450514*(1000)</f>
        <v>154.50514000000001</v>
      </c>
    </row>
    <row r="1324" spans="1:9" s="71" customFormat="1" ht="16.5" hidden="1" customHeight="1" outlineLevel="1" x14ac:dyDescent="0.25">
      <c r="A1324" s="74">
        <v>2933</v>
      </c>
      <c r="B1324" s="45" t="s">
        <v>664</v>
      </c>
      <c r="C1324" s="60" t="s">
        <v>962</v>
      </c>
      <c r="D1324" s="60"/>
      <c r="E1324" s="74">
        <v>2022</v>
      </c>
      <c r="F1324" s="74" t="s">
        <v>489</v>
      </c>
      <c r="G1324" s="61">
        <v>3</v>
      </c>
      <c r="H1324" s="45">
        <v>30</v>
      </c>
      <c r="I1324" s="74">
        <f>0.04613473*(1000)</f>
        <v>46.134729999999998</v>
      </c>
    </row>
    <row r="1325" spans="1:9" s="71" customFormat="1" ht="16.5" hidden="1" customHeight="1" outlineLevel="1" x14ac:dyDescent="0.25">
      <c r="A1325" s="74">
        <v>2936</v>
      </c>
      <c r="B1325" s="45" t="s">
        <v>664</v>
      </c>
      <c r="C1325" s="60" t="s">
        <v>963</v>
      </c>
      <c r="D1325" s="60"/>
      <c r="E1325" s="74">
        <v>2022</v>
      </c>
      <c r="F1325" s="74" t="s">
        <v>489</v>
      </c>
      <c r="G1325" s="61">
        <v>1</v>
      </c>
      <c r="H1325" s="45">
        <v>10</v>
      </c>
      <c r="I1325" s="74">
        <f>0.02310776*(1000)</f>
        <v>23.107760000000003</v>
      </c>
    </row>
    <row r="1326" spans="1:9" s="71" customFormat="1" ht="16.5" hidden="1" customHeight="1" outlineLevel="1" x14ac:dyDescent="0.25">
      <c r="A1326" s="74">
        <v>2937</v>
      </c>
      <c r="B1326" s="45" t="s">
        <v>664</v>
      </c>
      <c r="C1326" s="60" t="s">
        <v>964</v>
      </c>
      <c r="D1326" s="60"/>
      <c r="E1326" s="74">
        <v>2022</v>
      </c>
      <c r="F1326" s="74" t="s">
        <v>489</v>
      </c>
      <c r="G1326" s="61">
        <v>12</v>
      </c>
      <c r="H1326" s="45">
        <v>145</v>
      </c>
      <c r="I1326" s="74">
        <f>0.19690911*(1000)</f>
        <v>196.90911</v>
      </c>
    </row>
    <row r="1327" spans="1:9" s="71" customFormat="1" ht="16.5" hidden="1" customHeight="1" outlineLevel="1" x14ac:dyDescent="0.25">
      <c r="A1327" s="74">
        <v>2938</v>
      </c>
      <c r="B1327" s="45" t="s">
        <v>664</v>
      </c>
      <c r="C1327" s="60" t="s">
        <v>965</v>
      </c>
      <c r="D1327" s="60"/>
      <c r="E1327" s="74">
        <v>2022</v>
      </c>
      <c r="F1327" s="74" t="s">
        <v>489</v>
      </c>
      <c r="G1327" s="61">
        <v>7</v>
      </c>
      <c r="H1327" s="45">
        <v>80</v>
      </c>
      <c r="I1327" s="74">
        <f>0.09981603*(1000)</f>
        <v>99.816029999999998</v>
      </c>
    </row>
    <row r="1328" spans="1:9" s="71" customFormat="1" ht="16.5" hidden="1" customHeight="1" outlineLevel="1" x14ac:dyDescent="0.25">
      <c r="A1328" s="74">
        <v>2941</v>
      </c>
      <c r="B1328" s="45" t="s">
        <v>664</v>
      </c>
      <c r="C1328" s="60" t="s">
        <v>966</v>
      </c>
      <c r="D1328" s="60"/>
      <c r="E1328" s="74">
        <v>2022</v>
      </c>
      <c r="F1328" s="74" t="s">
        <v>489</v>
      </c>
      <c r="G1328" s="61">
        <v>3</v>
      </c>
      <c r="H1328" s="45">
        <v>40</v>
      </c>
      <c r="I1328" s="74">
        <f>0.08913799*(1000)</f>
        <v>89.137990000000002</v>
      </c>
    </row>
    <row r="1329" spans="1:9" s="71" customFormat="1" ht="16.5" hidden="1" customHeight="1" outlineLevel="1" x14ac:dyDescent="0.25">
      <c r="A1329" s="74">
        <v>2942</v>
      </c>
      <c r="B1329" s="45" t="s">
        <v>664</v>
      </c>
      <c r="C1329" s="60" t="s">
        <v>967</v>
      </c>
      <c r="D1329" s="60"/>
      <c r="E1329" s="74">
        <v>2022</v>
      </c>
      <c r="F1329" s="74" t="s">
        <v>489</v>
      </c>
      <c r="G1329" s="61">
        <v>10</v>
      </c>
      <c r="H1329" s="45">
        <v>112</v>
      </c>
      <c r="I1329" s="74">
        <f>0.13188653*(1000)</f>
        <v>131.88652999999999</v>
      </c>
    </row>
    <row r="1330" spans="1:9" s="71" customFormat="1" ht="16.5" hidden="1" customHeight="1" outlineLevel="1" x14ac:dyDescent="0.25">
      <c r="A1330" s="74">
        <v>2943</v>
      </c>
      <c r="B1330" s="45" t="s">
        <v>664</v>
      </c>
      <c r="C1330" s="60" t="s">
        <v>968</v>
      </c>
      <c r="D1330" s="60"/>
      <c r="E1330" s="74">
        <v>2022</v>
      </c>
      <c r="F1330" s="74" t="s">
        <v>489</v>
      </c>
      <c r="G1330" s="61">
        <v>35</v>
      </c>
      <c r="H1330" s="45">
        <v>385</v>
      </c>
      <c r="I1330" s="74">
        <f>0.49191483*(1000)</f>
        <v>491.91483000000005</v>
      </c>
    </row>
    <row r="1331" spans="1:9" s="71" customFormat="1" ht="16.5" hidden="1" customHeight="1" outlineLevel="1" x14ac:dyDescent="0.25">
      <c r="A1331" s="74">
        <v>2946</v>
      </c>
      <c r="B1331" s="45" t="s">
        <v>664</v>
      </c>
      <c r="C1331" s="60" t="s">
        <v>969</v>
      </c>
      <c r="D1331" s="60"/>
      <c r="E1331" s="74">
        <v>2022</v>
      </c>
      <c r="F1331" s="74" t="s">
        <v>489</v>
      </c>
      <c r="G1331" s="61">
        <v>4</v>
      </c>
      <c r="H1331" s="45">
        <v>28.12</v>
      </c>
      <c r="I1331" s="74">
        <f>0.04987805*(1000)</f>
        <v>49.878050000000002</v>
      </c>
    </row>
    <row r="1332" spans="1:9" s="71" customFormat="1" ht="16.5" hidden="1" customHeight="1" outlineLevel="1" x14ac:dyDescent="0.25">
      <c r="A1332" s="74">
        <v>2947</v>
      </c>
      <c r="B1332" s="45" t="s">
        <v>664</v>
      </c>
      <c r="C1332" s="60" t="s">
        <v>970</v>
      </c>
      <c r="D1332" s="60"/>
      <c r="E1332" s="74">
        <v>2022</v>
      </c>
      <c r="F1332" s="74" t="s">
        <v>489</v>
      </c>
      <c r="G1332" s="61">
        <v>3</v>
      </c>
      <c r="H1332" s="45">
        <v>35</v>
      </c>
      <c r="I1332" s="74">
        <f>0.06225983*(1000)</f>
        <v>62.259830000000001</v>
      </c>
    </row>
    <row r="1333" spans="1:9" s="71" customFormat="1" ht="16.5" hidden="1" customHeight="1" outlineLevel="1" x14ac:dyDescent="0.25">
      <c r="A1333" s="74">
        <v>2948</v>
      </c>
      <c r="B1333" s="45" t="s">
        <v>664</v>
      </c>
      <c r="C1333" s="60" t="s">
        <v>971</v>
      </c>
      <c r="D1333" s="60"/>
      <c r="E1333" s="74">
        <v>2022</v>
      </c>
      <c r="F1333" s="74" t="s">
        <v>489</v>
      </c>
      <c r="G1333" s="61">
        <v>3</v>
      </c>
      <c r="H1333" s="45">
        <v>40</v>
      </c>
      <c r="I1333" s="74">
        <f>0.07346244*(1000)</f>
        <v>73.462440000000001</v>
      </c>
    </row>
    <row r="1334" spans="1:9" s="71" customFormat="1" ht="16.5" hidden="1" customHeight="1" outlineLevel="1" x14ac:dyDescent="0.25">
      <c r="A1334" s="74">
        <v>2949</v>
      </c>
      <c r="B1334" s="45" t="s">
        <v>664</v>
      </c>
      <c r="C1334" s="60" t="s">
        <v>972</v>
      </c>
      <c r="D1334" s="60"/>
      <c r="E1334" s="74">
        <v>2022</v>
      </c>
      <c r="F1334" s="74" t="s">
        <v>489</v>
      </c>
      <c r="G1334" s="61">
        <v>2</v>
      </c>
      <c r="H1334" s="45">
        <v>25</v>
      </c>
      <c r="I1334" s="74">
        <f>0.05158973*(1000)</f>
        <v>51.589730000000003</v>
      </c>
    </row>
    <row r="1335" spans="1:9" s="71" customFormat="1" ht="16.5" hidden="1" customHeight="1" outlineLevel="1" x14ac:dyDescent="0.25">
      <c r="A1335" s="74">
        <v>2950</v>
      </c>
      <c r="B1335" s="45" t="s">
        <v>664</v>
      </c>
      <c r="C1335" s="60" t="s">
        <v>973</v>
      </c>
      <c r="D1335" s="60"/>
      <c r="E1335" s="74">
        <v>2022</v>
      </c>
      <c r="F1335" s="74" t="s">
        <v>489</v>
      </c>
      <c r="G1335" s="61">
        <v>3</v>
      </c>
      <c r="H1335" s="45">
        <v>66</v>
      </c>
      <c r="I1335" s="74">
        <f>0.06282568*(1000)</f>
        <v>62.825679999999991</v>
      </c>
    </row>
    <row r="1336" spans="1:9" s="71" customFormat="1" ht="16.5" hidden="1" customHeight="1" outlineLevel="1" x14ac:dyDescent="0.25">
      <c r="A1336" s="74">
        <v>2951</v>
      </c>
      <c r="B1336" s="45" t="s">
        <v>664</v>
      </c>
      <c r="C1336" s="60" t="s">
        <v>974</v>
      </c>
      <c r="D1336" s="60"/>
      <c r="E1336" s="74">
        <v>2022</v>
      </c>
      <c r="F1336" s="74" t="s">
        <v>489</v>
      </c>
      <c r="G1336" s="61">
        <v>3</v>
      </c>
      <c r="H1336" s="45">
        <v>37</v>
      </c>
      <c r="I1336" s="74">
        <f>0.07310261*(1000)</f>
        <v>73.102609999999999</v>
      </c>
    </row>
    <row r="1337" spans="1:9" s="71" customFormat="1" ht="16.5" hidden="1" customHeight="1" outlineLevel="1" x14ac:dyDescent="0.25">
      <c r="A1337" s="74">
        <v>2953</v>
      </c>
      <c r="B1337" s="45" t="s">
        <v>664</v>
      </c>
      <c r="C1337" s="60" t="s">
        <v>975</v>
      </c>
      <c r="D1337" s="60"/>
      <c r="E1337" s="74">
        <v>2022</v>
      </c>
      <c r="F1337" s="74" t="s">
        <v>489</v>
      </c>
      <c r="G1337" s="61">
        <v>2</v>
      </c>
      <c r="H1337" s="45">
        <v>21</v>
      </c>
      <c r="I1337" s="74">
        <f>0.04336875*(1000)</f>
        <v>43.368749999999999</v>
      </c>
    </row>
    <row r="1338" spans="1:9" s="71" customFormat="1" ht="16.5" hidden="1" customHeight="1" outlineLevel="1" x14ac:dyDescent="0.25">
      <c r="A1338" s="74">
        <v>2956</v>
      </c>
      <c r="B1338" s="45" t="s">
        <v>664</v>
      </c>
      <c r="C1338" s="60" t="s">
        <v>976</v>
      </c>
      <c r="D1338" s="60"/>
      <c r="E1338" s="74">
        <v>2022</v>
      </c>
      <c r="F1338" s="74" t="s">
        <v>489</v>
      </c>
      <c r="G1338" s="61">
        <v>3</v>
      </c>
      <c r="H1338" s="45">
        <v>20</v>
      </c>
      <c r="I1338" s="74">
        <f>0.06456762*(1000)</f>
        <v>64.567620000000005</v>
      </c>
    </row>
    <row r="1339" spans="1:9" s="71" customFormat="1" ht="16.5" hidden="1" customHeight="1" outlineLevel="1" x14ac:dyDescent="0.25">
      <c r="A1339" s="74">
        <v>2960</v>
      </c>
      <c r="B1339" s="45" t="s">
        <v>664</v>
      </c>
      <c r="C1339" s="60" t="s">
        <v>977</v>
      </c>
      <c r="D1339" s="60"/>
      <c r="E1339" s="74">
        <v>2022</v>
      </c>
      <c r="F1339" s="74" t="s">
        <v>489</v>
      </c>
      <c r="G1339" s="61">
        <v>2</v>
      </c>
      <c r="H1339" s="45">
        <v>25</v>
      </c>
      <c r="I1339" s="74">
        <f>0.05880541*(1000)</f>
        <v>58.805410000000002</v>
      </c>
    </row>
    <row r="1340" spans="1:9" s="71" customFormat="1" ht="16.5" hidden="1" customHeight="1" outlineLevel="1" x14ac:dyDescent="0.25">
      <c r="A1340" s="74">
        <v>2961</v>
      </c>
      <c r="B1340" s="45" t="s">
        <v>664</v>
      </c>
      <c r="C1340" s="60" t="s">
        <v>978</v>
      </c>
      <c r="D1340" s="60"/>
      <c r="E1340" s="74">
        <v>2022</v>
      </c>
      <c r="F1340" s="74" t="s">
        <v>489</v>
      </c>
      <c r="G1340" s="61">
        <v>1</v>
      </c>
      <c r="H1340" s="45">
        <v>10</v>
      </c>
      <c r="I1340" s="74">
        <f>0.02310777*(1000)</f>
        <v>23.107769999999999</v>
      </c>
    </row>
    <row r="1341" spans="1:9" s="71" customFormat="1" ht="16.5" hidden="1" customHeight="1" outlineLevel="1" x14ac:dyDescent="0.25">
      <c r="A1341" s="74">
        <v>2963</v>
      </c>
      <c r="B1341" s="45" t="s">
        <v>664</v>
      </c>
      <c r="C1341" s="60" t="s">
        <v>979</v>
      </c>
      <c r="D1341" s="60"/>
      <c r="E1341" s="74">
        <v>2022</v>
      </c>
      <c r="F1341" s="74" t="s">
        <v>489</v>
      </c>
      <c r="G1341" s="61">
        <v>1</v>
      </c>
      <c r="H1341" s="45">
        <v>5</v>
      </c>
      <c r="I1341" s="74">
        <f>0.03234399*(1000)</f>
        <v>32.343990000000005</v>
      </c>
    </row>
    <row r="1342" spans="1:9" s="71" customFormat="1" ht="16.5" hidden="1" customHeight="1" outlineLevel="1" x14ac:dyDescent="0.25">
      <c r="A1342" s="74">
        <v>2967</v>
      </c>
      <c r="B1342" s="45" t="s">
        <v>664</v>
      </c>
      <c r="C1342" s="60" t="s">
        <v>980</v>
      </c>
      <c r="D1342" s="60"/>
      <c r="E1342" s="74">
        <v>2022</v>
      </c>
      <c r="F1342" s="74" t="s">
        <v>489</v>
      </c>
      <c r="G1342" s="61">
        <v>1</v>
      </c>
      <c r="H1342" s="45">
        <v>60</v>
      </c>
      <c r="I1342" s="74">
        <f>0.02244456*(1000)</f>
        <v>22.444559999999999</v>
      </c>
    </row>
    <row r="1343" spans="1:9" s="71" customFormat="1" ht="16.5" hidden="1" customHeight="1" outlineLevel="1" x14ac:dyDescent="0.25">
      <c r="A1343" s="74">
        <v>2969</v>
      </c>
      <c r="B1343" s="45" t="s">
        <v>664</v>
      </c>
      <c r="C1343" s="60" t="s">
        <v>981</v>
      </c>
      <c r="D1343" s="60"/>
      <c r="E1343" s="74">
        <v>2022</v>
      </c>
      <c r="F1343" s="74" t="s">
        <v>489</v>
      </c>
      <c r="G1343" s="61">
        <v>17</v>
      </c>
      <c r="H1343" s="45">
        <v>178</v>
      </c>
      <c r="I1343" s="74">
        <f>0.24173635*(1000)</f>
        <v>241.73634999999999</v>
      </c>
    </row>
    <row r="1344" spans="1:9" s="71" customFormat="1" ht="16.5" hidden="1" customHeight="1" outlineLevel="1" x14ac:dyDescent="0.25">
      <c r="A1344" s="74">
        <v>2970</v>
      </c>
      <c r="B1344" s="45" t="s">
        <v>664</v>
      </c>
      <c r="C1344" s="60" t="s">
        <v>982</v>
      </c>
      <c r="D1344" s="60"/>
      <c r="E1344" s="74">
        <v>2022</v>
      </c>
      <c r="F1344" s="74" t="s">
        <v>489</v>
      </c>
      <c r="G1344" s="61">
        <v>3</v>
      </c>
      <c r="H1344" s="45">
        <v>40</v>
      </c>
      <c r="I1344" s="74">
        <f>0.02491951*(1000)</f>
        <v>24.919509999999999</v>
      </c>
    </row>
    <row r="1345" spans="1:9" s="71" customFormat="1" ht="16.5" hidden="1" customHeight="1" outlineLevel="1" x14ac:dyDescent="0.25">
      <c r="A1345" s="74">
        <v>2971</v>
      </c>
      <c r="B1345" s="45" t="s">
        <v>664</v>
      </c>
      <c r="C1345" s="60" t="s">
        <v>983</v>
      </c>
      <c r="D1345" s="60"/>
      <c r="E1345" s="74">
        <v>2022</v>
      </c>
      <c r="F1345" s="74" t="s">
        <v>489</v>
      </c>
      <c r="G1345" s="61">
        <v>13</v>
      </c>
      <c r="H1345" s="45">
        <v>160</v>
      </c>
      <c r="I1345" s="74">
        <f>0.21958691*(1000)</f>
        <v>219.58690999999999</v>
      </c>
    </row>
    <row r="1346" spans="1:9" s="71" customFormat="1" ht="16.5" hidden="1" customHeight="1" outlineLevel="1" x14ac:dyDescent="0.25">
      <c r="A1346" s="74">
        <v>2972</v>
      </c>
      <c r="B1346" s="45" t="s">
        <v>664</v>
      </c>
      <c r="C1346" s="60" t="s">
        <v>984</v>
      </c>
      <c r="D1346" s="60"/>
      <c r="E1346" s="74">
        <v>2022</v>
      </c>
      <c r="F1346" s="74" t="s">
        <v>489</v>
      </c>
      <c r="G1346" s="61">
        <v>30</v>
      </c>
      <c r="H1346" s="45">
        <v>326</v>
      </c>
      <c r="I1346" s="74">
        <f>0.43675571*(1000)</f>
        <v>436.75571000000002</v>
      </c>
    </row>
    <row r="1347" spans="1:9" s="71" customFormat="1" ht="16.5" hidden="1" customHeight="1" outlineLevel="1" x14ac:dyDescent="0.25">
      <c r="A1347" s="74">
        <v>2973</v>
      </c>
      <c r="B1347" s="45" t="s">
        <v>664</v>
      </c>
      <c r="C1347" s="60" t="s">
        <v>985</v>
      </c>
      <c r="D1347" s="60"/>
      <c r="E1347" s="74">
        <v>2022</v>
      </c>
      <c r="F1347" s="74" t="s">
        <v>489</v>
      </c>
      <c r="G1347" s="61">
        <v>5</v>
      </c>
      <c r="H1347" s="45">
        <v>60</v>
      </c>
      <c r="I1347" s="74">
        <f>0.04636124*(1000)</f>
        <v>46.361239999999995</v>
      </c>
    </row>
    <row r="1348" spans="1:9" s="71" customFormat="1" ht="16.5" hidden="1" customHeight="1" outlineLevel="1" x14ac:dyDescent="0.25">
      <c r="A1348" s="74">
        <v>2974</v>
      </c>
      <c r="B1348" s="45" t="s">
        <v>664</v>
      </c>
      <c r="C1348" s="60" t="s">
        <v>986</v>
      </c>
      <c r="D1348" s="60"/>
      <c r="E1348" s="74">
        <v>2022</v>
      </c>
      <c r="F1348" s="74" t="s">
        <v>489</v>
      </c>
      <c r="G1348" s="61">
        <v>17</v>
      </c>
      <c r="H1348" s="45">
        <v>228</v>
      </c>
      <c r="I1348" s="74">
        <f>0.25715453*(1000)</f>
        <v>257.15452999999997</v>
      </c>
    </row>
    <row r="1349" spans="1:9" s="71" customFormat="1" ht="16.5" hidden="1" customHeight="1" outlineLevel="1" x14ac:dyDescent="0.25">
      <c r="A1349" s="74">
        <v>2975</v>
      </c>
      <c r="B1349" s="45" t="s">
        <v>664</v>
      </c>
      <c r="C1349" s="60" t="s">
        <v>987</v>
      </c>
      <c r="D1349" s="60"/>
      <c r="E1349" s="74">
        <v>2022</v>
      </c>
      <c r="F1349" s="74" t="s">
        <v>489</v>
      </c>
      <c r="G1349" s="61">
        <v>17</v>
      </c>
      <c r="H1349" s="45">
        <v>208</v>
      </c>
      <c r="I1349" s="74">
        <f>0.1275607*(1000)</f>
        <v>127.5607</v>
      </c>
    </row>
    <row r="1350" spans="1:9" s="71" customFormat="1" ht="16.5" hidden="1" customHeight="1" outlineLevel="1" x14ac:dyDescent="0.25">
      <c r="A1350" s="74">
        <v>2976</v>
      </c>
      <c r="B1350" s="45" t="s">
        <v>664</v>
      </c>
      <c r="C1350" s="60" t="s">
        <v>988</v>
      </c>
      <c r="D1350" s="60"/>
      <c r="E1350" s="74">
        <v>2022</v>
      </c>
      <c r="F1350" s="74" t="s">
        <v>489</v>
      </c>
      <c r="G1350" s="61">
        <v>7</v>
      </c>
      <c r="H1350" s="45">
        <v>84</v>
      </c>
      <c r="I1350" s="74">
        <f>0.06082144*(1000)</f>
        <v>60.821439999999996</v>
      </c>
    </row>
    <row r="1351" spans="1:9" s="71" customFormat="1" ht="16.5" hidden="1" customHeight="1" outlineLevel="1" x14ac:dyDescent="0.25">
      <c r="A1351" s="74">
        <v>2977</v>
      </c>
      <c r="B1351" s="45" t="s">
        <v>664</v>
      </c>
      <c r="C1351" s="60" t="s">
        <v>989</v>
      </c>
      <c r="D1351" s="60"/>
      <c r="E1351" s="74">
        <v>2022</v>
      </c>
      <c r="F1351" s="74" t="s">
        <v>489</v>
      </c>
      <c r="G1351" s="61">
        <v>5</v>
      </c>
      <c r="H1351" s="45">
        <v>70</v>
      </c>
      <c r="I1351" s="74">
        <f>0.08582963*(1000)</f>
        <v>85.829630000000009</v>
      </c>
    </row>
    <row r="1352" spans="1:9" s="71" customFormat="1" ht="16.5" hidden="1" customHeight="1" outlineLevel="1" x14ac:dyDescent="0.25">
      <c r="A1352" s="74">
        <v>2978</v>
      </c>
      <c r="B1352" s="45" t="s">
        <v>664</v>
      </c>
      <c r="C1352" s="60" t="s">
        <v>990</v>
      </c>
      <c r="D1352" s="60"/>
      <c r="E1352" s="74">
        <v>2022</v>
      </c>
      <c r="F1352" s="74" t="s">
        <v>489</v>
      </c>
      <c r="G1352" s="61">
        <v>6</v>
      </c>
      <c r="H1352" s="45">
        <v>65</v>
      </c>
      <c r="I1352" s="74">
        <f>0.06704616*(1000)</f>
        <v>67.04616</v>
      </c>
    </row>
    <row r="1353" spans="1:9" s="71" customFormat="1" ht="16.5" hidden="1" customHeight="1" outlineLevel="1" x14ac:dyDescent="0.25">
      <c r="A1353" s="74">
        <v>2979</v>
      </c>
      <c r="B1353" s="45" t="s">
        <v>664</v>
      </c>
      <c r="C1353" s="60" t="s">
        <v>991</v>
      </c>
      <c r="D1353" s="60"/>
      <c r="E1353" s="74">
        <v>2022</v>
      </c>
      <c r="F1353" s="74" t="s">
        <v>489</v>
      </c>
      <c r="G1353" s="61">
        <v>7</v>
      </c>
      <c r="H1353" s="45">
        <v>110</v>
      </c>
      <c r="I1353" s="74">
        <f>0.0954655*(1000)</f>
        <v>95.465499999999992</v>
      </c>
    </row>
    <row r="1354" spans="1:9" s="71" customFormat="1" ht="16.5" hidden="1" customHeight="1" outlineLevel="1" x14ac:dyDescent="0.25">
      <c r="A1354" s="74">
        <v>2980</v>
      </c>
      <c r="B1354" s="45" t="s">
        <v>664</v>
      </c>
      <c r="C1354" s="60" t="s">
        <v>992</v>
      </c>
      <c r="D1354" s="60"/>
      <c r="E1354" s="74">
        <v>2022</v>
      </c>
      <c r="F1354" s="74" t="s">
        <v>489</v>
      </c>
      <c r="G1354" s="61">
        <v>9</v>
      </c>
      <c r="H1354" s="45">
        <v>110</v>
      </c>
      <c r="I1354" s="74">
        <f>0.07340391*(1000)</f>
        <v>73.403909999999996</v>
      </c>
    </row>
    <row r="1355" spans="1:9" s="71" customFormat="1" ht="16.5" hidden="1" customHeight="1" outlineLevel="1" x14ac:dyDescent="0.25">
      <c r="A1355" s="74">
        <v>2981</v>
      </c>
      <c r="B1355" s="45" t="s">
        <v>664</v>
      </c>
      <c r="C1355" s="60" t="s">
        <v>993</v>
      </c>
      <c r="D1355" s="60"/>
      <c r="E1355" s="74">
        <v>2022</v>
      </c>
      <c r="F1355" s="74" t="s">
        <v>489</v>
      </c>
      <c r="G1355" s="61">
        <v>5</v>
      </c>
      <c r="H1355" s="45">
        <v>65</v>
      </c>
      <c r="I1355" s="74">
        <f>0.03628488*(1000)</f>
        <v>36.284880000000001</v>
      </c>
    </row>
    <row r="1356" spans="1:9" s="71" customFormat="1" ht="16.5" hidden="1" customHeight="1" outlineLevel="1" x14ac:dyDescent="0.25">
      <c r="A1356" s="74">
        <v>2982</v>
      </c>
      <c r="B1356" s="45" t="s">
        <v>664</v>
      </c>
      <c r="C1356" s="60" t="s">
        <v>994</v>
      </c>
      <c r="D1356" s="60"/>
      <c r="E1356" s="74">
        <v>2022</v>
      </c>
      <c r="F1356" s="74" t="s">
        <v>489</v>
      </c>
      <c r="G1356" s="61">
        <v>9</v>
      </c>
      <c r="H1356" s="45">
        <v>92</v>
      </c>
      <c r="I1356" s="74">
        <f>0.12084411*(1000)</f>
        <v>120.84411</v>
      </c>
    </row>
    <row r="1357" spans="1:9" s="71" customFormat="1" ht="16.5" hidden="1" customHeight="1" outlineLevel="1" x14ac:dyDescent="0.25">
      <c r="A1357" s="74">
        <v>2987</v>
      </c>
      <c r="B1357" s="45" t="s">
        <v>664</v>
      </c>
      <c r="C1357" s="60" t="s">
        <v>995</v>
      </c>
      <c r="D1357" s="60"/>
      <c r="E1357" s="74">
        <v>2022</v>
      </c>
      <c r="F1357" s="74" t="s">
        <v>489</v>
      </c>
      <c r="G1357" s="61">
        <v>1</v>
      </c>
      <c r="H1357" s="45">
        <v>27</v>
      </c>
      <c r="I1357" s="74">
        <f>0.02398995*(1000)</f>
        <v>23.98995</v>
      </c>
    </row>
    <row r="1358" spans="1:9" s="71" customFormat="1" ht="16.5" hidden="1" customHeight="1" outlineLevel="1" x14ac:dyDescent="0.25">
      <c r="A1358" s="74">
        <v>2988</v>
      </c>
      <c r="B1358" s="45" t="s">
        <v>664</v>
      </c>
      <c r="C1358" s="60" t="s">
        <v>996</v>
      </c>
      <c r="D1358" s="60"/>
      <c r="E1358" s="74">
        <v>2022</v>
      </c>
      <c r="F1358" s="74" t="s">
        <v>489</v>
      </c>
      <c r="G1358" s="61">
        <v>2</v>
      </c>
      <c r="H1358" s="45">
        <v>30</v>
      </c>
      <c r="I1358" s="74">
        <f>0.04575558*(1000)</f>
        <v>45.755579999999995</v>
      </c>
    </row>
    <row r="1359" spans="1:9" s="71" customFormat="1" ht="16.5" hidden="1" customHeight="1" outlineLevel="1" x14ac:dyDescent="0.25">
      <c r="A1359" s="74">
        <v>3017</v>
      </c>
      <c r="B1359" s="45" t="s">
        <v>664</v>
      </c>
      <c r="C1359" s="60" t="s">
        <v>997</v>
      </c>
      <c r="D1359" s="60"/>
      <c r="E1359" s="74">
        <v>2022</v>
      </c>
      <c r="F1359" s="74" t="s">
        <v>489</v>
      </c>
      <c r="G1359" s="61">
        <v>1</v>
      </c>
      <c r="H1359" s="45">
        <v>10</v>
      </c>
      <c r="I1359" s="74">
        <f>0.01916573*(1000)</f>
        <v>19.16573</v>
      </c>
    </row>
    <row r="1360" spans="1:9" s="71" customFormat="1" ht="16.5" hidden="1" customHeight="1" outlineLevel="1" x14ac:dyDescent="0.25">
      <c r="A1360" s="74">
        <v>3018</v>
      </c>
      <c r="B1360" s="45" t="s">
        <v>664</v>
      </c>
      <c r="C1360" s="60" t="s">
        <v>998</v>
      </c>
      <c r="D1360" s="60"/>
      <c r="E1360" s="74">
        <v>2022</v>
      </c>
      <c r="F1360" s="74" t="s">
        <v>489</v>
      </c>
      <c r="G1360" s="61">
        <v>1</v>
      </c>
      <c r="H1360" s="45">
        <v>15</v>
      </c>
      <c r="I1360" s="74">
        <f>0.01916572*(1000)</f>
        <v>19.16572</v>
      </c>
    </row>
    <row r="1361" spans="1:9" s="71" customFormat="1" ht="16.5" hidden="1" customHeight="1" outlineLevel="1" x14ac:dyDescent="0.25">
      <c r="A1361" s="74">
        <v>3019</v>
      </c>
      <c r="B1361" s="45" t="s">
        <v>664</v>
      </c>
      <c r="C1361" s="60" t="s">
        <v>999</v>
      </c>
      <c r="D1361" s="60"/>
      <c r="E1361" s="74">
        <v>2022</v>
      </c>
      <c r="F1361" s="74" t="s">
        <v>489</v>
      </c>
      <c r="G1361" s="61">
        <v>1</v>
      </c>
      <c r="H1361" s="45">
        <v>10</v>
      </c>
      <c r="I1361" s="74">
        <f>0.01893578*(1000)</f>
        <v>18.935779999999998</v>
      </c>
    </row>
    <row r="1362" spans="1:9" s="71" customFormat="1" ht="16.5" hidden="1" customHeight="1" outlineLevel="1" x14ac:dyDescent="0.25">
      <c r="A1362" s="74">
        <v>3024</v>
      </c>
      <c r="B1362" s="45" t="s">
        <v>664</v>
      </c>
      <c r="C1362" s="60" t="s">
        <v>1000</v>
      </c>
      <c r="D1362" s="60"/>
      <c r="E1362" s="74">
        <v>2022</v>
      </c>
      <c r="F1362" s="74" t="s">
        <v>489</v>
      </c>
      <c r="G1362" s="61">
        <v>2</v>
      </c>
      <c r="H1362" s="45">
        <v>17</v>
      </c>
      <c r="I1362" s="74">
        <f>0.02993381*(1000)</f>
        <v>29.933810000000001</v>
      </c>
    </row>
    <row r="1363" spans="1:9" s="71" customFormat="1" ht="16.5" hidden="1" customHeight="1" outlineLevel="1" x14ac:dyDescent="0.25">
      <c r="A1363" s="74">
        <v>3025</v>
      </c>
      <c r="B1363" s="45" t="s">
        <v>664</v>
      </c>
      <c r="C1363" s="60" t="s">
        <v>1001</v>
      </c>
      <c r="D1363" s="60"/>
      <c r="E1363" s="74">
        <v>2022</v>
      </c>
      <c r="F1363" s="74" t="s">
        <v>489</v>
      </c>
      <c r="G1363" s="61">
        <v>1</v>
      </c>
      <c r="H1363" s="45">
        <v>11</v>
      </c>
      <c r="I1363" s="74">
        <f>0.02864675*(1000)</f>
        <v>28.646749999999997</v>
      </c>
    </row>
    <row r="1364" spans="1:9" s="71" customFormat="1" ht="16.5" hidden="1" customHeight="1" outlineLevel="1" x14ac:dyDescent="0.25">
      <c r="A1364" s="74">
        <v>3026</v>
      </c>
      <c r="B1364" s="45" t="s">
        <v>664</v>
      </c>
      <c r="C1364" s="60" t="s">
        <v>1002</v>
      </c>
      <c r="D1364" s="60"/>
      <c r="E1364" s="74">
        <v>2022</v>
      </c>
      <c r="F1364" s="74" t="s">
        <v>489</v>
      </c>
      <c r="G1364" s="61">
        <v>1</v>
      </c>
      <c r="H1364" s="45">
        <v>10</v>
      </c>
      <c r="I1364" s="74">
        <f>0.01822365*(1000)</f>
        <v>18.223649999999999</v>
      </c>
    </row>
    <row r="1365" spans="1:9" s="71" customFormat="1" ht="16.5" hidden="1" customHeight="1" outlineLevel="1" x14ac:dyDescent="0.25">
      <c r="A1365" s="74">
        <v>3027</v>
      </c>
      <c r="B1365" s="45" t="s">
        <v>664</v>
      </c>
      <c r="C1365" s="60" t="s">
        <v>1003</v>
      </c>
      <c r="D1365" s="60"/>
      <c r="E1365" s="74">
        <v>2022</v>
      </c>
      <c r="F1365" s="74" t="s">
        <v>489</v>
      </c>
      <c r="G1365" s="61">
        <v>1</v>
      </c>
      <c r="H1365" s="45">
        <v>14</v>
      </c>
      <c r="I1365" s="74">
        <f>0.01916573*(1000)</f>
        <v>19.16573</v>
      </c>
    </row>
    <row r="1366" spans="1:9" s="71" customFormat="1" ht="16.5" hidden="1" customHeight="1" outlineLevel="1" x14ac:dyDescent="0.25">
      <c r="A1366" s="74">
        <v>3029</v>
      </c>
      <c r="B1366" s="45" t="s">
        <v>664</v>
      </c>
      <c r="C1366" s="60" t="s">
        <v>1004</v>
      </c>
      <c r="D1366" s="60"/>
      <c r="E1366" s="74">
        <v>2022</v>
      </c>
      <c r="F1366" s="74" t="s">
        <v>489</v>
      </c>
      <c r="G1366" s="61">
        <v>1</v>
      </c>
      <c r="H1366" s="45">
        <v>15</v>
      </c>
      <c r="I1366" s="74">
        <f>0.01916575*(1000)</f>
        <v>19.165749999999999</v>
      </c>
    </row>
    <row r="1367" spans="1:9" s="71" customFormat="1" ht="16.5" hidden="1" customHeight="1" outlineLevel="1" x14ac:dyDescent="0.25">
      <c r="A1367" s="74">
        <v>3030</v>
      </c>
      <c r="B1367" s="45" t="s">
        <v>664</v>
      </c>
      <c r="C1367" s="60" t="s">
        <v>1005</v>
      </c>
      <c r="D1367" s="60"/>
      <c r="E1367" s="74">
        <v>2022</v>
      </c>
      <c r="F1367" s="74" t="s">
        <v>489</v>
      </c>
      <c r="G1367" s="61">
        <v>1</v>
      </c>
      <c r="H1367" s="45">
        <v>5.5</v>
      </c>
      <c r="I1367" s="74">
        <f>0.01916573*(1000)</f>
        <v>19.16573</v>
      </c>
    </row>
    <row r="1368" spans="1:9" s="71" customFormat="1" ht="16.5" hidden="1" customHeight="1" outlineLevel="1" x14ac:dyDescent="0.25">
      <c r="A1368" s="74">
        <v>3031</v>
      </c>
      <c r="B1368" s="45" t="s">
        <v>664</v>
      </c>
      <c r="C1368" s="60" t="s">
        <v>1006</v>
      </c>
      <c r="D1368" s="60"/>
      <c r="E1368" s="74">
        <v>2022</v>
      </c>
      <c r="F1368" s="74" t="s">
        <v>489</v>
      </c>
      <c r="G1368" s="61">
        <v>1</v>
      </c>
      <c r="H1368" s="45">
        <v>12</v>
      </c>
      <c r="I1368" s="74">
        <f>0.01916573*(1000)</f>
        <v>19.16573</v>
      </c>
    </row>
    <row r="1369" spans="1:9" s="71" customFormat="1" ht="16.5" hidden="1" customHeight="1" outlineLevel="1" x14ac:dyDescent="0.25">
      <c r="A1369" s="74">
        <v>3032</v>
      </c>
      <c r="B1369" s="45" t="s">
        <v>664</v>
      </c>
      <c r="C1369" s="60" t="s">
        <v>1007</v>
      </c>
      <c r="D1369" s="60"/>
      <c r="E1369" s="74">
        <v>2022</v>
      </c>
      <c r="F1369" s="74" t="s">
        <v>489</v>
      </c>
      <c r="G1369" s="61">
        <v>1</v>
      </c>
      <c r="H1369" s="45">
        <v>14</v>
      </c>
      <c r="I1369" s="74">
        <f>0.01916574*(1000)</f>
        <v>19.16574</v>
      </c>
    </row>
    <row r="1370" spans="1:9" s="71" customFormat="1" ht="16.5" hidden="1" customHeight="1" outlineLevel="1" x14ac:dyDescent="0.25">
      <c r="A1370" s="74">
        <v>3033</v>
      </c>
      <c r="B1370" s="45" t="s">
        <v>664</v>
      </c>
      <c r="C1370" s="60" t="s">
        <v>1008</v>
      </c>
      <c r="D1370" s="60"/>
      <c r="E1370" s="74">
        <v>2022</v>
      </c>
      <c r="F1370" s="74" t="s">
        <v>489</v>
      </c>
      <c r="G1370" s="61">
        <v>1</v>
      </c>
      <c r="H1370" s="45">
        <v>14</v>
      </c>
      <c r="I1370" s="74">
        <f>0.01893578*(1000)</f>
        <v>18.935779999999998</v>
      </c>
    </row>
    <row r="1371" spans="1:9" s="71" customFormat="1" ht="16.5" hidden="1" customHeight="1" outlineLevel="1" x14ac:dyDescent="0.25">
      <c r="A1371" s="74">
        <v>3034</v>
      </c>
      <c r="B1371" s="45" t="s">
        <v>664</v>
      </c>
      <c r="C1371" s="60" t="s">
        <v>1009</v>
      </c>
      <c r="D1371" s="60"/>
      <c r="E1371" s="74">
        <v>2022</v>
      </c>
      <c r="F1371" s="74" t="s">
        <v>489</v>
      </c>
      <c r="G1371" s="61">
        <v>1</v>
      </c>
      <c r="H1371" s="45">
        <v>10</v>
      </c>
      <c r="I1371" s="74">
        <f>0.01893577*(1000)</f>
        <v>18.935770000000002</v>
      </c>
    </row>
    <row r="1372" spans="1:9" s="71" customFormat="1" ht="16.5" hidden="1" customHeight="1" outlineLevel="1" x14ac:dyDescent="0.25">
      <c r="A1372" s="74">
        <v>3037</v>
      </c>
      <c r="B1372" s="45" t="s">
        <v>664</v>
      </c>
      <c r="C1372" s="60" t="s">
        <v>1010</v>
      </c>
      <c r="D1372" s="60"/>
      <c r="E1372" s="74">
        <v>2022</v>
      </c>
      <c r="F1372" s="74" t="s">
        <v>489</v>
      </c>
      <c r="G1372" s="61">
        <v>1</v>
      </c>
      <c r="H1372" s="45">
        <v>15</v>
      </c>
      <c r="I1372" s="74">
        <f>0.01893578*(1000)</f>
        <v>18.935779999999998</v>
      </c>
    </row>
    <row r="1373" spans="1:9" s="71" customFormat="1" ht="16.5" hidden="1" customHeight="1" outlineLevel="1" x14ac:dyDescent="0.25">
      <c r="A1373" s="74">
        <v>3038</v>
      </c>
      <c r="B1373" s="45" t="s">
        <v>664</v>
      </c>
      <c r="C1373" s="60" t="s">
        <v>1011</v>
      </c>
      <c r="D1373" s="60"/>
      <c r="E1373" s="74">
        <v>2022</v>
      </c>
      <c r="F1373" s="74" t="s">
        <v>489</v>
      </c>
      <c r="G1373" s="61">
        <v>1</v>
      </c>
      <c r="H1373" s="45">
        <v>10</v>
      </c>
      <c r="I1373" s="74">
        <f>0.01893577*(1000)</f>
        <v>18.935770000000002</v>
      </c>
    </row>
    <row r="1374" spans="1:9" s="71" customFormat="1" ht="16.5" hidden="1" customHeight="1" outlineLevel="1" x14ac:dyDescent="0.25">
      <c r="A1374" s="74">
        <v>3040</v>
      </c>
      <c r="B1374" s="45" t="s">
        <v>664</v>
      </c>
      <c r="C1374" s="60" t="s">
        <v>1012</v>
      </c>
      <c r="D1374" s="60"/>
      <c r="E1374" s="74">
        <v>2022</v>
      </c>
      <c r="F1374" s="74" t="s">
        <v>489</v>
      </c>
      <c r="G1374" s="61">
        <v>1</v>
      </c>
      <c r="H1374" s="45">
        <v>10</v>
      </c>
      <c r="I1374" s="74">
        <f>0.01893578*(1000)</f>
        <v>18.935779999999998</v>
      </c>
    </row>
    <row r="1375" spans="1:9" s="71" customFormat="1" ht="16.5" hidden="1" customHeight="1" outlineLevel="1" x14ac:dyDescent="0.25">
      <c r="A1375" s="74">
        <v>3041</v>
      </c>
      <c r="B1375" s="45" t="s">
        <v>664</v>
      </c>
      <c r="C1375" s="60" t="s">
        <v>1013</v>
      </c>
      <c r="D1375" s="60"/>
      <c r="E1375" s="74">
        <v>2022</v>
      </c>
      <c r="F1375" s="74" t="s">
        <v>489</v>
      </c>
      <c r="G1375" s="61">
        <v>1</v>
      </c>
      <c r="H1375" s="45">
        <v>15</v>
      </c>
      <c r="I1375" s="74">
        <f>0.01893577*(1000)</f>
        <v>18.935770000000002</v>
      </c>
    </row>
    <row r="1376" spans="1:9" s="71" customFormat="1" ht="16.5" hidden="1" customHeight="1" outlineLevel="1" x14ac:dyDescent="0.25">
      <c r="A1376" s="74">
        <v>3045</v>
      </c>
      <c r="B1376" s="45" t="s">
        <v>664</v>
      </c>
      <c r="C1376" s="60" t="s">
        <v>1014</v>
      </c>
      <c r="D1376" s="60"/>
      <c r="E1376" s="74">
        <v>2022</v>
      </c>
      <c r="F1376" s="74" t="s">
        <v>489</v>
      </c>
      <c r="G1376" s="61">
        <v>1</v>
      </c>
      <c r="H1376" s="45">
        <v>14</v>
      </c>
      <c r="I1376" s="74">
        <f>0.01916574*(1000)</f>
        <v>19.16574</v>
      </c>
    </row>
    <row r="1377" spans="1:9" s="71" customFormat="1" ht="16.5" hidden="1" customHeight="1" outlineLevel="1" x14ac:dyDescent="0.25">
      <c r="A1377" s="74">
        <v>3046</v>
      </c>
      <c r="B1377" s="45" t="s">
        <v>664</v>
      </c>
      <c r="C1377" s="60" t="s">
        <v>1015</v>
      </c>
      <c r="D1377" s="60"/>
      <c r="E1377" s="74">
        <v>2022</v>
      </c>
      <c r="F1377" s="74" t="s">
        <v>489</v>
      </c>
      <c r="G1377" s="61">
        <v>1</v>
      </c>
      <c r="H1377" s="45">
        <v>15</v>
      </c>
      <c r="I1377" s="74">
        <f>0.01916572*(1000)</f>
        <v>19.16572</v>
      </c>
    </row>
    <row r="1378" spans="1:9" s="71" customFormat="1" ht="16.5" hidden="1" customHeight="1" outlineLevel="1" x14ac:dyDescent="0.25">
      <c r="A1378" s="74">
        <v>3047</v>
      </c>
      <c r="B1378" s="45" t="s">
        <v>664</v>
      </c>
      <c r="C1378" s="60" t="s">
        <v>1016</v>
      </c>
      <c r="D1378" s="60"/>
      <c r="E1378" s="74">
        <v>2022</v>
      </c>
      <c r="F1378" s="74" t="s">
        <v>489</v>
      </c>
      <c r="G1378" s="61">
        <v>1</v>
      </c>
      <c r="H1378" s="45">
        <v>10</v>
      </c>
      <c r="I1378" s="74">
        <f>0.01916573*(1000)</f>
        <v>19.16573</v>
      </c>
    </row>
    <row r="1379" spans="1:9" s="71" customFormat="1" ht="16.5" hidden="1" customHeight="1" outlineLevel="1" x14ac:dyDescent="0.25">
      <c r="A1379" s="74">
        <v>3048</v>
      </c>
      <c r="B1379" s="45" t="s">
        <v>664</v>
      </c>
      <c r="C1379" s="60" t="s">
        <v>1017</v>
      </c>
      <c r="D1379" s="60"/>
      <c r="E1379" s="74">
        <v>2022</v>
      </c>
      <c r="F1379" s="74" t="s">
        <v>489</v>
      </c>
      <c r="G1379" s="61">
        <v>1</v>
      </c>
      <c r="H1379" s="45">
        <v>10</v>
      </c>
      <c r="I1379" s="74">
        <f>0.01916572*(1000)</f>
        <v>19.16572</v>
      </c>
    </row>
    <row r="1380" spans="1:9" s="71" customFormat="1" ht="16.5" hidden="1" customHeight="1" outlineLevel="1" x14ac:dyDescent="0.25">
      <c r="A1380" s="74">
        <v>3049</v>
      </c>
      <c r="B1380" s="45" t="s">
        <v>664</v>
      </c>
      <c r="C1380" s="60" t="s">
        <v>1018</v>
      </c>
      <c r="D1380" s="60"/>
      <c r="E1380" s="74">
        <v>2022</v>
      </c>
      <c r="F1380" s="74" t="s">
        <v>489</v>
      </c>
      <c r="G1380" s="61">
        <v>1</v>
      </c>
      <c r="H1380" s="45">
        <v>12.5</v>
      </c>
      <c r="I1380" s="74">
        <f>0.01338467*(1000)</f>
        <v>13.38467</v>
      </c>
    </row>
    <row r="1381" spans="1:9" s="71" customFormat="1" ht="16.5" hidden="1" customHeight="1" outlineLevel="1" x14ac:dyDescent="0.25">
      <c r="A1381" s="74">
        <v>3050</v>
      </c>
      <c r="B1381" s="45" t="s">
        <v>664</v>
      </c>
      <c r="C1381" s="60" t="s">
        <v>1019</v>
      </c>
      <c r="D1381" s="60"/>
      <c r="E1381" s="74">
        <v>2022</v>
      </c>
      <c r="F1381" s="74" t="s">
        <v>489</v>
      </c>
      <c r="G1381" s="61">
        <v>1</v>
      </c>
      <c r="H1381" s="45">
        <v>15</v>
      </c>
      <c r="I1381" s="74">
        <f>0.01338466*(1000)</f>
        <v>13.38466</v>
      </c>
    </row>
    <row r="1382" spans="1:9" s="71" customFormat="1" ht="16.5" hidden="1" customHeight="1" outlineLevel="1" x14ac:dyDescent="0.25">
      <c r="A1382" s="74">
        <v>3051</v>
      </c>
      <c r="B1382" s="45" t="s">
        <v>664</v>
      </c>
      <c r="C1382" s="60" t="s">
        <v>1020</v>
      </c>
      <c r="D1382" s="60"/>
      <c r="E1382" s="74">
        <v>2022</v>
      </c>
      <c r="F1382" s="74" t="s">
        <v>489</v>
      </c>
      <c r="G1382" s="61">
        <v>1</v>
      </c>
      <c r="H1382" s="45">
        <v>15</v>
      </c>
      <c r="I1382" s="74">
        <f>0.01338467*(1000)</f>
        <v>13.38467</v>
      </c>
    </row>
    <row r="1383" spans="1:9" s="71" customFormat="1" ht="16.5" hidden="1" customHeight="1" outlineLevel="1" x14ac:dyDescent="0.25">
      <c r="A1383" s="74">
        <v>3052</v>
      </c>
      <c r="B1383" s="45" t="s">
        <v>664</v>
      </c>
      <c r="C1383" s="60" t="s">
        <v>1021</v>
      </c>
      <c r="D1383" s="60"/>
      <c r="E1383" s="74">
        <v>2022</v>
      </c>
      <c r="F1383" s="74" t="s">
        <v>489</v>
      </c>
      <c r="G1383" s="61">
        <v>1</v>
      </c>
      <c r="H1383" s="45">
        <v>15</v>
      </c>
      <c r="I1383" s="74">
        <f>0.01338466*(1000)</f>
        <v>13.38466</v>
      </c>
    </row>
    <row r="1384" spans="1:9" s="71" customFormat="1" ht="16.5" hidden="1" customHeight="1" outlineLevel="1" x14ac:dyDescent="0.25">
      <c r="A1384" s="74">
        <v>3053</v>
      </c>
      <c r="B1384" s="45" t="s">
        <v>664</v>
      </c>
      <c r="C1384" s="60" t="s">
        <v>1022</v>
      </c>
      <c r="D1384" s="60"/>
      <c r="E1384" s="74">
        <v>2022</v>
      </c>
      <c r="F1384" s="74" t="s">
        <v>489</v>
      </c>
      <c r="G1384" s="61">
        <v>1</v>
      </c>
      <c r="H1384" s="45">
        <v>15</v>
      </c>
      <c r="I1384" s="74">
        <f>0.01338467*(1000)</f>
        <v>13.38467</v>
      </c>
    </row>
    <row r="1385" spans="1:9" s="71" customFormat="1" ht="16.5" hidden="1" customHeight="1" outlineLevel="1" x14ac:dyDescent="0.25">
      <c r="A1385" s="74">
        <v>3054</v>
      </c>
      <c r="B1385" s="45" t="s">
        <v>664</v>
      </c>
      <c r="C1385" s="60" t="s">
        <v>1023</v>
      </c>
      <c r="D1385" s="60"/>
      <c r="E1385" s="74">
        <v>2022</v>
      </c>
      <c r="F1385" s="74" t="s">
        <v>489</v>
      </c>
      <c r="G1385" s="61">
        <v>1</v>
      </c>
      <c r="H1385" s="45">
        <v>15</v>
      </c>
      <c r="I1385" s="74">
        <f>0.01338368*(1000)</f>
        <v>13.38368</v>
      </c>
    </row>
    <row r="1386" spans="1:9" s="71" customFormat="1" ht="16.5" hidden="1" customHeight="1" outlineLevel="1" x14ac:dyDescent="0.25">
      <c r="A1386" s="74">
        <v>3056</v>
      </c>
      <c r="B1386" s="45" t="s">
        <v>664</v>
      </c>
      <c r="C1386" s="60" t="s">
        <v>1024</v>
      </c>
      <c r="D1386" s="60"/>
      <c r="E1386" s="74">
        <v>2022</v>
      </c>
      <c r="F1386" s="74" t="s">
        <v>489</v>
      </c>
      <c r="G1386" s="61">
        <v>2</v>
      </c>
      <c r="H1386" s="45">
        <v>20</v>
      </c>
      <c r="I1386" s="74">
        <f>0.03536632*(1000)</f>
        <v>35.366320000000002</v>
      </c>
    </row>
    <row r="1387" spans="1:9" s="71" customFormat="1" ht="16.5" hidden="1" customHeight="1" outlineLevel="1" x14ac:dyDescent="0.25">
      <c r="A1387" s="74">
        <v>3057</v>
      </c>
      <c r="B1387" s="45" t="s">
        <v>664</v>
      </c>
      <c r="C1387" s="60" t="s">
        <v>1025</v>
      </c>
      <c r="D1387" s="60"/>
      <c r="E1387" s="74">
        <v>2022</v>
      </c>
      <c r="F1387" s="74" t="s">
        <v>489</v>
      </c>
      <c r="G1387" s="61">
        <v>1</v>
      </c>
      <c r="H1387" s="45">
        <v>6</v>
      </c>
      <c r="I1387" s="74">
        <f>0.01780619*(1000)</f>
        <v>17.806190000000001</v>
      </c>
    </row>
    <row r="1388" spans="1:9" s="71" customFormat="1" ht="16.5" hidden="1" customHeight="1" outlineLevel="1" x14ac:dyDescent="0.25">
      <c r="A1388" s="74">
        <v>3058</v>
      </c>
      <c r="B1388" s="45" t="s">
        <v>664</v>
      </c>
      <c r="C1388" s="60" t="s">
        <v>1026</v>
      </c>
      <c r="D1388" s="60"/>
      <c r="E1388" s="74">
        <v>2022</v>
      </c>
      <c r="F1388" s="74" t="s">
        <v>489</v>
      </c>
      <c r="G1388" s="61">
        <v>1</v>
      </c>
      <c r="H1388" s="45">
        <v>15</v>
      </c>
      <c r="I1388" s="74">
        <f>0.01780619*(1000)</f>
        <v>17.806190000000001</v>
      </c>
    </row>
    <row r="1389" spans="1:9" s="71" customFormat="1" ht="16.5" hidden="1" customHeight="1" outlineLevel="1" x14ac:dyDescent="0.25">
      <c r="A1389" s="74">
        <v>3059</v>
      </c>
      <c r="B1389" s="45" t="s">
        <v>664</v>
      </c>
      <c r="C1389" s="60" t="s">
        <v>1027</v>
      </c>
      <c r="D1389" s="60"/>
      <c r="E1389" s="74">
        <v>2022</v>
      </c>
      <c r="F1389" s="74" t="s">
        <v>489</v>
      </c>
      <c r="G1389" s="61">
        <v>1</v>
      </c>
      <c r="H1389" s="45">
        <v>10</v>
      </c>
      <c r="I1389" s="74">
        <f>0.01780619*(1000)</f>
        <v>17.806190000000001</v>
      </c>
    </row>
    <row r="1390" spans="1:9" s="71" customFormat="1" ht="16.5" hidden="1" customHeight="1" outlineLevel="1" x14ac:dyDescent="0.25">
      <c r="A1390" s="74">
        <v>3060</v>
      </c>
      <c r="B1390" s="45" t="s">
        <v>664</v>
      </c>
      <c r="C1390" s="60" t="s">
        <v>1028</v>
      </c>
      <c r="D1390" s="60"/>
      <c r="E1390" s="74">
        <v>2022</v>
      </c>
      <c r="F1390" s="74" t="s">
        <v>489</v>
      </c>
      <c r="G1390" s="61">
        <v>1</v>
      </c>
      <c r="H1390" s="45">
        <v>15</v>
      </c>
      <c r="I1390" s="74">
        <f>0.01780619*(1000)</f>
        <v>17.806190000000001</v>
      </c>
    </row>
    <row r="1391" spans="1:9" s="71" customFormat="1" ht="16.5" hidden="1" customHeight="1" outlineLevel="1" x14ac:dyDescent="0.25">
      <c r="A1391" s="74">
        <v>3062</v>
      </c>
      <c r="B1391" s="45" t="s">
        <v>664</v>
      </c>
      <c r="C1391" s="60" t="s">
        <v>1029</v>
      </c>
      <c r="D1391" s="60"/>
      <c r="E1391" s="74">
        <v>2022</v>
      </c>
      <c r="F1391" s="74" t="s">
        <v>489</v>
      </c>
      <c r="G1391" s="61">
        <v>2</v>
      </c>
      <c r="H1391" s="45">
        <v>12</v>
      </c>
      <c r="I1391" s="74">
        <f>0.02780196*(1000)</f>
        <v>27.801960000000001</v>
      </c>
    </row>
    <row r="1392" spans="1:9" s="71" customFormat="1" ht="16.5" hidden="1" customHeight="1" outlineLevel="1" x14ac:dyDescent="0.25">
      <c r="A1392" s="74">
        <v>3064</v>
      </c>
      <c r="B1392" s="45" t="s">
        <v>664</v>
      </c>
      <c r="C1392" s="60" t="s">
        <v>1030</v>
      </c>
      <c r="D1392" s="60"/>
      <c r="E1392" s="74">
        <v>2022</v>
      </c>
      <c r="F1392" s="74" t="s">
        <v>489</v>
      </c>
      <c r="G1392" s="61">
        <v>1</v>
      </c>
      <c r="H1392" s="45">
        <v>15</v>
      </c>
      <c r="I1392" s="74">
        <f>0.01780618*(1000)</f>
        <v>17.806180000000001</v>
      </c>
    </row>
    <row r="1393" spans="1:9" s="71" customFormat="1" ht="16.5" hidden="1" customHeight="1" outlineLevel="1" x14ac:dyDescent="0.25">
      <c r="A1393" s="74">
        <v>3065</v>
      </c>
      <c r="B1393" s="45" t="s">
        <v>664</v>
      </c>
      <c r="C1393" s="60" t="s">
        <v>1031</v>
      </c>
      <c r="D1393" s="60"/>
      <c r="E1393" s="74">
        <v>2022</v>
      </c>
      <c r="F1393" s="74" t="s">
        <v>489</v>
      </c>
      <c r="G1393" s="61">
        <v>1</v>
      </c>
      <c r="H1393" s="45">
        <v>15</v>
      </c>
      <c r="I1393" s="74">
        <f>0.0178062*(1000)</f>
        <v>17.8062</v>
      </c>
    </row>
    <row r="1394" spans="1:9" s="71" customFormat="1" ht="16.5" hidden="1" customHeight="1" outlineLevel="1" x14ac:dyDescent="0.25">
      <c r="A1394" s="74">
        <v>3066</v>
      </c>
      <c r="B1394" s="45" t="s">
        <v>664</v>
      </c>
      <c r="C1394" s="60" t="s">
        <v>1032</v>
      </c>
      <c r="D1394" s="60"/>
      <c r="E1394" s="74">
        <v>2022</v>
      </c>
      <c r="F1394" s="74" t="s">
        <v>489</v>
      </c>
      <c r="G1394" s="61">
        <v>1</v>
      </c>
      <c r="H1394" s="45">
        <v>11.5</v>
      </c>
      <c r="I1394" s="74">
        <f>0.0178062*(1000)</f>
        <v>17.8062</v>
      </c>
    </row>
    <row r="1395" spans="1:9" s="71" customFormat="1" ht="16.5" hidden="1" customHeight="1" outlineLevel="1" x14ac:dyDescent="0.25">
      <c r="A1395" s="74">
        <v>3067</v>
      </c>
      <c r="B1395" s="45" t="s">
        <v>664</v>
      </c>
      <c r="C1395" s="60" t="s">
        <v>1033</v>
      </c>
      <c r="D1395" s="60"/>
      <c r="E1395" s="74">
        <v>2022</v>
      </c>
      <c r="F1395" s="74" t="s">
        <v>489</v>
      </c>
      <c r="G1395" s="61">
        <v>1</v>
      </c>
      <c r="H1395" s="45">
        <v>15</v>
      </c>
      <c r="I1395" s="74">
        <f>0.01780618*(1000)</f>
        <v>17.806180000000001</v>
      </c>
    </row>
    <row r="1396" spans="1:9" s="71" customFormat="1" ht="16.5" hidden="1" customHeight="1" outlineLevel="1" x14ac:dyDescent="0.25">
      <c r="A1396" s="74">
        <v>3068</v>
      </c>
      <c r="B1396" s="45" t="s">
        <v>664</v>
      </c>
      <c r="C1396" s="60" t="s">
        <v>1034</v>
      </c>
      <c r="D1396" s="60"/>
      <c r="E1396" s="74">
        <v>2022</v>
      </c>
      <c r="F1396" s="74" t="s">
        <v>489</v>
      </c>
      <c r="G1396" s="61">
        <v>1</v>
      </c>
      <c r="H1396" s="45">
        <v>10</v>
      </c>
      <c r="I1396" s="74">
        <f>0.01780618*(1000)</f>
        <v>17.806180000000001</v>
      </c>
    </row>
    <row r="1397" spans="1:9" s="71" customFormat="1" ht="16.5" hidden="1" customHeight="1" outlineLevel="1" x14ac:dyDescent="0.25">
      <c r="A1397" s="74">
        <v>3070</v>
      </c>
      <c r="B1397" s="45" t="s">
        <v>664</v>
      </c>
      <c r="C1397" s="60" t="s">
        <v>1035</v>
      </c>
      <c r="D1397" s="60"/>
      <c r="E1397" s="74">
        <v>2022</v>
      </c>
      <c r="F1397" s="74" t="s">
        <v>489</v>
      </c>
      <c r="G1397" s="61">
        <v>1</v>
      </c>
      <c r="H1397" s="45">
        <v>8</v>
      </c>
      <c r="I1397" s="74">
        <f>0.01780618*(1000)</f>
        <v>17.806180000000001</v>
      </c>
    </row>
    <row r="1398" spans="1:9" s="71" customFormat="1" ht="16.5" hidden="1" customHeight="1" outlineLevel="1" x14ac:dyDescent="0.25">
      <c r="A1398" s="74">
        <v>3072</v>
      </c>
      <c r="B1398" s="45" t="s">
        <v>664</v>
      </c>
      <c r="C1398" s="60" t="s">
        <v>1036</v>
      </c>
      <c r="D1398" s="60"/>
      <c r="E1398" s="74">
        <v>2022</v>
      </c>
      <c r="F1398" s="74" t="s">
        <v>489</v>
      </c>
      <c r="G1398" s="61">
        <v>1</v>
      </c>
      <c r="H1398" s="45">
        <v>5</v>
      </c>
      <c r="I1398" s="74">
        <f>0.01780413*(1000)</f>
        <v>17.804130000000001</v>
      </c>
    </row>
    <row r="1399" spans="1:9" s="71" customFormat="1" ht="16.5" hidden="1" customHeight="1" outlineLevel="1" x14ac:dyDescent="0.25">
      <c r="A1399" s="74">
        <v>3073</v>
      </c>
      <c r="B1399" s="45" t="s">
        <v>664</v>
      </c>
      <c r="C1399" s="60" t="s">
        <v>1037</v>
      </c>
      <c r="D1399" s="60"/>
      <c r="E1399" s="74">
        <v>2022</v>
      </c>
      <c r="F1399" s="74" t="s">
        <v>489</v>
      </c>
      <c r="G1399" s="61">
        <v>1</v>
      </c>
      <c r="H1399" s="45">
        <v>5</v>
      </c>
      <c r="I1399" s="74">
        <f>0.01780414*(1000)</f>
        <v>17.80414</v>
      </c>
    </row>
    <row r="1400" spans="1:9" s="71" customFormat="1" ht="16.5" hidden="1" customHeight="1" outlineLevel="1" x14ac:dyDescent="0.25">
      <c r="A1400" s="74">
        <v>3074</v>
      </c>
      <c r="B1400" s="45" t="s">
        <v>664</v>
      </c>
      <c r="C1400" s="60" t="s">
        <v>1038</v>
      </c>
      <c r="D1400" s="60"/>
      <c r="E1400" s="74">
        <v>2022</v>
      </c>
      <c r="F1400" s="74" t="s">
        <v>489</v>
      </c>
      <c r="G1400" s="61">
        <v>2</v>
      </c>
      <c r="H1400" s="45">
        <v>27</v>
      </c>
      <c r="I1400" s="74">
        <f>0.03536633*(1000)</f>
        <v>35.366330000000005</v>
      </c>
    </row>
    <row r="1401" spans="1:9" s="71" customFormat="1" ht="16.5" hidden="1" customHeight="1" outlineLevel="1" x14ac:dyDescent="0.25">
      <c r="A1401" s="74">
        <v>3075</v>
      </c>
      <c r="B1401" s="45" t="s">
        <v>664</v>
      </c>
      <c r="C1401" s="60" t="s">
        <v>1039</v>
      </c>
      <c r="D1401" s="60"/>
      <c r="E1401" s="74">
        <v>2022</v>
      </c>
      <c r="F1401" s="74" t="s">
        <v>489</v>
      </c>
      <c r="G1401" s="61">
        <v>1</v>
      </c>
      <c r="H1401" s="45">
        <v>10</v>
      </c>
      <c r="I1401" s="74">
        <f>0.01780618*(1000)</f>
        <v>17.806180000000001</v>
      </c>
    </row>
    <row r="1402" spans="1:9" s="71" customFormat="1" ht="16.5" hidden="1" customHeight="1" outlineLevel="1" x14ac:dyDescent="0.25">
      <c r="A1402" s="74">
        <v>3076</v>
      </c>
      <c r="B1402" s="45" t="s">
        <v>664</v>
      </c>
      <c r="C1402" s="60" t="s">
        <v>1040</v>
      </c>
      <c r="D1402" s="60"/>
      <c r="E1402" s="74">
        <v>2022</v>
      </c>
      <c r="F1402" s="74" t="s">
        <v>489</v>
      </c>
      <c r="G1402" s="61">
        <v>1</v>
      </c>
      <c r="H1402" s="45">
        <v>15</v>
      </c>
      <c r="I1402" s="74">
        <f>0.01780619*(1000)</f>
        <v>17.806190000000001</v>
      </c>
    </row>
    <row r="1403" spans="1:9" s="71" customFormat="1" ht="16.5" hidden="1" customHeight="1" outlineLevel="1" x14ac:dyDescent="0.25">
      <c r="A1403" s="74">
        <v>3078</v>
      </c>
      <c r="B1403" s="45" t="s">
        <v>664</v>
      </c>
      <c r="C1403" s="60" t="s">
        <v>1041</v>
      </c>
      <c r="D1403" s="60"/>
      <c r="E1403" s="74">
        <v>2022</v>
      </c>
      <c r="F1403" s="74" t="s">
        <v>489</v>
      </c>
      <c r="G1403" s="61">
        <v>2</v>
      </c>
      <c r="H1403" s="45">
        <v>20</v>
      </c>
      <c r="I1403" s="74">
        <f>0.02780196*(1000)</f>
        <v>27.801960000000001</v>
      </c>
    </row>
    <row r="1404" spans="1:9" s="71" customFormat="1" ht="16.5" hidden="1" customHeight="1" outlineLevel="1" x14ac:dyDescent="0.25">
      <c r="A1404" s="74">
        <v>3079</v>
      </c>
      <c r="B1404" s="45" t="s">
        <v>664</v>
      </c>
      <c r="C1404" s="60" t="s">
        <v>1042</v>
      </c>
      <c r="D1404" s="60"/>
      <c r="E1404" s="74">
        <v>2022</v>
      </c>
      <c r="F1404" s="74" t="s">
        <v>489</v>
      </c>
      <c r="G1404" s="61">
        <v>1</v>
      </c>
      <c r="H1404" s="45">
        <v>15</v>
      </c>
      <c r="I1404" s="74">
        <f>0.01780619*(1000)</f>
        <v>17.806190000000001</v>
      </c>
    </row>
    <row r="1405" spans="1:9" s="71" customFormat="1" ht="16.5" hidden="1" customHeight="1" outlineLevel="1" x14ac:dyDescent="0.25">
      <c r="A1405" s="74">
        <v>3080</v>
      </c>
      <c r="B1405" s="45" t="s">
        <v>664</v>
      </c>
      <c r="C1405" s="60" t="s">
        <v>1043</v>
      </c>
      <c r="D1405" s="60"/>
      <c r="E1405" s="74">
        <v>2022</v>
      </c>
      <c r="F1405" s="74" t="s">
        <v>489</v>
      </c>
      <c r="G1405" s="61">
        <v>1</v>
      </c>
      <c r="H1405" s="45">
        <v>15</v>
      </c>
      <c r="I1405" s="74">
        <f>0.01780618*(1000)</f>
        <v>17.806180000000001</v>
      </c>
    </row>
    <row r="1406" spans="1:9" s="71" customFormat="1" ht="16.5" hidden="1" customHeight="1" outlineLevel="1" x14ac:dyDescent="0.25">
      <c r="A1406" s="74">
        <v>3081</v>
      </c>
      <c r="B1406" s="45" t="s">
        <v>664</v>
      </c>
      <c r="C1406" s="60" t="s">
        <v>1044</v>
      </c>
      <c r="D1406" s="60"/>
      <c r="E1406" s="74">
        <v>2022</v>
      </c>
      <c r="F1406" s="74" t="s">
        <v>489</v>
      </c>
      <c r="G1406" s="61">
        <v>1</v>
      </c>
      <c r="H1406" s="45">
        <v>9.5</v>
      </c>
      <c r="I1406" s="74">
        <f>0.01780619*(1000)</f>
        <v>17.806190000000001</v>
      </c>
    </row>
    <row r="1407" spans="1:9" s="71" customFormat="1" ht="16.5" hidden="1" customHeight="1" outlineLevel="1" x14ac:dyDescent="0.25">
      <c r="A1407" s="74">
        <v>3083</v>
      </c>
      <c r="B1407" s="45" t="s">
        <v>664</v>
      </c>
      <c r="C1407" s="60" t="s">
        <v>1045</v>
      </c>
      <c r="D1407" s="60"/>
      <c r="E1407" s="74">
        <v>2022</v>
      </c>
      <c r="F1407" s="74" t="s">
        <v>489</v>
      </c>
      <c r="G1407" s="61">
        <v>1</v>
      </c>
      <c r="H1407" s="45">
        <v>10</v>
      </c>
      <c r="I1407" s="74">
        <f>0.01780619*(1000)</f>
        <v>17.806190000000001</v>
      </c>
    </row>
    <row r="1408" spans="1:9" s="71" customFormat="1" ht="16.5" hidden="1" customHeight="1" outlineLevel="1" x14ac:dyDescent="0.25">
      <c r="A1408" s="74">
        <v>3087</v>
      </c>
      <c r="B1408" s="45" t="s">
        <v>664</v>
      </c>
      <c r="C1408" s="60" t="s">
        <v>1046</v>
      </c>
      <c r="D1408" s="60"/>
      <c r="E1408" s="74">
        <v>2022</v>
      </c>
      <c r="F1408" s="74" t="s">
        <v>489</v>
      </c>
      <c r="G1408" s="61">
        <v>1</v>
      </c>
      <c r="H1408" s="45">
        <v>15</v>
      </c>
      <c r="I1408" s="74">
        <f>0.01780619*(1000)</f>
        <v>17.806190000000001</v>
      </c>
    </row>
    <row r="1409" spans="1:9" s="71" customFormat="1" ht="16.5" hidden="1" customHeight="1" outlineLevel="1" x14ac:dyDescent="0.25">
      <c r="A1409" s="74">
        <v>3088</v>
      </c>
      <c r="B1409" s="45" t="s">
        <v>664</v>
      </c>
      <c r="C1409" s="60" t="s">
        <v>1047</v>
      </c>
      <c r="D1409" s="60"/>
      <c r="E1409" s="74">
        <v>2022</v>
      </c>
      <c r="F1409" s="74" t="s">
        <v>489</v>
      </c>
      <c r="G1409" s="61">
        <v>1</v>
      </c>
      <c r="H1409" s="45">
        <v>15</v>
      </c>
      <c r="I1409" s="74">
        <f>0.01780618*(1000)</f>
        <v>17.806180000000001</v>
      </c>
    </row>
    <row r="1410" spans="1:9" s="71" customFormat="1" ht="16.5" hidden="1" customHeight="1" outlineLevel="1" x14ac:dyDescent="0.25">
      <c r="A1410" s="74">
        <v>3089</v>
      </c>
      <c r="B1410" s="45" t="s">
        <v>664</v>
      </c>
      <c r="C1410" s="60" t="s">
        <v>1048</v>
      </c>
      <c r="D1410" s="60"/>
      <c r="E1410" s="74">
        <v>2022</v>
      </c>
      <c r="F1410" s="74" t="s">
        <v>489</v>
      </c>
      <c r="G1410" s="61">
        <v>1</v>
      </c>
      <c r="H1410" s="45">
        <v>12</v>
      </c>
      <c r="I1410" s="74">
        <f>0.01780619*(1000)</f>
        <v>17.806190000000001</v>
      </c>
    </row>
    <row r="1411" spans="1:9" s="71" customFormat="1" ht="16.5" hidden="1" customHeight="1" outlineLevel="1" x14ac:dyDescent="0.25">
      <c r="A1411" s="74">
        <v>3092</v>
      </c>
      <c r="B1411" s="45" t="s">
        <v>664</v>
      </c>
      <c r="C1411" s="60" t="s">
        <v>1049</v>
      </c>
      <c r="D1411" s="60"/>
      <c r="E1411" s="74">
        <v>2022</v>
      </c>
      <c r="F1411" s="74" t="s">
        <v>489</v>
      </c>
      <c r="G1411" s="61">
        <v>1</v>
      </c>
      <c r="H1411" s="45">
        <v>10</v>
      </c>
      <c r="I1411" s="74">
        <f>0.0178062*(1000)</f>
        <v>17.8062</v>
      </c>
    </row>
    <row r="1412" spans="1:9" s="71" customFormat="1" ht="16.5" hidden="1" customHeight="1" outlineLevel="1" x14ac:dyDescent="0.25">
      <c r="A1412" s="74">
        <v>3093</v>
      </c>
      <c r="B1412" s="45" t="s">
        <v>664</v>
      </c>
      <c r="C1412" s="60" t="s">
        <v>1050</v>
      </c>
      <c r="D1412" s="60"/>
      <c r="E1412" s="74">
        <v>2022</v>
      </c>
      <c r="F1412" s="74" t="s">
        <v>489</v>
      </c>
      <c r="G1412" s="61">
        <v>1</v>
      </c>
      <c r="H1412" s="45">
        <v>7</v>
      </c>
      <c r="I1412" s="74">
        <f>0.01780618*(1000)</f>
        <v>17.806180000000001</v>
      </c>
    </row>
    <row r="1413" spans="1:9" s="71" customFormat="1" ht="16.5" hidden="1" customHeight="1" outlineLevel="1" x14ac:dyDescent="0.25">
      <c r="A1413" s="74">
        <v>3094</v>
      </c>
      <c r="B1413" s="45" t="s">
        <v>664</v>
      </c>
      <c r="C1413" s="60" t="s">
        <v>1051</v>
      </c>
      <c r="D1413" s="60"/>
      <c r="E1413" s="74">
        <v>2022</v>
      </c>
      <c r="F1413" s="74" t="s">
        <v>489</v>
      </c>
      <c r="G1413" s="61">
        <v>1</v>
      </c>
      <c r="H1413" s="45">
        <v>15</v>
      </c>
      <c r="I1413" s="74">
        <f>0.01780618*(1000)</f>
        <v>17.806180000000001</v>
      </c>
    </row>
    <row r="1414" spans="1:9" s="71" customFormat="1" ht="16.5" hidden="1" customHeight="1" outlineLevel="1" x14ac:dyDescent="0.25">
      <c r="A1414" s="74">
        <v>3095</v>
      </c>
      <c r="B1414" s="45" t="s">
        <v>664</v>
      </c>
      <c r="C1414" s="60" t="s">
        <v>1052</v>
      </c>
      <c r="D1414" s="60"/>
      <c r="E1414" s="74">
        <v>2022</v>
      </c>
      <c r="F1414" s="74" t="s">
        <v>489</v>
      </c>
      <c r="G1414" s="61">
        <v>1</v>
      </c>
      <c r="H1414" s="45">
        <v>15</v>
      </c>
      <c r="I1414" s="74">
        <f>0.01780618*(1000)</f>
        <v>17.806180000000001</v>
      </c>
    </row>
    <row r="1415" spans="1:9" s="71" customFormat="1" ht="16.5" hidden="1" customHeight="1" outlineLevel="1" x14ac:dyDescent="0.25">
      <c r="A1415" s="74">
        <v>3097</v>
      </c>
      <c r="B1415" s="45" t="s">
        <v>664</v>
      </c>
      <c r="C1415" s="60" t="s">
        <v>1053</v>
      </c>
      <c r="D1415" s="60"/>
      <c r="E1415" s="74">
        <v>2022</v>
      </c>
      <c r="F1415" s="74" t="s">
        <v>489</v>
      </c>
      <c r="G1415" s="61">
        <v>1</v>
      </c>
      <c r="H1415" s="45">
        <v>15</v>
      </c>
      <c r="I1415" s="74">
        <f>0.01780619*(1000)</f>
        <v>17.806190000000001</v>
      </c>
    </row>
    <row r="1416" spans="1:9" s="71" customFormat="1" ht="16.5" hidden="1" customHeight="1" outlineLevel="1" x14ac:dyDescent="0.25">
      <c r="A1416" s="74">
        <v>3098</v>
      </c>
      <c r="B1416" s="45" t="s">
        <v>664</v>
      </c>
      <c r="C1416" s="60" t="s">
        <v>1054</v>
      </c>
      <c r="D1416" s="60"/>
      <c r="E1416" s="74">
        <v>2022</v>
      </c>
      <c r="F1416" s="74" t="s">
        <v>489</v>
      </c>
      <c r="G1416" s="61">
        <v>1</v>
      </c>
      <c r="H1416" s="45">
        <v>7</v>
      </c>
      <c r="I1416" s="74">
        <f>0.01780618*(1000)</f>
        <v>17.806180000000001</v>
      </c>
    </row>
    <row r="1417" spans="1:9" s="71" customFormat="1" ht="16.5" hidden="1" customHeight="1" outlineLevel="1" x14ac:dyDescent="0.25">
      <c r="A1417" s="74">
        <v>3099</v>
      </c>
      <c r="B1417" s="45" t="s">
        <v>664</v>
      </c>
      <c r="C1417" s="60" t="s">
        <v>1055</v>
      </c>
      <c r="D1417" s="60"/>
      <c r="E1417" s="74">
        <v>2022</v>
      </c>
      <c r="F1417" s="74" t="s">
        <v>489</v>
      </c>
      <c r="G1417" s="61">
        <v>1</v>
      </c>
      <c r="H1417" s="45">
        <v>26</v>
      </c>
      <c r="I1417" s="74">
        <f>0.01780618*(1000)</f>
        <v>17.806180000000001</v>
      </c>
    </row>
    <row r="1418" spans="1:9" s="71" customFormat="1" ht="16.5" hidden="1" customHeight="1" outlineLevel="1" x14ac:dyDescent="0.25">
      <c r="A1418" s="74">
        <v>3103</v>
      </c>
      <c r="B1418" s="45" t="s">
        <v>664</v>
      </c>
      <c r="C1418" s="60" t="s">
        <v>1056</v>
      </c>
      <c r="D1418" s="60"/>
      <c r="E1418" s="74">
        <v>2022</v>
      </c>
      <c r="F1418" s="74" t="s">
        <v>489</v>
      </c>
      <c r="G1418" s="61">
        <v>1</v>
      </c>
      <c r="H1418" s="45">
        <v>15</v>
      </c>
      <c r="I1418" s="74">
        <f>0.01768315*(1000)</f>
        <v>17.683150000000001</v>
      </c>
    </row>
    <row r="1419" spans="1:9" s="71" customFormat="1" ht="16.5" hidden="1" customHeight="1" outlineLevel="1" x14ac:dyDescent="0.25">
      <c r="A1419" s="74">
        <v>3104</v>
      </c>
      <c r="B1419" s="45" t="s">
        <v>664</v>
      </c>
      <c r="C1419" s="60" t="s">
        <v>1057</v>
      </c>
      <c r="D1419" s="60"/>
      <c r="E1419" s="74">
        <v>2022</v>
      </c>
      <c r="F1419" s="74" t="s">
        <v>489</v>
      </c>
      <c r="G1419" s="61">
        <v>1</v>
      </c>
      <c r="H1419" s="45">
        <v>12</v>
      </c>
      <c r="I1419" s="74">
        <f>0.01768317*(1000)</f>
        <v>17.68317</v>
      </c>
    </row>
    <row r="1420" spans="1:9" s="71" customFormat="1" ht="16.5" hidden="1" customHeight="1" outlineLevel="1" x14ac:dyDescent="0.25">
      <c r="A1420" s="74">
        <v>3106</v>
      </c>
      <c r="B1420" s="45" t="s">
        <v>664</v>
      </c>
      <c r="C1420" s="60" t="s">
        <v>1058</v>
      </c>
      <c r="D1420" s="60"/>
      <c r="E1420" s="74">
        <v>2022</v>
      </c>
      <c r="F1420" s="74" t="s">
        <v>489</v>
      </c>
      <c r="G1420" s="61">
        <v>1</v>
      </c>
      <c r="H1420" s="45">
        <v>14</v>
      </c>
      <c r="I1420" s="74">
        <f>0.01768317*(1000)</f>
        <v>17.68317</v>
      </c>
    </row>
    <row r="1421" spans="1:9" s="71" customFormat="1" ht="16.5" hidden="1" customHeight="1" outlineLevel="1" x14ac:dyDescent="0.25">
      <c r="A1421" s="74">
        <v>3107</v>
      </c>
      <c r="B1421" s="45" t="s">
        <v>664</v>
      </c>
      <c r="C1421" s="60" t="s">
        <v>1059</v>
      </c>
      <c r="D1421" s="60"/>
      <c r="E1421" s="74">
        <v>2022</v>
      </c>
      <c r="F1421" s="74" t="s">
        <v>489</v>
      </c>
      <c r="G1421" s="61">
        <v>1</v>
      </c>
      <c r="H1421" s="45">
        <v>10</v>
      </c>
      <c r="I1421" s="74">
        <f>0.01768316*(1000)</f>
        <v>17.683160000000001</v>
      </c>
    </row>
    <row r="1422" spans="1:9" s="71" customFormat="1" ht="16.5" hidden="1" customHeight="1" outlineLevel="1" x14ac:dyDescent="0.25">
      <c r="A1422" s="74">
        <v>3108</v>
      </c>
      <c r="B1422" s="45" t="s">
        <v>664</v>
      </c>
      <c r="C1422" s="60" t="s">
        <v>1060</v>
      </c>
      <c r="D1422" s="60"/>
      <c r="E1422" s="74">
        <v>2022</v>
      </c>
      <c r="F1422" s="74" t="s">
        <v>489</v>
      </c>
      <c r="G1422" s="61">
        <v>1</v>
      </c>
      <c r="H1422" s="45">
        <v>15</v>
      </c>
      <c r="I1422" s="74">
        <f>0.01768319*(1000)</f>
        <v>17.68319</v>
      </c>
    </row>
    <row r="1423" spans="1:9" s="71" customFormat="1" ht="16.5" hidden="1" customHeight="1" outlineLevel="1" x14ac:dyDescent="0.25">
      <c r="A1423" s="74">
        <v>3109</v>
      </c>
      <c r="B1423" s="45" t="s">
        <v>664</v>
      </c>
      <c r="C1423" s="60" t="s">
        <v>1061</v>
      </c>
      <c r="D1423" s="60"/>
      <c r="E1423" s="74">
        <v>2022</v>
      </c>
      <c r="F1423" s="74" t="s">
        <v>489</v>
      </c>
      <c r="G1423" s="61">
        <v>1</v>
      </c>
      <c r="H1423" s="45">
        <v>15</v>
      </c>
      <c r="I1423" s="74">
        <f>0.01768316*(1000)</f>
        <v>17.683160000000001</v>
      </c>
    </row>
    <row r="1424" spans="1:9" s="71" customFormat="1" ht="16.5" hidden="1" customHeight="1" outlineLevel="1" x14ac:dyDescent="0.25">
      <c r="A1424" s="74">
        <v>3111</v>
      </c>
      <c r="B1424" s="45" t="s">
        <v>664</v>
      </c>
      <c r="C1424" s="60" t="s">
        <v>1062</v>
      </c>
      <c r="D1424" s="60"/>
      <c r="E1424" s="74">
        <v>2022</v>
      </c>
      <c r="F1424" s="74" t="s">
        <v>489</v>
      </c>
      <c r="G1424" s="61">
        <v>1</v>
      </c>
      <c r="H1424" s="45">
        <v>14</v>
      </c>
      <c r="I1424" s="74">
        <f>0.01768316*(1000)</f>
        <v>17.683160000000001</v>
      </c>
    </row>
    <row r="1425" spans="1:9" s="71" customFormat="1" ht="16.5" hidden="1" customHeight="1" outlineLevel="1" x14ac:dyDescent="0.25">
      <c r="A1425" s="74">
        <v>3112</v>
      </c>
      <c r="B1425" s="45" t="s">
        <v>664</v>
      </c>
      <c r="C1425" s="60" t="s">
        <v>1063</v>
      </c>
      <c r="D1425" s="60"/>
      <c r="E1425" s="74">
        <v>2022</v>
      </c>
      <c r="F1425" s="74" t="s">
        <v>489</v>
      </c>
      <c r="G1425" s="61">
        <v>1</v>
      </c>
      <c r="H1425" s="45">
        <v>14</v>
      </c>
      <c r="I1425" s="74">
        <f>0.0176832*(1000)</f>
        <v>17.683199999999999</v>
      </c>
    </row>
    <row r="1426" spans="1:9" s="71" customFormat="1" ht="16.5" hidden="1" customHeight="1" outlineLevel="1" x14ac:dyDescent="0.25">
      <c r="A1426" s="74">
        <v>3113</v>
      </c>
      <c r="B1426" s="45" t="s">
        <v>664</v>
      </c>
      <c r="C1426" s="60" t="s">
        <v>1064</v>
      </c>
      <c r="D1426" s="60"/>
      <c r="E1426" s="74">
        <v>2022</v>
      </c>
      <c r="F1426" s="74" t="s">
        <v>489</v>
      </c>
      <c r="G1426" s="61">
        <v>1</v>
      </c>
      <c r="H1426" s="45">
        <v>14</v>
      </c>
      <c r="I1426" s="74">
        <f>0.01780618*(1000)</f>
        <v>17.806180000000001</v>
      </c>
    </row>
    <row r="1427" spans="1:9" s="71" customFormat="1" ht="16.5" hidden="1" customHeight="1" outlineLevel="1" x14ac:dyDescent="0.25">
      <c r="A1427" s="74">
        <v>3114</v>
      </c>
      <c r="B1427" s="45" t="s">
        <v>664</v>
      </c>
      <c r="C1427" s="60" t="s">
        <v>1065</v>
      </c>
      <c r="D1427" s="60"/>
      <c r="E1427" s="74">
        <v>2022</v>
      </c>
      <c r="F1427" s="74" t="s">
        <v>489</v>
      </c>
      <c r="G1427" s="61">
        <v>1</v>
      </c>
      <c r="H1427" s="45">
        <v>9</v>
      </c>
      <c r="I1427" s="74">
        <f>0.01780619*(1000)</f>
        <v>17.806190000000001</v>
      </c>
    </row>
    <row r="1428" spans="1:9" s="71" customFormat="1" ht="16.5" hidden="1" customHeight="1" outlineLevel="1" x14ac:dyDescent="0.25">
      <c r="A1428" s="74">
        <v>3115</v>
      </c>
      <c r="B1428" s="45" t="s">
        <v>664</v>
      </c>
      <c r="C1428" s="60" t="s">
        <v>1066</v>
      </c>
      <c r="D1428" s="60"/>
      <c r="E1428" s="74">
        <v>2022</v>
      </c>
      <c r="F1428" s="74" t="s">
        <v>489</v>
      </c>
      <c r="G1428" s="61">
        <v>1</v>
      </c>
      <c r="H1428" s="45">
        <v>6</v>
      </c>
      <c r="I1428" s="74">
        <f>0.01780618*(1000)</f>
        <v>17.806180000000001</v>
      </c>
    </row>
    <row r="1429" spans="1:9" s="71" customFormat="1" ht="16.5" hidden="1" customHeight="1" outlineLevel="1" x14ac:dyDescent="0.25">
      <c r="A1429" s="74">
        <v>3116</v>
      </c>
      <c r="B1429" s="45" t="s">
        <v>664</v>
      </c>
      <c r="C1429" s="60" t="s">
        <v>1067</v>
      </c>
      <c r="D1429" s="60"/>
      <c r="E1429" s="74">
        <v>2022</v>
      </c>
      <c r="F1429" s="74" t="s">
        <v>489</v>
      </c>
      <c r="G1429" s="61">
        <v>1</v>
      </c>
      <c r="H1429" s="45">
        <v>10</v>
      </c>
      <c r="I1429" s="74">
        <f>0.0178062*(1000)</f>
        <v>17.8062</v>
      </c>
    </row>
    <row r="1430" spans="1:9" s="71" customFormat="1" ht="16.5" hidden="1" customHeight="1" outlineLevel="1" x14ac:dyDescent="0.25">
      <c r="A1430" s="74">
        <v>3117</v>
      </c>
      <c r="B1430" s="45" t="s">
        <v>664</v>
      </c>
      <c r="C1430" s="60" t="s">
        <v>1068</v>
      </c>
      <c r="D1430" s="60"/>
      <c r="E1430" s="74">
        <v>2022</v>
      </c>
      <c r="F1430" s="74" t="s">
        <v>489</v>
      </c>
      <c r="G1430" s="61">
        <v>1</v>
      </c>
      <c r="H1430" s="45">
        <v>10</v>
      </c>
      <c r="I1430" s="74">
        <f>0.01780618*(1000)</f>
        <v>17.806180000000001</v>
      </c>
    </row>
    <row r="1431" spans="1:9" s="71" customFormat="1" ht="16.5" hidden="1" customHeight="1" outlineLevel="1" x14ac:dyDescent="0.25">
      <c r="A1431" s="74">
        <v>3118</v>
      </c>
      <c r="B1431" s="45" t="s">
        <v>664</v>
      </c>
      <c r="C1431" s="60" t="s">
        <v>1069</v>
      </c>
      <c r="D1431" s="60"/>
      <c r="E1431" s="74">
        <v>2022</v>
      </c>
      <c r="F1431" s="74" t="s">
        <v>489</v>
      </c>
      <c r="G1431" s="61">
        <v>1</v>
      </c>
      <c r="H1431" s="45">
        <v>5</v>
      </c>
      <c r="I1431" s="74">
        <f>0.01780619*(1000)</f>
        <v>17.806190000000001</v>
      </c>
    </row>
    <row r="1432" spans="1:9" s="71" customFormat="1" ht="16.5" hidden="1" customHeight="1" outlineLevel="1" x14ac:dyDescent="0.25">
      <c r="A1432" s="74">
        <v>3120</v>
      </c>
      <c r="B1432" s="45" t="s">
        <v>664</v>
      </c>
      <c r="C1432" s="60" t="s">
        <v>1070</v>
      </c>
      <c r="D1432" s="60"/>
      <c r="E1432" s="74">
        <v>2022</v>
      </c>
      <c r="F1432" s="74" t="s">
        <v>489</v>
      </c>
      <c r="G1432" s="61">
        <v>1</v>
      </c>
      <c r="H1432" s="45">
        <v>15</v>
      </c>
      <c r="I1432" s="74">
        <f>0.01780619*(1000)</f>
        <v>17.806190000000001</v>
      </c>
    </row>
    <row r="1433" spans="1:9" s="71" customFormat="1" ht="16.5" hidden="1" customHeight="1" outlineLevel="1" x14ac:dyDescent="0.25">
      <c r="A1433" s="74">
        <v>3121</v>
      </c>
      <c r="B1433" s="45" t="s">
        <v>664</v>
      </c>
      <c r="C1433" s="60" t="s">
        <v>1071</v>
      </c>
      <c r="D1433" s="60"/>
      <c r="E1433" s="74">
        <v>2022</v>
      </c>
      <c r="F1433" s="74" t="s">
        <v>489</v>
      </c>
      <c r="G1433" s="61">
        <v>1</v>
      </c>
      <c r="H1433" s="45">
        <v>15</v>
      </c>
      <c r="I1433" s="74">
        <f>0.01780608*(1000)</f>
        <v>17.806079999999998</v>
      </c>
    </row>
    <row r="1434" spans="1:9" s="71" customFormat="1" ht="16.5" hidden="1" customHeight="1" outlineLevel="1" x14ac:dyDescent="0.25">
      <c r="A1434" s="74">
        <v>3123</v>
      </c>
      <c r="B1434" s="45" t="s">
        <v>664</v>
      </c>
      <c r="C1434" s="60" t="s">
        <v>1072</v>
      </c>
      <c r="D1434" s="60"/>
      <c r="E1434" s="74">
        <v>2022</v>
      </c>
      <c r="F1434" s="74" t="s">
        <v>489</v>
      </c>
      <c r="G1434" s="61">
        <v>1</v>
      </c>
      <c r="H1434" s="45">
        <v>15</v>
      </c>
      <c r="I1434" s="74">
        <f>0.01780608*(1000)</f>
        <v>17.806079999999998</v>
      </c>
    </row>
    <row r="1435" spans="1:9" s="71" customFormat="1" ht="16.5" hidden="1" customHeight="1" outlineLevel="1" x14ac:dyDescent="0.25">
      <c r="A1435" s="74">
        <v>3125</v>
      </c>
      <c r="B1435" s="45" t="s">
        <v>664</v>
      </c>
      <c r="C1435" s="60" t="s">
        <v>1073</v>
      </c>
      <c r="D1435" s="60"/>
      <c r="E1435" s="74">
        <v>2022</v>
      </c>
      <c r="F1435" s="74" t="s">
        <v>489</v>
      </c>
      <c r="G1435" s="61">
        <v>1</v>
      </c>
      <c r="H1435" s="45">
        <v>12</v>
      </c>
      <c r="I1435" s="74">
        <f>0.01780608*(1000)</f>
        <v>17.806079999999998</v>
      </c>
    </row>
    <row r="1436" spans="1:9" s="71" customFormat="1" ht="16.5" hidden="1" customHeight="1" outlineLevel="1" x14ac:dyDescent="0.25">
      <c r="A1436" s="74">
        <v>3126</v>
      </c>
      <c r="B1436" s="45" t="s">
        <v>664</v>
      </c>
      <c r="C1436" s="60" t="s">
        <v>1074</v>
      </c>
      <c r="D1436" s="60"/>
      <c r="E1436" s="74">
        <v>2022</v>
      </c>
      <c r="F1436" s="74" t="s">
        <v>489</v>
      </c>
      <c r="G1436" s="61">
        <v>1</v>
      </c>
      <c r="H1436" s="45">
        <v>7</v>
      </c>
      <c r="I1436" s="74">
        <f>0.01780609*(1000)</f>
        <v>17.806090000000001</v>
      </c>
    </row>
    <row r="1437" spans="1:9" s="71" customFormat="1" ht="16.5" hidden="1" customHeight="1" outlineLevel="1" x14ac:dyDescent="0.25">
      <c r="A1437" s="74">
        <v>3127</v>
      </c>
      <c r="B1437" s="45" t="s">
        <v>664</v>
      </c>
      <c r="C1437" s="60" t="s">
        <v>1075</v>
      </c>
      <c r="D1437" s="60"/>
      <c r="E1437" s="74">
        <v>2022</v>
      </c>
      <c r="F1437" s="74" t="s">
        <v>489</v>
      </c>
      <c r="G1437" s="61">
        <v>1</v>
      </c>
      <c r="H1437" s="45">
        <v>5</v>
      </c>
      <c r="I1437" s="74">
        <f>0.01768306*(1000)</f>
        <v>17.683060000000001</v>
      </c>
    </row>
    <row r="1438" spans="1:9" s="71" customFormat="1" ht="16.5" hidden="1" customHeight="1" outlineLevel="1" x14ac:dyDescent="0.25">
      <c r="A1438" s="74">
        <v>3128</v>
      </c>
      <c r="B1438" s="45" t="s">
        <v>664</v>
      </c>
      <c r="C1438" s="60" t="s">
        <v>1076</v>
      </c>
      <c r="D1438" s="60"/>
      <c r="E1438" s="74">
        <v>2022</v>
      </c>
      <c r="F1438" s="74" t="s">
        <v>489</v>
      </c>
      <c r="G1438" s="61">
        <v>1</v>
      </c>
      <c r="H1438" s="45">
        <v>7.5</v>
      </c>
      <c r="I1438" s="74">
        <f>0.01768307*(1000)</f>
        <v>17.683069999999997</v>
      </c>
    </row>
    <row r="1439" spans="1:9" s="71" customFormat="1" ht="16.5" hidden="1" customHeight="1" outlineLevel="1" x14ac:dyDescent="0.25">
      <c r="A1439" s="74">
        <v>3129</v>
      </c>
      <c r="B1439" s="45" t="s">
        <v>664</v>
      </c>
      <c r="C1439" s="60" t="s">
        <v>1077</v>
      </c>
      <c r="D1439" s="60"/>
      <c r="E1439" s="74">
        <v>2022</v>
      </c>
      <c r="F1439" s="74" t="s">
        <v>489</v>
      </c>
      <c r="G1439" s="61">
        <v>1</v>
      </c>
      <c r="H1439" s="45">
        <v>7.5</v>
      </c>
      <c r="I1439" s="74">
        <f>0.01768306*(1000)</f>
        <v>17.683060000000001</v>
      </c>
    </row>
    <row r="1440" spans="1:9" s="71" customFormat="1" ht="16.5" hidden="1" customHeight="1" outlineLevel="1" x14ac:dyDescent="0.25">
      <c r="A1440" s="74">
        <v>3130</v>
      </c>
      <c r="B1440" s="45" t="s">
        <v>664</v>
      </c>
      <c r="C1440" s="60" t="s">
        <v>1078</v>
      </c>
      <c r="D1440" s="60"/>
      <c r="E1440" s="74">
        <v>2022</v>
      </c>
      <c r="F1440" s="74" t="s">
        <v>489</v>
      </c>
      <c r="G1440" s="61">
        <v>1</v>
      </c>
      <c r="H1440" s="45">
        <v>7.5</v>
      </c>
      <c r="I1440" s="74">
        <f>0.01768307*(1000)</f>
        <v>17.683069999999997</v>
      </c>
    </row>
    <row r="1441" spans="1:9" s="71" customFormat="1" ht="16.5" hidden="1" customHeight="1" outlineLevel="1" x14ac:dyDescent="0.25">
      <c r="A1441" s="74">
        <v>3131</v>
      </c>
      <c r="B1441" s="45" t="s">
        <v>664</v>
      </c>
      <c r="C1441" s="60" t="s">
        <v>1079</v>
      </c>
      <c r="D1441" s="60"/>
      <c r="E1441" s="74">
        <v>2022</v>
      </c>
      <c r="F1441" s="74" t="s">
        <v>489</v>
      </c>
      <c r="G1441" s="61">
        <v>1</v>
      </c>
      <c r="H1441" s="45">
        <v>6</v>
      </c>
      <c r="I1441" s="74">
        <f>0.01768306*(1000)</f>
        <v>17.683060000000001</v>
      </c>
    </row>
    <row r="1442" spans="1:9" s="71" customFormat="1" ht="16.5" hidden="1" customHeight="1" outlineLevel="1" x14ac:dyDescent="0.25">
      <c r="A1442" s="74">
        <v>3132</v>
      </c>
      <c r="B1442" s="45" t="s">
        <v>664</v>
      </c>
      <c r="C1442" s="60" t="s">
        <v>1080</v>
      </c>
      <c r="D1442" s="60"/>
      <c r="E1442" s="74">
        <v>2022</v>
      </c>
      <c r="F1442" s="74" t="s">
        <v>489</v>
      </c>
      <c r="G1442" s="61">
        <v>1</v>
      </c>
      <c r="H1442" s="45">
        <v>15</v>
      </c>
      <c r="I1442" s="74">
        <f>0.01768307*(1000)</f>
        <v>17.683069999999997</v>
      </c>
    </row>
    <row r="1443" spans="1:9" s="71" customFormat="1" ht="16.5" hidden="1" customHeight="1" outlineLevel="1" x14ac:dyDescent="0.25">
      <c r="A1443" s="74">
        <v>3133</v>
      </c>
      <c r="B1443" s="45" t="s">
        <v>664</v>
      </c>
      <c r="C1443" s="60" t="s">
        <v>1081</v>
      </c>
      <c r="D1443" s="60"/>
      <c r="E1443" s="74">
        <v>2022</v>
      </c>
      <c r="F1443" s="74" t="s">
        <v>489</v>
      </c>
      <c r="G1443" s="61">
        <v>1</v>
      </c>
      <c r="H1443" s="45">
        <v>15</v>
      </c>
      <c r="I1443" s="74">
        <f>0.01768306*(1000)</f>
        <v>17.683060000000001</v>
      </c>
    </row>
    <row r="1444" spans="1:9" s="71" customFormat="1" ht="16.5" hidden="1" customHeight="1" outlineLevel="1" x14ac:dyDescent="0.25">
      <c r="A1444" s="74">
        <v>3134</v>
      </c>
      <c r="B1444" s="45" t="s">
        <v>664</v>
      </c>
      <c r="C1444" s="60" t="s">
        <v>1082</v>
      </c>
      <c r="D1444" s="60"/>
      <c r="E1444" s="74">
        <v>2022</v>
      </c>
      <c r="F1444" s="74" t="s">
        <v>489</v>
      </c>
      <c r="G1444" s="61">
        <v>1</v>
      </c>
      <c r="H1444" s="45">
        <v>15</v>
      </c>
      <c r="I1444" s="74">
        <f>0.01768307*(1000)</f>
        <v>17.683069999999997</v>
      </c>
    </row>
    <row r="1445" spans="1:9" s="71" customFormat="1" ht="16.5" hidden="1" customHeight="1" outlineLevel="1" x14ac:dyDescent="0.25">
      <c r="A1445" s="74">
        <v>3136</v>
      </c>
      <c r="B1445" s="45" t="s">
        <v>664</v>
      </c>
      <c r="C1445" s="60" t="s">
        <v>1083</v>
      </c>
      <c r="D1445" s="60"/>
      <c r="E1445" s="74">
        <v>2022</v>
      </c>
      <c r="F1445" s="74" t="s">
        <v>489</v>
      </c>
      <c r="G1445" s="61">
        <v>1</v>
      </c>
      <c r="H1445" s="45">
        <v>12</v>
      </c>
      <c r="I1445" s="74">
        <f>0.01768307*(1000)</f>
        <v>17.683069999999997</v>
      </c>
    </row>
    <row r="1446" spans="1:9" s="71" customFormat="1" ht="16.5" hidden="1" customHeight="1" outlineLevel="1" x14ac:dyDescent="0.25">
      <c r="A1446" s="74">
        <v>3139</v>
      </c>
      <c r="B1446" s="45" t="s">
        <v>664</v>
      </c>
      <c r="C1446" s="60" t="s">
        <v>1084</v>
      </c>
      <c r="D1446" s="60"/>
      <c r="E1446" s="74">
        <v>2022</v>
      </c>
      <c r="F1446" s="74" t="s">
        <v>489</v>
      </c>
      <c r="G1446" s="61">
        <v>1</v>
      </c>
      <c r="H1446" s="45">
        <v>12</v>
      </c>
      <c r="I1446" s="74">
        <f>0.01768306*(1000)</f>
        <v>17.683060000000001</v>
      </c>
    </row>
    <row r="1447" spans="1:9" s="71" customFormat="1" ht="16.5" hidden="1" customHeight="1" outlineLevel="1" x14ac:dyDescent="0.25">
      <c r="A1447" s="74">
        <v>3143</v>
      </c>
      <c r="B1447" s="45" t="s">
        <v>664</v>
      </c>
      <c r="C1447" s="60" t="s">
        <v>1085</v>
      </c>
      <c r="D1447" s="60"/>
      <c r="E1447" s="74">
        <v>2022</v>
      </c>
      <c r="F1447" s="74" t="s">
        <v>489</v>
      </c>
      <c r="G1447" s="61">
        <v>1</v>
      </c>
      <c r="H1447" s="45">
        <v>15</v>
      </c>
      <c r="I1447" s="74">
        <f>0.01768306*(1000)</f>
        <v>17.683060000000001</v>
      </c>
    </row>
    <row r="1448" spans="1:9" s="71" customFormat="1" ht="16.5" hidden="1" customHeight="1" outlineLevel="1" x14ac:dyDescent="0.25">
      <c r="A1448" s="74">
        <v>3144</v>
      </c>
      <c r="B1448" s="45" t="s">
        <v>664</v>
      </c>
      <c r="C1448" s="60" t="s">
        <v>1086</v>
      </c>
      <c r="D1448" s="60"/>
      <c r="E1448" s="74">
        <v>2022</v>
      </c>
      <c r="F1448" s="74" t="s">
        <v>489</v>
      </c>
      <c r="G1448" s="61">
        <v>1</v>
      </c>
      <c r="H1448" s="45">
        <v>15</v>
      </c>
      <c r="I1448" s="74">
        <f>0.01768307*(1000)</f>
        <v>17.683069999999997</v>
      </c>
    </row>
    <row r="1449" spans="1:9" s="71" customFormat="1" ht="16.5" hidden="1" customHeight="1" outlineLevel="1" x14ac:dyDescent="0.25">
      <c r="A1449" s="74">
        <v>3146</v>
      </c>
      <c r="B1449" s="45" t="s">
        <v>664</v>
      </c>
      <c r="C1449" s="60" t="s">
        <v>1087</v>
      </c>
      <c r="D1449" s="60"/>
      <c r="E1449" s="74">
        <v>2022</v>
      </c>
      <c r="F1449" s="74" t="s">
        <v>489</v>
      </c>
      <c r="G1449" s="61">
        <v>1</v>
      </c>
      <c r="H1449" s="45">
        <v>10</v>
      </c>
      <c r="I1449" s="74">
        <f>0.01768307*(1000)</f>
        <v>17.683069999999997</v>
      </c>
    </row>
    <row r="1450" spans="1:9" s="71" customFormat="1" ht="16.5" hidden="1" customHeight="1" outlineLevel="1" x14ac:dyDescent="0.25">
      <c r="A1450" s="74">
        <v>3147</v>
      </c>
      <c r="B1450" s="45" t="s">
        <v>664</v>
      </c>
      <c r="C1450" s="60" t="s">
        <v>1088</v>
      </c>
      <c r="D1450" s="60"/>
      <c r="E1450" s="74">
        <v>2022</v>
      </c>
      <c r="F1450" s="74" t="s">
        <v>489</v>
      </c>
      <c r="G1450" s="61">
        <v>1</v>
      </c>
      <c r="H1450" s="45">
        <v>11</v>
      </c>
      <c r="I1450" s="74">
        <f>0.01768306*(1000)</f>
        <v>17.683060000000001</v>
      </c>
    </row>
    <row r="1451" spans="1:9" s="71" customFormat="1" ht="16.5" hidden="1" customHeight="1" outlineLevel="1" x14ac:dyDescent="0.25">
      <c r="A1451" s="74">
        <v>3148</v>
      </c>
      <c r="B1451" s="45" t="s">
        <v>664</v>
      </c>
      <c r="C1451" s="60" t="s">
        <v>1089</v>
      </c>
      <c r="D1451" s="60"/>
      <c r="E1451" s="74">
        <v>2022</v>
      </c>
      <c r="F1451" s="74" t="s">
        <v>489</v>
      </c>
      <c r="G1451" s="61">
        <v>1</v>
      </c>
      <c r="H1451" s="45">
        <v>15</v>
      </c>
      <c r="I1451" s="74">
        <f>0.01768307*(1000)</f>
        <v>17.683069999999997</v>
      </c>
    </row>
    <row r="1452" spans="1:9" s="71" customFormat="1" ht="16.5" hidden="1" customHeight="1" outlineLevel="1" x14ac:dyDescent="0.25">
      <c r="A1452" s="74">
        <v>3149</v>
      </c>
      <c r="B1452" s="45" t="s">
        <v>664</v>
      </c>
      <c r="C1452" s="60" t="s">
        <v>1090</v>
      </c>
      <c r="D1452" s="60"/>
      <c r="E1452" s="74">
        <v>2022</v>
      </c>
      <c r="F1452" s="74" t="s">
        <v>489</v>
      </c>
      <c r="G1452" s="61">
        <v>1</v>
      </c>
      <c r="H1452" s="45">
        <v>15</v>
      </c>
      <c r="I1452" s="74">
        <f>0.01768306*(1000)</f>
        <v>17.683060000000001</v>
      </c>
    </row>
    <row r="1453" spans="1:9" s="71" customFormat="1" ht="16.5" hidden="1" customHeight="1" outlineLevel="1" x14ac:dyDescent="0.25">
      <c r="A1453" s="74">
        <v>3150</v>
      </c>
      <c r="B1453" s="45" t="s">
        <v>664</v>
      </c>
      <c r="C1453" s="60" t="s">
        <v>1091</v>
      </c>
      <c r="D1453" s="60"/>
      <c r="E1453" s="74">
        <v>2022</v>
      </c>
      <c r="F1453" s="74" t="s">
        <v>489</v>
      </c>
      <c r="G1453" s="61">
        <v>1</v>
      </c>
      <c r="H1453" s="45">
        <v>12</v>
      </c>
      <c r="I1453" s="74">
        <f>0.01768307*(1000)</f>
        <v>17.683069999999997</v>
      </c>
    </row>
    <row r="1454" spans="1:9" s="71" customFormat="1" ht="16.5" hidden="1" customHeight="1" outlineLevel="1" x14ac:dyDescent="0.25">
      <c r="A1454" s="74">
        <v>3151</v>
      </c>
      <c r="B1454" s="45" t="s">
        <v>664</v>
      </c>
      <c r="C1454" s="60" t="s">
        <v>1092</v>
      </c>
      <c r="D1454" s="60"/>
      <c r="E1454" s="74">
        <v>2022</v>
      </c>
      <c r="F1454" s="74" t="s">
        <v>489</v>
      </c>
      <c r="G1454" s="61">
        <v>1</v>
      </c>
      <c r="H1454" s="45">
        <v>10</v>
      </c>
      <c r="I1454" s="74">
        <f>0.01768306*(1000)</f>
        <v>17.683060000000001</v>
      </c>
    </row>
    <row r="1455" spans="1:9" s="71" customFormat="1" ht="16.5" hidden="1" customHeight="1" outlineLevel="1" x14ac:dyDescent="0.25">
      <c r="A1455" s="74">
        <v>3152</v>
      </c>
      <c r="B1455" s="45" t="s">
        <v>664</v>
      </c>
      <c r="C1455" s="60" t="s">
        <v>1093</v>
      </c>
      <c r="D1455" s="60"/>
      <c r="E1455" s="74">
        <v>2022</v>
      </c>
      <c r="F1455" s="74" t="s">
        <v>489</v>
      </c>
      <c r="G1455" s="61">
        <v>1</v>
      </c>
      <c r="H1455" s="45">
        <v>15</v>
      </c>
      <c r="I1455" s="74">
        <f>0.01768307*(1000)</f>
        <v>17.683069999999997</v>
      </c>
    </row>
    <row r="1456" spans="1:9" s="71" customFormat="1" ht="16.5" hidden="1" customHeight="1" outlineLevel="1" x14ac:dyDescent="0.25">
      <c r="A1456" s="74">
        <v>3154</v>
      </c>
      <c r="B1456" s="45" t="s">
        <v>664</v>
      </c>
      <c r="C1456" s="60" t="s">
        <v>1094</v>
      </c>
      <c r="D1456" s="60"/>
      <c r="E1456" s="74">
        <v>2022</v>
      </c>
      <c r="F1456" s="74" t="s">
        <v>489</v>
      </c>
      <c r="G1456" s="61">
        <v>1</v>
      </c>
      <c r="H1456" s="45">
        <v>5</v>
      </c>
      <c r="I1456" s="74">
        <f>0.01768307*(1000)</f>
        <v>17.683069999999997</v>
      </c>
    </row>
    <row r="1457" spans="1:9" s="71" customFormat="1" ht="16.5" hidden="1" customHeight="1" outlineLevel="1" x14ac:dyDescent="0.25">
      <c r="A1457" s="74">
        <v>3155</v>
      </c>
      <c r="B1457" s="45" t="s">
        <v>664</v>
      </c>
      <c r="C1457" s="60" t="s">
        <v>1095</v>
      </c>
      <c r="D1457" s="60"/>
      <c r="E1457" s="74">
        <v>2022</v>
      </c>
      <c r="F1457" s="74" t="s">
        <v>489</v>
      </c>
      <c r="G1457" s="61">
        <v>1</v>
      </c>
      <c r="H1457" s="45">
        <v>2</v>
      </c>
      <c r="I1457" s="74">
        <f>0.01768306*(1000)</f>
        <v>17.683060000000001</v>
      </c>
    </row>
    <row r="1458" spans="1:9" s="71" customFormat="1" ht="16.5" hidden="1" customHeight="1" outlineLevel="1" x14ac:dyDescent="0.25">
      <c r="A1458" s="74">
        <v>3157</v>
      </c>
      <c r="B1458" s="45" t="s">
        <v>664</v>
      </c>
      <c r="C1458" s="60" t="s">
        <v>1096</v>
      </c>
      <c r="D1458" s="60"/>
      <c r="E1458" s="74">
        <v>2022</v>
      </c>
      <c r="F1458" s="74" t="s">
        <v>489</v>
      </c>
      <c r="G1458" s="61">
        <v>5</v>
      </c>
      <c r="H1458" s="45">
        <v>63</v>
      </c>
      <c r="I1458" s="74">
        <f>0.12593119*(1000)</f>
        <v>125.93119</v>
      </c>
    </row>
    <row r="1459" spans="1:9" s="71" customFormat="1" ht="16.5" hidden="1" customHeight="1" outlineLevel="1" x14ac:dyDescent="0.25">
      <c r="A1459" s="74">
        <v>3160</v>
      </c>
      <c r="B1459" s="45" t="s">
        <v>664</v>
      </c>
      <c r="C1459" s="60" t="s">
        <v>1097</v>
      </c>
      <c r="D1459" s="60"/>
      <c r="E1459" s="74">
        <v>2022</v>
      </c>
      <c r="F1459" s="74" t="s">
        <v>489</v>
      </c>
      <c r="G1459" s="61">
        <v>2</v>
      </c>
      <c r="H1459" s="45">
        <v>20</v>
      </c>
      <c r="I1459" s="74">
        <f>0.03439253*(1000)</f>
        <v>34.392530000000001</v>
      </c>
    </row>
    <row r="1460" spans="1:9" s="71" customFormat="1" ht="16.5" hidden="1" customHeight="1" outlineLevel="1" x14ac:dyDescent="0.25">
      <c r="A1460" s="74">
        <v>3162</v>
      </c>
      <c r="B1460" s="45" t="s">
        <v>664</v>
      </c>
      <c r="C1460" s="60" t="s">
        <v>1098</v>
      </c>
      <c r="D1460" s="60"/>
      <c r="E1460" s="74">
        <v>2022</v>
      </c>
      <c r="F1460" s="74" t="s">
        <v>489</v>
      </c>
      <c r="G1460" s="61">
        <v>4</v>
      </c>
      <c r="H1460" s="45">
        <v>35</v>
      </c>
      <c r="I1460" s="74">
        <f>0.05026292*(1000)</f>
        <v>50.262920000000001</v>
      </c>
    </row>
    <row r="1461" spans="1:9" s="71" customFormat="1" ht="16.5" hidden="1" customHeight="1" outlineLevel="1" x14ac:dyDescent="0.25">
      <c r="A1461" s="74">
        <v>3163</v>
      </c>
      <c r="B1461" s="45" t="s">
        <v>664</v>
      </c>
      <c r="C1461" s="60" t="s">
        <v>1099</v>
      </c>
      <c r="D1461" s="60"/>
      <c r="E1461" s="74">
        <v>2022</v>
      </c>
      <c r="F1461" s="74" t="s">
        <v>489</v>
      </c>
      <c r="G1461" s="61">
        <v>2</v>
      </c>
      <c r="H1461" s="45">
        <v>25</v>
      </c>
      <c r="I1461" s="74">
        <f>0.02055242*(1000)</f>
        <v>20.552419999999998</v>
      </c>
    </row>
    <row r="1462" spans="1:9" s="71" customFormat="1" ht="16.5" hidden="1" customHeight="1" outlineLevel="1" x14ac:dyDescent="0.25">
      <c r="A1462" s="74">
        <v>3164</v>
      </c>
      <c r="B1462" s="45" t="s">
        <v>664</v>
      </c>
      <c r="C1462" s="60" t="s">
        <v>1100</v>
      </c>
      <c r="D1462" s="60"/>
      <c r="E1462" s="74">
        <v>2022</v>
      </c>
      <c r="F1462" s="74" t="s">
        <v>489</v>
      </c>
      <c r="G1462" s="61">
        <v>1</v>
      </c>
      <c r="H1462" s="45">
        <v>15</v>
      </c>
      <c r="I1462" s="74">
        <f>0.01037061*(1000)</f>
        <v>10.370610000000001</v>
      </c>
    </row>
    <row r="1463" spans="1:9" s="71" customFormat="1" ht="16.5" hidden="1" customHeight="1" outlineLevel="1" x14ac:dyDescent="0.25">
      <c r="A1463" s="74">
        <v>3166</v>
      </c>
      <c r="B1463" s="45" t="s">
        <v>664</v>
      </c>
      <c r="C1463" s="60" t="s">
        <v>1101</v>
      </c>
      <c r="D1463" s="60"/>
      <c r="E1463" s="74">
        <v>2022</v>
      </c>
      <c r="F1463" s="74" t="s">
        <v>489</v>
      </c>
      <c r="G1463" s="61">
        <v>1</v>
      </c>
      <c r="H1463" s="45">
        <v>15</v>
      </c>
      <c r="I1463" s="74">
        <f>0.01037061*(1000)</f>
        <v>10.370610000000001</v>
      </c>
    </row>
    <row r="1464" spans="1:9" s="71" customFormat="1" ht="16.5" hidden="1" customHeight="1" outlineLevel="1" x14ac:dyDescent="0.25">
      <c r="A1464" s="74">
        <v>3167</v>
      </c>
      <c r="B1464" s="45" t="s">
        <v>664</v>
      </c>
      <c r="C1464" s="60" t="s">
        <v>1102</v>
      </c>
      <c r="D1464" s="60"/>
      <c r="E1464" s="74">
        <v>2022</v>
      </c>
      <c r="F1464" s="74" t="s">
        <v>489</v>
      </c>
      <c r="G1464" s="61">
        <v>1</v>
      </c>
      <c r="H1464" s="45">
        <v>15</v>
      </c>
      <c r="I1464" s="74">
        <f>0.01788321*(1000)</f>
        <v>17.883210000000002</v>
      </c>
    </row>
    <row r="1465" spans="1:9" s="71" customFormat="1" ht="16.5" hidden="1" customHeight="1" outlineLevel="1" x14ac:dyDescent="0.25">
      <c r="A1465" s="74">
        <v>3168</v>
      </c>
      <c r="B1465" s="45" t="s">
        <v>664</v>
      </c>
      <c r="C1465" s="60" t="s">
        <v>1103</v>
      </c>
      <c r="D1465" s="60"/>
      <c r="E1465" s="74">
        <v>2022</v>
      </c>
      <c r="F1465" s="74" t="s">
        <v>489</v>
      </c>
      <c r="G1465" s="61">
        <v>1</v>
      </c>
      <c r="H1465" s="45">
        <v>15</v>
      </c>
      <c r="I1465" s="74">
        <f>0.01763809*(1000)</f>
        <v>17.638089999999998</v>
      </c>
    </row>
    <row r="1466" spans="1:9" s="71" customFormat="1" ht="16.5" hidden="1" customHeight="1" outlineLevel="1" x14ac:dyDescent="0.25">
      <c r="A1466" s="74">
        <v>3169</v>
      </c>
      <c r="B1466" s="45" t="s">
        <v>664</v>
      </c>
      <c r="C1466" s="60" t="s">
        <v>1104</v>
      </c>
      <c r="D1466" s="60"/>
      <c r="E1466" s="74">
        <v>2022</v>
      </c>
      <c r="F1466" s="74" t="s">
        <v>489</v>
      </c>
      <c r="G1466" s="61">
        <v>2</v>
      </c>
      <c r="H1466" s="45">
        <v>25</v>
      </c>
      <c r="I1466" s="74">
        <f>0.03508741*(1000)</f>
        <v>35.087409999999998</v>
      </c>
    </row>
    <row r="1467" spans="1:9" s="71" customFormat="1" ht="16.5" hidden="1" customHeight="1" outlineLevel="1" x14ac:dyDescent="0.25">
      <c r="A1467" s="74">
        <v>3170</v>
      </c>
      <c r="B1467" s="45" t="s">
        <v>664</v>
      </c>
      <c r="C1467" s="60" t="s">
        <v>1105</v>
      </c>
      <c r="D1467" s="60"/>
      <c r="E1467" s="74">
        <v>2022</v>
      </c>
      <c r="F1467" s="74" t="s">
        <v>489</v>
      </c>
      <c r="G1467" s="61">
        <v>1</v>
      </c>
      <c r="H1467" s="45">
        <v>15</v>
      </c>
      <c r="I1467" s="74">
        <f>0.01037061*(1000)</f>
        <v>10.370610000000001</v>
      </c>
    </row>
    <row r="1468" spans="1:9" s="71" customFormat="1" ht="16.5" hidden="1" customHeight="1" outlineLevel="1" x14ac:dyDescent="0.25">
      <c r="A1468" s="74">
        <v>3171</v>
      </c>
      <c r="B1468" s="45" t="s">
        <v>664</v>
      </c>
      <c r="C1468" s="60" t="s">
        <v>1106</v>
      </c>
      <c r="D1468" s="60"/>
      <c r="E1468" s="74">
        <v>2022</v>
      </c>
      <c r="F1468" s="74" t="s">
        <v>489</v>
      </c>
      <c r="G1468" s="61">
        <v>2</v>
      </c>
      <c r="H1468" s="45">
        <v>30</v>
      </c>
      <c r="I1468" s="74">
        <f>0.03873447*(1000)</f>
        <v>38.734470000000002</v>
      </c>
    </row>
    <row r="1469" spans="1:9" s="71" customFormat="1" ht="16.5" hidden="1" customHeight="1" outlineLevel="1" x14ac:dyDescent="0.25">
      <c r="A1469" s="74">
        <v>3172</v>
      </c>
      <c r="B1469" s="45" t="s">
        <v>664</v>
      </c>
      <c r="C1469" s="60" t="s">
        <v>1107</v>
      </c>
      <c r="D1469" s="60"/>
      <c r="E1469" s="74">
        <v>2022</v>
      </c>
      <c r="F1469" s="74" t="s">
        <v>489</v>
      </c>
      <c r="G1469" s="61">
        <v>2</v>
      </c>
      <c r="H1469" s="45">
        <v>25</v>
      </c>
      <c r="I1469" s="74">
        <f>0.02055242*(1000)</f>
        <v>20.552419999999998</v>
      </c>
    </row>
    <row r="1470" spans="1:9" s="71" customFormat="1" ht="16.5" hidden="1" customHeight="1" outlineLevel="1" x14ac:dyDescent="0.25">
      <c r="A1470" s="74">
        <v>3173</v>
      </c>
      <c r="B1470" s="45" t="s">
        <v>664</v>
      </c>
      <c r="C1470" s="60" t="s">
        <v>1108</v>
      </c>
      <c r="D1470" s="60"/>
      <c r="E1470" s="74">
        <v>2022</v>
      </c>
      <c r="F1470" s="74" t="s">
        <v>489</v>
      </c>
      <c r="G1470" s="61">
        <v>3</v>
      </c>
      <c r="H1470" s="45">
        <v>45</v>
      </c>
      <c r="I1470" s="74">
        <f>0.02960673*(1000)</f>
        <v>29.606730000000002</v>
      </c>
    </row>
    <row r="1471" spans="1:9" s="71" customFormat="1" ht="16.5" hidden="1" customHeight="1" outlineLevel="1" x14ac:dyDescent="0.25">
      <c r="A1471" s="74">
        <v>3174</v>
      </c>
      <c r="B1471" s="45" t="s">
        <v>664</v>
      </c>
      <c r="C1471" s="60" t="s">
        <v>1109</v>
      </c>
      <c r="D1471" s="60"/>
      <c r="E1471" s="74">
        <v>2022</v>
      </c>
      <c r="F1471" s="74" t="s">
        <v>489</v>
      </c>
      <c r="G1471" s="61">
        <v>1</v>
      </c>
      <c r="H1471" s="45">
        <v>15</v>
      </c>
      <c r="I1471" s="74">
        <f>0.0205568*(1000)</f>
        <v>20.556799999999999</v>
      </c>
    </row>
    <row r="1472" spans="1:9" s="71" customFormat="1" ht="16.5" hidden="1" customHeight="1" outlineLevel="1" x14ac:dyDescent="0.25">
      <c r="A1472" s="74">
        <v>3175</v>
      </c>
      <c r="B1472" s="45" t="s">
        <v>664</v>
      </c>
      <c r="C1472" s="60" t="s">
        <v>1110</v>
      </c>
      <c r="D1472" s="60"/>
      <c r="E1472" s="74">
        <v>2022</v>
      </c>
      <c r="F1472" s="74" t="s">
        <v>489</v>
      </c>
      <c r="G1472" s="61">
        <v>3</v>
      </c>
      <c r="H1472" s="45">
        <v>35</v>
      </c>
      <c r="I1472" s="74">
        <f>0.04658656*(1000)</f>
        <v>46.586559999999999</v>
      </c>
    </row>
    <row r="1473" spans="1:9" s="71" customFormat="1" ht="16.5" hidden="1" customHeight="1" outlineLevel="1" x14ac:dyDescent="0.25">
      <c r="A1473" s="74">
        <v>3176</v>
      </c>
      <c r="B1473" s="45" t="s">
        <v>664</v>
      </c>
      <c r="C1473" s="60" t="s">
        <v>1111</v>
      </c>
      <c r="D1473" s="60"/>
      <c r="E1473" s="74">
        <v>2022</v>
      </c>
      <c r="F1473" s="74" t="s">
        <v>489</v>
      </c>
      <c r="G1473" s="61">
        <v>4</v>
      </c>
      <c r="H1473" s="45">
        <v>50</v>
      </c>
      <c r="I1473" s="74">
        <f>0.06128858*(1000)</f>
        <v>61.288580000000003</v>
      </c>
    </row>
    <row r="1474" spans="1:9" s="71" customFormat="1" ht="16.5" hidden="1" customHeight="1" outlineLevel="1" x14ac:dyDescent="0.25">
      <c r="A1474" s="74">
        <v>3177</v>
      </c>
      <c r="B1474" s="45" t="s">
        <v>664</v>
      </c>
      <c r="C1474" s="60" t="s">
        <v>1112</v>
      </c>
      <c r="D1474" s="60"/>
      <c r="E1474" s="74">
        <v>2022</v>
      </c>
      <c r="F1474" s="74" t="s">
        <v>489</v>
      </c>
      <c r="G1474" s="61">
        <v>4</v>
      </c>
      <c r="H1474" s="45">
        <v>55</v>
      </c>
      <c r="I1474" s="74">
        <f>0.0693859*(1000)</f>
        <v>69.385900000000007</v>
      </c>
    </row>
    <row r="1475" spans="1:9" s="71" customFormat="1" ht="16.5" hidden="1" customHeight="1" outlineLevel="1" x14ac:dyDescent="0.25">
      <c r="A1475" s="74">
        <v>3178</v>
      </c>
      <c r="B1475" s="45" t="s">
        <v>664</v>
      </c>
      <c r="C1475" s="60" t="s">
        <v>1113</v>
      </c>
      <c r="D1475" s="60"/>
      <c r="E1475" s="74">
        <v>2022</v>
      </c>
      <c r="F1475" s="74" t="s">
        <v>489</v>
      </c>
      <c r="G1475" s="61">
        <v>1</v>
      </c>
      <c r="H1475" s="45">
        <v>15</v>
      </c>
      <c r="I1475" s="74">
        <f>0.01735451*(1000)</f>
        <v>17.354510000000001</v>
      </c>
    </row>
    <row r="1476" spans="1:9" s="71" customFormat="1" ht="16.5" hidden="1" customHeight="1" outlineLevel="1" x14ac:dyDescent="0.25">
      <c r="A1476" s="74">
        <v>3179</v>
      </c>
      <c r="B1476" s="45" t="s">
        <v>664</v>
      </c>
      <c r="C1476" s="60" t="s">
        <v>1114</v>
      </c>
      <c r="D1476" s="60"/>
      <c r="E1476" s="74">
        <v>2022</v>
      </c>
      <c r="F1476" s="74" t="s">
        <v>489</v>
      </c>
      <c r="G1476" s="61">
        <v>2</v>
      </c>
      <c r="H1476" s="45">
        <v>15</v>
      </c>
      <c r="I1476" s="74">
        <f>0.0209266*(1000)</f>
        <v>20.926600000000001</v>
      </c>
    </row>
    <row r="1477" spans="1:9" s="71" customFormat="1" ht="16.5" hidden="1" customHeight="1" outlineLevel="1" x14ac:dyDescent="0.25">
      <c r="A1477" s="74">
        <v>3180</v>
      </c>
      <c r="B1477" s="45" t="s">
        <v>664</v>
      </c>
      <c r="C1477" s="60" t="s">
        <v>1115</v>
      </c>
      <c r="D1477" s="60"/>
      <c r="E1477" s="74">
        <v>2022</v>
      </c>
      <c r="F1477" s="74" t="s">
        <v>489</v>
      </c>
      <c r="G1477" s="61">
        <v>2</v>
      </c>
      <c r="H1477" s="45">
        <v>25</v>
      </c>
      <c r="I1477" s="74">
        <f>0.0209266*(1000)</f>
        <v>20.926600000000001</v>
      </c>
    </row>
    <row r="1478" spans="1:9" s="71" customFormat="1" ht="16.5" hidden="1" customHeight="1" outlineLevel="1" x14ac:dyDescent="0.25">
      <c r="A1478" s="74">
        <v>3181</v>
      </c>
      <c r="B1478" s="45" t="s">
        <v>664</v>
      </c>
      <c r="C1478" s="60" t="s">
        <v>1116</v>
      </c>
      <c r="D1478" s="60"/>
      <c r="E1478" s="74">
        <v>2022</v>
      </c>
      <c r="F1478" s="74" t="s">
        <v>489</v>
      </c>
      <c r="G1478" s="61">
        <v>7</v>
      </c>
      <c r="H1478" s="45">
        <v>83</v>
      </c>
      <c r="I1478" s="74">
        <f>0.09979806*(1000)</f>
        <v>99.798059999999992</v>
      </c>
    </row>
    <row r="1479" spans="1:9" s="71" customFormat="1" ht="16.5" hidden="1" customHeight="1" outlineLevel="1" x14ac:dyDescent="0.25">
      <c r="A1479" s="74">
        <v>3182</v>
      </c>
      <c r="B1479" s="45" t="s">
        <v>664</v>
      </c>
      <c r="C1479" s="60" t="s">
        <v>1117</v>
      </c>
      <c r="D1479" s="60"/>
      <c r="E1479" s="74">
        <v>2022</v>
      </c>
      <c r="F1479" s="74" t="s">
        <v>489</v>
      </c>
      <c r="G1479" s="61">
        <v>2</v>
      </c>
      <c r="H1479" s="45">
        <v>20</v>
      </c>
      <c r="I1479" s="74">
        <f>0.01880846*(1000)</f>
        <v>18.80846</v>
      </c>
    </row>
    <row r="1480" spans="1:9" s="71" customFormat="1" ht="16.5" hidden="1" customHeight="1" outlineLevel="1" x14ac:dyDescent="0.25">
      <c r="A1480" s="74">
        <v>3183</v>
      </c>
      <c r="B1480" s="45" t="s">
        <v>664</v>
      </c>
      <c r="C1480" s="60" t="s">
        <v>1118</v>
      </c>
      <c r="D1480" s="60"/>
      <c r="E1480" s="74">
        <v>2022</v>
      </c>
      <c r="F1480" s="74" t="s">
        <v>489</v>
      </c>
      <c r="G1480" s="61">
        <v>4</v>
      </c>
      <c r="H1480" s="45">
        <v>50</v>
      </c>
      <c r="I1480" s="74">
        <f>0.06319426*(1000)</f>
        <v>63.19426</v>
      </c>
    </row>
    <row r="1481" spans="1:9" s="71" customFormat="1" ht="16.5" hidden="1" customHeight="1" outlineLevel="1" x14ac:dyDescent="0.25">
      <c r="A1481" s="74">
        <v>3184</v>
      </c>
      <c r="B1481" s="45" t="s">
        <v>664</v>
      </c>
      <c r="C1481" s="60" t="s">
        <v>1119</v>
      </c>
      <c r="D1481" s="60"/>
      <c r="E1481" s="74">
        <v>2022</v>
      </c>
      <c r="F1481" s="74" t="s">
        <v>489</v>
      </c>
      <c r="G1481" s="61">
        <v>4</v>
      </c>
      <c r="H1481" s="45">
        <v>55</v>
      </c>
      <c r="I1481" s="74">
        <f>0.05480584*(1000)</f>
        <v>54.805840000000003</v>
      </c>
    </row>
    <row r="1482" spans="1:9" s="71" customFormat="1" ht="16.5" hidden="1" customHeight="1" outlineLevel="1" x14ac:dyDescent="0.25">
      <c r="A1482" s="74">
        <v>3186</v>
      </c>
      <c r="B1482" s="45" t="s">
        <v>664</v>
      </c>
      <c r="C1482" s="60" t="s">
        <v>1120</v>
      </c>
      <c r="D1482" s="60"/>
      <c r="E1482" s="74">
        <v>2022</v>
      </c>
      <c r="F1482" s="74" t="s">
        <v>489</v>
      </c>
      <c r="G1482" s="61">
        <v>3</v>
      </c>
      <c r="H1482" s="45">
        <v>35</v>
      </c>
      <c r="I1482" s="74">
        <f>0.04869242*(1000)</f>
        <v>48.692419999999998</v>
      </c>
    </row>
    <row r="1483" spans="1:9" s="71" customFormat="1" ht="16.5" hidden="1" customHeight="1" outlineLevel="1" x14ac:dyDescent="0.25">
      <c r="A1483" s="74">
        <v>3187</v>
      </c>
      <c r="B1483" s="45" t="s">
        <v>664</v>
      </c>
      <c r="C1483" s="60" t="s">
        <v>1121</v>
      </c>
      <c r="D1483" s="60"/>
      <c r="E1483" s="74">
        <v>2022</v>
      </c>
      <c r="F1483" s="74" t="s">
        <v>489</v>
      </c>
      <c r="G1483" s="61">
        <v>1</v>
      </c>
      <c r="H1483" s="45">
        <v>9</v>
      </c>
      <c r="I1483" s="74">
        <f>0.01942949*(1000)</f>
        <v>19.429490000000001</v>
      </c>
    </row>
    <row r="1484" spans="1:9" s="71" customFormat="1" ht="16.5" hidden="1" customHeight="1" outlineLevel="1" x14ac:dyDescent="0.25">
      <c r="A1484" s="74">
        <v>3188</v>
      </c>
      <c r="B1484" s="45" t="s">
        <v>664</v>
      </c>
      <c r="C1484" s="60" t="s">
        <v>1122</v>
      </c>
      <c r="D1484" s="60"/>
      <c r="E1484" s="74">
        <v>2022</v>
      </c>
      <c r="F1484" s="74" t="s">
        <v>489</v>
      </c>
      <c r="G1484" s="61">
        <v>2</v>
      </c>
      <c r="H1484" s="45">
        <v>25</v>
      </c>
      <c r="I1484" s="74">
        <f>0.03206894*(1000)</f>
        <v>32.068939999999998</v>
      </c>
    </row>
    <row r="1485" spans="1:9" s="71" customFormat="1" ht="16.5" hidden="1" customHeight="1" outlineLevel="1" x14ac:dyDescent="0.25">
      <c r="A1485" s="74">
        <v>3189</v>
      </c>
      <c r="B1485" s="45" t="s">
        <v>664</v>
      </c>
      <c r="C1485" s="60" t="s">
        <v>1123</v>
      </c>
      <c r="D1485" s="60"/>
      <c r="E1485" s="74">
        <v>2022</v>
      </c>
      <c r="F1485" s="74" t="s">
        <v>489</v>
      </c>
      <c r="G1485" s="61">
        <v>4</v>
      </c>
      <c r="H1485" s="45">
        <v>45</v>
      </c>
      <c r="I1485" s="74">
        <f>0.038455*(1000)</f>
        <v>38.455000000000005</v>
      </c>
    </row>
    <row r="1486" spans="1:9" s="71" customFormat="1" ht="16.5" hidden="1" customHeight="1" outlineLevel="1" x14ac:dyDescent="0.25">
      <c r="A1486" s="74">
        <v>3190</v>
      </c>
      <c r="B1486" s="45" t="s">
        <v>664</v>
      </c>
      <c r="C1486" s="60" t="s">
        <v>1124</v>
      </c>
      <c r="D1486" s="60"/>
      <c r="E1486" s="74">
        <v>2022</v>
      </c>
      <c r="F1486" s="74" t="s">
        <v>489</v>
      </c>
      <c r="G1486" s="61">
        <v>4</v>
      </c>
      <c r="H1486" s="45">
        <v>45</v>
      </c>
      <c r="I1486" s="74">
        <f>0.04841102*(1000)</f>
        <v>48.411020000000001</v>
      </c>
    </row>
    <row r="1487" spans="1:9" s="71" customFormat="1" ht="16.5" hidden="1" customHeight="1" outlineLevel="1" x14ac:dyDescent="0.25">
      <c r="A1487" s="74">
        <v>3191</v>
      </c>
      <c r="B1487" s="45" t="s">
        <v>664</v>
      </c>
      <c r="C1487" s="60" t="s">
        <v>1125</v>
      </c>
      <c r="D1487" s="60"/>
      <c r="E1487" s="74">
        <v>2022</v>
      </c>
      <c r="F1487" s="74" t="s">
        <v>489</v>
      </c>
      <c r="G1487" s="61">
        <v>2</v>
      </c>
      <c r="H1487" s="45">
        <v>23</v>
      </c>
      <c r="I1487" s="74">
        <f>0.03556291*(1000)</f>
        <v>35.562910000000002</v>
      </c>
    </row>
    <row r="1488" spans="1:9" s="71" customFormat="1" ht="16.5" hidden="1" customHeight="1" outlineLevel="1" x14ac:dyDescent="0.25">
      <c r="A1488" s="74">
        <v>3192</v>
      </c>
      <c r="B1488" s="45" t="s">
        <v>664</v>
      </c>
      <c r="C1488" s="60" t="s">
        <v>1126</v>
      </c>
      <c r="D1488" s="60"/>
      <c r="E1488" s="74">
        <v>2022</v>
      </c>
      <c r="F1488" s="74" t="s">
        <v>489</v>
      </c>
      <c r="G1488" s="61">
        <v>1</v>
      </c>
      <c r="H1488" s="45">
        <v>15</v>
      </c>
      <c r="I1488" s="74">
        <f>0.01752128*(1000)</f>
        <v>17.521280000000001</v>
      </c>
    </row>
    <row r="1489" spans="1:9" s="71" customFormat="1" ht="16.5" hidden="1" customHeight="1" outlineLevel="1" x14ac:dyDescent="0.25">
      <c r="A1489" s="74">
        <v>3194</v>
      </c>
      <c r="B1489" s="45" t="s">
        <v>664</v>
      </c>
      <c r="C1489" s="60" t="s">
        <v>1127</v>
      </c>
      <c r="D1489" s="60"/>
      <c r="E1489" s="74">
        <v>2022</v>
      </c>
      <c r="F1489" s="74" t="s">
        <v>489</v>
      </c>
      <c r="G1489" s="61">
        <v>2</v>
      </c>
      <c r="H1489" s="45">
        <v>29</v>
      </c>
      <c r="I1489" s="74">
        <f>0.03539998*(1000)</f>
        <v>35.399979999999999</v>
      </c>
    </row>
    <row r="1490" spans="1:9" s="71" customFormat="1" ht="16.5" hidden="1" customHeight="1" outlineLevel="1" x14ac:dyDescent="0.25">
      <c r="A1490" s="74">
        <v>3195</v>
      </c>
      <c r="B1490" s="45" t="s">
        <v>664</v>
      </c>
      <c r="C1490" s="60" t="s">
        <v>1128</v>
      </c>
      <c r="D1490" s="60"/>
      <c r="E1490" s="74">
        <v>2022</v>
      </c>
      <c r="F1490" s="74" t="s">
        <v>489</v>
      </c>
      <c r="G1490" s="61">
        <v>1</v>
      </c>
      <c r="H1490" s="45">
        <v>100</v>
      </c>
      <c r="I1490" s="74">
        <f>0.01769998*(1000)</f>
        <v>17.69998</v>
      </c>
    </row>
    <row r="1491" spans="1:9" s="71" customFormat="1" ht="16.5" hidden="1" customHeight="1" outlineLevel="1" x14ac:dyDescent="0.25">
      <c r="A1491" s="74">
        <v>3196</v>
      </c>
      <c r="B1491" s="45" t="s">
        <v>664</v>
      </c>
      <c r="C1491" s="60" t="s">
        <v>1129</v>
      </c>
      <c r="D1491" s="60"/>
      <c r="E1491" s="74">
        <v>2022</v>
      </c>
      <c r="F1491" s="74" t="s">
        <v>489</v>
      </c>
      <c r="G1491" s="61">
        <v>1</v>
      </c>
      <c r="H1491" s="45">
        <v>15</v>
      </c>
      <c r="I1491" s="74">
        <f>0.01769999*(1000)</f>
        <v>17.69999</v>
      </c>
    </row>
    <row r="1492" spans="1:9" s="71" customFormat="1" ht="16.5" hidden="1" customHeight="1" outlineLevel="1" x14ac:dyDescent="0.25">
      <c r="A1492" s="74">
        <v>3199</v>
      </c>
      <c r="B1492" s="45" t="s">
        <v>664</v>
      </c>
      <c r="C1492" s="60" t="s">
        <v>1130</v>
      </c>
      <c r="D1492" s="60"/>
      <c r="E1492" s="74">
        <v>2022</v>
      </c>
      <c r="F1492" s="74" t="s">
        <v>489</v>
      </c>
      <c r="G1492" s="61">
        <v>2</v>
      </c>
      <c r="H1492" s="45">
        <v>25</v>
      </c>
      <c r="I1492" s="74">
        <f>0.02625086*(1000)</f>
        <v>26.250859999999999</v>
      </c>
    </row>
    <row r="1493" spans="1:9" s="71" customFormat="1" ht="16.5" hidden="1" customHeight="1" outlineLevel="1" x14ac:dyDescent="0.25">
      <c r="A1493" s="74">
        <v>3200</v>
      </c>
      <c r="B1493" s="45" t="s">
        <v>664</v>
      </c>
      <c r="C1493" s="60" t="s">
        <v>1131</v>
      </c>
      <c r="D1493" s="60"/>
      <c r="E1493" s="74">
        <v>2022</v>
      </c>
      <c r="F1493" s="74" t="s">
        <v>489</v>
      </c>
      <c r="G1493" s="61">
        <v>4</v>
      </c>
      <c r="H1493" s="45">
        <v>50</v>
      </c>
      <c r="I1493" s="74">
        <f>0.07162549*(1000)</f>
        <v>71.625489999999999</v>
      </c>
    </row>
    <row r="1494" spans="1:9" s="71" customFormat="1" ht="16.5" hidden="1" customHeight="1" outlineLevel="1" x14ac:dyDescent="0.25">
      <c r="A1494" s="74">
        <v>3201</v>
      </c>
      <c r="B1494" s="45" t="s">
        <v>664</v>
      </c>
      <c r="C1494" s="60" t="s">
        <v>1132</v>
      </c>
      <c r="D1494" s="60"/>
      <c r="E1494" s="74">
        <v>2022</v>
      </c>
      <c r="F1494" s="74" t="s">
        <v>489</v>
      </c>
      <c r="G1494" s="61">
        <v>5</v>
      </c>
      <c r="H1494" s="45">
        <v>60</v>
      </c>
      <c r="I1494" s="74">
        <f>0.06355052*(1000)</f>
        <v>63.550519999999999</v>
      </c>
    </row>
    <row r="1495" spans="1:9" s="71" customFormat="1" ht="16.5" hidden="1" customHeight="1" outlineLevel="1" x14ac:dyDescent="0.25">
      <c r="A1495" s="74">
        <v>3203</v>
      </c>
      <c r="B1495" s="45" t="s">
        <v>664</v>
      </c>
      <c r="C1495" s="60" t="s">
        <v>1133</v>
      </c>
      <c r="D1495" s="60"/>
      <c r="E1495" s="74">
        <v>2022</v>
      </c>
      <c r="F1495" s="74" t="s">
        <v>489</v>
      </c>
      <c r="G1495" s="61">
        <v>5</v>
      </c>
      <c r="H1495" s="45">
        <v>55</v>
      </c>
      <c r="I1495" s="74">
        <f>0.05526326*(1000)</f>
        <v>55.263260000000002</v>
      </c>
    </row>
    <row r="1496" spans="1:9" s="71" customFormat="1" ht="16.5" hidden="1" customHeight="1" outlineLevel="1" x14ac:dyDescent="0.25">
      <c r="A1496" s="74">
        <v>3204</v>
      </c>
      <c r="B1496" s="45" t="s">
        <v>664</v>
      </c>
      <c r="C1496" s="60" t="s">
        <v>1134</v>
      </c>
      <c r="D1496" s="60"/>
      <c r="E1496" s="74">
        <v>2022</v>
      </c>
      <c r="F1496" s="74" t="s">
        <v>489</v>
      </c>
      <c r="G1496" s="61">
        <v>1</v>
      </c>
      <c r="H1496" s="45">
        <v>5</v>
      </c>
      <c r="I1496" s="74">
        <f>0.01664078*(1000)</f>
        <v>16.640779999999999</v>
      </c>
    </row>
    <row r="1497" spans="1:9" s="71" customFormat="1" ht="16.5" hidden="1" customHeight="1" outlineLevel="1" x14ac:dyDescent="0.25">
      <c r="A1497" s="74">
        <v>3205</v>
      </c>
      <c r="B1497" s="45" t="s">
        <v>664</v>
      </c>
      <c r="C1497" s="60" t="s">
        <v>1135</v>
      </c>
      <c r="D1497" s="60"/>
      <c r="E1497" s="74">
        <v>2022</v>
      </c>
      <c r="F1497" s="74" t="s">
        <v>489</v>
      </c>
      <c r="G1497" s="61">
        <v>7</v>
      </c>
      <c r="H1497" s="45">
        <v>91</v>
      </c>
      <c r="I1497" s="74">
        <f>0.08928707*(1000)</f>
        <v>89.28707</v>
      </c>
    </row>
    <row r="1498" spans="1:9" s="71" customFormat="1" ht="16.5" hidden="1" customHeight="1" outlineLevel="1" x14ac:dyDescent="0.25">
      <c r="A1498" s="74">
        <v>3208</v>
      </c>
      <c r="B1498" s="45" t="s">
        <v>664</v>
      </c>
      <c r="C1498" s="60" t="s">
        <v>1136</v>
      </c>
      <c r="D1498" s="60"/>
      <c r="E1498" s="74">
        <v>2022</v>
      </c>
      <c r="F1498" s="74" t="s">
        <v>489</v>
      </c>
      <c r="G1498" s="61">
        <v>1</v>
      </c>
      <c r="H1498" s="45">
        <v>15</v>
      </c>
      <c r="I1498" s="74">
        <f>0.01664078*(1000)</f>
        <v>16.640779999999999</v>
      </c>
    </row>
    <row r="1499" spans="1:9" s="71" customFormat="1" ht="16.5" hidden="1" customHeight="1" outlineLevel="1" x14ac:dyDescent="0.25">
      <c r="A1499" s="74">
        <v>3209</v>
      </c>
      <c r="B1499" s="45" t="s">
        <v>664</v>
      </c>
      <c r="C1499" s="60" t="s">
        <v>1137</v>
      </c>
      <c r="D1499" s="60"/>
      <c r="E1499" s="74">
        <v>2022</v>
      </c>
      <c r="F1499" s="74" t="s">
        <v>489</v>
      </c>
      <c r="G1499" s="61">
        <v>1</v>
      </c>
      <c r="H1499" s="45">
        <v>15</v>
      </c>
      <c r="I1499" s="74">
        <f>0.01725742*(1000)</f>
        <v>17.25742</v>
      </c>
    </row>
    <row r="1500" spans="1:9" s="71" customFormat="1" ht="16.5" hidden="1" customHeight="1" outlineLevel="1" x14ac:dyDescent="0.25">
      <c r="A1500" s="74">
        <v>3210</v>
      </c>
      <c r="B1500" s="45" t="s">
        <v>664</v>
      </c>
      <c r="C1500" s="60" t="s">
        <v>1138</v>
      </c>
      <c r="D1500" s="60"/>
      <c r="E1500" s="74">
        <v>2022</v>
      </c>
      <c r="F1500" s="74" t="s">
        <v>489</v>
      </c>
      <c r="G1500" s="61">
        <v>1</v>
      </c>
      <c r="H1500" s="45">
        <v>15</v>
      </c>
      <c r="I1500" s="74">
        <f>0.01725742*(1000)</f>
        <v>17.25742</v>
      </c>
    </row>
    <row r="1501" spans="1:9" s="71" customFormat="1" ht="16.5" hidden="1" customHeight="1" outlineLevel="1" x14ac:dyDescent="0.25">
      <c r="A1501" s="74">
        <v>3213</v>
      </c>
      <c r="B1501" s="45" t="s">
        <v>664</v>
      </c>
      <c r="C1501" s="60" t="s">
        <v>1139</v>
      </c>
      <c r="D1501" s="60"/>
      <c r="E1501" s="74">
        <v>2022</v>
      </c>
      <c r="F1501" s="74" t="s">
        <v>489</v>
      </c>
      <c r="G1501" s="61">
        <v>1</v>
      </c>
      <c r="H1501" s="45">
        <v>15</v>
      </c>
      <c r="I1501" s="74">
        <f>0.01664078*(1000)</f>
        <v>16.640779999999999</v>
      </c>
    </row>
    <row r="1502" spans="1:9" s="71" customFormat="1" ht="16.5" hidden="1" customHeight="1" outlineLevel="1" x14ac:dyDescent="0.25">
      <c r="A1502" s="74">
        <v>3214</v>
      </c>
      <c r="B1502" s="45" t="s">
        <v>664</v>
      </c>
      <c r="C1502" s="60" t="s">
        <v>1140</v>
      </c>
      <c r="D1502" s="60"/>
      <c r="E1502" s="74">
        <v>2022</v>
      </c>
      <c r="F1502" s="74" t="s">
        <v>489</v>
      </c>
      <c r="G1502" s="61">
        <v>1</v>
      </c>
      <c r="H1502" s="45">
        <v>15</v>
      </c>
      <c r="I1502" s="74">
        <f>0.01664078*(1000)</f>
        <v>16.640779999999999</v>
      </c>
    </row>
    <row r="1503" spans="1:9" s="71" customFormat="1" ht="16.5" hidden="1" customHeight="1" outlineLevel="1" x14ac:dyDescent="0.25">
      <c r="A1503" s="74">
        <v>3215</v>
      </c>
      <c r="B1503" s="45" t="s">
        <v>664</v>
      </c>
      <c r="C1503" s="60" t="s">
        <v>1141</v>
      </c>
      <c r="D1503" s="60"/>
      <c r="E1503" s="74">
        <v>2022</v>
      </c>
      <c r="F1503" s="74" t="s">
        <v>489</v>
      </c>
      <c r="G1503" s="61">
        <v>1</v>
      </c>
      <c r="H1503" s="45">
        <v>15</v>
      </c>
      <c r="I1503" s="74">
        <f>0.01664078*(1000)</f>
        <v>16.640779999999999</v>
      </c>
    </row>
    <row r="1504" spans="1:9" s="71" customFormat="1" ht="16.5" hidden="1" customHeight="1" outlineLevel="1" x14ac:dyDescent="0.25">
      <c r="A1504" s="74">
        <v>3218</v>
      </c>
      <c r="B1504" s="45" t="s">
        <v>664</v>
      </c>
      <c r="C1504" s="60" t="s">
        <v>1142</v>
      </c>
      <c r="D1504" s="60"/>
      <c r="E1504" s="74">
        <v>2022</v>
      </c>
      <c r="F1504" s="74" t="s">
        <v>489</v>
      </c>
      <c r="G1504" s="61">
        <v>1</v>
      </c>
      <c r="H1504" s="45">
        <v>15</v>
      </c>
      <c r="I1504" s="74">
        <f>0.01914837*(1000)</f>
        <v>19.14837</v>
      </c>
    </row>
    <row r="1505" spans="1:9" s="71" customFormat="1" ht="16.5" hidden="1" customHeight="1" outlineLevel="1" x14ac:dyDescent="0.25">
      <c r="A1505" s="74">
        <v>3219</v>
      </c>
      <c r="B1505" s="45" t="s">
        <v>664</v>
      </c>
      <c r="C1505" s="60" t="s">
        <v>1143</v>
      </c>
      <c r="D1505" s="60"/>
      <c r="E1505" s="74">
        <v>2022</v>
      </c>
      <c r="F1505" s="74" t="s">
        <v>489</v>
      </c>
      <c r="G1505" s="61">
        <v>3</v>
      </c>
      <c r="H1505" s="45">
        <v>35</v>
      </c>
      <c r="I1505" s="74">
        <f>0.03601778*(1000)</f>
        <v>36.017780000000002</v>
      </c>
    </row>
    <row r="1506" spans="1:9" s="71" customFormat="1" ht="16.5" hidden="1" customHeight="1" outlineLevel="1" x14ac:dyDescent="0.25">
      <c r="A1506" s="74">
        <v>3221</v>
      </c>
      <c r="B1506" s="45" t="s">
        <v>664</v>
      </c>
      <c r="C1506" s="60" t="s">
        <v>1144</v>
      </c>
      <c r="D1506" s="60"/>
      <c r="E1506" s="74">
        <v>2022</v>
      </c>
      <c r="F1506" s="74" t="s">
        <v>489</v>
      </c>
      <c r="G1506" s="61">
        <v>1</v>
      </c>
      <c r="H1506" s="45">
        <v>15</v>
      </c>
      <c r="I1506" s="74">
        <f>0.01666408*(1000)</f>
        <v>16.664080000000002</v>
      </c>
    </row>
    <row r="1507" spans="1:9" s="71" customFormat="1" ht="16.5" hidden="1" customHeight="1" outlineLevel="1" x14ac:dyDescent="0.25">
      <c r="A1507" s="74">
        <v>3223</v>
      </c>
      <c r="B1507" s="45" t="s">
        <v>664</v>
      </c>
      <c r="C1507" s="60" t="s">
        <v>1145</v>
      </c>
      <c r="D1507" s="60"/>
      <c r="E1507" s="74">
        <v>2022</v>
      </c>
      <c r="F1507" s="74" t="s">
        <v>489</v>
      </c>
      <c r="G1507" s="61">
        <v>1</v>
      </c>
      <c r="H1507" s="45">
        <v>15</v>
      </c>
      <c r="I1507" s="74">
        <f>0.01666408*(1000)</f>
        <v>16.664080000000002</v>
      </c>
    </row>
    <row r="1508" spans="1:9" s="71" customFormat="1" ht="16.5" hidden="1" customHeight="1" outlineLevel="1" x14ac:dyDescent="0.25">
      <c r="A1508" s="74">
        <v>3224</v>
      </c>
      <c r="B1508" s="45" t="s">
        <v>664</v>
      </c>
      <c r="C1508" s="60" t="s">
        <v>1146</v>
      </c>
      <c r="D1508" s="60"/>
      <c r="E1508" s="74">
        <v>2022</v>
      </c>
      <c r="F1508" s="74" t="s">
        <v>489</v>
      </c>
      <c r="G1508" s="61">
        <v>1</v>
      </c>
      <c r="H1508" s="45">
        <v>15</v>
      </c>
      <c r="I1508" s="74">
        <f>0.01666409*(1000)</f>
        <v>16.664089999999998</v>
      </c>
    </row>
    <row r="1509" spans="1:9" s="71" customFormat="1" ht="16.5" hidden="1" customHeight="1" outlineLevel="1" x14ac:dyDescent="0.25">
      <c r="A1509" s="74">
        <v>3226</v>
      </c>
      <c r="B1509" s="45" t="s">
        <v>664</v>
      </c>
      <c r="C1509" s="60" t="s">
        <v>1147</v>
      </c>
      <c r="D1509" s="60"/>
      <c r="E1509" s="74">
        <v>2022</v>
      </c>
      <c r="F1509" s="74" t="s">
        <v>489</v>
      </c>
      <c r="G1509" s="61">
        <v>1</v>
      </c>
      <c r="H1509" s="45">
        <v>15</v>
      </c>
      <c r="I1509" s="74">
        <f>0.01666408*(1000)</f>
        <v>16.664080000000002</v>
      </c>
    </row>
    <row r="1510" spans="1:9" s="71" customFormat="1" ht="16.5" hidden="1" customHeight="1" outlineLevel="1" x14ac:dyDescent="0.25">
      <c r="A1510" s="74">
        <v>3228</v>
      </c>
      <c r="B1510" s="45" t="s">
        <v>664</v>
      </c>
      <c r="C1510" s="60" t="s">
        <v>1148</v>
      </c>
      <c r="D1510" s="60"/>
      <c r="E1510" s="74">
        <v>2022</v>
      </c>
      <c r="F1510" s="74" t="s">
        <v>489</v>
      </c>
      <c r="G1510" s="61">
        <v>1</v>
      </c>
      <c r="H1510" s="45">
        <v>15</v>
      </c>
      <c r="I1510" s="74">
        <f>0.01666408*(1000)</f>
        <v>16.664080000000002</v>
      </c>
    </row>
    <row r="1511" spans="1:9" s="71" customFormat="1" ht="16.5" hidden="1" customHeight="1" outlineLevel="1" x14ac:dyDescent="0.25">
      <c r="A1511" s="74">
        <v>3229</v>
      </c>
      <c r="B1511" s="45" t="s">
        <v>664</v>
      </c>
      <c r="C1511" s="60" t="s">
        <v>1149</v>
      </c>
      <c r="D1511" s="60"/>
      <c r="E1511" s="74">
        <v>2022</v>
      </c>
      <c r="F1511" s="74" t="s">
        <v>489</v>
      </c>
      <c r="G1511" s="61">
        <v>1</v>
      </c>
      <c r="H1511" s="45">
        <v>10</v>
      </c>
      <c r="I1511" s="74">
        <f>0.00986562*(1000)</f>
        <v>9.8656199999999998</v>
      </c>
    </row>
    <row r="1512" spans="1:9" s="71" customFormat="1" ht="16.5" hidden="1" customHeight="1" outlineLevel="1" x14ac:dyDescent="0.25">
      <c r="A1512" s="74">
        <v>3230</v>
      </c>
      <c r="B1512" s="45" t="s">
        <v>664</v>
      </c>
      <c r="C1512" s="60" t="s">
        <v>1150</v>
      </c>
      <c r="D1512" s="60"/>
      <c r="E1512" s="74">
        <v>2022</v>
      </c>
      <c r="F1512" s="74" t="s">
        <v>489</v>
      </c>
      <c r="G1512" s="61">
        <v>1</v>
      </c>
      <c r="H1512" s="45">
        <v>10</v>
      </c>
      <c r="I1512" s="74">
        <f>0.01666408*(1000)</f>
        <v>16.664080000000002</v>
      </c>
    </row>
    <row r="1513" spans="1:9" s="71" customFormat="1" ht="16.5" hidden="1" customHeight="1" outlineLevel="1" x14ac:dyDescent="0.25">
      <c r="A1513" s="74">
        <v>3237</v>
      </c>
      <c r="B1513" s="45" t="s">
        <v>664</v>
      </c>
      <c r="C1513" s="60" t="s">
        <v>1151</v>
      </c>
      <c r="D1513" s="60"/>
      <c r="E1513" s="74">
        <v>2022</v>
      </c>
      <c r="F1513" s="74" t="s">
        <v>489</v>
      </c>
      <c r="G1513" s="61">
        <v>1</v>
      </c>
      <c r="H1513" s="45">
        <v>15</v>
      </c>
      <c r="I1513" s="74">
        <f>0.01666408*(1000)</f>
        <v>16.664080000000002</v>
      </c>
    </row>
    <row r="1514" spans="1:9" s="71" customFormat="1" ht="16.5" hidden="1" customHeight="1" outlineLevel="1" x14ac:dyDescent="0.25">
      <c r="A1514" s="74">
        <v>3240</v>
      </c>
      <c r="B1514" s="45" t="s">
        <v>664</v>
      </c>
      <c r="C1514" s="60" t="s">
        <v>1152</v>
      </c>
      <c r="D1514" s="60"/>
      <c r="E1514" s="74">
        <v>2022</v>
      </c>
      <c r="F1514" s="74" t="s">
        <v>489</v>
      </c>
      <c r="G1514" s="61">
        <v>1</v>
      </c>
      <c r="H1514" s="45">
        <v>15</v>
      </c>
      <c r="I1514" s="74">
        <f>0.01666408*(1000)</f>
        <v>16.664080000000002</v>
      </c>
    </row>
    <row r="1515" spans="1:9" s="71" customFormat="1" ht="16.5" hidden="1" customHeight="1" outlineLevel="1" x14ac:dyDescent="0.25">
      <c r="A1515" s="74">
        <v>3241</v>
      </c>
      <c r="B1515" s="45" t="s">
        <v>664</v>
      </c>
      <c r="C1515" s="60" t="s">
        <v>1153</v>
      </c>
      <c r="D1515" s="60"/>
      <c r="E1515" s="74">
        <v>2022</v>
      </c>
      <c r="F1515" s="74" t="s">
        <v>489</v>
      </c>
      <c r="G1515" s="61">
        <v>1</v>
      </c>
      <c r="H1515" s="45">
        <v>15</v>
      </c>
      <c r="I1515" s="74">
        <f>0.01666408*(1000)</f>
        <v>16.664080000000002</v>
      </c>
    </row>
    <row r="1516" spans="1:9" s="71" customFormat="1" ht="16.5" hidden="1" customHeight="1" outlineLevel="1" x14ac:dyDescent="0.25">
      <c r="A1516" s="74">
        <v>3242</v>
      </c>
      <c r="B1516" s="45" t="s">
        <v>664</v>
      </c>
      <c r="C1516" s="60" t="s">
        <v>1154</v>
      </c>
      <c r="D1516" s="60"/>
      <c r="E1516" s="74">
        <v>2022</v>
      </c>
      <c r="F1516" s="74" t="s">
        <v>489</v>
      </c>
      <c r="G1516" s="61">
        <v>1</v>
      </c>
      <c r="H1516" s="45">
        <v>15</v>
      </c>
      <c r="I1516" s="74">
        <f>0.01666407*(1000)</f>
        <v>16.664069999999999</v>
      </c>
    </row>
    <row r="1517" spans="1:9" s="71" customFormat="1" ht="16.5" hidden="1" customHeight="1" outlineLevel="1" x14ac:dyDescent="0.25">
      <c r="A1517" s="74">
        <v>3243</v>
      </c>
      <c r="B1517" s="45" t="s">
        <v>664</v>
      </c>
      <c r="C1517" s="60" t="s">
        <v>1155</v>
      </c>
      <c r="D1517" s="60"/>
      <c r="E1517" s="74">
        <v>2022</v>
      </c>
      <c r="F1517" s="74" t="s">
        <v>489</v>
      </c>
      <c r="G1517" s="61">
        <v>1</v>
      </c>
      <c r="H1517" s="45">
        <v>15</v>
      </c>
      <c r="I1517" s="74">
        <f>0.01666408*(1000)</f>
        <v>16.664080000000002</v>
      </c>
    </row>
    <row r="1518" spans="1:9" s="71" customFormat="1" ht="16.5" hidden="1" customHeight="1" outlineLevel="1" x14ac:dyDescent="0.25">
      <c r="A1518" s="74">
        <v>3248</v>
      </c>
      <c r="B1518" s="45" t="s">
        <v>664</v>
      </c>
      <c r="C1518" s="60" t="s">
        <v>1156</v>
      </c>
      <c r="D1518" s="60"/>
      <c r="E1518" s="74">
        <v>2022</v>
      </c>
      <c r="F1518" s="74" t="s">
        <v>489</v>
      </c>
      <c r="G1518" s="61">
        <v>1</v>
      </c>
      <c r="H1518" s="45">
        <v>5</v>
      </c>
      <c r="I1518" s="74">
        <f>0.01825692*(1000)</f>
        <v>18.256920000000001</v>
      </c>
    </row>
    <row r="1519" spans="1:9" s="71" customFormat="1" ht="16.5" hidden="1" customHeight="1" outlineLevel="1" x14ac:dyDescent="0.25">
      <c r="A1519" s="74">
        <v>3249</v>
      </c>
      <c r="B1519" s="45" t="s">
        <v>664</v>
      </c>
      <c r="C1519" s="60" t="s">
        <v>1157</v>
      </c>
      <c r="D1519" s="60"/>
      <c r="E1519" s="74">
        <v>2022</v>
      </c>
      <c r="F1519" s="74" t="s">
        <v>489</v>
      </c>
      <c r="G1519" s="61">
        <v>1</v>
      </c>
      <c r="H1519" s="45">
        <v>15</v>
      </c>
      <c r="I1519" s="74">
        <f>0.01825693*(1000)</f>
        <v>18.256930000000001</v>
      </c>
    </row>
    <row r="1520" spans="1:9" s="71" customFormat="1" ht="16.5" hidden="1" customHeight="1" outlineLevel="1" x14ac:dyDescent="0.25">
      <c r="A1520" s="74">
        <v>3251</v>
      </c>
      <c r="B1520" s="45" t="s">
        <v>664</v>
      </c>
      <c r="C1520" s="60" t="s">
        <v>1158</v>
      </c>
      <c r="D1520" s="60"/>
      <c r="E1520" s="74">
        <v>2022</v>
      </c>
      <c r="F1520" s="74" t="s">
        <v>489</v>
      </c>
      <c r="G1520" s="61">
        <v>1</v>
      </c>
      <c r="H1520" s="45">
        <v>15</v>
      </c>
      <c r="I1520" s="74">
        <f>0.01825694*(1000)</f>
        <v>18.25694</v>
      </c>
    </row>
    <row r="1521" spans="1:9" s="71" customFormat="1" ht="16.5" hidden="1" customHeight="1" outlineLevel="1" x14ac:dyDescent="0.25">
      <c r="A1521" s="74">
        <v>3254</v>
      </c>
      <c r="B1521" s="45" t="s">
        <v>664</v>
      </c>
      <c r="C1521" s="60" t="s">
        <v>1159</v>
      </c>
      <c r="D1521" s="60"/>
      <c r="E1521" s="74">
        <v>2022</v>
      </c>
      <c r="F1521" s="74" t="s">
        <v>489</v>
      </c>
      <c r="G1521" s="61">
        <v>1</v>
      </c>
      <c r="H1521" s="45">
        <v>15</v>
      </c>
      <c r="I1521" s="74">
        <f>0.01825693*(1000)</f>
        <v>18.256930000000001</v>
      </c>
    </row>
    <row r="1522" spans="1:9" s="71" customFormat="1" ht="16.5" hidden="1" customHeight="1" outlineLevel="1" x14ac:dyDescent="0.25">
      <c r="A1522" s="74">
        <v>3257</v>
      </c>
      <c r="B1522" s="45" t="s">
        <v>664</v>
      </c>
      <c r="C1522" s="60" t="s">
        <v>1160</v>
      </c>
      <c r="D1522" s="60"/>
      <c r="E1522" s="74">
        <v>2022</v>
      </c>
      <c r="F1522" s="74" t="s">
        <v>489</v>
      </c>
      <c r="G1522" s="61">
        <v>1</v>
      </c>
      <c r="H1522" s="45">
        <v>15</v>
      </c>
      <c r="I1522" s="74">
        <f>0.01794371*(1000)</f>
        <v>17.943710000000003</v>
      </c>
    </row>
    <row r="1523" spans="1:9" s="71" customFormat="1" ht="16.5" hidden="1" customHeight="1" outlineLevel="1" x14ac:dyDescent="0.25">
      <c r="A1523" s="74">
        <v>3258</v>
      </c>
      <c r="B1523" s="45" t="s">
        <v>664</v>
      </c>
      <c r="C1523" s="60" t="s">
        <v>1161</v>
      </c>
      <c r="D1523" s="60"/>
      <c r="E1523" s="74">
        <v>2022</v>
      </c>
      <c r="F1523" s="74" t="s">
        <v>489</v>
      </c>
      <c r="G1523" s="61">
        <v>1</v>
      </c>
      <c r="H1523" s="45">
        <v>15</v>
      </c>
      <c r="I1523" s="74">
        <f>0.01825693*(1000)</f>
        <v>18.256930000000001</v>
      </c>
    </row>
    <row r="1524" spans="1:9" s="71" customFormat="1" ht="16.5" hidden="1" customHeight="1" outlineLevel="1" x14ac:dyDescent="0.25">
      <c r="A1524" s="74">
        <v>3259</v>
      </c>
      <c r="B1524" s="45" t="s">
        <v>664</v>
      </c>
      <c r="C1524" s="60" t="s">
        <v>1162</v>
      </c>
      <c r="D1524" s="60"/>
      <c r="E1524" s="74">
        <v>2022</v>
      </c>
      <c r="F1524" s="74" t="s">
        <v>489</v>
      </c>
      <c r="G1524" s="61">
        <v>1</v>
      </c>
      <c r="H1524" s="45">
        <v>15</v>
      </c>
      <c r="I1524" s="74">
        <f>0.01825695*(1000)</f>
        <v>18.25695</v>
      </c>
    </row>
    <row r="1525" spans="1:9" s="71" customFormat="1" ht="16.5" hidden="1" customHeight="1" outlineLevel="1" x14ac:dyDescent="0.25">
      <c r="A1525" s="74">
        <v>3261</v>
      </c>
      <c r="B1525" s="45" t="s">
        <v>664</v>
      </c>
      <c r="C1525" s="60" t="s">
        <v>1163</v>
      </c>
      <c r="D1525" s="60"/>
      <c r="E1525" s="74">
        <v>2022</v>
      </c>
      <c r="F1525" s="74" t="s">
        <v>489</v>
      </c>
      <c r="G1525" s="61">
        <v>1</v>
      </c>
      <c r="H1525" s="45">
        <v>15</v>
      </c>
      <c r="I1525" s="74">
        <f>0.01825693*(1000)</f>
        <v>18.256930000000001</v>
      </c>
    </row>
    <row r="1526" spans="1:9" s="71" customFormat="1" ht="16.5" hidden="1" customHeight="1" outlineLevel="1" x14ac:dyDescent="0.25">
      <c r="A1526" s="74">
        <v>3262</v>
      </c>
      <c r="B1526" s="45" t="s">
        <v>664</v>
      </c>
      <c r="C1526" s="60" t="s">
        <v>1164</v>
      </c>
      <c r="D1526" s="60"/>
      <c r="E1526" s="74">
        <v>2022</v>
      </c>
      <c r="F1526" s="74" t="s">
        <v>489</v>
      </c>
      <c r="G1526" s="61">
        <v>1</v>
      </c>
      <c r="H1526" s="45">
        <v>15</v>
      </c>
      <c r="I1526" s="74">
        <f>0.00986561*(1000)</f>
        <v>9.8656100000000002</v>
      </c>
    </row>
    <row r="1527" spans="1:9" s="71" customFormat="1" ht="16.5" hidden="1" customHeight="1" outlineLevel="1" x14ac:dyDescent="0.25">
      <c r="A1527" s="74">
        <v>3265</v>
      </c>
      <c r="B1527" s="45" t="s">
        <v>664</v>
      </c>
      <c r="C1527" s="60" t="s">
        <v>1165</v>
      </c>
      <c r="D1527" s="60"/>
      <c r="E1527" s="74">
        <v>2022</v>
      </c>
      <c r="F1527" s="74" t="s">
        <v>489</v>
      </c>
      <c r="G1527" s="61">
        <v>1</v>
      </c>
      <c r="H1527" s="45">
        <v>15</v>
      </c>
      <c r="I1527" s="74">
        <f>0.01011762*(1000)</f>
        <v>10.117620000000001</v>
      </c>
    </row>
    <row r="1528" spans="1:9" s="71" customFormat="1" ht="16.5" hidden="1" customHeight="1" outlineLevel="1" x14ac:dyDescent="0.25">
      <c r="A1528" s="74">
        <v>3266</v>
      </c>
      <c r="B1528" s="45" t="s">
        <v>664</v>
      </c>
      <c r="C1528" s="60" t="s">
        <v>1166</v>
      </c>
      <c r="D1528" s="60"/>
      <c r="E1528" s="74">
        <v>2022</v>
      </c>
      <c r="F1528" s="74" t="s">
        <v>489</v>
      </c>
      <c r="G1528" s="61">
        <v>1</v>
      </c>
      <c r="H1528" s="45">
        <v>15</v>
      </c>
      <c r="I1528" s="74">
        <f>0.01011209*(1000)</f>
        <v>10.11209</v>
      </c>
    </row>
    <row r="1529" spans="1:9" s="71" customFormat="1" ht="16.5" hidden="1" customHeight="1" outlineLevel="1" x14ac:dyDescent="0.25">
      <c r="A1529" s="74">
        <v>3269</v>
      </c>
      <c r="B1529" s="45" t="s">
        <v>664</v>
      </c>
      <c r="C1529" s="60" t="s">
        <v>1167</v>
      </c>
      <c r="D1529" s="60"/>
      <c r="E1529" s="74">
        <v>2022</v>
      </c>
      <c r="F1529" s="74" t="s">
        <v>489</v>
      </c>
      <c r="G1529" s="61">
        <v>1</v>
      </c>
      <c r="H1529" s="45">
        <v>5</v>
      </c>
      <c r="I1529" s="74">
        <f>0.0166641*(1000)</f>
        <v>16.664100000000001</v>
      </c>
    </row>
    <row r="1530" spans="1:9" s="71" customFormat="1" ht="16.5" hidden="1" customHeight="1" outlineLevel="1" x14ac:dyDescent="0.25">
      <c r="A1530" s="74">
        <v>3270</v>
      </c>
      <c r="B1530" s="45" t="s">
        <v>664</v>
      </c>
      <c r="C1530" s="60" t="s">
        <v>1168</v>
      </c>
      <c r="D1530" s="60"/>
      <c r="E1530" s="74">
        <v>2022</v>
      </c>
      <c r="F1530" s="74" t="s">
        <v>489</v>
      </c>
      <c r="G1530" s="61">
        <v>1</v>
      </c>
      <c r="H1530" s="45">
        <v>15</v>
      </c>
      <c r="I1530" s="74">
        <f>0.00866633*(1000)</f>
        <v>8.6663300000000003</v>
      </c>
    </row>
    <row r="1531" spans="1:9" s="71" customFormat="1" ht="16.5" hidden="1" customHeight="1" outlineLevel="1" x14ac:dyDescent="0.25">
      <c r="A1531" s="74">
        <v>3271</v>
      </c>
      <c r="B1531" s="45" t="s">
        <v>664</v>
      </c>
      <c r="C1531" s="60" t="s">
        <v>1169</v>
      </c>
      <c r="D1531" s="60"/>
      <c r="E1531" s="74">
        <v>2022</v>
      </c>
      <c r="F1531" s="74" t="s">
        <v>489</v>
      </c>
      <c r="G1531" s="61">
        <v>1</v>
      </c>
      <c r="H1531" s="45">
        <v>15</v>
      </c>
      <c r="I1531" s="74">
        <f>0.01666408*(1000)</f>
        <v>16.664080000000002</v>
      </c>
    </row>
    <row r="1532" spans="1:9" s="71" customFormat="1" ht="16.5" hidden="1" customHeight="1" outlineLevel="1" x14ac:dyDescent="0.25">
      <c r="A1532" s="74">
        <v>3275</v>
      </c>
      <c r="B1532" s="45" t="s">
        <v>664</v>
      </c>
      <c r="C1532" s="60" t="s">
        <v>1170</v>
      </c>
      <c r="D1532" s="60"/>
      <c r="E1532" s="74">
        <v>2022</v>
      </c>
      <c r="F1532" s="74" t="s">
        <v>489</v>
      </c>
      <c r="G1532" s="61">
        <v>1</v>
      </c>
      <c r="H1532" s="45">
        <v>15</v>
      </c>
      <c r="I1532" s="74">
        <f>0.01666406*(1000)</f>
        <v>16.664060000000003</v>
      </c>
    </row>
    <row r="1533" spans="1:9" s="71" customFormat="1" ht="16.5" hidden="1" customHeight="1" outlineLevel="1" x14ac:dyDescent="0.25">
      <c r="A1533" s="74">
        <v>3277</v>
      </c>
      <c r="B1533" s="45" t="s">
        <v>664</v>
      </c>
      <c r="C1533" s="60" t="s">
        <v>1171</v>
      </c>
      <c r="D1533" s="60"/>
      <c r="E1533" s="74">
        <v>2022</v>
      </c>
      <c r="F1533" s="74" t="s">
        <v>489</v>
      </c>
      <c r="G1533" s="61">
        <v>1</v>
      </c>
      <c r="H1533" s="45">
        <v>15</v>
      </c>
      <c r="I1533" s="74">
        <f>0.02958664*(1000)</f>
        <v>29.586639999999999</v>
      </c>
    </row>
    <row r="1534" spans="1:9" s="71" customFormat="1" ht="16.5" hidden="1" customHeight="1" outlineLevel="1" x14ac:dyDescent="0.25">
      <c r="A1534" s="74">
        <v>3278</v>
      </c>
      <c r="B1534" s="45" t="s">
        <v>664</v>
      </c>
      <c r="C1534" s="60" t="s">
        <v>1172</v>
      </c>
      <c r="D1534" s="60"/>
      <c r="E1534" s="74">
        <v>2022</v>
      </c>
      <c r="F1534" s="74" t="s">
        <v>489</v>
      </c>
      <c r="G1534" s="61">
        <v>1</v>
      </c>
      <c r="H1534" s="45">
        <v>15</v>
      </c>
      <c r="I1534" s="74">
        <f>0.01666407*(1000)</f>
        <v>16.664069999999999</v>
      </c>
    </row>
    <row r="1535" spans="1:9" s="71" customFormat="1" ht="16.5" hidden="1" customHeight="1" outlineLevel="1" x14ac:dyDescent="0.25">
      <c r="A1535" s="74">
        <v>3282</v>
      </c>
      <c r="B1535" s="45" t="s">
        <v>664</v>
      </c>
      <c r="C1535" s="60" t="s">
        <v>1173</v>
      </c>
      <c r="D1535" s="60"/>
      <c r="E1535" s="74">
        <v>2022</v>
      </c>
      <c r="F1535" s="74" t="s">
        <v>489</v>
      </c>
      <c r="G1535" s="61">
        <v>1</v>
      </c>
      <c r="H1535" s="45">
        <v>15</v>
      </c>
      <c r="I1535" s="74">
        <f>0.01839828*(1000)</f>
        <v>18.39828</v>
      </c>
    </row>
    <row r="1536" spans="1:9" s="71" customFormat="1" ht="16.5" hidden="1" customHeight="1" outlineLevel="1" x14ac:dyDescent="0.25">
      <c r="A1536" s="74">
        <v>3284</v>
      </c>
      <c r="B1536" s="45" t="s">
        <v>664</v>
      </c>
      <c r="C1536" s="60" t="s">
        <v>1174</v>
      </c>
      <c r="D1536" s="60"/>
      <c r="E1536" s="74">
        <v>2022</v>
      </c>
      <c r="F1536" s="74" t="s">
        <v>489</v>
      </c>
      <c r="G1536" s="61">
        <v>1</v>
      </c>
      <c r="H1536" s="45">
        <v>5</v>
      </c>
      <c r="I1536" s="74">
        <f>0.01915754*(1000)</f>
        <v>19.157540000000001</v>
      </c>
    </row>
    <row r="1537" spans="1:9" s="71" customFormat="1" ht="16.5" hidden="1" customHeight="1" outlineLevel="1" x14ac:dyDescent="0.25">
      <c r="A1537" s="74">
        <v>3286</v>
      </c>
      <c r="B1537" s="45" t="s">
        <v>664</v>
      </c>
      <c r="C1537" s="60" t="s">
        <v>1175</v>
      </c>
      <c r="D1537" s="60"/>
      <c r="E1537" s="74">
        <v>2022</v>
      </c>
      <c r="F1537" s="74" t="s">
        <v>489</v>
      </c>
      <c r="G1537" s="61">
        <v>1</v>
      </c>
      <c r="H1537" s="45">
        <v>15</v>
      </c>
      <c r="I1537" s="74">
        <f>0.01911795*(1000)</f>
        <v>19.11795</v>
      </c>
    </row>
    <row r="1538" spans="1:9" s="71" customFormat="1" ht="16.5" hidden="1" customHeight="1" outlineLevel="1" x14ac:dyDescent="0.25">
      <c r="A1538" s="74">
        <v>3287</v>
      </c>
      <c r="B1538" s="45" t="s">
        <v>664</v>
      </c>
      <c r="C1538" s="60" t="s">
        <v>1176</v>
      </c>
      <c r="D1538" s="60"/>
      <c r="E1538" s="74">
        <v>2022</v>
      </c>
      <c r="F1538" s="74" t="s">
        <v>489</v>
      </c>
      <c r="G1538" s="61">
        <v>1</v>
      </c>
      <c r="H1538" s="45">
        <v>10</v>
      </c>
      <c r="I1538" s="74">
        <f>0.01911797*(1000)</f>
        <v>19.117970000000003</v>
      </c>
    </row>
    <row r="1539" spans="1:9" s="71" customFormat="1" ht="16.5" hidden="1" customHeight="1" outlineLevel="1" x14ac:dyDescent="0.25">
      <c r="A1539" s="74">
        <v>3288</v>
      </c>
      <c r="B1539" s="45" t="s">
        <v>664</v>
      </c>
      <c r="C1539" s="60" t="s">
        <v>1177</v>
      </c>
      <c r="D1539" s="60"/>
      <c r="E1539" s="74">
        <v>2022</v>
      </c>
      <c r="F1539" s="74" t="s">
        <v>489</v>
      </c>
      <c r="G1539" s="61">
        <v>1</v>
      </c>
      <c r="H1539" s="45">
        <v>15</v>
      </c>
      <c r="I1539" s="74">
        <f>0.01742332*(1000)</f>
        <v>17.42332</v>
      </c>
    </row>
    <row r="1540" spans="1:9" s="71" customFormat="1" ht="16.5" hidden="1" customHeight="1" outlineLevel="1" x14ac:dyDescent="0.25">
      <c r="A1540" s="74">
        <v>3293</v>
      </c>
      <c r="B1540" s="45" t="s">
        <v>664</v>
      </c>
      <c r="C1540" s="60" t="s">
        <v>1178</v>
      </c>
      <c r="D1540" s="60"/>
      <c r="E1540" s="74">
        <v>2022</v>
      </c>
      <c r="F1540" s="74" t="s">
        <v>489</v>
      </c>
      <c r="G1540" s="61">
        <v>1</v>
      </c>
      <c r="H1540" s="45">
        <v>9</v>
      </c>
      <c r="I1540" s="74">
        <f>0.01911797*(1000)</f>
        <v>19.117970000000003</v>
      </c>
    </row>
    <row r="1541" spans="1:9" s="71" customFormat="1" ht="16.5" hidden="1" customHeight="1" outlineLevel="1" x14ac:dyDescent="0.25">
      <c r="A1541" s="74">
        <v>3295</v>
      </c>
      <c r="B1541" s="45" t="s">
        <v>664</v>
      </c>
      <c r="C1541" s="60" t="s">
        <v>1179</v>
      </c>
      <c r="D1541" s="60"/>
      <c r="E1541" s="74">
        <v>2022</v>
      </c>
      <c r="F1541" s="74" t="s">
        <v>489</v>
      </c>
      <c r="G1541" s="61">
        <v>1</v>
      </c>
      <c r="H1541" s="45">
        <v>12</v>
      </c>
      <c r="I1541" s="74">
        <f>0.01666408*(1000)</f>
        <v>16.664080000000002</v>
      </c>
    </row>
    <row r="1542" spans="1:9" s="71" customFormat="1" ht="16.5" hidden="1" customHeight="1" outlineLevel="1" x14ac:dyDescent="0.25">
      <c r="A1542" s="74">
        <v>3298</v>
      </c>
      <c r="B1542" s="45" t="s">
        <v>664</v>
      </c>
      <c r="C1542" s="60" t="s">
        <v>1180</v>
      </c>
      <c r="D1542" s="60"/>
      <c r="E1542" s="74">
        <v>2022</v>
      </c>
      <c r="F1542" s="74" t="s">
        <v>489</v>
      </c>
      <c r="G1542" s="61">
        <v>1</v>
      </c>
      <c r="H1542" s="45">
        <v>12</v>
      </c>
      <c r="I1542" s="74">
        <f>0.01856108*(1000)</f>
        <v>18.56108</v>
      </c>
    </row>
    <row r="1543" spans="1:9" s="71" customFormat="1" ht="16.5" hidden="1" customHeight="1" outlineLevel="1" x14ac:dyDescent="0.25">
      <c r="A1543" s="74">
        <v>3299</v>
      </c>
      <c r="B1543" s="45" t="s">
        <v>664</v>
      </c>
      <c r="C1543" s="60" t="s">
        <v>1181</v>
      </c>
      <c r="D1543" s="60"/>
      <c r="E1543" s="74">
        <v>2022</v>
      </c>
      <c r="F1543" s="74" t="s">
        <v>489</v>
      </c>
      <c r="G1543" s="61">
        <v>1</v>
      </c>
      <c r="H1543" s="45">
        <v>15</v>
      </c>
      <c r="I1543" s="74">
        <f>0.01167213*(1000)</f>
        <v>11.672129999999999</v>
      </c>
    </row>
    <row r="1544" spans="1:9" s="71" customFormat="1" ht="16.5" hidden="1" customHeight="1" outlineLevel="1" x14ac:dyDescent="0.25">
      <c r="A1544" s="74">
        <v>3301</v>
      </c>
      <c r="B1544" s="45" t="s">
        <v>664</v>
      </c>
      <c r="C1544" s="60" t="s">
        <v>1182</v>
      </c>
      <c r="D1544" s="60"/>
      <c r="E1544" s="74">
        <v>2022</v>
      </c>
      <c r="F1544" s="74" t="s">
        <v>489</v>
      </c>
      <c r="G1544" s="61">
        <v>1</v>
      </c>
      <c r="H1544" s="45">
        <v>5</v>
      </c>
      <c r="I1544" s="74">
        <f>0.01856109*(1000)</f>
        <v>18.56109</v>
      </c>
    </row>
    <row r="1545" spans="1:9" s="71" customFormat="1" ht="16.5" hidden="1" customHeight="1" outlineLevel="1" x14ac:dyDescent="0.25">
      <c r="A1545" s="74">
        <v>3306</v>
      </c>
      <c r="B1545" s="45" t="s">
        <v>664</v>
      </c>
      <c r="C1545" s="60" t="s">
        <v>1183</v>
      </c>
      <c r="D1545" s="60"/>
      <c r="E1545" s="74">
        <v>2022</v>
      </c>
      <c r="F1545" s="74" t="s">
        <v>489</v>
      </c>
      <c r="G1545" s="61">
        <v>1</v>
      </c>
      <c r="H1545" s="45">
        <v>15</v>
      </c>
      <c r="I1545" s="74">
        <f>0.01888246*(1000)</f>
        <v>18.882460000000002</v>
      </c>
    </row>
    <row r="1546" spans="1:9" s="71" customFormat="1" ht="16.5" hidden="1" customHeight="1" outlineLevel="1" x14ac:dyDescent="0.25">
      <c r="A1546" s="74">
        <v>3307</v>
      </c>
      <c r="B1546" s="45" t="s">
        <v>664</v>
      </c>
      <c r="C1546" s="60" t="s">
        <v>1184</v>
      </c>
      <c r="D1546" s="60"/>
      <c r="E1546" s="74">
        <v>2022</v>
      </c>
      <c r="F1546" s="74" t="s">
        <v>489</v>
      </c>
      <c r="G1546" s="61">
        <v>1</v>
      </c>
      <c r="H1546" s="45">
        <v>15</v>
      </c>
      <c r="I1546" s="74">
        <f>0.0169869*(1000)</f>
        <v>16.986899999999999</v>
      </c>
    </row>
    <row r="1547" spans="1:9" s="71" customFormat="1" ht="16.5" hidden="1" customHeight="1" outlineLevel="1" x14ac:dyDescent="0.25">
      <c r="A1547" s="74">
        <v>3308</v>
      </c>
      <c r="B1547" s="45" t="s">
        <v>664</v>
      </c>
      <c r="C1547" s="60" t="s">
        <v>1185</v>
      </c>
      <c r="D1547" s="60"/>
      <c r="E1547" s="74">
        <v>2022</v>
      </c>
      <c r="F1547" s="74" t="s">
        <v>489</v>
      </c>
      <c r="G1547" s="61">
        <v>1</v>
      </c>
      <c r="H1547" s="45">
        <v>15</v>
      </c>
      <c r="I1547" s="74">
        <f>0.01018842*(1000)</f>
        <v>10.188420000000001</v>
      </c>
    </row>
    <row r="1548" spans="1:9" s="71" customFormat="1" ht="16.5" hidden="1" customHeight="1" outlineLevel="1" x14ac:dyDescent="0.25">
      <c r="A1548" s="74">
        <v>3311</v>
      </c>
      <c r="B1548" s="45" t="s">
        <v>664</v>
      </c>
      <c r="C1548" s="60" t="s">
        <v>1186</v>
      </c>
      <c r="D1548" s="60"/>
      <c r="E1548" s="74">
        <v>2022</v>
      </c>
      <c r="F1548" s="74" t="s">
        <v>489</v>
      </c>
      <c r="G1548" s="61">
        <v>1</v>
      </c>
      <c r="H1548" s="45">
        <v>15</v>
      </c>
      <c r="I1548" s="74">
        <f>0.0169869*(1000)</f>
        <v>16.986899999999999</v>
      </c>
    </row>
    <row r="1549" spans="1:9" s="71" customFormat="1" ht="16.5" hidden="1" customHeight="1" outlineLevel="1" x14ac:dyDescent="0.25">
      <c r="A1549" s="74">
        <v>3316</v>
      </c>
      <c r="B1549" s="45" t="s">
        <v>664</v>
      </c>
      <c r="C1549" s="60" t="s">
        <v>1187</v>
      </c>
      <c r="D1549" s="60"/>
      <c r="E1549" s="74">
        <v>2022</v>
      </c>
      <c r="F1549" s="74" t="s">
        <v>489</v>
      </c>
      <c r="G1549" s="61">
        <v>1</v>
      </c>
      <c r="H1549" s="45">
        <v>14.5</v>
      </c>
      <c r="I1549" s="74">
        <f>0.01717866*(1000)</f>
        <v>17.178659999999997</v>
      </c>
    </row>
    <row r="1550" spans="1:9" s="71" customFormat="1" ht="16.5" hidden="1" customHeight="1" outlineLevel="1" x14ac:dyDescent="0.25">
      <c r="A1550" s="74">
        <v>3322</v>
      </c>
      <c r="B1550" s="45" t="s">
        <v>664</v>
      </c>
      <c r="C1550" s="60" t="s">
        <v>1188</v>
      </c>
      <c r="D1550" s="60"/>
      <c r="E1550" s="74">
        <v>2022</v>
      </c>
      <c r="F1550" s="74" t="s">
        <v>489</v>
      </c>
      <c r="G1550" s="61">
        <v>1</v>
      </c>
      <c r="H1550" s="45">
        <v>15</v>
      </c>
      <c r="I1550" s="74">
        <f>0.01881077*(1000)</f>
        <v>18.810770000000002</v>
      </c>
    </row>
    <row r="1551" spans="1:9" s="71" customFormat="1" ht="16.5" hidden="1" customHeight="1" outlineLevel="1" x14ac:dyDescent="0.25">
      <c r="A1551" s="74">
        <v>3323</v>
      </c>
      <c r="B1551" s="45" t="s">
        <v>664</v>
      </c>
      <c r="C1551" s="60" t="s">
        <v>1189</v>
      </c>
      <c r="D1551" s="60"/>
      <c r="E1551" s="74">
        <v>2022</v>
      </c>
      <c r="F1551" s="74" t="s">
        <v>489</v>
      </c>
      <c r="G1551" s="61">
        <v>1</v>
      </c>
      <c r="H1551" s="45">
        <v>15</v>
      </c>
      <c r="I1551" s="74">
        <f>0.01711756*(1000)</f>
        <v>17.117560000000001</v>
      </c>
    </row>
    <row r="1552" spans="1:9" s="71" customFormat="1" ht="16.5" hidden="1" customHeight="1" outlineLevel="1" x14ac:dyDescent="0.25">
      <c r="A1552" s="74">
        <v>3324</v>
      </c>
      <c r="B1552" s="45" t="s">
        <v>664</v>
      </c>
      <c r="C1552" s="60" t="s">
        <v>1190</v>
      </c>
      <c r="D1552" s="60"/>
      <c r="E1552" s="74">
        <v>2022</v>
      </c>
      <c r="F1552" s="74" t="s">
        <v>489</v>
      </c>
      <c r="G1552" s="61">
        <v>1</v>
      </c>
      <c r="H1552" s="45">
        <v>15</v>
      </c>
      <c r="I1552" s="74">
        <f>0.01031767*(1000)</f>
        <v>10.31767</v>
      </c>
    </row>
    <row r="1553" spans="1:9" s="71" customFormat="1" ht="16.5" hidden="1" customHeight="1" outlineLevel="1" x14ac:dyDescent="0.25">
      <c r="A1553" s="74">
        <v>3325</v>
      </c>
      <c r="B1553" s="45" t="s">
        <v>664</v>
      </c>
      <c r="C1553" s="60" t="s">
        <v>1191</v>
      </c>
      <c r="D1553" s="60"/>
      <c r="E1553" s="74">
        <v>2022</v>
      </c>
      <c r="F1553" s="74" t="s">
        <v>489</v>
      </c>
      <c r="G1553" s="61">
        <v>1</v>
      </c>
      <c r="H1553" s="45">
        <v>12</v>
      </c>
      <c r="I1553" s="74">
        <f>0.01698804*(1000)</f>
        <v>16.988039999999998</v>
      </c>
    </row>
    <row r="1554" spans="1:9" s="71" customFormat="1" ht="16.5" hidden="1" customHeight="1" outlineLevel="1" x14ac:dyDescent="0.25">
      <c r="A1554" s="74">
        <v>3326</v>
      </c>
      <c r="B1554" s="45" t="s">
        <v>664</v>
      </c>
      <c r="C1554" s="60" t="s">
        <v>1192</v>
      </c>
      <c r="D1554" s="60"/>
      <c r="E1554" s="74">
        <v>2022</v>
      </c>
      <c r="F1554" s="74" t="s">
        <v>489</v>
      </c>
      <c r="G1554" s="61">
        <v>1</v>
      </c>
      <c r="H1554" s="45">
        <v>15</v>
      </c>
      <c r="I1554" s="74">
        <f>0.01698804*(1000)</f>
        <v>16.988039999999998</v>
      </c>
    </row>
    <row r="1555" spans="1:9" s="71" customFormat="1" ht="16.5" hidden="1" customHeight="1" outlineLevel="1" x14ac:dyDescent="0.25">
      <c r="A1555" s="74">
        <v>3329</v>
      </c>
      <c r="B1555" s="45" t="s">
        <v>664</v>
      </c>
      <c r="C1555" s="60" t="s">
        <v>1193</v>
      </c>
      <c r="D1555" s="60"/>
      <c r="E1555" s="74">
        <v>2022</v>
      </c>
      <c r="F1555" s="74" t="s">
        <v>489</v>
      </c>
      <c r="G1555" s="61">
        <v>1</v>
      </c>
      <c r="H1555" s="45">
        <v>12</v>
      </c>
      <c r="I1555" s="74">
        <f>0.01763027*(1000)</f>
        <v>17.630269999999999</v>
      </c>
    </row>
    <row r="1556" spans="1:9" s="71" customFormat="1" ht="16.5" hidden="1" customHeight="1" outlineLevel="1" x14ac:dyDescent="0.25">
      <c r="A1556" s="74">
        <v>3330</v>
      </c>
      <c r="B1556" s="45" t="s">
        <v>664</v>
      </c>
      <c r="C1556" s="60" t="s">
        <v>1194</v>
      </c>
      <c r="D1556" s="60"/>
      <c r="E1556" s="74">
        <v>2022</v>
      </c>
      <c r="F1556" s="74" t="s">
        <v>489</v>
      </c>
      <c r="G1556" s="61">
        <v>1</v>
      </c>
      <c r="H1556" s="45">
        <v>15</v>
      </c>
      <c r="I1556" s="74">
        <f>0.01763027*(1000)</f>
        <v>17.630269999999999</v>
      </c>
    </row>
    <row r="1557" spans="1:9" s="71" customFormat="1" ht="16.5" hidden="1" customHeight="1" outlineLevel="1" x14ac:dyDescent="0.25">
      <c r="A1557" s="74">
        <v>3338</v>
      </c>
      <c r="B1557" s="45" t="s">
        <v>664</v>
      </c>
      <c r="C1557" s="60" t="s">
        <v>1195</v>
      </c>
      <c r="D1557" s="60"/>
      <c r="E1557" s="74">
        <v>2022</v>
      </c>
      <c r="F1557" s="74" t="s">
        <v>489</v>
      </c>
      <c r="G1557" s="61">
        <v>1</v>
      </c>
      <c r="H1557" s="45">
        <v>15</v>
      </c>
      <c r="I1557" s="74">
        <f>0.01763027*(1000)</f>
        <v>17.630269999999999</v>
      </c>
    </row>
    <row r="1558" spans="1:9" s="71" customFormat="1" ht="16.5" hidden="1" customHeight="1" outlineLevel="1" x14ac:dyDescent="0.25">
      <c r="A1558" s="74">
        <v>3339</v>
      </c>
      <c r="B1558" s="45" t="s">
        <v>664</v>
      </c>
      <c r="C1558" s="60" t="s">
        <v>1196</v>
      </c>
      <c r="D1558" s="60"/>
      <c r="E1558" s="74">
        <v>2022</v>
      </c>
      <c r="F1558" s="74" t="s">
        <v>489</v>
      </c>
      <c r="G1558" s="61">
        <v>1</v>
      </c>
      <c r="H1558" s="45">
        <v>15</v>
      </c>
      <c r="I1558" s="74">
        <f>0.0172184*(1000)</f>
        <v>17.218399999999999</v>
      </c>
    </row>
    <row r="1559" spans="1:9" s="71" customFormat="1" ht="16.5" hidden="1" customHeight="1" outlineLevel="1" x14ac:dyDescent="0.25">
      <c r="A1559" s="74">
        <v>3342</v>
      </c>
      <c r="B1559" s="45" t="s">
        <v>664</v>
      </c>
      <c r="C1559" s="60" t="s">
        <v>1197</v>
      </c>
      <c r="D1559" s="60"/>
      <c r="E1559" s="74">
        <v>2022</v>
      </c>
      <c r="F1559" s="74" t="s">
        <v>489</v>
      </c>
      <c r="G1559" s="61">
        <v>1</v>
      </c>
      <c r="H1559" s="45">
        <v>10</v>
      </c>
      <c r="I1559" s="74">
        <f>0.01871157*(1000)</f>
        <v>18.711570000000002</v>
      </c>
    </row>
    <row r="1560" spans="1:9" s="71" customFormat="1" ht="16.5" hidden="1" customHeight="1" outlineLevel="1" x14ac:dyDescent="0.25">
      <c r="A1560" s="74">
        <v>3349</v>
      </c>
      <c r="B1560" s="45" t="s">
        <v>664</v>
      </c>
      <c r="C1560" s="60" t="s">
        <v>1198</v>
      </c>
      <c r="D1560" s="60"/>
      <c r="E1560" s="74">
        <v>2022</v>
      </c>
      <c r="F1560" s="74" t="s">
        <v>489</v>
      </c>
      <c r="G1560" s="61">
        <v>1</v>
      </c>
      <c r="H1560" s="45">
        <v>10</v>
      </c>
      <c r="I1560" s="74">
        <f>0.01867195*(1000)</f>
        <v>18.671949999999999</v>
      </c>
    </row>
    <row r="1561" spans="1:9" s="71" customFormat="1" ht="16.5" hidden="1" customHeight="1" outlineLevel="1" x14ac:dyDescent="0.25">
      <c r="A1561" s="74">
        <v>3351</v>
      </c>
      <c r="B1561" s="45" t="s">
        <v>664</v>
      </c>
      <c r="C1561" s="60" t="s">
        <v>1199</v>
      </c>
      <c r="D1561" s="60"/>
      <c r="E1561" s="74">
        <v>2022</v>
      </c>
      <c r="F1561" s="74" t="s">
        <v>489</v>
      </c>
      <c r="G1561" s="61">
        <v>1</v>
      </c>
      <c r="H1561" s="45">
        <v>15</v>
      </c>
      <c r="I1561" s="74">
        <f>0.01756665*(1000)</f>
        <v>17.566649999999999</v>
      </c>
    </row>
    <row r="1562" spans="1:9" s="71" customFormat="1" ht="16.5" hidden="1" customHeight="1" outlineLevel="1" x14ac:dyDescent="0.25">
      <c r="A1562" s="74">
        <v>3353</v>
      </c>
      <c r="B1562" s="45" t="s">
        <v>664</v>
      </c>
      <c r="C1562" s="60" t="s">
        <v>1200</v>
      </c>
      <c r="D1562" s="60"/>
      <c r="E1562" s="74">
        <v>2022</v>
      </c>
      <c r="F1562" s="74" t="s">
        <v>489</v>
      </c>
      <c r="G1562" s="61">
        <v>1</v>
      </c>
      <c r="H1562" s="45">
        <v>9</v>
      </c>
      <c r="I1562" s="74">
        <f>0.01756665*(1000)</f>
        <v>17.566649999999999</v>
      </c>
    </row>
    <row r="1563" spans="1:9" s="71" customFormat="1" ht="16.5" hidden="1" customHeight="1" outlineLevel="1" x14ac:dyDescent="0.25">
      <c r="A1563" s="74">
        <v>3355</v>
      </c>
      <c r="B1563" s="45" t="s">
        <v>664</v>
      </c>
      <c r="C1563" s="60" t="s">
        <v>1201</v>
      </c>
      <c r="D1563" s="60"/>
      <c r="E1563" s="74">
        <v>2022</v>
      </c>
      <c r="F1563" s="74" t="s">
        <v>489</v>
      </c>
      <c r="G1563" s="61">
        <v>1</v>
      </c>
      <c r="H1563" s="45">
        <v>15</v>
      </c>
      <c r="I1563" s="74">
        <f>0.02914063*(1000)</f>
        <v>29.140630000000002</v>
      </c>
    </row>
    <row r="1564" spans="1:9" s="71" customFormat="1" ht="16.5" hidden="1" customHeight="1" outlineLevel="1" x14ac:dyDescent="0.25">
      <c r="A1564" s="74">
        <v>3356</v>
      </c>
      <c r="B1564" s="45" t="s">
        <v>664</v>
      </c>
      <c r="C1564" s="60" t="s">
        <v>1202</v>
      </c>
      <c r="D1564" s="60"/>
      <c r="E1564" s="74">
        <v>2022</v>
      </c>
      <c r="F1564" s="74" t="s">
        <v>489</v>
      </c>
      <c r="G1564" s="61">
        <v>1</v>
      </c>
      <c r="H1564" s="45">
        <v>13</v>
      </c>
      <c r="I1564" s="74">
        <f>0.01756665*(1000)</f>
        <v>17.566649999999999</v>
      </c>
    </row>
    <row r="1565" spans="1:9" s="71" customFormat="1" ht="16.5" hidden="1" customHeight="1" outlineLevel="1" x14ac:dyDescent="0.25">
      <c r="A1565" s="74">
        <v>3358</v>
      </c>
      <c r="B1565" s="45" t="s">
        <v>664</v>
      </c>
      <c r="C1565" s="60" t="s">
        <v>1203</v>
      </c>
      <c r="D1565" s="60"/>
      <c r="E1565" s="74">
        <v>2022</v>
      </c>
      <c r="F1565" s="74" t="s">
        <v>489</v>
      </c>
      <c r="G1565" s="61">
        <v>1</v>
      </c>
      <c r="H1565" s="45">
        <v>15</v>
      </c>
      <c r="I1565" s="74">
        <f>0.01756665*(1000)</f>
        <v>17.566649999999999</v>
      </c>
    </row>
    <row r="1566" spans="1:9" s="71" customFormat="1" ht="16.5" hidden="1" customHeight="1" outlineLevel="1" x14ac:dyDescent="0.25">
      <c r="A1566" s="74">
        <v>3362</v>
      </c>
      <c r="B1566" s="45" t="s">
        <v>664</v>
      </c>
      <c r="C1566" s="60" t="s">
        <v>1204</v>
      </c>
      <c r="D1566" s="60"/>
      <c r="E1566" s="74">
        <v>2022</v>
      </c>
      <c r="F1566" s="74" t="s">
        <v>489</v>
      </c>
      <c r="G1566" s="61">
        <v>1</v>
      </c>
      <c r="H1566" s="45">
        <v>12</v>
      </c>
      <c r="I1566" s="74">
        <f>0.01715478*(1000)</f>
        <v>17.154780000000002</v>
      </c>
    </row>
    <row r="1567" spans="1:9" s="71" customFormat="1" ht="16.5" hidden="1" customHeight="1" outlineLevel="1" x14ac:dyDescent="0.25">
      <c r="A1567" s="74">
        <v>3363</v>
      </c>
      <c r="B1567" s="45" t="s">
        <v>664</v>
      </c>
      <c r="C1567" s="60" t="s">
        <v>1205</v>
      </c>
      <c r="D1567" s="60"/>
      <c r="E1567" s="74">
        <v>2022</v>
      </c>
      <c r="F1567" s="74" t="s">
        <v>489</v>
      </c>
      <c r="G1567" s="61">
        <v>1</v>
      </c>
      <c r="H1567" s="45">
        <v>15</v>
      </c>
      <c r="I1567" s="74">
        <f>0.01715478*(1000)</f>
        <v>17.154780000000002</v>
      </c>
    </row>
    <row r="1568" spans="1:9" s="71" customFormat="1" ht="16.5" hidden="1" customHeight="1" outlineLevel="1" x14ac:dyDescent="0.25">
      <c r="A1568" s="74">
        <v>3364</v>
      </c>
      <c r="B1568" s="45" t="s">
        <v>664</v>
      </c>
      <c r="C1568" s="60" t="s">
        <v>1206</v>
      </c>
      <c r="D1568" s="60"/>
      <c r="E1568" s="74">
        <v>2022</v>
      </c>
      <c r="F1568" s="74" t="s">
        <v>489</v>
      </c>
      <c r="G1568" s="61">
        <v>1</v>
      </c>
      <c r="H1568" s="45">
        <v>5</v>
      </c>
      <c r="I1568" s="74">
        <f>0.01719436*(1000)</f>
        <v>17.19436</v>
      </c>
    </row>
    <row r="1569" spans="1:9" s="71" customFormat="1" ht="16.5" hidden="1" customHeight="1" outlineLevel="1" x14ac:dyDescent="0.25">
      <c r="A1569" s="74">
        <v>3366</v>
      </c>
      <c r="B1569" s="45" t="s">
        <v>664</v>
      </c>
      <c r="C1569" s="60" t="s">
        <v>1207</v>
      </c>
      <c r="D1569" s="60"/>
      <c r="E1569" s="74">
        <v>2022</v>
      </c>
      <c r="F1569" s="74" t="s">
        <v>489</v>
      </c>
      <c r="G1569" s="61">
        <v>1</v>
      </c>
      <c r="H1569" s="45">
        <v>15</v>
      </c>
      <c r="I1569" s="74">
        <f>0.01714158*(1000)</f>
        <v>17.141580000000001</v>
      </c>
    </row>
    <row r="1570" spans="1:9" s="71" customFormat="1" ht="16.5" hidden="1" customHeight="1" outlineLevel="1" x14ac:dyDescent="0.25">
      <c r="A1570" s="74">
        <v>3369</v>
      </c>
      <c r="B1570" s="45" t="s">
        <v>664</v>
      </c>
      <c r="C1570" s="60" t="s">
        <v>1208</v>
      </c>
      <c r="D1570" s="60"/>
      <c r="E1570" s="74">
        <v>2022</v>
      </c>
      <c r="F1570" s="74" t="s">
        <v>489</v>
      </c>
      <c r="G1570" s="61">
        <v>1</v>
      </c>
      <c r="H1570" s="45">
        <v>15</v>
      </c>
      <c r="I1570" s="74">
        <f>0.01714158*(1000)</f>
        <v>17.141580000000001</v>
      </c>
    </row>
    <row r="1571" spans="1:9" s="71" customFormat="1" ht="16.5" hidden="1" customHeight="1" outlineLevel="1" x14ac:dyDescent="0.25">
      <c r="A1571" s="74">
        <v>3370</v>
      </c>
      <c r="B1571" s="45" t="s">
        <v>664</v>
      </c>
      <c r="C1571" s="60" t="s">
        <v>1209</v>
      </c>
      <c r="D1571" s="60"/>
      <c r="E1571" s="74">
        <v>2022</v>
      </c>
      <c r="F1571" s="74" t="s">
        <v>489</v>
      </c>
      <c r="G1571" s="61">
        <v>1</v>
      </c>
      <c r="H1571" s="45">
        <v>15</v>
      </c>
      <c r="I1571" s="74">
        <f>0.01714097*(1000)</f>
        <v>17.140969999999999</v>
      </c>
    </row>
    <row r="1572" spans="1:9" s="71" customFormat="1" ht="16.5" hidden="1" customHeight="1" outlineLevel="1" x14ac:dyDescent="0.25">
      <c r="A1572" s="74">
        <v>3371</v>
      </c>
      <c r="B1572" s="45" t="s">
        <v>664</v>
      </c>
      <c r="C1572" s="60" t="s">
        <v>1210</v>
      </c>
      <c r="D1572" s="60"/>
      <c r="E1572" s="74">
        <v>2022</v>
      </c>
      <c r="F1572" s="74" t="s">
        <v>489</v>
      </c>
      <c r="G1572" s="61">
        <v>1</v>
      </c>
      <c r="H1572" s="45">
        <v>15</v>
      </c>
      <c r="I1572" s="74">
        <f>0.0171416*(1000)</f>
        <v>17.1416</v>
      </c>
    </row>
    <row r="1573" spans="1:9" s="71" customFormat="1" ht="16.5" hidden="1" customHeight="1" outlineLevel="1" x14ac:dyDescent="0.25">
      <c r="A1573" s="74">
        <v>3372</v>
      </c>
      <c r="B1573" s="45" t="s">
        <v>664</v>
      </c>
      <c r="C1573" s="60" t="s">
        <v>1211</v>
      </c>
      <c r="D1573" s="60"/>
      <c r="E1573" s="74">
        <v>2022</v>
      </c>
      <c r="F1573" s="74" t="s">
        <v>489</v>
      </c>
      <c r="G1573" s="61">
        <v>1</v>
      </c>
      <c r="H1573" s="45">
        <v>14</v>
      </c>
      <c r="I1573" s="74">
        <f>0.01714158*(1000)</f>
        <v>17.141580000000001</v>
      </c>
    </row>
    <row r="1574" spans="1:9" s="71" customFormat="1" ht="16.5" hidden="1" customHeight="1" outlineLevel="1" x14ac:dyDescent="0.25">
      <c r="A1574" s="74">
        <v>3374</v>
      </c>
      <c r="B1574" s="45" t="s">
        <v>664</v>
      </c>
      <c r="C1574" s="60" t="s">
        <v>1212</v>
      </c>
      <c r="D1574" s="60"/>
      <c r="E1574" s="74">
        <v>2022</v>
      </c>
      <c r="F1574" s="74" t="s">
        <v>489</v>
      </c>
      <c r="G1574" s="61">
        <v>1</v>
      </c>
      <c r="H1574" s="45">
        <v>15</v>
      </c>
      <c r="I1574" s="74">
        <f>0.01714159*(1000)</f>
        <v>17.141590000000001</v>
      </c>
    </row>
    <row r="1575" spans="1:9" s="71" customFormat="1" ht="16.5" hidden="1" customHeight="1" outlineLevel="1" x14ac:dyDescent="0.25">
      <c r="A1575" s="74">
        <v>3375</v>
      </c>
      <c r="B1575" s="45" t="s">
        <v>664</v>
      </c>
      <c r="C1575" s="60" t="s">
        <v>1213</v>
      </c>
      <c r="D1575" s="60"/>
      <c r="E1575" s="74">
        <v>2022</v>
      </c>
      <c r="F1575" s="74" t="s">
        <v>489</v>
      </c>
      <c r="G1575" s="61">
        <v>1</v>
      </c>
      <c r="H1575" s="45">
        <v>85</v>
      </c>
      <c r="I1575" s="74">
        <f>0.01034837*(1000)</f>
        <v>10.348370000000001</v>
      </c>
    </row>
    <row r="1576" spans="1:9" s="71" customFormat="1" ht="16.5" hidden="1" customHeight="1" outlineLevel="1" x14ac:dyDescent="0.25">
      <c r="A1576" s="74">
        <v>3376</v>
      </c>
      <c r="B1576" s="45" t="s">
        <v>664</v>
      </c>
      <c r="C1576" s="60" t="s">
        <v>1214</v>
      </c>
      <c r="D1576" s="60"/>
      <c r="E1576" s="74">
        <v>2022</v>
      </c>
      <c r="F1576" s="74" t="s">
        <v>489</v>
      </c>
      <c r="G1576" s="61">
        <v>1</v>
      </c>
      <c r="H1576" s="45">
        <v>24</v>
      </c>
      <c r="I1576" s="74">
        <f>0.01895238*(1000)</f>
        <v>18.952380000000002</v>
      </c>
    </row>
    <row r="1577" spans="1:9" s="71" customFormat="1" ht="16.5" hidden="1" customHeight="1" outlineLevel="1" x14ac:dyDescent="0.25">
      <c r="A1577" s="74">
        <v>3377</v>
      </c>
      <c r="B1577" s="45" t="s">
        <v>664</v>
      </c>
      <c r="C1577" s="60" t="s">
        <v>1215</v>
      </c>
      <c r="D1577" s="60"/>
      <c r="E1577" s="74">
        <v>2022</v>
      </c>
      <c r="F1577" s="74" t="s">
        <v>489</v>
      </c>
      <c r="G1577" s="61">
        <v>2</v>
      </c>
      <c r="H1577" s="45">
        <v>22</v>
      </c>
      <c r="I1577" s="74">
        <f>0.05413041*(1000)</f>
        <v>54.130409999999998</v>
      </c>
    </row>
    <row r="1578" spans="1:9" s="71" customFormat="1" ht="16.5" hidden="1" customHeight="1" outlineLevel="1" x14ac:dyDescent="0.25">
      <c r="A1578" s="74">
        <v>3378</v>
      </c>
      <c r="B1578" s="45" t="s">
        <v>664</v>
      </c>
      <c r="C1578" s="60" t="s">
        <v>1216</v>
      </c>
      <c r="D1578" s="60"/>
      <c r="E1578" s="74">
        <v>2022</v>
      </c>
      <c r="F1578" s="74" t="s">
        <v>489</v>
      </c>
      <c r="G1578" s="61">
        <v>2</v>
      </c>
      <c r="H1578" s="45">
        <v>15</v>
      </c>
      <c r="I1578" s="74">
        <f>0.0539812*(1000)</f>
        <v>53.981200000000001</v>
      </c>
    </row>
    <row r="1579" spans="1:9" s="71" customFormat="1" ht="16.5" hidden="1" customHeight="1" outlineLevel="1" x14ac:dyDescent="0.25">
      <c r="A1579" s="74">
        <v>3379</v>
      </c>
      <c r="B1579" s="45" t="s">
        <v>664</v>
      </c>
      <c r="C1579" s="60" t="s">
        <v>1217</v>
      </c>
      <c r="D1579" s="60"/>
      <c r="E1579" s="74">
        <v>2022</v>
      </c>
      <c r="F1579" s="74" t="s">
        <v>489</v>
      </c>
      <c r="G1579" s="61">
        <v>1</v>
      </c>
      <c r="H1579" s="45">
        <v>46</v>
      </c>
      <c r="I1579" s="74">
        <f>0.0339507*(1000)</f>
        <v>33.950699999999998</v>
      </c>
    </row>
    <row r="1580" spans="1:9" s="71" customFormat="1" ht="16.5" hidden="1" customHeight="1" outlineLevel="1" x14ac:dyDescent="0.25">
      <c r="A1580" s="74">
        <v>3380</v>
      </c>
      <c r="B1580" s="45" t="s">
        <v>664</v>
      </c>
      <c r="C1580" s="60" t="s">
        <v>1218</v>
      </c>
      <c r="D1580" s="60"/>
      <c r="E1580" s="74">
        <v>2022</v>
      </c>
      <c r="F1580" s="74" t="s">
        <v>489</v>
      </c>
      <c r="G1580" s="61">
        <v>1</v>
      </c>
      <c r="H1580" s="45">
        <v>15</v>
      </c>
      <c r="I1580" s="74">
        <f>0.02771569*(1000)</f>
        <v>27.715690000000002</v>
      </c>
    </row>
    <row r="1581" spans="1:9" s="71" customFormat="1" ht="16.5" hidden="1" customHeight="1" outlineLevel="1" x14ac:dyDescent="0.25">
      <c r="A1581" s="74">
        <v>3381</v>
      </c>
      <c r="B1581" s="45" t="s">
        <v>664</v>
      </c>
      <c r="C1581" s="60" t="s">
        <v>1219</v>
      </c>
      <c r="D1581" s="60"/>
      <c r="E1581" s="74">
        <v>2022</v>
      </c>
      <c r="F1581" s="74" t="s">
        <v>489</v>
      </c>
      <c r="G1581" s="61">
        <v>1</v>
      </c>
      <c r="H1581" s="45">
        <v>15</v>
      </c>
      <c r="I1581" s="74">
        <f>0.01973265*(1000)</f>
        <v>19.73265</v>
      </c>
    </row>
    <row r="1582" spans="1:9" s="71" customFormat="1" ht="16.5" hidden="1" customHeight="1" outlineLevel="1" x14ac:dyDescent="0.25">
      <c r="A1582" s="74">
        <v>3382</v>
      </c>
      <c r="B1582" s="45" t="s">
        <v>664</v>
      </c>
      <c r="C1582" s="60" t="s">
        <v>1220</v>
      </c>
      <c r="D1582" s="60"/>
      <c r="E1582" s="74">
        <v>2022</v>
      </c>
      <c r="F1582" s="74" t="s">
        <v>489</v>
      </c>
      <c r="G1582" s="61">
        <v>1</v>
      </c>
      <c r="H1582" s="45">
        <v>13</v>
      </c>
      <c r="I1582" s="74">
        <f>0.01803802*(1000)</f>
        <v>18.038019999999999</v>
      </c>
    </row>
    <row r="1583" spans="1:9" s="71" customFormat="1" ht="16.5" hidden="1" customHeight="1" outlineLevel="1" x14ac:dyDescent="0.25">
      <c r="A1583" s="74">
        <v>3383</v>
      </c>
      <c r="B1583" s="45" t="s">
        <v>664</v>
      </c>
      <c r="C1583" s="60" t="s">
        <v>1221</v>
      </c>
      <c r="D1583" s="60"/>
      <c r="E1583" s="74">
        <v>2022</v>
      </c>
      <c r="F1583" s="74" t="s">
        <v>489</v>
      </c>
      <c r="G1583" s="61">
        <v>1</v>
      </c>
      <c r="H1583" s="45">
        <v>11</v>
      </c>
      <c r="I1583" s="74">
        <f>0.01871402*(1000)</f>
        <v>18.714020000000001</v>
      </c>
    </row>
    <row r="1584" spans="1:9" s="71" customFormat="1" ht="16.5" hidden="1" customHeight="1" outlineLevel="1" x14ac:dyDescent="0.25">
      <c r="A1584" s="74">
        <v>3384</v>
      </c>
      <c r="B1584" s="45" t="s">
        <v>664</v>
      </c>
      <c r="C1584" s="60" t="s">
        <v>1222</v>
      </c>
      <c r="D1584" s="60"/>
      <c r="E1584" s="74">
        <v>2022</v>
      </c>
      <c r="F1584" s="74" t="s">
        <v>489</v>
      </c>
      <c r="G1584" s="61">
        <v>1</v>
      </c>
      <c r="H1584" s="45">
        <v>13</v>
      </c>
      <c r="I1584" s="74">
        <f>0.01871402*(1000)</f>
        <v>18.714020000000001</v>
      </c>
    </row>
    <row r="1585" spans="1:9" s="71" customFormat="1" ht="16.5" hidden="1" customHeight="1" outlineLevel="1" x14ac:dyDescent="0.25">
      <c r="A1585" s="74">
        <v>3385</v>
      </c>
      <c r="B1585" s="45" t="s">
        <v>664</v>
      </c>
      <c r="C1585" s="60" t="s">
        <v>1223</v>
      </c>
      <c r="D1585" s="60"/>
      <c r="E1585" s="74">
        <v>2022</v>
      </c>
      <c r="F1585" s="74" t="s">
        <v>489</v>
      </c>
      <c r="G1585" s="61">
        <v>1</v>
      </c>
      <c r="H1585" s="45">
        <v>10</v>
      </c>
      <c r="I1585" s="74">
        <f>0.01841972*(1000)</f>
        <v>18.419720000000002</v>
      </c>
    </row>
    <row r="1586" spans="1:9" s="71" customFormat="1" ht="16.5" hidden="1" customHeight="1" outlineLevel="1" x14ac:dyDescent="0.25">
      <c r="A1586" s="74">
        <v>3386</v>
      </c>
      <c r="B1586" s="45" t="s">
        <v>664</v>
      </c>
      <c r="C1586" s="60" t="s">
        <v>1224</v>
      </c>
      <c r="D1586" s="60"/>
      <c r="E1586" s="74">
        <v>2022</v>
      </c>
      <c r="F1586" s="74" t="s">
        <v>489</v>
      </c>
      <c r="G1586" s="61">
        <v>1</v>
      </c>
      <c r="H1586" s="45">
        <v>1</v>
      </c>
      <c r="I1586" s="74">
        <f>0.01820515*(1000)</f>
        <v>18.20515</v>
      </c>
    </row>
    <row r="1587" spans="1:9" s="71" customFormat="1" ht="16.5" hidden="1" customHeight="1" outlineLevel="1" x14ac:dyDescent="0.25">
      <c r="A1587" s="74">
        <v>3387</v>
      </c>
      <c r="B1587" s="45" t="s">
        <v>664</v>
      </c>
      <c r="C1587" s="60" t="s">
        <v>1225</v>
      </c>
      <c r="D1587" s="60"/>
      <c r="E1587" s="74">
        <v>2022</v>
      </c>
      <c r="F1587" s="74" t="s">
        <v>489</v>
      </c>
      <c r="G1587" s="61">
        <v>1</v>
      </c>
      <c r="H1587" s="45">
        <v>15</v>
      </c>
      <c r="I1587" s="74">
        <f>0.01997231*(1000)</f>
        <v>19.97231</v>
      </c>
    </row>
    <row r="1588" spans="1:9" s="71" customFormat="1" ht="16.5" hidden="1" customHeight="1" outlineLevel="1" x14ac:dyDescent="0.25">
      <c r="A1588" s="74">
        <v>3388</v>
      </c>
      <c r="B1588" s="45" t="s">
        <v>664</v>
      </c>
      <c r="C1588" s="60" t="s">
        <v>1226</v>
      </c>
      <c r="D1588" s="60"/>
      <c r="E1588" s="74">
        <v>2022</v>
      </c>
      <c r="F1588" s="74" t="s">
        <v>489</v>
      </c>
      <c r="G1588" s="61">
        <v>1</v>
      </c>
      <c r="H1588" s="45">
        <v>10</v>
      </c>
      <c r="I1588" s="74">
        <f>0.02991739*(1000)</f>
        <v>29.917389999999997</v>
      </c>
    </row>
    <row r="1589" spans="1:9" s="71" customFormat="1" ht="16.5" hidden="1" customHeight="1" outlineLevel="1" x14ac:dyDescent="0.25">
      <c r="A1589" s="74">
        <v>3390</v>
      </c>
      <c r="B1589" s="45" t="s">
        <v>664</v>
      </c>
      <c r="C1589" s="60" t="s">
        <v>1227</v>
      </c>
      <c r="D1589" s="60"/>
      <c r="E1589" s="74">
        <v>2022</v>
      </c>
      <c r="F1589" s="74" t="s">
        <v>489</v>
      </c>
      <c r="G1589" s="61">
        <v>1</v>
      </c>
      <c r="H1589" s="45">
        <v>136</v>
      </c>
      <c r="I1589" s="74">
        <f>0.02787048*(1000)</f>
        <v>27.870480000000001</v>
      </c>
    </row>
    <row r="1590" spans="1:9" s="71" customFormat="1" ht="16.5" hidden="1" customHeight="1" outlineLevel="1" x14ac:dyDescent="0.25">
      <c r="A1590" s="74">
        <v>3391</v>
      </c>
      <c r="B1590" s="45" t="s">
        <v>664</v>
      </c>
      <c r="C1590" s="60" t="s">
        <v>1228</v>
      </c>
      <c r="D1590" s="60"/>
      <c r="E1590" s="74">
        <v>2022</v>
      </c>
      <c r="F1590" s="74" t="s">
        <v>489</v>
      </c>
      <c r="G1590" s="61">
        <v>1</v>
      </c>
      <c r="H1590" s="45">
        <v>10</v>
      </c>
      <c r="I1590" s="74">
        <f>0.02846424*(1000)</f>
        <v>28.464239999999997</v>
      </c>
    </row>
    <row r="1591" spans="1:9" s="71" customFormat="1" ht="16.5" hidden="1" customHeight="1" outlineLevel="1" x14ac:dyDescent="0.25">
      <c r="A1591" s="74">
        <v>3392</v>
      </c>
      <c r="B1591" s="45" t="s">
        <v>664</v>
      </c>
      <c r="C1591" s="60" t="s">
        <v>1229</v>
      </c>
      <c r="D1591" s="60"/>
      <c r="E1591" s="74">
        <v>2022</v>
      </c>
      <c r="F1591" s="74" t="s">
        <v>489</v>
      </c>
      <c r="G1591" s="61">
        <v>1</v>
      </c>
      <c r="H1591" s="45">
        <v>15</v>
      </c>
      <c r="I1591" s="74">
        <f>0.02846422*(1000)</f>
        <v>28.464219999999997</v>
      </c>
    </row>
    <row r="1592" spans="1:9" s="71" customFormat="1" ht="16.5" hidden="1" customHeight="1" outlineLevel="1" x14ac:dyDescent="0.25">
      <c r="A1592" s="74">
        <v>3394</v>
      </c>
      <c r="B1592" s="45" t="s">
        <v>664</v>
      </c>
      <c r="C1592" s="60" t="s">
        <v>917</v>
      </c>
      <c r="D1592" s="60"/>
      <c r="E1592" s="74">
        <v>2022</v>
      </c>
      <c r="F1592" s="74" t="s">
        <v>489</v>
      </c>
      <c r="G1592" s="61">
        <v>1</v>
      </c>
      <c r="H1592" s="45">
        <v>10</v>
      </c>
      <c r="I1592" s="74">
        <f>0.02846423*(1000)</f>
        <v>28.464230000000001</v>
      </c>
    </row>
    <row r="1593" spans="1:9" s="71" customFormat="1" ht="16.5" hidden="1" customHeight="1" outlineLevel="1" x14ac:dyDescent="0.25">
      <c r="A1593" s="74">
        <v>3395</v>
      </c>
      <c r="B1593" s="45" t="s">
        <v>664</v>
      </c>
      <c r="C1593" s="60" t="s">
        <v>1230</v>
      </c>
      <c r="D1593" s="60"/>
      <c r="E1593" s="74">
        <v>2022</v>
      </c>
      <c r="F1593" s="74" t="s">
        <v>489</v>
      </c>
      <c r="G1593" s="61">
        <v>1</v>
      </c>
      <c r="H1593" s="45">
        <v>13.5</v>
      </c>
      <c r="I1593" s="74">
        <f>0.02865201*(1000)</f>
        <v>28.652009999999997</v>
      </c>
    </row>
    <row r="1594" spans="1:9" s="71" customFormat="1" ht="16.5" hidden="1" customHeight="1" outlineLevel="1" x14ac:dyDescent="0.25">
      <c r="A1594" s="74">
        <v>3396</v>
      </c>
      <c r="B1594" s="45" t="s">
        <v>664</v>
      </c>
      <c r="C1594" s="60" t="s">
        <v>1231</v>
      </c>
      <c r="D1594" s="60"/>
      <c r="E1594" s="74">
        <v>2022</v>
      </c>
      <c r="F1594" s="74" t="s">
        <v>489</v>
      </c>
      <c r="G1594" s="61">
        <v>1</v>
      </c>
      <c r="H1594" s="45">
        <v>15</v>
      </c>
      <c r="I1594" s="74">
        <f>0.02811456*(1000)</f>
        <v>28.114560000000001</v>
      </c>
    </row>
    <row r="1595" spans="1:9" s="71" customFormat="1" ht="16.5" hidden="1" customHeight="1" outlineLevel="1" x14ac:dyDescent="0.25">
      <c r="A1595" s="74">
        <v>3397</v>
      </c>
      <c r="B1595" s="45" t="s">
        <v>664</v>
      </c>
      <c r="C1595" s="60" t="s">
        <v>1232</v>
      </c>
      <c r="D1595" s="60"/>
      <c r="E1595" s="74">
        <v>2022</v>
      </c>
      <c r="F1595" s="74" t="s">
        <v>489</v>
      </c>
      <c r="G1595" s="61">
        <v>1</v>
      </c>
      <c r="H1595" s="45">
        <v>15</v>
      </c>
      <c r="I1595" s="74">
        <f>0.02714496*(1000)</f>
        <v>27.144959999999998</v>
      </c>
    </row>
    <row r="1596" spans="1:9" s="71" customFormat="1" ht="16.5" hidden="1" customHeight="1" outlineLevel="1" x14ac:dyDescent="0.25">
      <c r="A1596" s="74">
        <v>3398</v>
      </c>
      <c r="B1596" s="45" t="s">
        <v>664</v>
      </c>
      <c r="C1596" s="60" t="s">
        <v>1233</v>
      </c>
      <c r="D1596" s="60"/>
      <c r="E1596" s="74">
        <v>2022</v>
      </c>
      <c r="F1596" s="74" t="s">
        <v>489</v>
      </c>
      <c r="G1596" s="61">
        <v>1</v>
      </c>
      <c r="H1596" s="45">
        <v>7.5</v>
      </c>
      <c r="I1596" s="74">
        <f>0.02714497*(1000)</f>
        <v>27.144970000000001</v>
      </c>
    </row>
    <row r="1597" spans="1:9" s="71" customFormat="1" ht="16.5" hidden="1" customHeight="1" outlineLevel="1" x14ac:dyDescent="0.25">
      <c r="A1597" s="74">
        <v>3400</v>
      </c>
      <c r="B1597" s="45" t="s">
        <v>664</v>
      </c>
      <c r="C1597" s="60" t="s">
        <v>1234</v>
      </c>
      <c r="D1597" s="60"/>
      <c r="E1597" s="74">
        <v>2022</v>
      </c>
      <c r="F1597" s="74" t="s">
        <v>489</v>
      </c>
      <c r="G1597" s="61">
        <v>1</v>
      </c>
      <c r="H1597" s="45">
        <v>10</v>
      </c>
      <c r="I1597" s="74">
        <f>0.01746726*(1000)</f>
        <v>17.46726</v>
      </c>
    </row>
    <row r="1598" spans="1:9" s="71" customFormat="1" ht="16.5" hidden="1" customHeight="1" outlineLevel="1" x14ac:dyDescent="0.25">
      <c r="A1598" s="74">
        <v>3401</v>
      </c>
      <c r="B1598" s="45" t="s">
        <v>664</v>
      </c>
      <c r="C1598" s="60" t="s">
        <v>1235</v>
      </c>
      <c r="D1598" s="60"/>
      <c r="E1598" s="74">
        <v>2022</v>
      </c>
      <c r="F1598" s="74" t="s">
        <v>489</v>
      </c>
      <c r="G1598" s="61">
        <v>1</v>
      </c>
      <c r="H1598" s="45">
        <v>14</v>
      </c>
      <c r="I1598" s="74">
        <f>0.02714497*(1000)</f>
        <v>27.144970000000001</v>
      </c>
    </row>
    <row r="1599" spans="1:9" s="71" customFormat="1" ht="16.5" hidden="1" customHeight="1" outlineLevel="1" x14ac:dyDescent="0.25">
      <c r="A1599" s="74">
        <v>3402</v>
      </c>
      <c r="B1599" s="45" t="s">
        <v>664</v>
      </c>
      <c r="C1599" s="60" t="s">
        <v>1236</v>
      </c>
      <c r="D1599" s="60"/>
      <c r="E1599" s="74">
        <v>2022</v>
      </c>
      <c r="F1599" s="74" t="s">
        <v>489</v>
      </c>
      <c r="G1599" s="61">
        <v>1</v>
      </c>
      <c r="H1599" s="45">
        <v>15</v>
      </c>
      <c r="I1599" s="74">
        <f>0.02714496*(1000)</f>
        <v>27.144959999999998</v>
      </c>
    </row>
    <row r="1600" spans="1:9" s="71" customFormat="1" ht="16.5" hidden="1" customHeight="1" outlineLevel="1" x14ac:dyDescent="0.25">
      <c r="A1600" s="74">
        <v>3403</v>
      </c>
      <c r="B1600" s="45" t="s">
        <v>664</v>
      </c>
      <c r="C1600" s="60" t="s">
        <v>1237</v>
      </c>
      <c r="D1600" s="60"/>
      <c r="E1600" s="74">
        <v>2022</v>
      </c>
      <c r="F1600" s="74" t="s">
        <v>489</v>
      </c>
      <c r="G1600" s="61">
        <v>1</v>
      </c>
      <c r="H1600" s="45">
        <v>15</v>
      </c>
      <c r="I1600" s="74">
        <f>0.02714497*(1000)</f>
        <v>27.144970000000001</v>
      </c>
    </row>
    <row r="1601" spans="1:9" s="71" customFormat="1" ht="16.5" hidden="1" customHeight="1" outlineLevel="1" x14ac:dyDescent="0.25">
      <c r="A1601" s="74">
        <v>3404</v>
      </c>
      <c r="B1601" s="45" t="s">
        <v>664</v>
      </c>
      <c r="C1601" s="60" t="s">
        <v>1238</v>
      </c>
      <c r="D1601" s="60"/>
      <c r="E1601" s="74">
        <v>2022</v>
      </c>
      <c r="F1601" s="74" t="s">
        <v>489</v>
      </c>
      <c r="G1601" s="61">
        <v>1</v>
      </c>
      <c r="H1601" s="45">
        <v>15</v>
      </c>
      <c r="I1601" s="74">
        <f>0.02714496*(1000)</f>
        <v>27.144959999999998</v>
      </c>
    </row>
    <row r="1602" spans="1:9" s="71" customFormat="1" ht="16.5" hidden="1" customHeight="1" outlineLevel="1" x14ac:dyDescent="0.25">
      <c r="A1602" s="74">
        <v>3405</v>
      </c>
      <c r="B1602" s="45" t="s">
        <v>664</v>
      </c>
      <c r="C1602" s="60" t="s">
        <v>1239</v>
      </c>
      <c r="D1602" s="60"/>
      <c r="E1602" s="74">
        <v>2022</v>
      </c>
      <c r="F1602" s="74" t="s">
        <v>489</v>
      </c>
      <c r="G1602" s="61">
        <v>1</v>
      </c>
      <c r="H1602" s="45">
        <v>10</v>
      </c>
      <c r="I1602" s="74">
        <f>0.02714497*(1000)</f>
        <v>27.144970000000001</v>
      </c>
    </row>
    <row r="1603" spans="1:9" s="71" customFormat="1" ht="16.5" hidden="1" customHeight="1" outlineLevel="1" x14ac:dyDescent="0.25">
      <c r="A1603" s="74">
        <v>3406</v>
      </c>
      <c r="B1603" s="45" t="s">
        <v>664</v>
      </c>
      <c r="C1603" s="60" t="s">
        <v>1240</v>
      </c>
      <c r="D1603" s="60"/>
      <c r="E1603" s="74">
        <v>2022</v>
      </c>
      <c r="F1603" s="74" t="s">
        <v>489</v>
      </c>
      <c r="G1603" s="61">
        <v>1</v>
      </c>
      <c r="H1603" s="45">
        <v>10</v>
      </c>
      <c r="I1603" s="74">
        <f>0.02714496*(1000)</f>
        <v>27.144959999999998</v>
      </c>
    </row>
    <row r="1604" spans="1:9" s="71" customFormat="1" ht="16.5" hidden="1" customHeight="1" outlineLevel="1" x14ac:dyDescent="0.25">
      <c r="A1604" s="74">
        <v>3407</v>
      </c>
      <c r="B1604" s="45" t="s">
        <v>664</v>
      </c>
      <c r="C1604" s="60" t="s">
        <v>1241</v>
      </c>
      <c r="D1604" s="60"/>
      <c r="E1604" s="74">
        <v>2022</v>
      </c>
      <c r="F1604" s="74" t="s">
        <v>489</v>
      </c>
      <c r="G1604" s="61">
        <v>1</v>
      </c>
      <c r="H1604" s="45">
        <v>10</v>
      </c>
      <c r="I1604" s="74">
        <f>0.02714497*(1000)</f>
        <v>27.144970000000001</v>
      </c>
    </row>
    <row r="1605" spans="1:9" s="71" customFormat="1" ht="16.5" hidden="1" customHeight="1" outlineLevel="1" x14ac:dyDescent="0.25">
      <c r="A1605" s="74">
        <v>3408</v>
      </c>
      <c r="B1605" s="45" t="s">
        <v>664</v>
      </c>
      <c r="C1605" s="60" t="s">
        <v>1242</v>
      </c>
      <c r="D1605" s="60"/>
      <c r="E1605" s="74">
        <v>2022</v>
      </c>
      <c r="F1605" s="74" t="s">
        <v>489</v>
      </c>
      <c r="G1605" s="61">
        <v>1</v>
      </c>
      <c r="H1605" s="45">
        <v>11</v>
      </c>
      <c r="I1605" s="74">
        <f>0.02714496*(1000)</f>
        <v>27.144959999999998</v>
      </c>
    </row>
    <row r="1606" spans="1:9" s="71" customFormat="1" ht="16.5" hidden="1" customHeight="1" outlineLevel="1" x14ac:dyDescent="0.25">
      <c r="A1606" s="74">
        <v>3409</v>
      </c>
      <c r="B1606" s="45" t="s">
        <v>664</v>
      </c>
      <c r="C1606" s="60" t="s">
        <v>1243</v>
      </c>
      <c r="D1606" s="60"/>
      <c r="E1606" s="74">
        <v>2022</v>
      </c>
      <c r="F1606" s="74" t="s">
        <v>489</v>
      </c>
      <c r="G1606" s="61">
        <v>1</v>
      </c>
      <c r="H1606" s="45">
        <v>15</v>
      </c>
      <c r="I1606" s="74">
        <f>0.02714497*(1000)</f>
        <v>27.144970000000001</v>
      </c>
    </row>
    <row r="1607" spans="1:9" s="71" customFormat="1" ht="16.5" hidden="1" customHeight="1" outlineLevel="1" x14ac:dyDescent="0.25">
      <c r="A1607" s="74">
        <v>3411</v>
      </c>
      <c r="B1607" s="45" t="s">
        <v>664</v>
      </c>
      <c r="C1607" s="60" t="s">
        <v>1244</v>
      </c>
      <c r="D1607" s="60"/>
      <c r="E1607" s="74">
        <v>2022</v>
      </c>
      <c r="F1607" s="74" t="s">
        <v>489</v>
      </c>
      <c r="G1607" s="61">
        <v>1</v>
      </c>
      <c r="H1607" s="45">
        <v>100</v>
      </c>
      <c r="I1607" s="74">
        <f>0.03115119*(1000)</f>
        <v>31.15119</v>
      </c>
    </row>
    <row r="1608" spans="1:9" s="71" customFormat="1" ht="16.5" hidden="1" customHeight="1" outlineLevel="1" x14ac:dyDescent="0.25">
      <c r="A1608" s="74">
        <v>3412</v>
      </c>
      <c r="B1608" s="45" t="s">
        <v>664</v>
      </c>
      <c r="C1608" s="60" t="s">
        <v>1245</v>
      </c>
      <c r="D1608" s="60"/>
      <c r="E1608" s="74">
        <v>2022</v>
      </c>
      <c r="F1608" s="74" t="s">
        <v>489</v>
      </c>
      <c r="G1608" s="61">
        <v>1</v>
      </c>
      <c r="H1608" s="45">
        <v>15</v>
      </c>
      <c r="I1608" s="74">
        <f>0.02714497*(1000)</f>
        <v>27.144970000000001</v>
      </c>
    </row>
    <row r="1609" spans="1:9" s="71" customFormat="1" ht="16.5" hidden="1" customHeight="1" outlineLevel="1" x14ac:dyDescent="0.25">
      <c r="A1609" s="74">
        <v>3413</v>
      </c>
      <c r="B1609" s="45" t="s">
        <v>664</v>
      </c>
      <c r="C1609" s="60" t="s">
        <v>1246</v>
      </c>
      <c r="D1609" s="60"/>
      <c r="E1609" s="74">
        <v>2022</v>
      </c>
      <c r="F1609" s="74" t="s">
        <v>489</v>
      </c>
      <c r="G1609" s="61">
        <v>1</v>
      </c>
      <c r="H1609" s="45">
        <v>10</v>
      </c>
      <c r="I1609" s="74">
        <f>0.02714496*(1000)</f>
        <v>27.144959999999998</v>
      </c>
    </row>
    <row r="1610" spans="1:9" s="71" customFormat="1" ht="16.5" hidden="1" customHeight="1" outlineLevel="1" x14ac:dyDescent="0.25">
      <c r="A1610" s="74">
        <v>3414</v>
      </c>
      <c r="B1610" s="45" t="s">
        <v>664</v>
      </c>
      <c r="C1610" s="60" t="s">
        <v>1247</v>
      </c>
      <c r="D1610" s="60"/>
      <c r="E1610" s="74">
        <v>2022</v>
      </c>
      <c r="F1610" s="74" t="s">
        <v>489</v>
      </c>
      <c r="G1610" s="61">
        <v>1</v>
      </c>
      <c r="H1610" s="45">
        <v>10</v>
      </c>
      <c r="I1610" s="74">
        <f>0.02714496*(1000)</f>
        <v>27.144959999999998</v>
      </c>
    </row>
    <row r="1611" spans="1:9" s="71" customFormat="1" ht="16.5" hidden="1" customHeight="1" outlineLevel="1" x14ac:dyDescent="0.25">
      <c r="A1611" s="74">
        <v>3415</v>
      </c>
      <c r="B1611" s="45" t="s">
        <v>664</v>
      </c>
      <c r="C1611" s="60" t="s">
        <v>1248</v>
      </c>
      <c r="D1611" s="60"/>
      <c r="E1611" s="74">
        <v>2022</v>
      </c>
      <c r="F1611" s="74" t="s">
        <v>489</v>
      </c>
      <c r="G1611" s="61">
        <v>1</v>
      </c>
      <c r="H1611" s="45">
        <v>15</v>
      </c>
      <c r="I1611" s="74">
        <f>0.01746727*(1000)</f>
        <v>17.467269999999999</v>
      </c>
    </row>
    <row r="1612" spans="1:9" s="71" customFormat="1" ht="16.5" hidden="1" customHeight="1" outlineLevel="1" x14ac:dyDescent="0.25">
      <c r="A1612" s="74">
        <v>3416</v>
      </c>
      <c r="B1612" s="45" t="s">
        <v>664</v>
      </c>
      <c r="C1612" s="60" t="s">
        <v>1249</v>
      </c>
      <c r="D1612" s="60"/>
      <c r="E1612" s="74">
        <v>2022</v>
      </c>
      <c r="F1612" s="74" t="s">
        <v>489</v>
      </c>
      <c r="G1612" s="61">
        <v>1</v>
      </c>
      <c r="H1612" s="45">
        <v>15</v>
      </c>
      <c r="I1612" s="74">
        <f>0.01746727*(1000)</f>
        <v>17.467269999999999</v>
      </c>
    </row>
    <row r="1613" spans="1:9" s="71" customFormat="1" ht="16.5" hidden="1" customHeight="1" outlineLevel="1" x14ac:dyDescent="0.25">
      <c r="A1613" s="74">
        <v>3417</v>
      </c>
      <c r="B1613" s="45" t="s">
        <v>664</v>
      </c>
      <c r="C1613" s="60" t="s">
        <v>1250</v>
      </c>
      <c r="D1613" s="60"/>
      <c r="E1613" s="74">
        <v>2022</v>
      </c>
      <c r="F1613" s="74" t="s">
        <v>489</v>
      </c>
      <c r="G1613" s="61">
        <v>1</v>
      </c>
      <c r="H1613" s="45">
        <v>15</v>
      </c>
      <c r="I1613" s="74">
        <f>0.02714496*(1000)</f>
        <v>27.144959999999998</v>
      </c>
    </row>
    <row r="1614" spans="1:9" s="71" customFormat="1" ht="16.5" hidden="1" customHeight="1" outlineLevel="1" x14ac:dyDescent="0.25">
      <c r="A1614" s="74">
        <v>3418</v>
      </c>
      <c r="B1614" s="45" t="s">
        <v>664</v>
      </c>
      <c r="C1614" s="60" t="s">
        <v>1251</v>
      </c>
      <c r="D1614" s="60"/>
      <c r="E1614" s="74">
        <v>2022</v>
      </c>
      <c r="F1614" s="74" t="s">
        <v>489</v>
      </c>
      <c r="G1614" s="61">
        <v>1</v>
      </c>
      <c r="H1614" s="45">
        <v>15</v>
      </c>
      <c r="I1614" s="74">
        <f>0.02714497*(1000)</f>
        <v>27.144970000000001</v>
      </c>
    </row>
    <row r="1615" spans="1:9" s="71" customFormat="1" ht="16.5" hidden="1" customHeight="1" outlineLevel="1" x14ac:dyDescent="0.25">
      <c r="A1615" s="74">
        <v>3420</v>
      </c>
      <c r="B1615" s="45" t="s">
        <v>664</v>
      </c>
      <c r="C1615" s="60" t="s">
        <v>1252</v>
      </c>
      <c r="D1615" s="60"/>
      <c r="E1615" s="74">
        <v>2022</v>
      </c>
      <c r="F1615" s="74" t="s">
        <v>489</v>
      </c>
      <c r="G1615" s="61">
        <v>1</v>
      </c>
      <c r="H1615" s="45">
        <v>10</v>
      </c>
      <c r="I1615" s="74">
        <f>0.02714497*(1000)</f>
        <v>27.144970000000001</v>
      </c>
    </row>
    <row r="1616" spans="1:9" s="71" customFormat="1" ht="16.5" hidden="1" customHeight="1" outlineLevel="1" x14ac:dyDescent="0.25">
      <c r="A1616" s="74">
        <v>3422</v>
      </c>
      <c r="B1616" s="45" t="s">
        <v>664</v>
      </c>
      <c r="C1616" s="60" t="s">
        <v>1253</v>
      </c>
      <c r="D1616" s="60"/>
      <c r="E1616" s="74">
        <v>2022</v>
      </c>
      <c r="F1616" s="74" t="s">
        <v>489</v>
      </c>
      <c r="G1616" s="61">
        <v>1</v>
      </c>
      <c r="H1616" s="45">
        <v>11</v>
      </c>
      <c r="I1616" s="74">
        <f>0.02714497*(1000)</f>
        <v>27.144970000000001</v>
      </c>
    </row>
    <row r="1617" spans="1:9" s="71" customFormat="1" ht="16.5" hidden="1" customHeight="1" outlineLevel="1" x14ac:dyDescent="0.25">
      <c r="A1617" s="74">
        <v>3423</v>
      </c>
      <c r="B1617" s="45" t="s">
        <v>664</v>
      </c>
      <c r="C1617" s="60" t="s">
        <v>1254</v>
      </c>
      <c r="D1617" s="60"/>
      <c r="E1617" s="74">
        <v>2022</v>
      </c>
      <c r="F1617" s="74" t="s">
        <v>489</v>
      </c>
      <c r="G1617" s="61">
        <v>1</v>
      </c>
      <c r="H1617" s="45">
        <v>15</v>
      </c>
      <c r="I1617" s="74">
        <f>0.02714496*(1000)</f>
        <v>27.144959999999998</v>
      </c>
    </row>
    <row r="1618" spans="1:9" s="71" customFormat="1" ht="16.5" hidden="1" customHeight="1" outlineLevel="1" x14ac:dyDescent="0.25">
      <c r="A1618" s="74">
        <v>3425</v>
      </c>
      <c r="B1618" s="45" t="s">
        <v>664</v>
      </c>
      <c r="C1618" s="60" t="s">
        <v>1255</v>
      </c>
      <c r="D1618" s="60"/>
      <c r="E1618" s="74">
        <v>2022</v>
      </c>
      <c r="F1618" s="74" t="s">
        <v>489</v>
      </c>
      <c r="G1618" s="61">
        <v>1</v>
      </c>
      <c r="H1618" s="45">
        <v>15</v>
      </c>
      <c r="I1618" s="74">
        <f>0.02714496*(1000)</f>
        <v>27.144959999999998</v>
      </c>
    </row>
    <row r="1619" spans="1:9" s="71" customFormat="1" ht="16.5" hidden="1" customHeight="1" outlineLevel="1" x14ac:dyDescent="0.25">
      <c r="A1619" s="74">
        <v>3426</v>
      </c>
      <c r="B1619" s="45" t="s">
        <v>664</v>
      </c>
      <c r="C1619" s="60" t="s">
        <v>1256</v>
      </c>
      <c r="D1619" s="60"/>
      <c r="E1619" s="74">
        <v>2022</v>
      </c>
      <c r="F1619" s="74" t="s">
        <v>489</v>
      </c>
      <c r="G1619" s="61">
        <v>1</v>
      </c>
      <c r="H1619" s="45">
        <v>15</v>
      </c>
      <c r="I1619" s="74">
        <f>0.02714497*(1000)</f>
        <v>27.144970000000001</v>
      </c>
    </row>
    <row r="1620" spans="1:9" s="71" customFormat="1" ht="16.5" hidden="1" customHeight="1" outlineLevel="1" x14ac:dyDescent="0.25">
      <c r="A1620" s="74">
        <v>3431</v>
      </c>
      <c r="B1620" s="45" t="s">
        <v>664</v>
      </c>
      <c r="C1620" s="60" t="s">
        <v>1257</v>
      </c>
      <c r="D1620" s="60"/>
      <c r="E1620" s="74">
        <v>2022</v>
      </c>
      <c r="F1620" s="74" t="s">
        <v>489</v>
      </c>
      <c r="G1620" s="61">
        <v>1</v>
      </c>
      <c r="H1620" s="45">
        <v>15</v>
      </c>
      <c r="I1620" s="74">
        <f>0.01916191*(1000)</f>
        <v>19.161910000000002</v>
      </c>
    </row>
    <row r="1621" spans="1:9" s="71" customFormat="1" ht="16.5" hidden="1" customHeight="1" outlineLevel="1" x14ac:dyDescent="0.25">
      <c r="A1621" s="74">
        <v>3432</v>
      </c>
      <c r="B1621" s="45" t="s">
        <v>664</v>
      </c>
      <c r="C1621" s="60" t="s">
        <v>1258</v>
      </c>
      <c r="D1621" s="60"/>
      <c r="E1621" s="74">
        <v>2022</v>
      </c>
      <c r="F1621" s="74" t="s">
        <v>489</v>
      </c>
      <c r="G1621" s="61">
        <v>1</v>
      </c>
      <c r="H1621" s="45">
        <v>10</v>
      </c>
      <c r="I1621" s="74">
        <f>0.01746727*(1000)</f>
        <v>17.467269999999999</v>
      </c>
    </row>
    <row r="1622" spans="1:9" s="71" customFormat="1" ht="16.5" hidden="1" customHeight="1" outlineLevel="1" x14ac:dyDescent="0.25">
      <c r="A1622" s="74">
        <v>3433</v>
      </c>
      <c r="B1622" s="45" t="s">
        <v>664</v>
      </c>
      <c r="C1622" s="60" t="s">
        <v>1259</v>
      </c>
      <c r="D1622" s="60"/>
      <c r="E1622" s="74">
        <v>2022</v>
      </c>
      <c r="F1622" s="74" t="s">
        <v>489</v>
      </c>
      <c r="G1622" s="61">
        <v>1</v>
      </c>
      <c r="H1622" s="45">
        <v>10</v>
      </c>
      <c r="I1622" s="74">
        <f>0.01746726*(1000)</f>
        <v>17.46726</v>
      </c>
    </row>
    <row r="1623" spans="1:9" s="71" customFormat="1" ht="16.5" hidden="1" customHeight="1" outlineLevel="1" x14ac:dyDescent="0.25">
      <c r="A1623" s="74">
        <v>3434</v>
      </c>
      <c r="B1623" s="45" t="s">
        <v>664</v>
      </c>
      <c r="C1623" s="60" t="s">
        <v>1260</v>
      </c>
      <c r="D1623" s="60"/>
      <c r="E1623" s="74">
        <v>2022</v>
      </c>
      <c r="F1623" s="74" t="s">
        <v>489</v>
      </c>
      <c r="G1623" s="61">
        <v>1</v>
      </c>
      <c r="H1623" s="45">
        <v>4</v>
      </c>
      <c r="I1623" s="74">
        <f>0.01916192*(1000)</f>
        <v>19.161919999999999</v>
      </c>
    </row>
    <row r="1624" spans="1:9" s="71" customFormat="1" ht="16.5" hidden="1" customHeight="1" outlineLevel="1" x14ac:dyDescent="0.25">
      <c r="A1624" s="74">
        <v>3435</v>
      </c>
      <c r="B1624" s="45" t="s">
        <v>664</v>
      </c>
      <c r="C1624" s="60" t="s">
        <v>1261</v>
      </c>
      <c r="D1624" s="60"/>
      <c r="E1624" s="74">
        <v>2022</v>
      </c>
      <c r="F1624" s="74" t="s">
        <v>489</v>
      </c>
      <c r="G1624" s="61">
        <v>1</v>
      </c>
      <c r="H1624" s="45">
        <v>10</v>
      </c>
      <c r="I1624" s="74">
        <f>0.01746726*(1000)</f>
        <v>17.46726</v>
      </c>
    </row>
    <row r="1625" spans="1:9" s="71" customFormat="1" ht="16.5" hidden="1" customHeight="1" outlineLevel="1" x14ac:dyDescent="0.25">
      <c r="A1625" s="74">
        <v>3436</v>
      </c>
      <c r="B1625" s="45" t="s">
        <v>664</v>
      </c>
      <c r="C1625" s="60" t="s">
        <v>1262</v>
      </c>
      <c r="D1625" s="60"/>
      <c r="E1625" s="74">
        <v>2022</v>
      </c>
      <c r="F1625" s="74" t="s">
        <v>489</v>
      </c>
      <c r="G1625" s="61">
        <v>1</v>
      </c>
      <c r="H1625" s="45">
        <v>8.5</v>
      </c>
      <c r="I1625" s="74">
        <f>0.01746726*(1000)</f>
        <v>17.46726</v>
      </c>
    </row>
    <row r="1626" spans="1:9" s="71" customFormat="1" ht="16.5" hidden="1" customHeight="1" outlineLevel="1" x14ac:dyDescent="0.25">
      <c r="A1626" s="74">
        <v>3437</v>
      </c>
      <c r="B1626" s="45" t="s">
        <v>664</v>
      </c>
      <c r="C1626" s="60" t="s">
        <v>1263</v>
      </c>
      <c r="D1626" s="60"/>
      <c r="E1626" s="74">
        <v>2022</v>
      </c>
      <c r="F1626" s="74" t="s">
        <v>489</v>
      </c>
      <c r="G1626" s="61">
        <v>1</v>
      </c>
      <c r="H1626" s="45">
        <v>15</v>
      </c>
      <c r="I1626" s="74">
        <f>0.01746726*(1000)</f>
        <v>17.46726</v>
      </c>
    </row>
    <row r="1627" spans="1:9" s="71" customFormat="1" ht="16.5" hidden="1" customHeight="1" outlineLevel="1" x14ac:dyDescent="0.25">
      <c r="A1627" s="74">
        <v>3438</v>
      </c>
      <c r="B1627" s="45" t="s">
        <v>664</v>
      </c>
      <c r="C1627" s="60" t="s">
        <v>1263</v>
      </c>
      <c r="D1627" s="60"/>
      <c r="E1627" s="74">
        <v>2022</v>
      </c>
      <c r="F1627" s="74" t="s">
        <v>489</v>
      </c>
      <c r="G1627" s="61">
        <v>1</v>
      </c>
      <c r="H1627" s="45">
        <v>15</v>
      </c>
      <c r="I1627" s="74">
        <f>0.01746727*(1000)</f>
        <v>17.467269999999999</v>
      </c>
    </row>
    <row r="1628" spans="1:9" s="71" customFormat="1" ht="16.5" hidden="1" customHeight="1" outlineLevel="1" x14ac:dyDescent="0.25">
      <c r="A1628" s="74">
        <v>3440</v>
      </c>
      <c r="B1628" s="45" t="s">
        <v>664</v>
      </c>
      <c r="C1628" s="60" t="s">
        <v>1264</v>
      </c>
      <c r="D1628" s="60"/>
      <c r="E1628" s="74">
        <v>2022</v>
      </c>
      <c r="F1628" s="74" t="s">
        <v>489</v>
      </c>
      <c r="G1628" s="61">
        <v>1</v>
      </c>
      <c r="H1628" s="45">
        <v>10</v>
      </c>
      <c r="I1628" s="74">
        <f>0.01746727*(1000)</f>
        <v>17.467269999999999</v>
      </c>
    </row>
    <row r="1629" spans="1:9" s="71" customFormat="1" ht="16.5" hidden="1" customHeight="1" outlineLevel="1" x14ac:dyDescent="0.25">
      <c r="A1629" s="74">
        <v>3441</v>
      </c>
      <c r="B1629" s="45" t="s">
        <v>664</v>
      </c>
      <c r="C1629" s="60" t="s">
        <v>1265</v>
      </c>
      <c r="D1629" s="60"/>
      <c r="E1629" s="74">
        <v>2022</v>
      </c>
      <c r="F1629" s="74" t="s">
        <v>489</v>
      </c>
      <c r="G1629" s="61">
        <v>1</v>
      </c>
      <c r="H1629" s="45">
        <v>15</v>
      </c>
      <c r="I1629" s="74">
        <f>0.01746727*(1000)</f>
        <v>17.467269999999999</v>
      </c>
    </row>
    <row r="1630" spans="1:9" s="71" customFormat="1" ht="16.5" hidden="1" customHeight="1" outlineLevel="1" x14ac:dyDescent="0.25">
      <c r="A1630" s="74">
        <v>3442</v>
      </c>
      <c r="B1630" s="45" t="s">
        <v>664</v>
      </c>
      <c r="C1630" s="60" t="s">
        <v>1266</v>
      </c>
      <c r="D1630" s="60"/>
      <c r="E1630" s="74">
        <v>2022</v>
      </c>
      <c r="F1630" s="74" t="s">
        <v>489</v>
      </c>
      <c r="G1630" s="61">
        <v>1</v>
      </c>
      <c r="H1630" s="45">
        <v>2</v>
      </c>
      <c r="I1630" s="74">
        <f>0.01746727*(1000)</f>
        <v>17.467269999999999</v>
      </c>
    </row>
    <row r="1631" spans="1:9" s="71" customFormat="1" ht="16.5" hidden="1" customHeight="1" outlineLevel="1" x14ac:dyDescent="0.25">
      <c r="A1631" s="74">
        <v>3443</v>
      </c>
      <c r="B1631" s="45" t="s">
        <v>664</v>
      </c>
      <c r="C1631" s="60" t="s">
        <v>1267</v>
      </c>
      <c r="D1631" s="60"/>
      <c r="E1631" s="74">
        <v>2022</v>
      </c>
      <c r="F1631" s="74" t="s">
        <v>489</v>
      </c>
      <c r="G1631" s="61">
        <v>1</v>
      </c>
      <c r="H1631" s="45">
        <v>2</v>
      </c>
      <c r="I1631" s="74">
        <f>0.01746727*(1000)</f>
        <v>17.467269999999999</v>
      </c>
    </row>
    <row r="1632" spans="1:9" s="71" customFormat="1" ht="16.5" hidden="1" customHeight="1" outlineLevel="1" x14ac:dyDescent="0.25">
      <c r="A1632" s="74">
        <v>3444</v>
      </c>
      <c r="B1632" s="45" t="s">
        <v>664</v>
      </c>
      <c r="C1632" s="60" t="s">
        <v>1268</v>
      </c>
      <c r="D1632" s="60"/>
      <c r="E1632" s="74">
        <v>2022</v>
      </c>
      <c r="F1632" s="74" t="s">
        <v>489</v>
      </c>
      <c r="G1632" s="61">
        <v>1</v>
      </c>
      <c r="H1632" s="45">
        <v>2</v>
      </c>
      <c r="I1632" s="74">
        <f>0.01916192*(1000)</f>
        <v>19.161919999999999</v>
      </c>
    </row>
    <row r="1633" spans="1:9" s="71" customFormat="1" ht="16.5" hidden="1" customHeight="1" outlineLevel="1" x14ac:dyDescent="0.25">
      <c r="A1633" s="74">
        <v>3445</v>
      </c>
      <c r="B1633" s="45" t="s">
        <v>664</v>
      </c>
      <c r="C1633" s="60" t="s">
        <v>1269</v>
      </c>
      <c r="D1633" s="60"/>
      <c r="E1633" s="74">
        <v>2022</v>
      </c>
      <c r="F1633" s="74" t="s">
        <v>489</v>
      </c>
      <c r="G1633" s="61">
        <v>1</v>
      </c>
      <c r="H1633" s="45">
        <v>2</v>
      </c>
      <c r="I1633" s="74">
        <f>0.01746727*(1000)</f>
        <v>17.467269999999999</v>
      </c>
    </row>
    <row r="1634" spans="1:9" s="71" customFormat="1" ht="16.5" hidden="1" customHeight="1" outlineLevel="1" x14ac:dyDescent="0.25">
      <c r="A1634" s="74">
        <v>3446</v>
      </c>
      <c r="B1634" s="45" t="s">
        <v>664</v>
      </c>
      <c r="C1634" s="60" t="s">
        <v>1270</v>
      </c>
      <c r="D1634" s="60"/>
      <c r="E1634" s="74">
        <v>2022</v>
      </c>
      <c r="F1634" s="74" t="s">
        <v>489</v>
      </c>
      <c r="G1634" s="61">
        <v>1</v>
      </c>
      <c r="H1634" s="45">
        <v>2</v>
      </c>
      <c r="I1634" s="74">
        <f>0.01746727*(1000)</f>
        <v>17.467269999999999</v>
      </c>
    </row>
    <row r="1635" spans="1:9" s="71" customFormat="1" ht="16.5" hidden="1" customHeight="1" outlineLevel="1" x14ac:dyDescent="0.25">
      <c r="A1635" s="74">
        <v>3447</v>
      </c>
      <c r="B1635" s="45" t="s">
        <v>664</v>
      </c>
      <c r="C1635" s="60" t="s">
        <v>1271</v>
      </c>
      <c r="D1635" s="60"/>
      <c r="E1635" s="74">
        <v>2022</v>
      </c>
      <c r="F1635" s="74" t="s">
        <v>489</v>
      </c>
      <c r="G1635" s="61">
        <v>1</v>
      </c>
      <c r="H1635" s="45">
        <v>2</v>
      </c>
      <c r="I1635" s="74">
        <f>0.01746728*(1000)</f>
        <v>17.467280000000002</v>
      </c>
    </row>
    <row r="1636" spans="1:9" s="71" customFormat="1" ht="16.5" hidden="1" customHeight="1" outlineLevel="1" x14ac:dyDescent="0.25">
      <c r="A1636" s="74">
        <v>3448</v>
      </c>
      <c r="B1636" s="45" t="s">
        <v>664</v>
      </c>
      <c r="C1636" s="60" t="s">
        <v>1272</v>
      </c>
      <c r="D1636" s="60"/>
      <c r="E1636" s="74">
        <v>2022</v>
      </c>
      <c r="F1636" s="74" t="s">
        <v>489</v>
      </c>
      <c r="G1636" s="61">
        <v>1</v>
      </c>
      <c r="H1636" s="45">
        <v>2</v>
      </c>
      <c r="I1636" s="74">
        <f>0.01773461*(1000)</f>
        <v>17.73461</v>
      </c>
    </row>
    <row r="1637" spans="1:9" s="71" customFormat="1" ht="16.5" hidden="1" customHeight="1" outlineLevel="1" x14ac:dyDescent="0.25">
      <c r="A1637" s="74">
        <v>3449</v>
      </c>
      <c r="B1637" s="45" t="s">
        <v>664</v>
      </c>
      <c r="C1637" s="60" t="s">
        <v>1273</v>
      </c>
      <c r="D1637" s="60"/>
      <c r="E1637" s="74">
        <v>2022</v>
      </c>
      <c r="F1637" s="74" t="s">
        <v>489</v>
      </c>
      <c r="G1637" s="61">
        <v>1</v>
      </c>
      <c r="H1637" s="45">
        <v>15</v>
      </c>
      <c r="I1637" s="74">
        <f>0.01916192*(1000)</f>
        <v>19.161919999999999</v>
      </c>
    </row>
    <row r="1638" spans="1:9" s="71" customFormat="1" ht="16.5" hidden="1" customHeight="1" outlineLevel="1" x14ac:dyDescent="0.25">
      <c r="A1638" s="74">
        <v>3450</v>
      </c>
      <c r="B1638" s="45" t="s">
        <v>664</v>
      </c>
      <c r="C1638" s="60" t="s">
        <v>1274</v>
      </c>
      <c r="D1638" s="60"/>
      <c r="E1638" s="74">
        <v>2022</v>
      </c>
      <c r="F1638" s="74" t="s">
        <v>489</v>
      </c>
      <c r="G1638" s="61">
        <v>1</v>
      </c>
      <c r="H1638" s="45">
        <v>12</v>
      </c>
      <c r="I1638" s="74">
        <f>0.01916193*(1000)</f>
        <v>19.161930000000002</v>
      </c>
    </row>
    <row r="1639" spans="1:9" s="71" customFormat="1" ht="16.5" hidden="1" customHeight="1" outlineLevel="1" x14ac:dyDescent="0.25">
      <c r="A1639" s="74">
        <v>3452</v>
      </c>
      <c r="B1639" s="45" t="s">
        <v>664</v>
      </c>
      <c r="C1639" s="60" t="s">
        <v>1275</v>
      </c>
      <c r="D1639" s="60"/>
      <c r="E1639" s="74">
        <v>2022</v>
      </c>
      <c r="F1639" s="74" t="s">
        <v>489</v>
      </c>
      <c r="G1639" s="61">
        <v>1</v>
      </c>
      <c r="H1639" s="45">
        <v>15</v>
      </c>
      <c r="I1639" s="74">
        <f>0.01746728*(1000)</f>
        <v>17.467280000000002</v>
      </c>
    </row>
    <row r="1640" spans="1:9" s="71" customFormat="1" ht="16.5" hidden="1" customHeight="1" outlineLevel="1" x14ac:dyDescent="0.25">
      <c r="A1640" s="74">
        <v>3453</v>
      </c>
      <c r="B1640" s="45" t="s">
        <v>664</v>
      </c>
      <c r="C1640" s="60" t="s">
        <v>1276</v>
      </c>
      <c r="D1640" s="60"/>
      <c r="E1640" s="74">
        <v>2022</v>
      </c>
      <c r="F1640" s="74" t="s">
        <v>489</v>
      </c>
      <c r="G1640" s="61">
        <v>1</v>
      </c>
      <c r="H1640" s="45">
        <v>12</v>
      </c>
      <c r="I1640" s="74">
        <f>0.01746727*(1000)</f>
        <v>17.467269999999999</v>
      </c>
    </row>
    <row r="1641" spans="1:9" s="71" customFormat="1" ht="16.5" hidden="1" customHeight="1" outlineLevel="1" x14ac:dyDescent="0.25">
      <c r="A1641" s="74">
        <v>3454</v>
      </c>
      <c r="B1641" s="45" t="s">
        <v>664</v>
      </c>
      <c r="C1641" s="60" t="s">
        <v>1277</v>
      </c>
      <c r="D1641" s="60"/>
      <c r="E1641" s="74">
        <v>2022</v>
      </c>
      <c r="F1641" s="74" t="s">
        <v>489</v>
      </c>
      <c r="G1641" s="61">
        <v>1</v>
      </c>
      <c r="H1641" s="45">
        <v>12</v>
      </c>
      <c r="I1641" s="74">
        <f>0.01746728*(1000)</f>
        <v>17.467280000000002</v>
      </c>
    </row>
    <row r="1642" spans="1:9" s="71" customFormat="1" ht="16.5" hidden="1" customHeight="1" outlineLevel="1" x14ac:dyDescent="0.25">
      <c r="A1642" s="74">
        <v>3456</v>
      </c>
      <c r="B1642" s="45" t="s">
        <v>664</v>
      </c>
      <c r="C1642" s="60" t="s">
        <v>1278</v>
      </c>
      <c r="D1642" s="60"/>
      <c r="E1642" s="74">
        <v>2022</v>
      </c>
      <c r="F1642" s="74" t="s">
        <v>489</v>
      </c>
      <c r="G1642" s="61">
        <v>1</v>
      </c>
      <c r="H1642" s="45">
        <v>15</v>
      </c>
      <c r="I1642" s="74">
        <f>0.03668009*(1000)</f>
        <v>36.68009</v>
      </c>
    </row>
    <row r="1643" spans="1:9" s="71" customFormat="1" ht="16.5" hidden="1" customHeight="1" outlineLevel="1" x14ac:dyDescent="0.25">
      <c r="A1643" s="74">
        <v>3457</v>
      </c>
      <c r="B1643" s="45" t="s">
        <v>664</v>
      </c>
      <c r="C1643" s="60" t="s">
        <v>1279</v>
      </c>
      <c r="D1643" s="60"/>
      <c r="E1643" s="74">
        <v>2022</v>
      </c>
      <c r="F1643" s="74" t="s">
        <v>489</v>
      </c>
      <c r="G1643" s="61">
        <v>1</v>
      </c>
      <c r="H1643" s="45">
        <v>15</v>
      </c>
      <c r="I1643" s="74">
        <f>0.01746727*(1000)</f>
        <v>17.467269999999999</v>
      </c>
    </row>
    <row r="1644" spans="1:9" s="71" customFormat="1" ht="16.5" hidden="1" customHeight="1" outlineLevel="1" x14ac:dyDescent="0.25">
      <c r="A1644" s="74">
        <v>3458</v>
      </c>
      <c r="B1644" s="45" t="s">
        <v>664</v>
      </c>
      <c r="C1644" s="60" t="s">
        <v>1280</v>
      </c>
      <c r="D1644" s="60"/>
      <c r="E1644" s="74">
        <v>2022</v>
      </c>
      <c r="F1644" s="74" t="s">
        <v>489</v>
      </c>
      <c r="G1644" s="61">
        <v>1</v>
      </c>
      <c r="H1644" s="45">
        <v>10</v>
      </c>
      <c r="I1644" s="74">
        <f>0.01746728*(1000)</f>
        <v>17.467280000000002</v>
      </c>
    </row>
    <row r="1645" spans="1:9" s="71" customFormat="1" ht="16.5" hidden="1" customHeight="1" outlineLevel="1" x14ac:dyDescent="0.25">
      <c r="A1645" s="74">
        <v>3459</v>
      </c>
      <c r="B1645" s="45" t="s">
        <v>664</v>
      </c>
      <c r="C1645" s="60" t="s">
        <v>1281</v>
      </c>
      <c r="D1645" s="60"/>
      <c r="E1645" s="74">
        <v>2022</v>
      </c>
      <c r="F1645" s="74" t="s">
        <v>489</v>
      </c>
      <c r="G1645" s="61">
        <v>1</v>
      </c>
      <c r="H1645" s="45">
        <v>15</v>
      </c>
      <c r="I1645" s="74">
        <f>0.01746727*(1000)</f>
        <v>17.467269999999999</v>
      </c>
    </row>
    <row r="1646" spans="1:9" s="71" customFormat="1" ht="16.5" hidden="1" customHeight="1" outlineLevel="1" x14ac:dyDescent="0.25">
      <c r="A1646" s="74">
        <v>3460</v>
      </c>
      <c r="B1646" s="45" t="s">
        <v>664</v>
      </c>
      <c r="C1646" s="60" t="s">
        <v>1282</v>
      </c>
      <c r="D1646" s="60"/>
      <c r="E1646" s="74">
        <v>2022</v>
      </c>
      <c r="F1646" s="74" t="s">
        <v>489</v>
      </c>
      <c r="G1646" s="61">
        <v>1</v>
      </c>
      <c r="H1646" s="45">
        <v>13</v>
      </c>
      <c r="I1646" s="74">
        <f>0.01746728*(1000)</f>
        <v>17.467280000000002</v>
      </c>
    </row>
    <row r="1647" spans="1:9" s="71" customFormat="1" ht="16.5" hidden="1" customHeight="1" outlineLevel="1" x14ac:dyDescent="0.25">
      <c r="A1647" s="74">
        <v>3462</v>
      </c>
      <c r="B1647" s="45" t="s">
        <v>664</v>
      </c>
      <c r="C1647" s="60" t="s">
        <v>1283</v>
      </c>
      <c r="D1647" s="60"/>
      <c r="E1647" s="74">
        <v>2022</v>
      </c>
      <c r="F1647" s="74" t="s">
        <v>489</v>
      </c>
      <c r="G1647" s="61">
        <v>1</v>
      </c>
      <c r="H1647" s="45">
        <v>2</v>
      </c>
      <c r="I1647" s="74">
        <f>0.01860572*(1000)</f>
        <v>18.605719999999998</v>
      </c>
    </row>
    <row r="1648" spans="1:9" s="71" customFormat="1" ht="16.5" hidden="1" customHeight="1" outlineLevel="1" x14ac:dyDescent="0.25">
      <c r="A1648" s="74">
        <v>3463</v>
      </c>
      <c r="B1648" s="45" t="s">
        <v>664</v>
      </c>
      <c r="C1648" s="60" t="s">
        <v>1284</v>
      </c>
      <c r="D1648" s="60"/>
      <c r="E1648" s="74">
        <v>2022</v>
      </c>
      <c r="F1648" s="74" t="s">
        <v>489</v>
      </c>
      <c r="G1648" s="61">
        <v>1</v>
      </c>
      <c r="H1648" s="45">
        <v>2.4</v>
      </c>
      <c r="I1648" s="74">
        <f t="shared" ref="I1648:I1659" si="1">0.01746728*(1000)</f>
        <v>17.467280000000002</v>
      </c>
    </row>
    <row r="1649" spans="1:9" s="71" customFormat="1" ht="16.5" hidden="1" customHeight="1" outlineLevel="1" x14ac:dyDescent="0.25">
      <c r="A1649" s="74">
        <v>3464</v>
      </c>
      <c r="B1649" s="45" t="s">
        <v>664</v>
      </c>
      <c r="C1649" s="60" t="s">
        <v>1285</v>
      </c>
      <c r="D1649" s="60"/>
      <c r="E1649" s="74">
        <v>2022</v>
      </c>
      <c r="F1649" s="74" t="s">
        <v>489</v>
      </c>
      <c r="G1649" s="61">
        <v>1</v>
      </c>
      <c r="H1649" s="45">
        <v>2</v>
      </c>
      <c r="I1649" s="74">
        <f t="shared" si="1"/>
        <v>17.467280000000002</v>
      </c>
    </row>
    <row r="1650" spans="1:9" s="71" customFormat="1" ht="16.5" hidden="1" customHeight="1" outlineLevel="1" x14ac:dyDescent="0.25">
      <c r="A1650" s="74">
        <v>3465</v>
      </c>
      <c r="B1650" s="45" t="s">
        <v>664</v>
      </c>
      <c r="C1650" s="60" t="s">
        <v>1286</v>
      </c>
      <c r="D1650" s="60"/>
      <c r="E1650" s="74">
        <v>2022</v>
      </c>
      <c r="F1650" s="74" t="s">
        <v>489</v>
      </c>
      <c r="G1650" s="61">
        <v>1</v>
      </c>
      <c r="H1650" s="45">
        <v>2.7</v>
      </c>
      <c r="I1650" s="74">
        <f t="shared" si="1"/>
        <v>17.467280000000002</v>
      </c>
    </row>
    <row r="1651" spans="1:9" s="71" customFormat="1" ht="16.5" hidden="1" customHeight="1" outlineLevel="1" x14ac:dyDescent="0.25">
      <c r="A1651" s="74">
        <v>3466</v>
      </c>
      <c r="B1651" s="45" t="s">
        <v>664</v>
      </c>
      <c r="C1651" s="60" t="s">
        <v>1287</v>
      </c>
      <c r="D1651" s="60"/>
      <c r="E1651" s="74">
        <v>2022</v>
      </c>
      <c r="F1651" s="74" t="s">
        <v>489</v>
      </c>
      <c r="G1651" s="61">
        <v>1</v>
      </c>
      <c r="H1651" s="45">
        <v>2</v>
      </c>
      <c r="I1651" s="74">
        <f t="shared" si="1"/>
        <v>17.467280000000002</v>
      </c>
    </row>
    <row r="1652" spans="1:9" s="71" customFormat="1" ht="16.5" hidden="1" customHeight="1" outlineLevel="1" x14ac:dyDescent="0.25">
      <c r="A1652" s="74">
        <v>3467</v>
      </c>
      <c r="B1652" s="45" t="s">
        <v>664</v>
      </c>
      <c r="C1652" s="60" t="s">
        <v>1288</v>
      </c>
      <c r="D1652" s="60"/>
      <c r="E1652" s="74">
        <v>2022</v>
      </c>
      <c r="F1652" s="74" t="s">
        <v>489</v>
      </c>
      <c r="G1652" s="61">
        <v>1</v>
      </c>
      <c r="H1652" s="45">
        <v>2</v>
      </c>
      <c r="I1652" s="74">
        <f t="shared" si="1"/>
        <v>17.467280000000002</v>
      </c>
    </row>
    <row r="1653" spans="1:9" s="71" customFormat="1" ht="16.5" hidden="1" customHeight="1" outlineLevel="1" x14ac:dyDescent="0.25">
      <c r="A1653" s="74">
        <v>3468</v>
      </c>
      <c r="B1653" s="45" t="s">
        <v>664</v>
      </c>
      <c r="C1653" s="60" t="s">
        <v>1289</v>
      </c>
      <c r="D1653" s="60"/>
      <c r="E1653" s="74">
        <v>2022</v>
      </c>
      <c r="F1653" s="74" t="s">
        <v>489</v>
      </c>
      <c r="G1653" s="61">
        <v>1</v>
      </c>
      <c r="H1653" s="45">
        <v>2</v>
      </c>
      <c r="I1653" s="74">
        <f t="shared" si="1"/>
        <v>17.467280000000002</v>
      </c>
    </row>
    <row r="1654" spans="1:9" s="71" customFormat="1" ht="16.5" hidden="1" customHeight="1" outlineLevel="1" x14ac:dyDescent="0.25">
      <c r="A1654" s="74">
        <v>3469</v>
      </c>
      <c r="B1654" s="45" t="s">
        <v>664</v>
      </c>
      <c r="C1654" s="60" t="s">
        <v>1290</v>
      </c>
      <c r="D1654" s="60"/>
      <c r="E1654" s="74">
        <v>2022</v>
      </c>
      <c r="F1654" s="74" t="s">
        <v>489</v>
      </c>
      <c r="G1654" s="61">
        <v>1</v>
      </c>
      <c r="H1654" s="45">
        <v>2</v>
      </c>
      <c r="I1654" s="74">
        <f t="shared" si="1"/>
        <v>17.467280000000002</v>
      </c>
    </row>
    <row r="1655" spans="1:9" s="71" customFormat="1" ht="16.5" hidden="1" customHeight="1" outlineLevel="1" x14ac:dyDescent="0.25">
      <c r="A1655" s="74">
        <v>3470</v>
      </c>
      <c r="B1655" s="45" t="s">
        <v>664</v>
      </c>
      <c r="C1655" s="60" t="s">
        <v>1291</v>
      </c>
      <c r="D1655" s="60"/>
      <c r="E1655" s="74">
        <v>2022</v>
      </c>
      <c r="F1655" s="74" t="s">
        <v>489</v>
      </c>
      <c r="G1655" s="61">
        <v>1</v>
      </c>
      <c r="H1655" s="45">
        <v>2.8</v>
      </c>
      <c r="I1655" s="74">
        <f t="shared" si="1"/>
        <v>17.467280000000002</v>
      </c>
    </row>
    <row r="1656" spans="1:9" s="71" customFormat="1" ht="16.5" hidden="1" customHeight="1" outlineLevel="1" x14ac:dyDescent="0.25">
      <c r="A1656" s="74">
        <v>3471</v>
      </c>
      <c r="B1656" s="45" t="s">
        <v>664</v>
      </c>
      <c r="C1656" s="60" t="s">
        <v>1292</v>
      </c>
      <c r="D1656" s="60"/>
      <c r="E1656" s="74">
        <v>2022</v>
      </c>
      <c r="F1656" s="74" t="s">
        <v>489</v>
      </c>
      <c r="G1656" s="61">
        <v>1</v>
      </c>
      <c r="H1656" s="45">
        <v>2.7</v>
      </c>
      <c r="I1656" s="74">
        <f t="shared" si="1"/>
        <v>17.467280000000002</v>
      </c>
    </row>
    <row r="1657" spans="1:9" s="71" customFormat="1" ht="16.5" hidden="1" customHeight="1" outlineLevel="1" x14ac:dyDescent="0.25">
      <c r="A1657" s="74">
        <v>3472</v>
      </c>
      <c r="B1657" s="45" t="s">
        <v>664</v>
      </c>
      <c r="C1657" s="60" t="s">
        <v>1293</v>
      </c>
      <c r="D1657" s="60"/>
      <c r="E1657" s="74">
        <v>2022</v>
      </c>
      <c r="F1657" s="74" t="s">
        <v>489</v>
      </c>
      <c r="G1657" s="61">
        <v>1</v>
      </c>
      <c r="H1657" s="45">
        <v>6</v>
      </c>
      <c r="I1657" s="74">
        <f t="shared" si="1"/>
        <v>17.467280000000002</v>
      </c>
    </row>
    <row r="1658" spans="1:9" s="71" customFormat="1" ht="16.5" hidden="1" customHeight="1" outlineLevel="1" x14ac:dyDescent="0.25">
      <c r="A1658" s="74">
        <v>3473</v>
      </c>
      <c r="B1658" s="45" t="s">
        <v>664</v>
      </c>
      <c r="C1658" s="60" t="s">
        <v>1294</v>
      </c>
      <c r="D1658" s="60"/>
      <c r="E1658" s="74">
        <v>2022</v>
      </c>
      <c r="F1658" s="74" t="s">
        <v>489</v>
      </c>
      <c r="G1658" s="61">
        <v>1</v>
      </c>
      <c r="H1658" s="45">
        <v>15</v>
      </c>
      <c r="I1658" s="74">
        <f t="shared" si="1"/>
        <v>17.467280000000002</v>
      </c>
    </row>
    <row r="1659" spans="1:9" s="71" customFormat="1" ht="16.5" hidden="1" customHeight="1" outlineLevel="1" x14ac:dyDescent="0.25">
      <c r="A1659" s="74">
        <v>3476</v>
      </c>
      <c r="B1659" s="45" t="s">
        <v>664</v>
      </c>
      <c r="C1659" s="60" t="s">
        <v>1295</v>
      </c>
      <c r="D1659" s="60"/>
      <c r="E1659" s="74">
        <v>2022</v>
      </c>
      <c r="F1659" s="74" t="s">
        <v>489</v>
      </c>
      <c r="G1659" s="61">
        <v>1</v>
      </c>
      <c r="H1659" s="45">
        <v>15</v>
      </c>
      <c r="I1659" s="74">
        <f t="shared" si="1"/>
        <v>17.467280000000002</v>
      </c>
    </row>
    <row r="1660" spans="1:9" s="71" customFormat="1" ht="16.5" hidden="1" customHeight="1" outlineLevel="1" x14ac:dyDescent="0.25">
      <c r="A1660" s="74">
        <v>3477</v>
      </c>
      <c r="B1660" s="45" t="s">
        <v>664</v>
      </c>
      <c r="C1660" s="60" t="s">
        <v>1296</v>
      </c>
      <c r="D1660" s="60"/>
      <c r="E1660" s="74">
        <v>2022</v>
      </c>
      <c r="F1660" s="74" t="s">
        <v>489</v>
      </c>
      <c r="G1660" s="61">
        <v>1</v>
      </c>
      <c r="H1660" s="45">
        <v>12</v>
      </c>
      <c r="I1660" s="74">
        <f>0.01746729*(1000)</f>
        <v>17.467289999999998</v>
      </c>
    </row>
    <row r="1661" spans="1:9" s="71" customFormat="1" ht="16.5" hidden="1" customHeight="1" outlineLevel="1" x14ac:dyDescent="0.25">
      <c r="A1661" s="74">
        <v>3481</v>
      </c>
      <c r="B1661" s="45" t="s">
        <v>664</v>
      </c>
      <c r="C1661" s="60" t="s">
        <v>1297</v>
      </c>
      <c r="D1661" s="60"/>
      <c r="E1661" s="74">
        <v>2022</v>
      </c>
      <c r="F1661" s="74" t="s">
        <v>489</v>
      </c>
      <c r="G1661" s="61">
        <v>1</v>
      </c>
      <c r="H1661" s="45">
        <v>15</v>
      </c>
      <c r="I1661" s="74">
        <f>0.01747233*(1000)</f>
        <v>17.472329999999999</v>
      </c>
    </row>
    <row r="1662" spans="1:9" s="71" customFormat="1" ht="16.5" hidden="1" customHeight="1" outlineLevel="1" x14ac:dyDescent="0.25">
      <c r="A1662" s="74">
        <v>3483</v>
      </c>
      <c r="B1662" s="45" t="s">
        <v>664</v>
      </c>
      <c r="C1662" s="60" t="s">
        <v>1298</v>
      </c>
      <c r="D1662" s="60"/>
      <c r="E1662" s="74">
        <v>2022</v>
      </c>
      <c r="F1662" s="74" t="s">
        <v>489</v>
      </c>
      <c r="G1662" s="61">
        <v>1</v>
      </c>
      <c r="H1662" s="45">
        <v>12</v>
      </c>
      <c r="I1662" s="74">
        <f>0.01739478*(1000)</f>
        <v>17.394779999999997</v>
      </c>
    </row>
    <row r="1663" spans="1:9" s="71" customFormat="1" ht="16.5" hidden="1" customHeight="1" outlineLevel="1" x14ac:dyDescent="0.25">
      <c r="A1663" s="74">
        <v>3485</v>
      </c>
      <c r="B1663" s="45" t="s">
        <v>664</v>
      </c>
      <c r="C1663" s="60" t="s">
        <v>1299</v>
      </c>
      <c r="D1663" s="60"/>
      <c r="E1663" s="74">
        <v>2022</v>
      </c>
      <c r="F1663" s="74" t="s">
        <v>489</v>
      </c>
      <c r="G1663" s="61">
        <v>1</v>
      </c>
      <c r="H1663" s="45">
        <v>12</v>
      </c>
      <c r="I1663" s="74">
        <f>0.01747234*(1000)</f>
        <v>17.472339999999999</v>
      </c>
    </row>
    <row r="1664" spans="1:9" s="71" customFormat="1" ht="16.5" hidden="1" customHeight="1" outlineLevel="1" x14ac:dyDescent="0.25">
      <c r="A1664" s="74">
        <v>3488</v>
      </c>
      <c r="B1664" s="45" t="s">
        <v>664</v>
      </c>
      <c r="C1664" s="60" t="s">
        <v>1300</v>
      </c>
      <c r="D1664" s="60"/>
      <c r="E1664" s="74">
        <v>2022</v>
      </c>
      <c r="F1664" s="74" t="s">
        <v>489</v>
      </c>
      <c r="G1664" s="61">
        <v>1</v>
      </c>
      <c r="H1664" s="45">
        <v>14</v>
      </c>
      <c r="I1664" s="74">
        <f>0.01747233*(1000)</f>
        <v>17.472329999999999</v>
      </c>
    </row>
    <row r="1665" spans="1:9" s="71" customFormat="1" ht="16.5" hidden="1" customHeight="1" outlineLevel="1" x14ac:dyDescent="0.25">
      <c r="A1665" s="74">
        <v>3489</v>
      </c>
      <c r="B1665" s="45" t="s">
        <v>664</v>
      </c>
      <c r="C1665" s="60" t="s">
        <v>1301</v>
      </c>
      <c r="D1665" s="60"/>
      <c r="E1665" s="74">
        <v>2022</v>
      </c>
      <c r="F1665" s="74" t="s">
        <v>489</v>
      </c>
      <c r="G1665" s="61">
        <v>1</v>
      </c>
      <c r="H1665" s="45">
        <v>112</v>
      </c>
      <c r="I1665" s="74">
        <f>0.02621273*(1000)</f>
        <v>26.212730000000001</v>
      </c>
    </row>
    <row r="1666" spans="1:9" s="71" customFormat="1" ht="16.5" hidden="1" customHeight="1" outlineLevel="1" x14ac:dyDescent="0.25">
      <c r="A1666" s="74">
        <v>3490</v>
      </c>
      <c r="B1666" s="45" t="s">
        <v>664</v>
      </c>
      <c r="C1666" s="60" t="s">
        <v>1302</v>
      </c>
      <c r="D1666" s="60"/>
      <c r="E1666" s="74">
        <v>2022</v>
      </c>
      <c r="F1666" s="74" t="s">
        <v>489</v>
      </c>
      <c r="G1666" s="61">
        <v>1</v>
      </c>
      <c r="H1666" s="45">
        <v>15</v>
      </c>
      <c r="I1666" s="74">
        <f>0.01747233*(1000)</f>
        <v>17.472329999999999</v>
      </c>
    </row>
    <row r="1667" spans="1:9" s="71" customFormat="1" ht="16.5" hidden="1" customHeight="1" outlineLevel="1" x14ac:dyDescent="0.25">
      <c r="A1667" s="74">
        <v>3494</v>
      </c>
      <c r="B1667" s="45" t="s">
        <v>664</v>
      </c>
      <c r="C1667" s="60" t="s">
        <v>1303</v>
      </c>
      <c r="D1667" s="60"/>
      <c r="E1667" s="74">
        <v>2022</v>
      </c>
      <c r="F1667" s="74" t="s">
        <v>489</v>
      </c>
      <c r="G1667" s="61">
        <v>1</v>
      </c>
      <c r="H1667" s="45">
        <v>11</v>
      </c>
      <c r="I1667" s="74">
        <f>0.01747232*(1000)</f>
        <v>17.47232</v>
      </c>
    </row>
    <row r="1668" spans="1:9" s="71" customFormat="1" ht="16.5" hidden="1" customHeight="1" outlineLevel="1" x14ac:dyDescent="0.25">
      <c r="A1668" s="74">
        <v>3495</v>
      </c>
      <c r="B1668" s="45" t="s">
        <v>664</v>
      </c>
      <c r="C1668" s="60" t="s">
        <v>1304</v>
      </c>
      <c r="D1668" s="60"/>
      <c r="E1668" s="74">
        <v>2022</v>
      </c>
      <c r="F1668" s="74" t="s">
        <v>489</v>
      </c>
      <c r="G1668" s="61">
        <v>1</v>
      </c>
      <c r="H1668" s="45">
        <v>7</v>
      </c>
      <c r="I1668" s="74">
        <f>0.01747234*(1000)</f>
        <v>17.472339999999999</v>
      </c>
    </row>
    <row r="1669" spans="1:9" s="71" customFormat="1" ht="16.5" hidden="1" customHeight="1" outlineLevel="1" x14ac:dyDescent="0.25">
      <c r="A1669" s="74">
        <v>3496</v>
      </c>
      <c r="B1669" s="45" t="s">
        <v>664</v>
      </c>
      <c r="C1669" s="60" t="s">
        <v>1305</v>
      </c>
      <c r="D1669" s="60"/>
      <c r="E1669" s="74">
        <v>2022</v>
      </c>
      <c r="F1669" s="74" t="s">
        <v>489</v>
      </c>
      <c r="G1669" s="61">
        <v>1</v>
      </c>
      <c r="H1669" s="45">
        <v>12</v>
      </c>
      <c r="I1669" s="74">
        <f>0.01747232*(1000)</f>
        <v>17.47232</v>
      </c>
    </row>
    <row r="1670" spans="1:9" s="71" customFormat="1" ht="16.5" hidden="1" customHeight="1" outlineLevel="1" x14ac:dyDescent="0.25">
      <c r="A1670" s="74">
        <v>3497</v>
      </c>
      <c r="B1670" s="45" t="s">
        <v>664</v>
      </c>
      <c r="C1670" s="60" t="s">
        <v>1306</v>
      </c>
      <c r="D1670" s="60"/>
      <c r="E1670" s="74">
        <v>2022</v>
      </c>
      <c r="F1670" s="74" t="s">
        <v>489</v>
      </c>
      <c r="G1670" s="61">
        <v>1</v>
      </c>
      <c r="H1670" s="45">
        <v>10</v>
      </c>
      <c r="I1670" s="74">
        <f>0.01747234*(1000)</f>
        <v>17.472339999999999</v>
      </c>
    </row>
    <row r="1671" spans="1:9" s="71" customFormat="1" ht="16.5" hidden="1" customHeight="1" outlineLevel="1" x14ac:dyDescent="0.25">
      <c r="A1671" s="74">
        <v>3498</v>
      </c>
      <c r="B1671" s="45" t="s">
        <v>664</v>
      </c>
      <c r="C1671" s="60" t="s">
        <v>1307</v>
      </c>
      <c r="D1671" s="60"/>
      <c r="E1671" s="74">
        <v>2022</v>
      </c>
      <c r="F1671" s="74" t="s">
        <v>489</v>
      </c>
      <c r="G1671" s="61">
        <v>1</v>
      </c>
      <c r="H1671" s="45">
        <v>15</v>
      </c>
      <c r="I1671" s="74">
        <f>0.01747232*(1000)</f>
        <v>17.47232</v>
      </c>
    </row>
    <row r="1672" spans="1:9" s="71" customFormat="1" ht="16.5" hidden="1" customHeight="1" outlineLevel="1" x14ac:dyDescent="0.25">
      <c r="A1672" s="74">
        <v>3503</v>
      </c>
      <c r="B1672" s="45" t="s">
        <v>664</v>
      </c>
      <c r="C1672" s="60" t="s">
        <v>1308</v>
      </c>
      <c r="D1672" s="60"/>
      <c r="E1672" s="74">
        <v>2022</v>
      </c>
      <c r="F1672" s="74" t="s">
        <v>489</v>
      </c>
      <c r="G1672" s="61">
        <v>1</v>
      </c>
      <c r="H1672" s="45">
        <v>15</v>
      </c>
      <c r="I1672" s="74">
        <f>0.01747234*(1000)</f>
        <v>17.472339999999999</v>
      </c>
    </row>
    <row r="1673" spans="1:9" s="71" customFormat="1" ht="16.5" hidden="1" customHeight="1" outlineLevel="1" x14ac:dyDescent="0.25">
      <c r="A1673" s="74">
        <v>3504</v>
      </c>
      <c r="B1673" s="45" t="s">
        <v>664</v>
      </c>
      <c r="C1673" s="60" t="s">
        <v>1309</v>
      </c>
      <c r="D1673" s="60"/>
      <c r="E1673" s="74">
        <v>2022</v>
      </c>
      <c r="F1673" s="74" t="s">
        <v>489</v>
      </c>
      <c r="G1673" s="61">
        <v>1</v>
      </c>
      <c r="H1673" s="45">
        <v>10</v>
      </c>
      <c r="I1673" s="74">
        <f>0.01747233*(1000)</f>
        <v>17.472329999999999</v>
      </c>
    </row>
    <row r="1674" spans="1:9" s="71" customFormat="1" ht="16.5" hidden="1" customHeight="1" outlineLevel="1" x14ac:dyDescent="0.25">
      <c r="A1674" s="74">
        <v>3505</v>
      </c>
      <c r="B1674" s="45" t="s">
        <v>664</v>
      </c>
      <c r="C1674" s="60" t="s">
        <v>1310</v>
      </c>
      <c r="D1674" s="60"/>
      <c r="E1674" s="74">
        <v>2022</v>
      </c>
      <c r="F1674" s="74" t="s">
        <v>489</v>
      </c>
      <c r="G1674" s="61">
        <v>1</v>
      </c>
      <c r="H1674" s="45">
        <v>10</v>
      </c>
      <c r="I1674" s="74">
        <f>0.01747234*(1000)</f>
        <v>17.472339999999999</v>
      </c>
    </row>
    <row r="1675" spans="1:9" s="71" customFormat="1" ht="16.5" hidden="1" customHeight="1" outlineLevel="1" x14ac:dyDescent="0.25">
      <c r="A1675" s="74">
        <v>3506</v>
      </c>
      <c r="B1675" s="45" t="s">
        <v>664</v>
      </c>
      <c r="C1675" s="60" t="s">
        <v>1311</v>
      </c>
      <c r="D1675" s="60"/>
      <c r="E1675" s="74">
        <v>2022</v>
      </c>
      <c r="F1675" s="74" t="s">
        <v>489</v>
      </c>
      <c r="G1675" s="61">
        <v>1</v>
      </c>
      <c r="H1675" s="45">
        <v>14.5</v>
      </c>
      <c r="I1675" s="74">
        <f>0.01747232*(1000)</f>
        <v>17.47232</v>
      </c>
    </row>
    <row r="1676" spans="1:9" s="71" customFormat="1" ht="16.5" hidden="1" customHeight="1" outlineLevel="1" x14ac:dyDescent="0.25">
      <c r="A1676" s="74">
        <v>3508</v>
      </c>
      <c r="B1676" s="45" t="s">
        <v>664</v>
      </c>
      <c r="C1676" s="60" t="s">
        <v>1312</v>
      </c>
      <c r="D1676" s="60"/>
      <c r="E1676" s="74">
        <v>2022</v>
      </c>
      <c r="F1676" s="74" t="s">
        <v>489</v>
      </c>
      <c r="G1676" s="61">
        <v>1</v>
      </c>
      <c r="H1676" s="45">
        <v>15</v>
      </c>
      <c r="I1676" s="74">
        <f>0.01747232*(1000)</f>
        <v>17.47232</v>
      </c>
    </row>
    <row r="1677" spans="1:9" s="71" customFormat="1" ht="16.5" hidden="1" customHeight="1" outlineLevel="1" x14ac:dyDescent="0.25">
      <c r="A1677" s="74">
        <v>3510</v>
      </c>
      <c r="B1677" s="45" t="s">
        <v>664</v>
      </c>
      <c r="C1677" s="60" t="s">
        <v>1313</v>
      </c>
      <c r="D1677" s="60"/>
      <c r="E1677" s="74">
        <v>2022</v>
      </c>
      <c r="F1677" s="74" t="s">
        <v>489</v>
      </c>
      <c r="G1677" s="61">
        <v>1</v>
      </c>
      <c r="H1677" s="45">
        <v>15</v>
      </c>
      <c r="I1677" s="74">
        <f>0.01747232*(1000)</f>
        <v>17.47232</v>
      </c>
    </row>
    <row r="1678" spans="1:9" s="71" customFormat="1" ht="16.5" hidden="1" customHeight="1" outlineLevel="1" x14ac:dyDescent="0.25">
      <c r="A1678" s="74">
        <v>3512</v>
      </c>
      <c r="B1678" s="45" t="s">
        <v>664</v>
      </c>
      <c r="C1678" s="60" t="s">
        <v>1314</v>
      </c>
      <c r="D1678" s="60"/>
      <c r="E1678" s="74">
        <v>2022</v>
      </c>
      <c r="F1678" s="74" t="s">
        <v>489</v>
      </c>
      <c r="G1678" s="61">
        <v>1</v>
      </c>
      <c r="H1678" s="45">
        <v>12</v>
      </c>
      <c r="I1678" s="74">
        <f>0.01747233*(1000)</f>
        <v>17.472329999999999</v>
      </c>
    </row>
    <row r="1679" spans="1:9" s="71" customFormat="1" ht="16.5" hidden="1" customHeight="1" outlineLevel="1" x14ac:dyDescent="0.25">
      <c r="A1679" s="74">
        <v>3513</v>
      </c>
      <c r="B1679" s="45" t="s">
        <v>664</v>
      </c>
      <c r="C1679" s="60" t="s">
        <v>1315</v>
      </c>
      <c r="D1679" s="60"/>
      <c r="E1679" s="74">
        <v>2022</v>
      </c>
      <c r="F1679" s="74" t="s">
        <v>489</v>
      </c>
      <c r="G1679" s="61">
        <v>1</v>
      </c>
      <c r="H1679" s="45">
        <v>6.6</v>
      </c>
      <c r="I1679" s="74">
        <f>0.01190236*(1000)</f>
        <v>11.902360000000002</v>
      </c>
    </row>
    <row r="1680" spans="1:9" s="71" customFormat="1" ht="16.5" hidden="1" customHeight="1" outlineLevel="1" x14ac:dyDescent="0.25">
      <c r="A1680" s="74">
        <v>3514</v>
      </c>
      <c r="B1680" s="45" t="s">
        <v>664</v>
      </c>
      <c r="C1680" s="60" t="s">
        <v>1316</v>
      </c>
      <c r="D1680" s="60"/>
      <c r="E1680" s="74">
        <v>2022</v>
      </c>
      <c r="F1680" s="74" t="s">
        <v>489</v>
      </c>
      <c r="G1680" s="61">
        <v>1</v>
      </c>
      <c r="H1680" s="45">
        <v>3.5</v>
      </c>
      <c r="I1680" s="74">
        <f>0.01747231*(1000)</f>
        <v>17.47231</v>
      </c>
    </row>
    <row r="1681" spans="1:9" s="71" customFormat="1" ht="16.5" hidden="1" customHeight="1" outlineLevel="1" x14ac:dyDescent="0.25">
      <c r="A1681" s="74">
        <v>3517</v>
      </c>
      <c r="B1681" s="45" t="s">
        <v>664</v>
      </c>
      <c r="C1681" s="60" t="s">
        <v>1317</v>
      </c>
      <c r="D1681" s="60"/>
      <c r="E1681" s="74">
        <v>2022</v>
      </c>
      <c r="F1681" s="74" t="s">
        <v>489</v>
      </c>
      <c r="G1681" s="61">
        <v>1</v>
      </c>
      <c r="H1681" s="45">
        <v>7</v>
      </c>
      <c r="I1681" s="74">
        <f>0.01747235*(1000)</f>
        <v>17.472350000000002</v>
      </c>
    </row>
    <row r="1682" spans="1:9" s="71" customFormat="1" ht="16.5" hidden="1" customHeight="1" outlineLevel="1" x14ac:dyDescent="0.25">
      <c r="A1682" s="74">
        <v>3518</v>
      </c>
      <c r="B1682" s="45" t="s">
        <v>664</v>
      </c>
      <c r="C1682" s="60" t="s">
        <v>1318</v>
      </c>
      <c r="D1682" s="60"/>
      <c r="E1682" s="74">
        <v>2022</v>
      </c>
      <c r="F1682" s="74" t="s">
        <v>489</v>
      </c>
      <c r="G1682" s="61">
        <v>1</v>
      </c>
      <c r="H1682" s="45">
        <v>2</v>
      </c>
      <c r="I1682" s="74">
        <f>0.01747231*(1000)</f>
        <v>17.47231</v>
      </c>
    </row>
    <row r="1683" spans="1:9" s="71" customFormat="1" ht="16.5" hidden="1" customHeight="1" outlineLevel="1" x14ac:dyDescent="0.25">
      <c r="A1683" s="74">
        <v>3519</v>
      </c>
      <c r="B1683" s="45" t="s">
        <v>664</v>
      </c>
      <c r="C1683" s="60" t="s">
        <v>1319</v>
      </c>
      <c r="D1683" s="60"/>
      <c r="E1683" s="74">
        <v>2022</v>
      </c>
      <c r="F1683" s="74" t="s">
        <v>489</v>
      </c>
      <c r="G1683" s="61">
        <v>1</v>
      </c>
      <c r="H1683" s="45">
        <v>2</v>
      </c>
      <c r="I1683" s="74">
        <f>0.01747234*(1000)</f>
        <v>17.472339999999999</v>
      </c>
    </row>
    <row r="1684" spans="1:9" s="71" customFormat="1" ht="16.5" hidden="1" customHeight="1" outlineLevel="1" x14ac:dyDescent="0.25">
      <c r="A1684" s="74">
        <v>3523</v>
      </c>
      <c r="B1684" s="45" t="s">
        <v>664</v>
      </c>
      <c r="C1684" s="60" t="s">
        <v>1320</v>
      </c>
      <c r="D1684" s="60"/>
      <c r="E1684" s="74">
        <v>2022</v>
      </c>
      <c r="F1684" s="74" t="s">
        <v>489</v>
      </c>
      <c r="G1684" s="61">
        <v>1</v>
      </c>
      <c r="H1684" s="45">
        <v>15</v>
      </c>
      <c r="I1684" s="74">
        <f>0.01747235*(1000)</f>
        <v>17.472350000000002</v>
      </c>
    </row>
    <row r="1685" spans="1:9" s="71" customFormat="1" ht="16.5" hidden="1" customHeight="1" outlineLevel="1" x14ac:dyDescent="0.25">
      <c r="A1685" s="74">
        <v>3524</v>
      </c>
      <c r="B1685" s="45" t="s">
        <v>664</v>
      </c>
      <c r="C1685" s="60" t="s">
        <v>1321</v>
      </c>
      <c r="D1685" s="60"/>
      <c r="E1685" s="74">
        <v>2022</v>
      </c>
      <c r="F1685" s="74" t="s">
        <v>489</v>
      </c>
      <c r="G1685" s="61">
        <v>1</v>
      </c>
      <c r="H1685" s="45">
        <v>15</v>
      </c>
      <c r="I1685" s="74">
        <f>0.01743872*(1000)</f>
        <v>17.43872</v>
      </c>
    </row>
    <row r="1686" spans="1:9" s="71" customFormat="1" ht="16.5" hidden="1" customHeight="1" outlineLevel="1" x14ac:dyDescent="0.25">
      <c r="A1686" s="74">
        <v>3525</v>
      </c>
      <c r="B1686" s="45" t="s">
        <v>664</v>
      </c>
      <c r="C1686" s="60" t="s">
        <v>1322</v>
      </c>
      <c r="D1686" s="60"/>
      <c r="E1686" s="74">
        <v>2022</v>
      </c>
      <c r="F1686" s="74" t="s">
        <v>489</v>
      </c>
      <c r="G1686" s="61">
        <v>1</v>
      </c>
      <c r="H1686" s="45">
        <v>15</v>
      </c>
      <c r="I1686" s="74">
        <f>0.01740798*(1000)</f>
        <v>17.407979999999998</v>
      </c>
    </row>
    <row r="1687" spans="1:9" s="71" customFormat="1" ht="16.5" hidden="1" customHeight="1" outlineLevel="1" x14ac:dyDescent="0.25">
      <c r="A1687" s="74">
        <v>3527</v>
      </c>
      <c r="B1687" s="45" t="s">
        <v>664</v>
      </c>
      <c r="C1687" s="60" t="s">
        <v>1323</v>
      </c>
      <c r="D1687" s="60"/>
      <c r="E1687" s="74">
        <v>2022</v>
      </c>
      <c r="F1687" s="74" t="s">
        <v>489</v>
      </c>
      <c r="G1687" s="61">
        <v>1</v>
      </c>
      <c r="H1687" s="45">
        <v>15</v>
      </c>
      <c r="I1687" s="74">
        <f>0.01740797*(1000)</f>
        <v>17.407969999999999</v>
      </c>
    </row>
    <row r="1688" spans="1:9" s="71" customFormat="1" ht="16.5" hidden="1" customHeight="1" outlineLevel="1" x14ac:dyDescent="0.25">
      <c r="A1688" s="74">
        <v>3530</v>
      </c>
      <c r="B1688" s="45" t="s">
        <v>664</v>
      </c>
      <c r="C1688" s="60" t="s">
        <v>1324</v>
      </c>
      <c r="D1688" s="60"/>
      <c r="E1688" s="74">
        <v>2022</v>
      </c>
      <c r="F1688" s="74" t="s">
        <v>489</v>
      </c>
      <c r="G1688" s="61">
        <v>1</v>
      </c>
      <c r="H1688" s="45">
        <v>15</v>
      </c>
      <c r="I1688" s="74">
        <f>0.01740795*(1000)</f>
        <v>17.40795</v>
      </c>
    </row>
    <row r="1689" spans="1:9" s="71" customFormat="1" ht="16.5" hidden="1" customHeight="1" outlineLevel="1" x14ac:dyDescent="0.25">
      <c r="A1689" s="74">
        <v>3531</v>
      </c>
      <c r="B1689" s="45" t="s">
        <v>664</v>
      </c>
      <c r="C1689" s="60" t="s">
        <v>1325</v>
      </c>
      <c r="D1689" s="60"/>
      <c r="E1689" s="74">
        <v>2022</v>
      </c>
      <c r="F1689" s="74" t="s">
        <v>489</v>
      </c>
      <c r="G1689" s="61">
        <v>1</v>
      </c>
      <c r="H1689" s="45">
        <v>15</v>
      </c>
      <c r="I1689" s="74">
        <f>0.01183801*(1000)</f>
        <v>11.838009999999999</v>
      </c>
    </row>
    <row r="1690" spans="1:9" s="71" customFormat="1" ht="16.5" hidden="1" customHeight="1" outlineLevel="1" x14ac:dyDescent="0.25">
      <c r="A1690" s="74">
        <v>3534</v>
      </c>
      <c r="B1690" s="45" t="s">
        <v>664</v>
      </c>
      <c r="C1690" s="60" t="s">
        <v>1326</v>
      </c>
      <c r="D1690" s="60"/>
      <c r="E1690" s="74">
        <v>2022</v>
      </c>
      <c r="F1690" s="74" t="s">
        <v>489</v>
      </c>
      <c r="G1690" s="61">
        <v>1</v>
      </c>
      <c r="H1690" s="45">
        <v>15</v>
      </c>
      <c r="I1690" s="74">
        <f>0.01740795*(1000)</f>
        <v>17.40795</v>
      </c>
    </row>
    <row r="1691" spans="1:9" s="71" customFormat="1" ht="16.5" hidden="1" customHeight="1" outlineLevel="1" x14ac:dyDescent="0.25">
      <c r="A1691" s="74">
        <v>3535</v>
      </c>
      <c r="B1691" s="45" t="s">
        <v>664</v>
      </c>
      <c r="C1691" s="60" t="s">
        <v>1327</v>
      </c>
      <c r="D1691" s="60"/>
      <c r="E1691" s="74">
        <v>2022</v>
      </c>
      <c r="F1691" s="74" t="s">
        <v>489</v>
      </c>
      <c r="G1691" s="61">
        <v>1</v>
      </c>
      <c r="H1691" s="45">
        <v>15</v>
      </c>
      <c r="I1691" s="74">
        <f>0.01740797*(1000)</f>
        <v>17.407969999999999</v>
      </c>
    </row>
    <row r="1692" spans="1:9" s="71" customFormat="1" ht="16.5" hidden="1" customHeight="1" outlineLevel="1" x14ac:dyDescent="0.25">
      <c r="A1692" s="74">
        <v>3538</v>
      </c>
      <c r="B1692" s="45" t="s">
        <v>664</v>
      </c>
      <c r="C1692" s="60" t="s">
        <v>1328</v>
      </c>
      <c r="D1692" s="60"/>
      <c r="E1692" s="74">
        <v>2022</v>
      </c>
      <c r="F1692" s="74" t="s">
        <v>489</v>
      </c>
      <c r="G1692" s="61">
        <v>1</v>
      </c>
      <c r="H1692" s="45">
        <v>12</v>
      </c>
      <c r="I1692" s="74">
        <f>0.01740795*(1000)</f>
        <v>17.40795</v>
      </c>
    </row>
    <row r="1693" spans="1:9" s="71" customFormat="1" ht="16.5" hidden="1" customHeight="1" outlineLevel="1" x14ac:dyDescent="0.25">
      <c r="A1693" s="74">
        <v>3539</v>
      </c>
      <c r="B1693" s="45" t="s">
        <v>664</v>
      </c>
      <c r="C1693" s="60" t="s">
        <v>1329</v>
      </c>
      <c r="D1693" s="60"/>
      <c r="E1693" s="74">
        <v>2022</v>
      </c>
      <c r="F1693" s="74" t="s">
        <v>489</v>
      </c>
      <c r="G1693" s="61">
        <v>1</v>
      </c>
      <c r="H1693" s="45">
        <v>12</v>
      </c>
      <c r="I1693" s="74">
        <f>0.01740799*(1000)</f>
        <v>17.407990000000002</v>
      </c>
    </row>
    <row r="1694" spans="1:9" s="71" customFormat="1" ht="16.5" hidden="1" customHeight="1" outlineLevel="1" x14ac:dyDescent="0.25">
      <c r="A1694" s="74">
        <v>3540</v>
      </c>
      <c r="B1694" s="45" t="s">
        <v>664</v>
      </c>
      <c r="C1694" s="60" t="s">
        <v>1330</v>
      </c>
      <c r="D1694" s="60"/>
      <c r="E1694" s="74">
        <v>2022</v>
      </c>
      <c r="F1694" s="74" t="s">
        <v>489</v>
      </c>
      <c r="G1694" s="61">
        <v>1</v>
      </c>
      <c r="H1694" s="45">
        <v>15</v>
      </c>
      <c r="I1694" s="74">
        <f>0.01742173*(1000)</f>
        <v>17.42173</v>
      </c>
    </row>
    <row r="1695" spans="1:9" s="71" customFormat="1" ht="16.5" hidden="1" customHeight="1" outlineLevel="1" x14ac:dyDescent="0.25">
      <c r="A1695" s="74">
        <v>3541</v>
      </c>
      <c r="B1695" s="45" t="s">
        <v>664</v>
      </c>
      <c r="C1695" s="60" t="s">
        <v>1331</v>
      </c>
      <c r="D1695" s="60"/>
      <c r="E1695" s="74">
        <v>2022</v>
      </c>
      <c r="F1695" s="74" t="s">
        <v>489</v>
      </c>
      <c r="G1695" s="61">
        <v>1</v>
      </c>
      <c r="H1695" s="45">
        <v>15</v>
      </c>
      <c r="I1695" s="74">
        <f>0.02957974*(1000)</f>
        <v>29.579740000000001</v>
      </c>
    </row>
    <row r="1696" spans="1:9" s="71" customFormat="1" ht="16.5" hidden="1" customHeight="1" outlineLevel="1" x14ac:dyDescent="0.25">
      <c r="A1696" s="74">
        <v>3542</v>
      </c>
      <c r="B1696" s="45" t="s">
        <v>664</v>
      </c>
      <c r="C1696" s="60" t="s">
        <v>1332</v>
      </c>
      <c r="D1696" s="60"/>
      <c r="E1696" s="74">
        <v>2022</v>
      </c>
      <c r="F1696" s="74" t="s">
        <v>489</v>
      </c>
      <c r="G1696" s="61">
        <v>1</v>
      </c>
      <c r="H1696" s="45">
        <v>10</v>
      </c>
      <c r="I1696" s="74">
        <f>0.01744246*(1000)</f>
        <v>17.442460000000001</v>
      </c>
    </row>
    <row r="1697" spans="1:9" s="71" customFormat="1" ht="16.5" hidden="1" customHeight="1" outlineLevel="1" x14ac:dyDescent="0.25">
      <c r="A1697" s="74">
        <v>3547</v>
      </c>
      <c r="B1697" s="45" t="s">
        <v>664</v>
      </c>
      <c r="C1697" s="60" t="s">
        <v>1333</v>
      </c>
      <c r="D1697" s="60"/>
      <c r="E1697" s="74">
        <v>2022</v>
      </c>
      <c r="F1697" s="74" t="s">
        <v>489</v>
      </c>
      <c r="G1697" s="61">
        <v>1</v>
      </c>
      <c r="H1697" s="45">
        <v>15</v>
      </c>
      <c r="I1697" s="74">
        <f>0.01044191*(1000)</f>
        <v>10.44191</v>
      </c>
    </row>
    <row r="1698" spans="1:9" s="71" customFormat="1" ht="16.5" hidden="1" customHeight="1" outlineLevel="1" x14ac:dyDescent="0.25">
      <c r="A1698" s="74">
        <v>3548</v>
      </c>
      <c r="B1698" s="45" t="s">
        <v>664</v>
      </c>
      <c r="C1698" s="60" t="s">
        <v>1334</v>
      </c>
      <c r="D1698" s="60"/>
      <c r="E1698" s="74">
        <v>2022</v>
      </c>
      <c r="F1698" s="74" t="s">
        <v>489</v>
      </c>
      <c r="G1698" s="61">
        <v>1</v>
      </c>
      <c r="H1698" s="45">
        <v>10</v>
      </c>
      <c r="I1698" s="74">
        <f>0.01745139*(1000)</f>
        <v>17.45139</v>
      </c>
    </row>
    <row r="1699" spans="1:9" s="71" customFormat="1" ht="16.5" hidden="1" customHeight="1" outlineLevel="1" x14ac:dyDescent="0.25">
      <c r="A1699" s="74">
        <v>3549</v>
      </c>
      <c r="B1699" s="45" t="s">
        <v>664</v>
      </c>
      <c r="C1699" s="60" t="s">
        <v>1335</v>
      </c>
      <c r="D1699" s="60"/>
      <c r="E1699" s="74">
        <v>2022</v>
      </c>
      <c r="F1699" s="74" t="s">
        <v>489</v>
      </c>
      <c r="G1699" s="61">
        <v>1</v>
      </c>
      <c r="H1699" s="45">
        <v>7</v>
      </c>
      <c r="I1699" s="74">
        <f>0.01689689*(1000)</f>
        <v>16.896890000000003</v>
      </c>
    </row>
    <row r="1700" spans="1:9" s="71" customFormat="1" ht="16.5" hidden="1" customHeight="1" outlineLevel="1" x14ac:dyDescent="0.25">
      <c r="A1700" s="74">
        <v>3553</v>
      </c>
      <c r="B1700" s="45" t="s">
        <v>664</v>
      </c>
      <c r="C1700" s="60" t="s">
        <v>1336</v>
      </c>
      <c r="D1700" s="60"/>
      <c r="E1700" s="74">
        <v>2022</v>
      </c>
      <c r="F1700" s="74" t="s">
        <v>489</v>
      </c>
      <c r="G1700" s="61">
        <v>1</v>
      </c>
      <c r="H1700" s="45">
        <v>15</v>
      </c>
      <c r="I1700" s="74">
        <f>0.01689689*(1000)</f>
        <v>16.896890000000003</v>
      </c>
    </row>
    <row r="1701" spans="1:9" s="71" customFormat="1" ht="16.5" hidden="1" customHeight="1" outlineLevel="1" x14ac:dyDescent="0.25">
      <c r="A1701" s="74">
        <v>3557</v>
      </c>
      <c r="B1701" s="45" t="s">
        <v>664</v>
      </c>
      <c r="C1701" s="60" t="s">
        <v>1337</v>
      </c>
      <c r="D1701" s="60"/>
      <c r="E1701" s="74">
        <v>2022</v>
      </c>
      <c r="F1701" s="74" t="s">
        <v>489</v>
      </c>
      <c r="G1701" s="61">
        <v>1</v>
      </c>
      <c r="H1701" s="45">
        <v>15</v>
      </c>
      <c r="I1701" s="74">
        <f>0.01689689*(1000)</f>
        <v>16.896890000000003</v>
      </c>
    </row>
    <row r="1702" spans="1:9" s="71" customFormat="1" ht="16.5" hidden="1" customHeight="1" outlineLevel="1" x14ac:dyDescent="0.25">
      <c r="A1702" s="74">
        <v>3558</v>
      </c>
      <c r="B1702" s="45" t="s">
        <v>664</v>
      </c>
      <c r="C1702" s="60" t="s">
        <v>1338</v>
      </c>
      <c r="D1702" s="60"/>
      <c r="E1702" s="74">
        <v>2022</v>
      </c>
      <c r="F1702" s="74" t="s">
        <v>489</v>
      </c>
      <c r="G1702" s="61">
        <v>1</v>
      </c>
      <c r="H1702" s="45">
        <v>9</v>
      </c>
      <c r="I1702" s="74">
        <f>0.01689688*(1000)</f>
        <v>16.896879999999999</v>
      </c>
    </row>
    <row r="1703" spans="1:9" s="71" customFormat="1" ht="16.5" hidden="1" customHeight="1" outlineLevel="1" x14ac:dyDescent="0.25">
      <c r="A1703" s="74">
        <v>3559</v>
      </c>
      <c r="B1703" s="45" t="s">
        <v>664</v>
      </c>
      <c r="C1703" s="60" t="s">
        <v>1339</v>
      </c>
      <c r="D1703" s="60"/>
      <c r="E1703" s="74">
        <v>2022</v>
      </c>
      <c r="F1703" s="74" t="s">
        <v>489</v>
      </c>
      <c r="G1703" s="61">
        <v>1</v>
      </c>
      <c r="H1703" s="45">
        <v>127</v>
      </c>
      <c r="I1703" s="74">
        <f>0.01689689*(1000)</f>
        <v>16.896890000000003</v>
      </c>
    </row>
    <row r="1704" spans="1:9" s="71" customFormat="1" ht="16.5" hidden="1" customHeight="1" outlineLevel="1" x14ac:dyDescent="0.25">
      <c r="A1704" s="74">
        <v>3560</v>
      </c>
      <c r="B1704" s="45" t="s">
        <v>664</v>
      </c>
      <c r="C1704" s="60" t="s">
        <v>1340</v>
      </c>
      <c r="D1704" s="60"/>
      <c r="E1704" s="74">
        <v>2022</v>
      </c>
      <c r="F1704" s="74" t="s">
        <v>489</v>
      </c>
      <c r="G1704" s="61">
        <v>1</v>
      </c>
      <c r="H1704" s="45">
        <v>15</v>
      </c>
      <c r="I1704" s="74">
        <f>0.01689688*(1000)</f>
        <v>16.896879999999999</v>
      </c>
    </row>
    <row r="1705" spans="1:9" s="71" customFormat="1" ht="16.5" hidden="1" customHeight="1" outlineLevel="1" x14ac:dyDescent="0.25">
      <c r="A1705" s="74">
        <v>3561</v>
      </c>
      <c r="B1705" s="45" t="s">
        <v>664</v>
      </c>
      <c r="C1705" s="60" t="s">
        <v>1341</v>
      </c>
      <c r="D1705" s="60"/>
      <c r="E1705" s="74">
        <v>2022</v>
      </c>
      <c r="F1705" s="74" t="s">
        <v>489</v>
      </c>
      <c r="G1705" s="61">
        <v>1</v>
      </c>
      <c r="H1705" s="45">
        <v>12</v>
      </c>
      <c r="I1705" s="74">
        <f>0.01689689*(1000)</f>
        <v>16.896890000000003</v>
      </c>
    </row>
    <row r="1706" spans="1:9" s="71" customFormat="1" ht="16.5" hidden="1" customHeight="1" outlineLevel="1" x14ac:dyDescent="0.25">
      <c r="A1706" s="74">
        <v>3563</v>
      </c>
      <c r="B1706" s="45" t="s">
        <v>664</v>
      </c>
      <c r="C1706" s="60" t="s">
        <v>1342</v>
      </c>
      <c r="D1706" s="60"/>
      <c r="E1706" s="74">
        <v>2022</v>
      </c>
      <c r="F1706" s="74" t="s">
        <v>489</v>
      </c>
      <c r="G1706" s="61">
        <v>1</v>
      </c>
      <c r="H1706" s="45">
        <v>15</v>
      </c>
      <c r="I1706" s="74">
        <f>0.0174514*(1000)</f>
        <v>17.4514</v>
      </c>
    </row>
    <row r="1707" spans="1:9" s="71" customFormat="1" ht="16.5" hidden="1" customHeight="1" outlineLevel="1" x14ac:dyDescent="0.25">
      <c r="A1707" s="74">
        <v>3564</v>
      </c>
      <c r="B1707" s="45" t="s">
        <v>664</v>
      </c>
      <c r="C1707" s="60" t="s">
        <v>1343</v>
      </c>
      <c r="D1707" s="60"/>
      <c r="E1707" s="74">
        <v>2022</v>
      </c>
      <c r="F1707" s="74" t="s">
        <v>489</v>
      </c>
      <c r="G1707" s="61">
        <v>1</v>
      </c>
      <c r="H1707" s="45">
        <v>9</v>
      </c>
      <c r="I1707" s="74">
        <f>0.01689688*(1000)</f>
        <v>16.896879999999999</v>
      </c>
    </row>
    <row r="1708" spans="1:9" s="71" customFormat="1" ht="16.5" hidden="1" customHeight="1" outlineLevel="1" x14ac:dyDescent="0.25">
      <c r="A1708" s="74">
        <v>3565</v>
      </c>
      <c r="B1708" s="45" t="s">
        <v>664</v>
      </c>
      <c r="C1708" s="60" t="s">
        <v>1344</v>
      </c>
      <c r="D1708" s="60"/>
      <c r="E1708" s="74">
        <v>2022</v>
      </c>
      <c r="F1708" s="74" t="s">
        <v>489</v>
      </c>
      <c r="G1708" s="61">
        <v>1</v>
      </c>
      <c r="H1708" s="45">
        <v>15</v>
      </c>
      <c r="I1708" s="74">
        <f>0.01689689*(1000)</f>
        <v>16.896890000000003</v>
      </c>
    </row>
    <row r="1709" spans="1:9" s="71" customFormat="1" ht="16.5" hidden="1" customHeight="1" outlineLevel="1" x14ac:dyDescent="0.25">
      <c r="A1709" s="74">
        <v>3572</v>
      </c>
      <c r="B1709" s="45" t="s">
        <v>664</v>
      </c>
      <c r="C1709" s="60" t="s">
        <v>1345</v>
      </c>
      <c r="D1709" s="60"/>
      <c r="E1709" s="74">
        <v>2022</v>
      </c>
      <c r="F1709" s="74" t="s">
        <v>489</v>
      </c>
      <c r="G1709" s="61">
        <v>1</v>
      </c>
      <c r="H1709" s="45">
        <v>5</v>
      </c>
      <c r="I1709" s="74">
        <f>0.0174514*(1000)</f>
        <v>17.4514</v>
      </c>
    </row>
    <row r="1710" spans="1:9" s="71" customFormat="1" ht="16.5" hidden="1" customHeight="1" outlineLevel="1" x14ac:dyDescent="0.25">
      <c r="A1710" s="74">
        <v>3573</v>
      </c>
      <c r="B1710" s="45" t="s">
        <v>664</v>
      </c>
      <c r="C1710" s="60" t="s">
        <v>1346</v>
      </c>
      <c r="D1710" s="60"/>
      <c r="E1710" s="74">
        <v>2022</v>
      </c>
      <c r="F1710" s="74" t="s">
        <v>489</v>
      </c>
      <c r="G1710" s="61">
        <v>1</v>
      </c>
      <c r="H1710" s="45">
        <v>10</v>
      </c>
      <c r="I1710" s="74">
        <f>0.01745139*(1000)</f>
        <v>17.45139</v>
      </c>
    </row>
    <row r="1711" spans="1:9" s="71" customFormat="1" ht="16.5" hidden="1" customHeight="1" outlineLevel="1" x14ac:dyDescent="0.25">
      <c r="A1711" s="74">
        <v>3576</v>
      </c>
      <c r="B1711" s="45" t="s">
        <v>664</v>
      </c>
      <c r="C1711" s="60" t="s">
        <v>1347</v>
      </c>
      <c r="D1711" s="60"/>
      <c r="E1711" s="74">
        <v>2022</v>
      </c>
      <c r="F1711" s="74" t="s">
        <v>489</v>
      </c>
      <c r="G1711" s="61">
        <v>1</v>
      </c>
      <c r="H1711" s="45">
        <v>13</v>
      </c>
      <c r="I1711" s="74">
        <f>0.01742858*(1000)</f>
        <v>17.42858</v>
      </c>
    </row>
    <row r="1712" spans="1:9" s="71" customFormat="1" ht="16.5" hidden="1" customHeight="1" outlineLevel="1" x14ac:dyDescent="0.25">
      <c r="A1712" s="74">
        <v>3577</v>
      </c>
      <c r="B1712" s="45" t="s">
        <v>664</v>
      </c>
      <c r="C1712" s="60" t="s">
        <v>1348</v>
      </c>
      <c r="D1712" s="60"/>
      <c r="E1712" s="74">
        <v>2022</v>
      </c>
      <c r="F1712" s="74" t="s">
        <v>489</v>
      </c>
      <c r="G1712" s="61">
        <v>1</v>
      </c>
      <c r="H1712" s="45">
        <v>100</v>
      </c>
      <c r="I1712" s="74">
        <f>0.02229084*(1000)</f>
        <v>22.290839999999999</v>
      </c>
    </row>
    <row r="1713" spans="1:9" s="71" customFormat="1" ht="16.5" hidden="1" customHeight="1" outlineLevel="1" x14ac:dyDescent="0.25">
      <c r="A1713" s="74">
        <v>3578</v>
      </c>
      <c r="B1713" s="45" t="s">
        <v>664</v>
      </c>
      <c r="C1713" s="60" t="s">
        <v>1349</v>
      </c>
      <c r="D1713" s="60"/>
      <c r="E1713" s="74">
        <v>2022</v>
      </c>
      <c r="F1713" s="74" t="s">
        <v>489</v>
      </c>
      <c r="G1713" s="61">
        <v>1</v>
      </c>
      <c r="H1713" s="45">
        <v>55</v>
      </c>
      <c r="I1713" s="74">
        <f>0.01687409*(1000)</f>
        <v>16.874090000000002</v>
      </c>
    </row>
    <row r="1714" spans="1:9" s="71" customFormat="1" ht="16.5" hidden="1" customHeight="1" outlineLevel="1" x14ac:dyDescent="0.25">
      <c r="A1714" s="74">
        <v>3579</v>
      </c>
      <c r="B1714" s="45" t="s">
        <v>664</v>
      </c>
      <c r="C1714" s="60" t="s">
        <v>1350</v>
      </c>
      <c r="D1714" s="60"/>
      <c r="E1714" s="74">
        <v>2022</v>
      </c>
      <c r="F1714" s="74" t="s">
        <v>489</v>
      </c>
      <c r="G1714" s="61">
        <v>1</v>
      </c>
      <c r="H1714" s="45">
        <v>15</v>
      </c>
      <c r="I1714" s="74">
        <f>0.01742858*(1000)</f>
        <v>17.42858</v>
      </c>
    </row>
    <row r="1715" spans="1:9" s="71" customFormat="1" ht="16.5" hidden="1" customHeight="1" outlineLevel="1" x14ac:dyDescent="0.25">
      <c r="A1715" s="74">
        <v>3589</v>
      </c>
      <c r="B1715" s="45" t="s">
        <v>664</v>
      </c>
      <c r="C1715" s="60" t="s">
        <v>1351</v>
      </c>
      <c r="D1715" s="60"/>
      <c r="E1715" s="74">
        <v>2022</v>
      </c>
      <c r="F1715" s="74" t="s">
        <v>489</v>
      </c>
      <c r="G1715" s="61">
        <v>1</v>
      </c>
      <c r="H1715" s="45">
        <v>15</v>
      </c>
      <c r="I1715" s="74">
        <f>0.01742857*(1000)</f>
        <v>17.428570000000001</v>
      </c>
    </row>
    <row r="1716" spans="1:9" s="71" customFormat="1" ht="16.5" hidden="1" customHeight="1" outlineLevel="1" x14ac:dyDescent="0.25">
      <c r="A1716" s="74">
        <v>3591</v>
      </c>
      <c r="B1716" s="45" t="s">
        <v>664</v>
      </c>
      <c r="C1716" s="60" t="s">
        <v>1352</v>
      </c>
      <c r="D1716" s="60"/>
      <c r="E1716" s="74">
        <v>2022</v>
      </c>
      <c r="F1716" s="74" t="s">
        <v>489</v>
      </c>
      <c r="G1716" s="61">
        <v>1</v>
      </c>
      <c r="H1716" s="45">
        <v>12</v>
      </c>
      <c r="I1716" s="74">
        <f>0.01742857*(1000)</f>
        <v>17.428570000000001</v>
      </c>
    </row>
    <row r="1717" spans="1:9" s="71" customFormat="1" ht="16.5" hidden="1" customHeight="1" outlineLevel="1" x14ac:dyDescent="0.25">
      <c r="A1717" s="74">
        <v>3593</v>
      </c>
      <c r="B1717" s="45" t="s">
        <v>664</v>
      </c>
      <c r="C1717" s="60" t="s">
        <v>1353</v>
      </c>
      <c r="D1717" s="60"/>
      <c r="E1717" s="74">
        <v>2022</v>
      </c>
      <c r="F1717" s="74" t="s">
        <v>489</v>
      </c>
      <c r="G1717" s="61">
        <v>1</v>
      </c>
      <c r="H1717" s="45">
        <v>13</v>
      </c>
      <c r="I1717" s="74">
        <f>0.01742857*(1000)</f>
        <v>17.428570000000001</v>
      </c>
    </row>
    <row r="1718" spans="1:9" s="71" customFormat="1" ht="16.5" hidden="1" customHeight="1" outlineLevel="1" x14ac:dyDescent="0.25">
      <c r="A1718" s="74">
        <v>3594</v>
      </c>
      <c r="B1718" s="45" t="s">
        <v>664</v>
      </c>
      <c r="C1718" s="60" t="s">
        <v>1354</v>
      </c>
      <c r="D1718" s="60"/>
      <c r="E1718" s="74">
        <v>2022</v>
      </c>
      <c r="F1718" s="74" t="s">
        <v>489</v>
      </c>
      <c r="G1718" s="61">
        <v>1</v>
      </c>
      <c r="H1718" s="45">
        <v>11</v>
      </c>
      <c r="I1718" s="74">
        <f>0.01687409*(1000)</f>
        <v>16.874090000000002</v>
      </c>
    </row>
    <row r="1719" spans="1:9" s="71" customFormat="1" ht="16.5" hidden="1" customHeight="1" outlineLevel="1" x14ac:dyDescent="0.25">
      <c r="A1719" s="74">
        <v>3595</v>
      </c>
      <c r="B1719" s="45" t="s">
        <v>664</v>
      </c>
      <c r="C1719" s="60" t="s">
        <v>1355</v>
      </c>
      <c r="D1719" s="60"/>
      <c r="E1719" s="74">
        <v>2022</v>
      </c>
      <c r="F1719" s="74" t="s">
        <v>489</v>
      </c>
      <c r="G1719" s="61">
        <v>1</v>
      </c>
      <c r="H1719" s="45">
        <v>5</v>
      </c>
      <c r="I1719" s="74">
        <f>0.01687409*(1000)</f>
        <v>16.874090000000002</v>
      </c>
    </row>
    <row r="1720" spans="1:9" s="71" customFormat="1" ht="16.5" hidden="1" customHeight="1" outlineLevel="1" x14ac:dyDescent="0.25">
      <c r="A1720" s="74">
        <v>3598</v>
      </c>
      <c r="B1720" s="45" t="s">
        <v>664</v>
      </c>
      <c r="C1720" s="60" t="s">
        <v>1356</v>
      </c>
      <c r="D1720" s="60"/>
      <c r="E1720" s="74">
        <v>2022</v>
      </c>
      <c r="F1720" s="74" t="s">
        <v>489</v>
      </c>
      <c r="G1720" s="61">
        <v>1</v>
      </c>
      <c r="H1720" s="45">
        <v>15</v>
      </c>
      <c r="I1720" s="74">
        <f>0.01742858*(1000)</f>
        <v>17.42858</v>
      </c>
    </row>
    <row r="1721" spans="1:9" s="71" customFormat="1" ht="16.5" hidden="1" customHeight="1" outlineLevel="1" x14ac:dyDescent="0.25">
      <c r="A1721" s="74">
        <v>3600</v>
      </c>
      <c r="B1721" s="45" t="s">
        <v>664</v>
      </c>
      <c r="C1721" s="60" t="s">
        <v>1357</v>
      </c>
      <c r="D1721" s="60"/>
      <c r="E1721" s="74">
        <v>2022</v>
      </c>
      <c r="F1721" s="74" t="s">
        <v>489</v>
      </c>
      <c r="G1721" s="61">
        <v>1</v>
      </c>
      <c r="H1721" s="45">
        <v>12</v>
      </c>
      <c r="I1721" s="74">
        <f>0.01041908*(1000)</f>
        <v>10.419080000000001</v>
      </c>
    </row>
    <row r="1722" spans="1:9" s="71" customFormat="1" ht="16.5" hidden="1" customHeight="1" outlineLevel="1" x14ac:dyDescent="0.25">
      <c r="A1722" s="74">
        <v>3603</v>
      </c>
      <c r="B1722" s="45" t="s">
        <v>664</v>
      </c>
      <c r="C1722" s="60" t="s">
        <v>1358</v>
      </c>
      <c r="D1722" s="60"/>
      <c r="E1722" s="74">
        <v>2022</v>
      </c>
      <c r="F1722" s="74" t="s">
        <v>489</v>
      </c>
      <c r="G1722" s="61">
        <v>1</v>
      </c>
      <c r="H1722" s="45">
        <v>15</v>
      </c>
      <c r="I1722" s="74">
        <f>0.01745139*(1000)</f>
        <v>17.45139</v>
      </c>
    </row>
    <row r="1723" spans="1:9" s="71" customFormat="1" ht="16.5" hidden="1" customHeight="1" outlineLevel="1" x14ac:dyDescent="0.25">
      <c r="A1723" s="74">
        <v>3604</v>
      </c>
      <c r="B1723" s="45" t="s">
        <v>664</v>
      </c>
      <c r="C1723" s="60" t="s">
        <v>1359</v>
      </c>
      <c r="D1723" s="60"/>
      <c r="E1723" s="74">
        <v>2022</v>
      </c>
      <c r="F1723" s="74" t="s">
        <v>489</v>
      </c>
      <c r="G1723" s="61">
        <v>1</v>
      </c>
      <c r="H1723" s="45">
        <v>10</v>
      </c>
      <c r="I1723" s="74">
        <f>0.01742858*(1000)</f>
        <v>17.42858</v>
      </c>
    </row>
    <row r="1724" spans="1:9" s="71" customFormat="1" ht="16.5" hidden="1" customHeight="1" outlineLevel="1" x14ac:dyDescent="0.25">
      <c r="A1724" s="74">
        <v>3605</v>
      </c>
      <c r="B1724" s="45" t="s">
        <v>664</v>
      </c>
      <c r="C1724" s="60" t="s">
        <v>1360</v>
      </c>
      <c r="D1724" s="60"/>
      <c r="E1724" s="74">
        <v>2022</v>
      </c>
      <c r="F1724" s="74" t="s">
        <v>489</v>
      </c>
      <c r="G1724" s="61">
        <v>1</v>
      </c>
      <c r="H1724" s="45">
        <v>15</v>
      </c>
      <c r="I1724" s="74">
        <f>0.01742857*(1000)</f>
        <v>17.428570000000001</v>
      </c>
    </row>
    <row r="1725" spans="1:9" s="71" customFormat="1" ht="16.5" hidden="1" customHeight="1" outlineLevel="1" x14ac:dyDescent="0.25">
      <c r="A1725" s="74">
        <v>3607</v>
      </c>
      <c r="B1725" s="45" t="s">
        <v>664</v>
      </c>
      <c r="C1725" s="60" t="s">
        <v>1361</v>
      </c>
      <c r="D1725" s="60"/>
      <c r="E1725" s="74">
        <v>2022</v>
      </c>
      <c r="F1725" s="74" t="s">
        <v>489</v>
      </c>
      <c r="G1725" s="61">
        <v>1</v>
      </c>
      <c r="H1725" s="45">
        <v>29.5</v>
      </c>
      <c r="I1725" s="74">
        <f>0.01689688*(1000)</f>
        <v>16.896879999999999</v>
      </c>
    </row>
    <row r="1726" spans="1:9" s="71" customFormat="1" ht="16.5" hidden="1" customHeight="1" outlineLevel="1" x14ac:dyDescent="0.25">
      <c r="A1726" s="74">
        <v>3608</v>
      </c>
      <c r="B1726" s="45" t="s">
        <v>664</v>
      </c>
      <c r="C1726" s="60" t="s">
        <v>1362</v>
      </c>
      <c r="D1726" s="60"/>
      <c r="E1726" s="74">
        <v>2022</v>
      </c>
      <c r="F1726" s="74" t="s">
        <v>489</v>
      </c>
      <c r="G1726" s="61">
        <v>1</v>
      </c>
      <c r="H1726" s="45">
        <v>12</v>
      </c>
      <c r="I1726" s="74">
        <f>0.0174514*(1000)</f>
        <v>17.4514</v>
      </c>
    </row>
    <row r="1727" spans="1:9" s="71" customFormat="1" ht="16.5" hidden="1" customHeight="1" outlineLevel="1" x14ac:dyDescent="0.25">
      <c r="A1727" s="74">
        <v>3610</v>
      </c>
      <c r="B1727" s="45" t="s">
        <v>664</v>
      </c>
      <c r="C1727" s="60" t="s">
        <v>1363</v>
      </c>
      <c r="D1727" s="60"/>
      <c r="E1727" s="74">
        <v>2022</v>
      </c>
      <c r="F1727" s="74" t="s">
        <v>489</v>
      </c>
      <c r="G1727" s="61">
        <v>1</v>
      </c>
      <c r="H1727" s="45">
        <v>15</v>
      </c>
      <c r="I1727" s="74">
        <f>0.0168969*(1000)</f>
        <v>16.896899999999999</v>
      </c>
    </row>
    <row r="1728" spans="1:9" s="71" customFormat="1" ht="16.5" hidden="1" customHeight="1" outlineLevel="1" x14ac:dyDescent="0.25">
      <c r="A1728" s="74">
        <v>3614</v>
      </c>
      <c r="B1728" s="45" t="s">
        <v>664</v>
      </c>
      <c r="C1728" s="60" t="s">
        <v>1364</v>
      </c>
      <c r="D1728" s="60"/>
      <c r="E1728" s="74">
        <v>2022</v>
      </c>
      <c r="F1728" s="74" t="s">
        <v>489</v>
      </c>
      <c r="G1728" s="61">
        <v>1</v>
      </c>
      <c r="H1728" s="45">
        <v>15</v>
      </c>
      <c r="I1728" s="74">
        <f>0.0174514*(1000)</f>
        <v>17.4514</v>
      </c>
    </row>
    <row r="1729" spans="1:9" s="71" customFormat="1" ht="16.5" hidden="1" customHeight="1" outlineLevel="1" x14ac:dyDescent="0.25">
      <c r="A1729" s="74">
        <v>3615</v>
      </c>
      <c r="B1729" s="45" t="s">
        <v>664</v>
      </c>
      <c r="C1729" s="60" t="s">
        <v>1365</v>
      </c>
      <c r="D1729" s="60"/>
      <c r="E1729" s="74">
        <v>2022</v>
      </c>
      <c r="F1729" s="74" t="s">
        <v>489</v>
      </c>
      <c r="G1729" s="61">
        <v>1</v>
      </c>
      <c r="H1729" s="45">
        <v>2</v>
      </c>
      <c r="I1729" s="74">
        <f>0.01745139*(1000)</f>
        <v>17.45139</v>
      </c>
    </row>
    <row r="1730" spans="1:9" s="71" customFormat="1" ht="16.5" hidden="1" customHeight="1" outlineLevel="1" x14ac:dyDescent="0.25">
      <c r="A1730" s="74">
        <v>3617</v>
      </c>
      <c r="B1730" s="45" t="s">
        <v>664</v>
      </c>
      <c r="C1730" s="60" t="s">
        <v>1366</v>
      </c>
      <c r="D1730" s="60"/>
      <c r="E1730" s="74">
        <v>2022</v>
      </c>
      <c r="F1730" s="74" t="s">
        <v>489</v>
      </c>
      <c r="G1730" s="61">
        <v>1</v>
      </c>
      <c r="H1730" s="45">
        <v>10</v>
      </c>
      <c r="I1730" s="74">
        <f>0.01745139*(1000)</f>
        <v>17.45139</v>
      </c>
    </row>
    <row r="1731" spans="1:9" s="71" customFormat="1" ht="16.5" hidden="1" customHeight="1" outlineLevel="1" x14ac:dyDescent="0.25">
      <c r="A1731" s="74">
        <v>3619</v>
      </c>
      <c r="B1731" s="45" t="s">
        <v>664</v>
      </c>
      <c r="C1731" s="60" t="s">
        <v>1367</v>
      </c>
      <c r="D1731" s="60"/>
      <c r="E1731" s="74">
        <v>2022</v>
      </c>
      <c r="F1731" s="74" t="s">
        <v>489</v>
      </c>
      <c r="G1731" s="61">
        <v>1</v>
      </c>
      <c r="H1731" s="45">
        <v>15</v>
      </c>
      <c r="I1731" s="74">
        <f>0.0186234*(1000)</f>
        <v>18.623399999999997</v>
      </c>
    </row>
    <row r="1732" spans="1:9" s="71" customFormat="1" ht="16.5" hidden="1" customHeight="1" outlineLevel="1" x14ac:dyDescent="0.25">
      <c r="A1732" s="74">
        <v>3620</v>
      </c>
      <c r="B1732" s="45" t="s">
        <v>664</v>
      </c>
      <c r="C1732" s="60" t="s">
        <v>1368</v>
      </c>
      <c r="D1732" s="60"/>
      <c r="E1732" s="74">
        <v>2022</v>
      </c>
      <c r="F1732" s="74" t="s">
        <v>489</v>
      </c>
      <c r="G1732" s="61">
        <v>1</v>
      </c>
      <c r="H1732" s="45">
        <v>14</v>
      </c>
      <c r="I1732" s="74">
        <f>0.01689689*(1000)</f>
        <v>16.896890000000003</v>
      </c>
    </row>
    <row r="1733" spans="1:9" s="71" customFormat="1" ht="16.5" hidden="1" customHeight="1" outlineLevel="1" x14ac:dyDescent="0.25">
      <c r="A1733" s="74">
        <v>3621</v>
      </c>
      <c r="B1733" s="45" t="s">
        <v>664</v>
      </c>
      <c r="C1733" s="60" t="s">
        <v>1369</v>
      </c>
      <c r="D1733" s="60"/>
      <c r="E1733" s="74">
        <v>2022</v>
      </c>
      <c r="F1733" s="74" t="s">
        <v>489</v>
      </c>
      <c r="G1733" s="61">
        <v>1</v>
      </c>
      <c r="H1733" s="45">
        <v>15</v>
      </c>
      <c r="I1733" s="74">
        <f>0.01745139*(1000)</f>
        <v>17.45139</v>
      </c>
    </row>
    <row r="1734" spans="1:9" s="71" customFormat="1" ht="16.5" hidden="1" customHeight="1" outlineLevel="1" x14ac:dyDescent="0.25">
      <c r="A1734" s="74">
        <v>3622</v>
      </c>
      <c r="B1734" s="45" t="s">
        <v>664</v>
      </c>
      <c r="C1734" s="60" t="s">
        <v>1370</v>
      </c>
      <c r="D1734" s="60"/>
      <c r="E1734" s="74">
        <v>2022</v>
      </c>
      <c r="F1734" s="74" t="s">
        <v>489</v>
      </c>
      <c r="G1734" s="61">
        <v>1</v>
      </c>
      <c r="H1734" s="45">
        <v>15</v>
      </c>
      <c r="I1734" s="74">
        <f>0.0174514*(1000)</f>
        <v>17.4514</v>
      </c>
    </row>
    <row r="1735" spans="1:9" s="71" customFormat="1" ht="16.5" hidden="1" customHeight="1" outlineLevel="1" x14ac:dyDescent="0.25">
      <c r="A1735" s="74">
        <v>3623</v>
      </c>
      <c r="B1735" s="45" t="s">
        <v>664</v>
      </c>
      <c r="C1735" s="60" t="s">
        <v>1371</v>
      </c>
      <c r="D1735" s="60"/>
      <c r="E1735" s="74">
        <v>2022</v>
      </c>
      <c r="F1735" s="74" t="s">
        <v>489</v>
      </c>
      <c r="G1735" s="61">
        <v>1</v>
      </c>
      <c r="H1735" s="45">
        <v>10</v>
      </c>
      <c r="I1735" s="74">
        <f>0.0186234*(1000)</f>
        <v>18.623399999999997</v>
      </c>
    </row>
    <row r="1736" spans="1:9" s="71" customFormat="1" ht="16.5" hidden="1" customHeight="1" outlineLevel="1" x14ac:dyDescent="0.25">
      <c r="A1736" s="74">
        <v>3627</v>
      </c>
      <c r="B1736" s="45" t="s">
        <v>664</v>
      </c>
      <c r="C1736" s="60" t="s">
        <v>1372</v>
      </c>
      <c r="D1736" s="60"/>
      <c r="E1736" s="74">
        <v>2022</v>
      </c>
      <c r="F1736" s="74" t="s">
        <v>489</v>
      </c>
      <c r="G1736" s="61">
        <v>1</v>
      </c>
      <c r="H1736" s="45">
        <v>15</v>
      </c>
      <c r="I1736" s="74">
        <f>0.01745137*(1000)</f>
        <v>17.451370000000001</v>
      </c>
    </row>
    <row r="1737" spans="1:9" s="71" customFormat="1" ht="16.5" hidden="1" customHeight="1" outlineLevel="1" x14ac:dyDescent="0.25">
      <c r="A1737" s="74">
        <v>3628</v>
      </c>
      <c r="B1737" s="45" t="s">
        <v>664</v>
      </c>
      <c r="C1737" s="60" t="s">
        <v>1373</v>
      </c>
      <c r="D1737" s="60"/>
      <c r="E1737" s="74">
        <v>2022</v>
      </c>
      <c r="F1737" s="74" t="s">
        <v>489</v>
      </c>
      <c r="G1737" s="61">
        <v>1</v>
      </c>
      <c r="H1737" s="45">
        <v>15</v>
      </c>
      <c r="I1737" s="74">
        <f>0.01745137*(1000)</f>
        <v>17.451370000000001</v>
      </c>
    </row>
    <row r="1738" spans="1:9" s="71" customFormat="1" ht="16.5" hidden="1" customHeight="1" outlineLevel="1" x14ac:dyDescent="0.25">
      <c r="A1738" s="74">
        <v>3629</v>
      </c>
      <c r="B1738" s="45" t="s">
        <v>664</v>
      </c>
      <c r="C1738" s="60" t="s">
        <v>1374</v>
      </c>
      <c r="D1738" s="60"/>
      <c r="E1738" s="74">
        <v>2022</v>
      </c>
      <c r="F1738" s="74" t="s">
        <v>489</v>
      </c>
      <c r="G1738" s="61">
        <v>1</v>
      </c>
      <c r="H1738" s="45">
        <v>97</v>
      </c>
      <c r="I1738" s="74">
        <f>0.01813328*(1000)</f>
        <v>18.133280000000003</v>
      </c>
    </row>
    <row r="1739" spans="1:9" s="71" customFormat="1" ht="16.5" hidden="1" customHeight="1" outlineLevel="1" x14ac:dyDescent="0.25">
      <c r="A1739" s="74">
        <v>3630</v>
      </c>
      <c r="B1739" s="45" t="s">
        <v>664</v>
      </c>
      <c r="C1739" s="60" t="s">
        <v>1375</v>
      </c>
      <c r="D1739" s="60"/>
      <c r="E1739" s="74">
        <v>2022</v>
      </c>
      <c r="F1739" s="74" t="s">
        <v>489</v>
      </c>
      <c r="G1739" s="61">
        <v>1</v>
      </c>
      <c r="H1739" s="45">
        <v>15</v>
      </c>
      <c r="I1739" s="74">
        <f>0.0174514*(1000)</f>
        <v>17.4514</v>
      </c>
    </row>
    <row r="1740" spans="1:9" s="71" customFormat="1" ht="16.5" hidden="1" customHeight="1" outlineLevel="1" x14ac:dyDescent="0.25">
      <c r="A1740" s="74">
        <v>3634</v>
      </c>
      <c r="B1740" s="45" t="s">
        <v>664</v>
      </c>
      <c r="C1740" s="60" t="s">
        <v>1376</v>
      </c>
      <c r="D1740" s="60"/>
      <c r="E1740" s="74">
        <v>2022</v>
      </c>
      <c r="F1740" s="74" t="s">
        <v>489</v>
      </c>
      <c r="G1740" s="61">
        <v>1</v>
      </c>
      <c r="H1740" s="45">
        <v>15</v>
      </c>
      <c r="I1740" s="74">
        <f>0.01745139*(1000)</f>
        <v>17.45139</v>
      </c>
    </row>
    <row r="1741" spans="1:9" s="71" customFormat="1" ht="16.5" hidden="1" customHeight="1" outlineLevel="1" x14ac:dyDescent="0.25">
      <c r="A1741" s="74">
        <v>3636</v>
      </c>
      <c r="B1741" s="45" t="s">
        <v>664</v>
      </c>
      <c r="C1741" s="60" t="s">
        <v>1377</v>
      </c>
      <c r="D1741" s="60"/>
      <c r="E1741" s="74">
        <v>2022</v>
      </c>
      <c r="F1741" s="74" t="s">
        <v>489</v>
      </c>
      <c r="G1741" s="61">
        <v>1</v>
      </c>
      <c r="H1741" s="45">
        <v>15</v>
      </c>
      <c r="I1741" s="74">
        <f>0.0174514*(1000)</f>
        <v>17.4514</v>
      </c>
    </row>
    <row r="1742" spans="1:9" s="71" customFormat="1" ht="16.5" hidden="1" customHeight="1" outlineLevel="1" x14ac:dyDescent="0.25">
      <c r="A1742" s="74">
        <v>3639</v>
      </c>
      <c r="B1742" s="45" t="s">
        <v>664</v>
      </c>
      <c r="C1742" s="60" t="s">
        <v>1378</v>
      </c>
      <c r="D1742" s="60"/>
      <c r="E1742" s="74">
        <v>2022</v>
      </c>
      <c r="F1742" s="74" t="s">
        <v>489</v>
      </c>
      <c r="G1742" s="61">
        <v>1</v>
      </c>
      <c r="H1742" s="45">
        <v>12</v>
      </c>
      <c r="I1742" s="74">
        <f t="shared" ref="I1742:I1747" si="2">0.01743791*(1000)</f>
        <v>17.437910000000002</v>
      </c>
    </row>
    <row r="1743" spans="1:9" s="71" customFormat="1" ht="16.5" hidden="1" customHeight="1" outlineLevel="1" x14ac:dyDescent="0.25">
      <c r="A1743" s="74">
        <v>3642</v>
      </c>
      <c r="B1743" s="45" t="s">
        <v>664</v>
      </c>
      <c r="C1743" s="60" t="s">
        <v>1379</v>
      </c>
      <c r="D1743" s="60"/>
      <c r="E1743" s="74">
        <v>2022</v>
      </c>
      <c r="F1743" s="74" t="s">
        <v>489</v>
      </c>
      <c r="G1743" s="61">
        <v>1</v>
      </c>
      <c r="H1743" s="45">
        <v>15</v>
      </c>
      <c r="I1743" s="74">
        <f t="shared" si="2"/>
        <v>17.437910000000002</v>
      </c>
    </row>
    <row r="1744" spans="1:9" s="71" customFormat="1" ht="16.5" hidden="1" customHeight="1" outlineLevel="1" x14ac:dyDescent="0.25">
      <c r="A1744" s="74">
        <v>3644</v>
      </c>
      <c r="B1744" s="45" t="s">
        <v>664</v>
      </c>
      <c r="C1744" s="60" t="s">
        <v>1380</v>
      </c>
      <c r="D1744" s="60"/>
      <c r="E1744" s="74">
        <v>2022</v>
      </c>
      <c r="F1744" s="74" t="s">
        <v>489</v>
      </c>
      <c r="G1744" s="61">
        <v>1</v>
      </c>
      <c r="H1744" s="45">
        <v>15</v>
      </c>
      <c r="I1744" s="74">
        <f t="shared" si="2"/>
        <v>17.437910000000002</v>
      </c>
    </row>
    <row r="1745" spans="1:9" s="71" customFormat="1" ht="16.5" hidden="1" customHeight="1" outlineLevel="1" x14ac:dyDescent="0.25">
      <c r="A1745" s="74">
        <v>3647</v>
      </c>
      <c r="B1745" s="45" t="s">
        <v>664</v>
      </c>
      <c r="C1745" s="60" t="s">
        <v>1381</v>
      </c>
      <c r="D1745" s="60"/>
      <c r="E1745" s="74">
        <v>2022</v>
      </c>
      <c r="F1745" s="74" t="s">
        <v>489</v>
      </c>
      <c r="G1745" s="61">
        <v>1</v>
      </c>
      <c r="H1745" s="45">
        <v>15</v>
      </c>
      <c r="I1745" s="74">
        <f t="shared" si="2"/>
        <v>17.437910000000002</v>
      </c>
    </row>
    <row r="1746" spans="1:9" s="71" customFormat="1" ht="16.5" hidden="1" customHeight="1" outlineLevel="1" x14ac:dyDescent="0.25">
      <c r="A1746" s="74">
        <v>3649</v>
      </c>
      <c r="B1746" s="45" t="s">
        <v>664</v>
      </c>
      <c r="C1746" s="60" t="s">
        <v>1382</v>
      </c>
      <c r="D1746" s="60"/>
      <c r="E1746" s="74">
        <v>2022</v>
      </c>
      <c r="F1746" s="74" t="s">
        <v>489</v>
      </c>
      <c r="G1746" s="61">
        <v>1</v>
      </c>
      <c r="H1746" s="45">
        <v>15</v>
      </c>
      <c r="I1746" s="74">
        <f t="shared" si="2"/>
        <v>17.437910000000002</v>
      </c>
    </row>
    <row r="1747" spans="1:9" s="71" customFormat="1" ht="16.5" hidden="1" customHeight="1" outlineLevel="1" x14ac:dyDescent="0.25">
      <c r="A1747" s="74">
        <v>3650</v>
      </c>
      <c r="B1747" s="45" t="s">
        <v>664</v>
      </c>
      <c r="C1747" s="60" t="s">
        <v>1383</v>
      </c>
      <c r="D1747" s="60"/>
      <c r="E1747" s="74">
        <v>2022</v>
      </c>
      <c r="F1747" s="74" t="s">
        <v>489</v>
      </c>
      <c r="G1747" s="61">
        <v>1</v>
      </c>
      <c r="H1747" s="45">
        <v>15</v>
      </c>
      <c r="I1747" s="74">
        <f t="shared" si="2"/>
        <v>17.437910000000002</v>
      </c>
    </row>
    <row r="1748" spans="1:9" s="71" customFormat="1" ht="16.5" hidden="1" customHeight="1" outlineLevel="1" x14ac:dyDescent="0.25">
      <c r="A1748" s="74">
        <v>3651</v>
      </c>
      <c r="B1748" s="45" t="s">
        <v>664</v>
      </c>
      <c r="C1748" s="60" t="s">
        <v>1384</v>
      </c>
      <c r="D1748" s="60"/>
      <c r="E1748" s="74">
        <v>2022</v>
      </c>
      <c r="F1748" s="74" t="s">
        <v>489</v>
      </c>
      <c r="G1748" s="61">
        <v>1</v>
      </c>
      <c r="H1748" s="45">
        <v>150</v>
      </c>
      <c r="I1748" s="74">
        <f>0.02642324*(1000)</f>
        <v>26.42324</v>
      </c>
    </row>
    <row r="1749" spans="1:9" s="71" customFormat="1" ht="16.5" hidden="1" customHeight="1" outlineLevel="1" x14ac:dyDescent="0.25">
      <c r="A1749" s="74">
        <v>3652</v>
      </c>
      <c r="B1749" s="45" t="s">
        <v>664</v>
      </c>
      <c r="C1749" s="60" t="s">
        <v>1385</v>
      </c>
      <c r="D1749" s="60"/>
      <c r="E1749" s="74">
        <v>2022</v>
      </c>
      <c r="F1749" s="74" t="s">
        <v>489</v>
      </c>
      <c r="G1749" s="61">
        <v>1</v>
      </c>
      <c r="H1749" s="45">
        <v>15</v>
      </c>
      <c r="I1749" s="74">
        <f>0.01802068*(1000)</f>
        <v>18.020680000000002</v>
      </c>
    </row>
    <row r="1750" spans="1:9" s="71" customFormat="1" ht="16.5" hidden="1" customHeight="1" outlineLevel="1" x14ac:dyDescent="0.25">
      <c r="A1750" s="74">
        <v>3653</v>
      </c>
      <c r="B1750" s="45" t="s">
        <v>664</v>
      </c>
      <c r="C1750" s="60" t="s">
        <v>1386</v>
      </c>
      <c r="D1750" s="60"/>
      <c r="E1750" s="74">
        <v>2022</v>
      </c>
      <c r="F1750" s="74" t="s">
        <v>489</v>
      </c>
      <c r="G1750" s="61">
        <v>1</v>
      </c>
      <c r="H1750" s="45">
        <v>15</v>
      </c>
      <c r="I1750" s="74">
        <f>0.01743791*(1000)</f>
        <v>17.437910000000002</v>
      </c>
    </row>
    <row r="1751" spans="1:9" s="71" customFormat="1" ht="16.5" hidden="1" customHeight="1" outlineLevel="1" x14ac:dyDescent="0.25">
      <c r="A1751" s="74">
        <v>3654</v>
      </c>
      <c r="B1751" s="45" t="s">
        <v>664</v>
      </c>
      <c r="C1751" s="60" t="s">
        <v>1387</v>
      </c>
      <c r="D1751" s="60"/>
      <c r="E1751" s="74">
        <v>2022</v>
      </c>
      <c r="F1751" s="74" t="s">
        <v>489</v>
      </c>
      <c r="G1751" s="61">
        <v>1</v>
      </c>
      <c r="H1751" s="45">
        <v>15</v>
      </c>
      <c r="I1751" s="74">
        <f>0.01743791*(1000)</f>
        <v>17.437910000000002</v>
      </c>
    </row>
    <row r="1752" spans="1:9" s="71" customFormat="1" ht="16.5" hidden="1" customHeight="1" outlineLevel="1" x14ac:dyDescent="0.25">
      <c r="A1752" s="74">
        <v>3662</v>
      </c>
      <c r="B1752" s="45" t="s">
        <v>664</v>
      </c>
      <c r="C1752" s="60" t="s">
        <v>1388</v>
      </c>
      <c r="D1752" s="60"/>
      <c r="E1752" s="74">
        <v>2022</v>
      </c>
      <c r="F1752" s="74" t="s">
        <v>489</v>
      </c>
      <c r="G1752" s="61">
        <v>1</v>
      </c>
      <c r="H1752" s="45">
        <v>15</v>
      </c>
      <c r="I1752" s="74">
        <f>0.01802069*(1000)</f>
        <v>18.020689999999998</v>
      </c>
    </row>
    <row r="1753" spans="1:9" s="71" customFormat="1" ht="16.5" hidden="1" customHeight="1" outlineLevel="1" x14ac:dyDescent="0.25">
      <c r="A1753" s="74">
        <v>3663</v>
      </c>
      <c r="B1753" s="45" t="s">
        <v>664</v>
      </c>
      <c r="C1753" s="60" t="s">
        <v>1389</v>
      </c>
      <c r="D1753" s="60"/>
      <c r="E1753" s="74">
        <v>2022</v>
      </c>
      <c r="F1753" s="74" t="s">
        <v>489</v>
      </c>
      <c r="G1753" s="61">
        <v>1</v>
      </c>
      <c r="H1753" s="45">
        <v>15</v>
      </c>
      <c r="I1753" s="74">
        <f>0.01367266*(1000)</f>
        <v>13.67266</v>
      </c>
    </row>
    <row r="1754" spans="1:9" s="71" customFormat="1" ht="16.5" hidden="1" customHeight="1" outlineLevel="1" x14ac:dyDescent="0.25">
      <c r="A1754" s="74">
        <v>3668</v>
      </c>
      <c r="B1754" s="45" t="s">
        <v>664</v>
      </c>
      <c r="C1754" s="60" t="s">
        <v>1390</v>
      </c>
      <c r="D1754" s="60"/>
      <c r="E1754" s="74">
        <v>2022</v>
      </c>
      <c r="F1754" s="74" t="s">
        <v>489</v>
      </c>
      <c r="G1754" s="61">
        <v>1</v>
      </c>
      <c r="H1754" s="45">
        <v>10</v>
      </c>
      <c r="I1754" s="74">
        <f>0.01820723*(1000)</f>
        <v>18.207230000000003</v>
      </c>
    </row>
    <row r="1755" spans="1:9" s="71" customFormat="1" ht="16.5" hidden="1" customHeight="1" outlineLevel="1" x14ac:dyDescent="0.25">
      <c r="A1755" s="74">
        <v>3669</v>
      </c>
      <c r="B1755" s="45" t="s">
        <v>664</v>
      </c>
      <c r="C1755" s="60" t="s">
        <v>1391</v>
      </c>
      <c r="D1755" s="60"/>
      <c r="E1755" s="74">
        <v>2022</v>
      </c>
      <c r="F1755" s="74" t="s">
        <v>489</v>
      </c>
      <c r="G1755" s="61">
        <v>1</v>
      </c>
      <c r="H1755" s="45">
        <v>9</v>
      </c>
      <c r="I1755" s="74">
        <f>0.0182785*(1000)</f>
        <v>18.278500000000001</v>
      </c>
    </row>
    <row r="1756" spans="1:9" s="71" customFormat="1" ht="16.5" hidden="1" customHeight="1" outlineLevel="1" x14ac:dyDescent="0.25">
      <c r="A1756" s="74">
        <v>3670</v>
      </c>
      <c r="B1756" s="45" t="s">
        <v>664</v>
      </c>
      <c r="C1756" s="60" t="s">
        <v>1392</v>
      </c>
      <c r="D1756" s="60"/>
      <c r="E1756" s="74">
        <v>2022</v>
      </c>
      <c r="F1756" s="74" t="s">
        <v>489</v>
      </c>
      <c r="G1756" s="61">
        <v>1</v>
      </c>
      <c r="H1756" s="45">
        <v>14</v>
      </c>
      <c r="I1756" s="74">
        <f>0.01498302*(1000)</f>
        <v>14.98302</v>
      </c>
    </row>
    <row r="1757" spans="1:9" s="71" customFormat="1" ht="16.5" hidden="1" customHeight="1" outlineLevel="1" x14ac:dyDescent="0.25">
      <c r="A1757" s="74">
        <v>3671</v>
      </c>
      <c r="B1757" s="45" t="s">
        <v>664</v>
      </c>
      <c r="C1757" s="60" t="s">
        <v>1393</v>
      </c>
      <c r="D1757" s="60"/>
      <c r="E1757" s="74">
        <v>2022</v>
      </c>
      <c r="F1757" s="74" t="s">
        <v>489</v>
      </c>
      <c r="G1757" s="61">
        <v>1</v>
      </c>
      <c r="H1757" s="45">
        <v>10</v>
      </c>
      <c r="I1757" s="74">
        <f>0.01498302*(1000)</f>
        <v>14.98302</v>
      </c>
    </row>
    <row r="1758" spans="1:9" s="71" customFormat="1" ht="16.5" hidden="1" customHeight="1" outlineLevel="1" x14ac:dyDescent="0.25">
      <c r="A1758" s="74">
        <v>3672</v>
      </c>
      <c r="B1758" s="45" t="s">
        <v>664</v>
      </c>
      <c r="C1758" s="60" t="s">
        <v>1394</v>
      </c>
      <c r="D1758" s="60"/>
      <c r="E1758" s="74">
        <v>2022</v>
      </c>
      <c r="F1758" s="74" t="s">
        <v>489</v>
      </c>
      <c r="G1758" s="61">
        <v>1</v>
      </c>
      <c r="H1758" s="45">
        <v>15</v>
      </c>
      <c r="I1758" s="74">
        <f>0.01498302*(1000)</f>
        <v>14.98302</v>
      </c>
    </row>
    <row r="1759" spans="1:9" s="71" customFormat="1" ht="16.5" hidden="1" customHeight="1" outlineLevel="1" x14ac:dyDescent="0.25">
      <c r="A1759" s="74">
        <v>3676</v>
      </c>
      <c r="B1759" s="45" t="s">
        <v>664</v>
      </c>
      <c r="C1759" s="60" t="s">
        <v>1395</v>
      </c>
      <c r="D1759" s="60"/>
      <c r="E1759" s="74">
        <v>2022</v>
      </c>
      <c r="F1759" s="74" t="s">
        <v>489</v>
      </c>
      <c r="G1759" s="61">
        <v>6</v>
      </c>
      <c r="H1759" s="45">
        <v>58</v>
      </c>
      <c r="I1759" s="74">
        <f>0.06637521*(1000)</f>
        <v>66.37521000000001</v>
      </c>
    </row>
    <row r="1760" spans="1:9" s="71" customFormat="1" ht="16.5" hidden="1" customHeight="1" outlineLevel="1" x14ac:dyDescent="0.25">
      <c r="A1760" s="74">
        <v>3677</v>
      </c>
      <c r="B1760" s="45" t="s">
        <v>664</v>
      </c>
      <c r="C1760" s="60" t="s">
        <v>1396</v>
      </c>
      <c r="D1760" s="60"/>
      <c r="E1760" s="74">
        <v>2022</v>
      </c>
      <c r="F1760" s="74" t="s">
        <v>489</v>
      </c>
      <c r="G1760" s="61">
        <v>6</v>
      </c>
      <c r="H1760" s="45">
        <v>60</v>
      </c>
      <c r="I1760" s="74">
        <f>0.06637526*(1000)</f>
        <v>66.375260000000011</v>
      </c>
    </row>
    <row r="1761" spans="1:9" s="71" customFormat="1" ht="16.5" hidden="1" customHeight="1" outlineLevel="1" x14ac:dyDescent="0.25">
      <c r="A1761" s="74">
        <v>3678</v>
      </c>
      <c r="B1761" s="45" t="s">
        <v>664</v>
      </c>
      <c r="C1761" s="60" t="s">
        <v>1397</v>
      </c>
      <c r="D1761" s="60"/>
      <c r="E1761" s="74">
        <v>2022</v>
      </c>
      <c r="F1761" s="74" t="s">
        <v>489</v>
      </c>
      <c r="G1761" s="61">
        <v>1</v>
      </c>
      <c r="H1761" s="45">
        <v>20</v>
      </c>
      <c r="I1761" s="74">
        <f>0.01729418*(1000)</f>
        <v>17.294180000000001</v>
      </c>
    </row>
    <row r="1762" spans="1:9" s="71" customFormat="1" ht="16.5" hidden="1" customHeight="1" outlineLevel="1" x14ac:dyDescent="0.25">
      <c r="A1762" s="74">
        <v>3680</v>
      </c>
      <c r="B1762" s="45" t="s">
        <v>664</v>
      </c>
      <c r="C1762" s="60" t="s">
        <v>1398</v>
      </c>
      <c r="D1762" s="60"/>
      <c r="E1762" s="74">
        <v>2022</v>
      </c>
      <c r="F1762" s="74" t="s">
        <v>489</v>
      </c>
      <c r="G1762" s="61">
        <v>3</v>
      </c>
      <c r="H1762" s="45">
        <v>37</v>
      </c>
      <c r="I1762" s="74">
        <f>0.04364963*(1000)</f>
        <v>43.649630000000002</v>
      </c>
    </row>
    <row r="1763" spans="1:9" s="71" customFormat="1" ht="16.5" hidden="1" customHeight="1" outlineLevel="1" x14ac:dyDescent="0.25">
      <c r="A1763" s="74">
        <v>3682</v>
      </c>
      <c r="B1763" s="45" t="s">
        <v>664</v>
      </c>
      <c r="C1763" s="60" t="s">
        <v>1399</v>
      </c>
      <c r="D1763" s="60"/>
      <c r="E1763" s="74">
        <v>2022</v>
      </c>
      <c r="F1763" s="74" t="s">
        <v>489</v>
      </c>
      <c r="G1763" s="61">
        <v>6</v>
      </c>
      <c r="H1763" s="45">
        <v>74</v>
      </c>
      <c r="I1763" s="74">
        <f>0.07984387*(1000)</f>
        <v>79.843869999999995</v>
      </c>
    </row>
    <row r="1764" spans="1:9" s="71" customFormat="1" ht="16.5" hidden="1" customHeight="1" outlineLevel="1" x14ac:dyDescent="0.25">
      <c r="A1764" s="74">
        <v>3683</v>
      </c>
      <c r="B1764" s="45" t="s">
        <v>664</v>
      </c>
      <c r="C1764" s="60" t="s">
        <v>1400</v>
      </c>
      <c r="D1764" s="60"/>
      <c r="E1764" s="74">
        <v>2022</v>
      </c>
      <c r="F1764" s="74" t="s">
        <v>489</v>
      </c>
      <c r="G1764" s="61">
        <v>5</v>
      </c>
      <c r="H1764" s="45">
        <v>55</v>
      </c>
      <c r="I1764" s="74">
        <f>0.06332725*(1000)</f>
        <v>63.327249999999999</v>
      </c>
    </row>
    <row r="1765" spans="1:9" s="71" customFormat="1" ht="16.5" hidden="1" customHeight="1" outlineLevel="1" x14ac:dyDescent="0.25">
      <c r="A1765" s="74">
        <v>3684</v>
      </c>
      <c r="B1765" s="45" t="s">
        <v>664</v>
      </c>
      <c r="C1765" s="60" t="s">
        <v>1401</v>
      </c>
      <c r="D1765" s="60"/>
      <c r="E1765" s="74">
        <v>2022</v>
      </c>
      <c r="F1765" s="74" t="s">
        <v>489</v>
      </c>
      <c r="G1765" s="61">
        <v>3</v>
      </c>
      <c r="H1765" s="45">
        <v>35</v>
      </c>
      <c r="I1765" s="74">
        <f>0.04364963*(1000)</f>
        <v>43.649630000000002</v>
      </c>
    </row>
    <row r="1766" spans="1:9" s="71" customFormat="1" ht="16.5" hidden="1" customHeight="1" outlineLevel="1" x14ac:dyDescent="0.25">
      <c r="A1766" s="74">
        <v>3685</v>
      </c>
      <c r="B1766" s="45" t="s">
        <v>664</v>
      </c>
      <c r="C1766" s="60" t="s">
        <v>1402</v>
      </c>
      <c r="D1766" s="60"/>
      <c r="E1766" s="74">
        <v>2022</v>
      </c>
      <c r="F1766" s="74" t="s">
        <v>489</v>
      </c>
      <c r="G1766" s="61">
        <v>5</v>
      </c>
      <c r="H1766" s="45">
        <v>58</v>
      </c>
      <c r="I1766" s="74">
        <f>0.07015171*(1000)</f>
        <v>70.151710000000008</v>
      </c>
    </row>
    <row r="1767" spans="1:9" s="71" customFormat="1" ht="16.5" hidden="1" customHeight="1" outlineLevel="1" x14ac:dyDescent="0.25">
      <c r="A1767" s="74">
        <v>3686</v>
      </c>
      <c r="B1767" s="45" t="s">
        <v>664</v>
      </c>
      <c r="C1767" s="60" t="s">
        <v>1403</v>
      </c>
      <c r="D1767" s="60"/>
      <c r="E1767" s="74">
        <v>2022</v>
      </c>
      <c r="F1767" s="74" t="s">
        <v>489</v>
      </c>
      <c r="G1767" s="61">
        <v>4</v>
      </c>
      <c r="H1767" s="45">
        <v>47</v>
      </c>
      <c r="I1767" s="74">
        <f>0.05349765*(1000)</f>
        <v>53.49765</v>
      </c>
    </row>
    <row r="1768" spans="1:9" s="71" customFormat="1" ht="16.5" hidden="1" customHeight="1" outlineLevel="1" x14ac:dyDescent="0.25">
      <c r="A1768" s="74">
        <v>3687</v>
      </c>
      <c r="B1768" s="45" t="s">
        <v>664</v>
      </c>
      <c r="C1768" s="60" t="s">
        <v>1404</v>
      </c>
      <c r="D1768" s="60"/>
      <c r="E1768" s="74">
        <v>2022</v>
      </c>
      <c r="F1768" s="74" t="s">
        <v>489</v>
      </c>
      <c r="G1768" s="61">
        <v>7</v>
      </c>
      <c r="H1768" s="45">
        <v>87</v>
      </c>
      <c r="I1768" s="74">
        <f>0.09648351*(1000)</f>
        <v>96.483509999999995</v>
      </c>
    </row>
    <row r="1769" spans="1:9" s="71" customFormat="1" ht="16.5" hidden="1" customHeight="1" outlineLevel="1" x14ac:dyDescent="0.25">
      <c r="A1769" s="74">
        <v>3688</v>
      </c>
      <c r="B1769" s="45" t="s">
        <v>664</v>
      </c>
      <c r="C1769" s="60" t="s">
        <v>1405</v>
      </c>
      <c r="D1769" s="60"/>
      <c r="E1769" s="74">
        <v>2022</v>
      </c>
      <c r="F1769" s="74" t="s">
        <v>489</v>
      </c>
      <c r="G1769" s="61">
        <v>6</v>
      </c>
      <c r="H1769" s="45">
        <v>70</v>
      </c>
      <c r="I1769" s="74">
        <f>0.07999053*(1000)</f>
        <v>79.990530000000007</v>
      </c>
    </row>
    <row r="1770" spans="1:9" s="71" customFormat="1" ht="16.5" hidden="1" customHeight="1" outlineLevel="1" x14ac:dyDescent="0.25">
      <c r="A1770" s="74">
        <v>3689</v>
      </c>
      <c r="B1770" s="45" t="s">
        <v>664</v>
      </c>
      <c r="C1770" s="60" t="s">
        <v>1406</v>
      </c>
      <c r="D1770" s="60"/>
      <c r="E1770" s="74">
        <v>2022</v>
      </c>
      <c r="F1770" s="74" t="s">
        <v>489</v>
      </c>
      <c r="G1770" s="61">
        <v>6</v>
      </c>
      <c r="H1770" s="45">
        <v>76</v>
      </c>
      <c r="I1770" s="74">
        <f>0.08664467*(1000)</f>
        <v>86.644669999999991</v>
      </c>
    </row>
    <row r="1771" spans="1:9" s="71" customFormat="1" ht="16.5" hidden="1" customHeight="1" outlineLevel="1" x14ac:dyDescent="0.25">
      <c r="A1771" s="74">
        <v>3690</v>
      </c>
      <c r="B1771" s="45" t="s">
        <v>664</v>
      </c>
      <c r="C1771" s="60" t="s">
        <v>1407</v>
      </c>
      <c r="D1771" s="60"/>
      <c r="E1771" s="74">
        <v>2022</v>
      </c>
      <c r="F1771" s="74" t="s">
        <v>489</v>
      </c>
      <c r="G1771" s="61">
        <v>5</v>
      </c>
      <c r="H1771" s="45">
        <v>60</v>
      </c>
      <c r="I1771" s="74">
        <f>0.06347388*(1000)</f>
        <v>63.473879999999994</v>
      </c>
    </row>
    <row r="1772" spans="1:9" s="71" customFormat="1" ht="16.5" hidden="1" customHeight="1" outlineLevel="1" x14ac:dyDescent="0.25">
      <c r="A1772" s="74">
        <v>3691</v>
      </c>
      <c r="B1772" s="45" t="s">
        <v>664</v>
      </c>
      <c r="C1772" s="60" t="s">
        <v>1408</v>
      </c>
      <c r="D1772" s="60"/>
      <c r="E1772" s="74">
        <v>2022</v>
      </c>
      <c r="F1772" s="74" t="s">
        <v>489</v>
      </c>
      <c r="G1772" s="61">
        <v>6</v>
      </c>
      <c r="H1772" s="45">
        <v>68</v>
      </c>
      <c r="I1772" s="74">
        <f>0.07985428*(1000)</f>
        <v>79.854280000000003</v>
      </c>
    </row>
    <row r="1773" spans="1:9" s="71" customFormat="1" ht="16.5" hidden="1" customHeight="1" outlineLevel="1" x14ac:dyDescent="0.25">
      <c r="A1773" s="74">
        <v>3692</v>
      </c>
      <c r="B1773" s="45" t="s">
        <v>664</v>
      </c>
      <c r="C1773" s="60" t="s">
        <v>1409</v>
      </c>
      <c r="D1773" s="60"/>
      <c r="E1773" s="74">
        <v>2022</v>
      </c>
      <c r="F1773" s="74" t="s">
        <v>489</v>
      </c>
      <c r="G1773" s="61">
        <v>3</v>
      </c>
      <c r="H1773" s="45">
        <v>40</v>
      </c>
      <c r="I1773" s="74">
        <f>0.04379628*(1000)</f>
        <v>43.796280000000003</v>
      </c>
    </row>
    <row r="1774" spans="1:9" s="71" customFormat="1" ht="16.5" hidden="1" customHeight="1" outlineLevel="1" x14ac:dyDescent="0.25">
      <c r="A1774" s="74">
        <v>3693</v>
      </c>
      <c r="B1774" s="45" t="s">
        <v>664</v>
      </c>
      <c r="C1774" s="60" t="s">
        <v>1410</v>
      </c>
      <c r="D1774" s="60"/>
      <c r="E1774" s="74">
        <v>2022</v>
      </c>
      <c r="F1774" s="74" t="s">
        <v>489</v>
      </c>
      <c r="G1774" s="61">
        <v>5</v>
      </c>
      <c r="H1774" s="45">
        <v>62</v>
      </c>
      <c r="I1774" s="74">
        <f>0.07680591*(1000)</f>
        <v>76.805910000000011</v>
      </c>
    </row>
    <row r="1775" spans="1:9" s="71" customFormat="1" ht="16.5" hidden="1" customHeight="1" outlineLevel="1" x14ac:dyDescent="0.25">
      <c r="A1775" s="74">
        <v>3694</v>
      </c>
      <c r="B1775" s="45" t="s">
        <v>664</v>
      </c>
      <c r="C1775" s="60" t="s">
        <v>1411</v>
      </c>
      <c r="D1775" s="60"/>
      <c r="E1775" s="74">
        <v>2022</v>
      </c>
      <c r="F1775" s="74" t="s">
        <v>489</v>
      </c>
      <c r="G1775" s="61">
        <v>6</v>
      </c>
      <c r="H1775" s="45">
        <v>77</v>
      </c>
      <c r="I1775" s="74">
        <f>0.08663266*(1000)</f>
        <v>86.632660000000001</v>
      </c>
    </row>
    <row r="1776" spans="1:9" s="71" customFormat="1" ht="16.5" hidden="1" customHeight="1" outlineLevel="1" x14ac:dyDescent="0.25">
      <c r="A1776" s="74">
        <v>3695</v>
      </c>
      <c r="B1776" s="45" t="s">
        <v>664</v>
      </c>
      <c r="C1776" s="60" t="s">
        <v>1412</v>
      </c>
      <c r="D1776" s="60"/>
      <c r="E1776" s="74">
        <v>2022</v>
      </c>
      <c r="F1776" s="74" t="s">
        <v>489</v>
      </c>
      <c r="G1776" s="61">
        <v>6</v>
      </c>
      <c r="H1776" s="45">
        <v>66</v>
      </c>
      <c r="I1776" s="74">
        <f>0.07341255*(1000)</f>
        <v>73.412549999999996</v>
      </c>
    </row>
    <row r="1777" spans="1:9" s="71" customFormat="1" ht="16.5" hidden="1" customHeight="1" outlineLevel="1" x14ac:dyDescent="0.25">
      <c r="A1777" s="74">
        <v>3696</v>
      </c>
      <c r="B1777" s="45" t="s">
        <v>664</v>
      </c>
      <c r="C1777" s="60" t="s">
        <v>1413</v>
      </c>
      <c r="D1777" s="60"/>
      <c r="E1777" s="74">
        <v>2022</v>
      </c>
      <c r="F1777" s="74" t="s">
        <v>489</v>
      </c>
      <c r="G1777" s="61">
        <v>6</v>
      </c>
      <c r="H1777" s="45">
        <v>67</v>
      </c>
      <c r="I1777" s="74">
        <f>0.07341838*(1000)</f>
        <v>73.418379999999999</v>
      </c>
    </row>
    <row r="1778" spans="1:9" s="71" customFormat="1" ht="16.5" hidden="1" customHeight="1" outlineLevel="1" x14ac:dyDescent="0.25">
      <c r="A1778" s="74">
        <v>3697</v>
      </c>
      <c r="B1778" s="45" t="s">
        <v>664</v>
      </c>
      <c r="C1778" s="60" t="s">
        <v>1414</v>
      </c>
      <c r="D1778" s="60"/>
      <c r="E1778" s="74">
        <v>2022</v>
      </c>
      <c r="F1778" s="74" t="s">
        <v>489</v>
      </c>
      <c r="G1778" s="61">
        <v>1</v>
      </c>
      <c r="H1778" s="45">
        <v>15</v>
      </c>
      <c r="I1778" s="74">
        <f>0.01740576*(1000)</f>
        <v>17.405760000000001</v>
      </c>
    </row>
    <row r="1779" spans="1:9" s="71" customFormat="1" ht="16.5" hidden="1" customHeight="1" outlineLevel="1" x14ac:dyDescent="0.25">
      <c r="A1779" s="74">
        <v>3698</v>
      </c>
      <c r="B1779" s="45" t="s">
        <v>664</v>
      </c>
      <c r="C1779" s="60" t="s">
        <v>1415</v>
      </c>
      <c r="D1779" s="60"/>
      <c r="E1779" s="74">
        <v>2022</v>
      </c>
      <c r="F1779" s="74" t="s">
        <v>489</v>
      </c>
      <c r="G1779" s="61">
        <v>6</v>
      </c>
      <c r="H1779" s="45">
        <v>70</v>
      </c>
      <c r="I1779" s="74">
        <f>0.07342423*(1000)</f>
        <v>73.424229999999994</v>
      </c>
    </row>
    <row r="1780" spans="1:9" s="71" customFormat="1" ht="16.5" hidden="1" customHeight="1" outlineLevel="1" x14ac:dyDescent="0.25">
      <c r="A1780" s="74">
        <v>3699</v>
      </c>
      <c r="B1780" s="45" t="s">
        <v>664</v>
      </c>
      <c r="C1780" s="60" t="s">
        <v>1416</v>
      </c>
      <c r="D1780" s="60"/>
      <c r="E1780" s="74">
        <v>2022</v>
      </c>
      <c r="F1780" s="74" t="s">
        <v>489</v>
      </c>
      <c r="G1780" s="61">
        <v>7</v>
      </c>
      <c r="H1780" s="45">
        <v>85</v>
      </c>
      <c r="I1780" s="74">
        <f>0.1032966*(1000)</f>
        <v>103.2966</v>
      </c>
    </row>
    <row r="1781" spans="1:9" s="71" customFormat="1" ht="16.5" hidden="1" customHeight="1" outlineLevel="1" x14ac:dyDescent="0.25">
      <c r="A1781" s="74">
        <v>3700</v>
      </c>
      <c r="B1781" s="45" t="s">
        <v>664</v>
      </c>
      <c r="C1781" s="60" t="s">
        <v>1417</v>
      </c>
      <c r="D1781" s="60"/>
      <c r="E1781" s="74">
        <v>2022</v>
      </c>
      <c r="F1781" s="74" t="s">
        <v>489</v>
      </c>
      <c r="G1781" s="61">
        <v>2</v>
      </c>
      <c r="H1781" s="45">
        <v>30</v>
      </c>
      <c r="I1781" s="74">
        <f>0.03414566*(1000)</f>
        <v>34.145659999999999</v>
      </c>
    </row>
    <row r="1782" spans="1:9" s="71" customFormat="1" ht="16.5" hidden="1" customHeight="1" outlineLevel="1" x14ac:dyDescent="0.25">
      <c r="A1782" s="74">
        <v>3701</v>
      </c>
      <c r="B1782" s="45" t="s">
        <v>664</v>
      </c>
      <c r="C1782" s="60" t="s">
        <v>1418</v>
      </c>
      <c r="D1782" s="60"/>
      <c r="E1782" s="74">
        <v>2022</v>
      </c>
      <c r="F1782" s="74" t="s">
        <v>489</v>
      </c>
      <c r="G1782" s="61">
        <v>1</v>
      </c>
      <c r="H1782" s="45">
        <v>15</v>
      </c>
      <c r="I1782" s="74">
        <f>0.01750697*(1000)</f>
        <v>17.506969999999999</v>
      </c>
    </row>
    <row r="1783" spans="1:9" s="71" customFormat="1" ht="16.5" hidden="1" customHeight="1" outlineLevel="1" x14ac:dyDescent="0.25">
      <c r="A1783" s="74">
        <v>3702</v>
      </c>
      <c r="B1783" s="45" t="s">
        <v>664</v>
      </c>
      <c r="C1783" s="60" t="s">
        <v>1419</v>
      </c>
      <c r="D1783" s="60"/>
      <c r="E1783" s="74">
        <v>2022</v>
      </c>
      <c r="F1783" s="74" t="s">
        <v>489</v>
      </c>
      <c r="G1783" s="61">
        <v>8</v>
      </c>
      <c r="H1783" s="45">
        <v>78</v>
      </c>
      <c r="I1783" s="74">
        <f>0.08645634*(1000)</f>
        <v>86.456340000000012</v>
      </c>
    </row>
    <row r="1784" spans="1:9" s="71" customFormat="1" ht="16.5" hidden="1" customHeight="1" outlineLevel="1" x14ac:dyDescent="0.25">
      <c r="A1784" s="74">
        <v>3703</v>
      </c>
      <c r="B1784" s="45" t="s">
        <v>664</v>
      </c>
      <c r="C1784" s="60" t="s">
        <v>1420</v>
      </c>
      <c r="D1784" s="60"/>
      <c r="E1784" s="74">
        <v>2022</v>
      </c>
      <c r="F1784" s="74" t="s">
        <v>489</v>
      </c>
      <c r="G1784" s="61">
        <v>2</v>
      </c>
      <c r="H1784" s="45">
        <v>30</v>
      </c>
      <c r="I1784" s="74">
        <f>0.0340972*(1000)</f>
        <v>34.097200000000001</v>
      </c>
    </row>
    <row r="1785" spans="1:9" s="71" customFormat="1" ht="16.5" hidden="1" customHeight="1" outlineLevel="1" x14ac:dyDescent="0.25">
      <c r="A1785" s="74">
        <v>3704</v>
      </c>
      <c r="B1785" s="45" t="s">
        <v>664</v>
      </c>
      <c r="C1785" s="60" t="s">
        <v>1421</v>
      </c>
      <c r="D1785" s="60"/>
      <c r="E1785" s="74">
        <v>2022</v>
      </c>
      <c r="F1785" s="74" t="s">
        <v>489</v>
      </c>
      <c r="G1785" s="61">
        <v>10</v>
      </c>
      <c r="H1785" s="45">
        <v>117</v>
      </c>
      <c r="I1785" s="74">
        <f>0.13269903*(1000)</f>
        <v>132.69902999999999</v>
      </c>
    </row>
    <row r="1786" spans="1:9" s="71" customFormat="1" ht="16.5" hidden="1" customHeight="1" outlineLevel="1" x14ac:dyDescent="0.25">
      <c r="A1786" s="74">
        <v>3705</v>
      </c>
      <c r="B1786" s="45" t="s">
        <v>664</v>
      </c>
      <c r="C1786" s="60" t="s">
        <v>1422</v>
      </c>
      <c r="D1786" s="60"/>
      <c r="E1786" s="74">
        <v>2022</v>
      </c>
      <c r="F1786" s="74" t="s">
        <v>489</v>
      </c>
      <c r="G1786" s="61">
        <v>5</v>
      </c>
      <c r="H1786" s="45">
        <v>74</v>
      </c>
      <c r="I1786" s="74">
        <f>0.08320859*(1000)</f>
        <v>83.208590000000001</v>
      </c>
    </row>
    <row r="1787" spans="1:9" s="71" customFormat="1" ht="16.5" hidden="1" customHeight="1" outlineLevel="1" x14ac:dyDescent="0.25">
      <c r="A1787" s="74">
        <v>3707</v>
      </c>
      <c r="B1787" s="45" t="s">
        <v>664</v>
      </c>
      <c r="C1787" s="60" t="s">
        <v>1423</v>
      </c>
      <c r="D1787" s="60"/>
      <c r="E1787" s="74">
        <v>2022</v>
      </c>
      <c r="F1787" s="74" t="s">
        <v>489</v>
      </c>
      <c r="G1787" s="61">
        <v>2</v>
      </c>
      <c r="H1787" s="45">
        <v>25</v>
      </c>
      <c r="I1787" s="74">
        <f>0.03716761*(1000)</f>
        <v>37.167609999999996</v>
      </c>
    </row>
    <row r="1788" spans="1:9" s="71" customFormat="1" ht="16.5" hidden="1" customHeight="1" outlineLevel="1" x14ac:dyDescent="0.25">
      <c r="A1788" s="74">
        <v>3708</v>
      </c>
      <c r="B1788" s="45" t="s">
        <v>664</v>
      </c>
      <c r="C1788" s="60" t="s">
        <v>1424</v>
      </c>
      <c r="D1788" s="60"/>
      <c r="E1788" s="74">
        <v>2022</v>
      </c>
      <c r="F1788" s="74" t="s">
        <v>489</v>
      </c>
      <c r="G1788" s="61">
        <v>1</v>
      </c>
      <c r="H1788" s="45">
        <v>10</v>
      </c>
      <c r="I1788" s="74">
        <f>0.01744768*(1000)</f>
        <v>17.447680000000002</v>
      </c>
    </row>
    <row r="1789" spans="1:9" s="71" customFormat="1" ht="16.5" hidden="1" customHeight="1" outlineLevel="1" x14ac:dyDescent="0.25">
      <c r="A1789" s="74">
        <v>3712</v>
      </c>
      <c r="B1789" s="45" t="s">
        <v>664</v>
      </c>
      <c r="C1789" s="60" t="s">
        <v>1425</v>
      </c>
      <c r="D1789" s="60"/>
      <c r="E1789" s="74">
        <v>2022</v>
      </c>
      <c r="F1789" s="74" t="s">
        <v>489</v>
      </c>
      <c r="G1789" s="61">
        <v>1</v>
      </c>
      <c r="H1789" s="45">
        <v>15</v>
      </c>
      <c r="I1789" s="74">
        <f>0.01741015*(1000)</f>
        <v>17.410149999999998</v>
      </c>
    </row>
    <row r="1790" spans="1:9" s="71" customFormat="1" ht="16.5" hidden="1" customHeight="1" outlineLevel="1" x14ac:dyDescent="0.25">
      <c r="A1790" s="74">
        <v>3718</v>
      </c>
      <c r="B1790" s="45" t="s">
        <v>664</v>
      </c>
      <c r="C1790" s="60" t="s">
        <v>1426</v>
      </c>
      <c r="D1790" s="60"/>
      <c r="E1790" s="74">
        <v>2022</v>
      </c>
      <c r="F1790" s="74" t="s">
        <v>489</v>
      </c>
      <c r="G1790" s="61">
        <v>1</v>
      </c>
      <c r="H1790" s="45">
        <v>15</v>
      </c>
      <c r="I1790" s="74">
        <f>0.01728712*(1000)</f>
        <v>17.287119999999998</v>
      </c>
    </row>
    <row r="1791" spans="1:9" s="71" customFormat="1" ht="16.5" hidden="1" customHeight="1" outlineLevel="1" x14ac:dyDescent="0.25">
      <c r="A1791" s="74">
        <v>3719</v>
      </c>
      <c r="B1791" s="45" t="s">
        <v>664</v>
      </c>
      <c r="C1791" s="60" t="s">
        <v>1427</v>
      </c>
      <c r="D1791" s="60"/>
      <c r="E1791" s="74">
        <v>2022</v>
      </c>
      <c r="F1791" s="74" t="s">
        <v>489</v>
      </c>
      <c r="G1791" s="61">
        <v>1</v>
      </c>
      <c r="H1791" s="45">
        <v>15</v>
      </c>
      <c r="I1791" s="74">
        <f>0.01741015*(1000)</f>
        <v>17.410149999999998</v>
      </c>
    </row>
    <row r="1792" spans="1:9" s="71" customFormat="1" ht="16.5" hidden="1" customHeight="1" outlineLevel="1" x14ac:dyDescent="0.25">
      <c r="A1792" s="74">
        <v>3721</v>
      </c>
      <c r="B1792" s="45" t="s">
        <v>664</v>
      </c>
      <c r="C1792" s="60" t="s">
        <v>1428</v>
      </c>
      <c r="D1792" s="60"/>
      <c r="E1792" s="74">
        <v>2022</v>
      </c>
      <c r="F1792" s="74" t="s">
        <v>489</v>
      </c>
      <c r="G1792" s="61">
        <v>1</v>
      </c>
      <c r="H1792" s="45">
        <v>10</v>
      </c>
      <c r="I1792" s="74">
        <f>0.027201*(1000)</f>
        <v>27.201000000000001</v>
      </c>
    </row>
    <row r="1793" spans="1:9" s="71" customFormat="1" ht="16.5" hidden="1" customHeight="1" outlineLevel="1" x14ac:dyDescent="0.25">
      <c r="A1793" s="74">
        <v>3722</v>
      </c>
      <c r="B1793" s="45" t="s">
        <v>664</v>
      </c>
      <c r="C1793" s="60" t="s">
        <v>1429</v>
      </c>
      <c r="D1793" s="60"/>
      <c r="E1793" s="74">
        <v>2022</v>
      </c>
      <c r="F1793" s="74" t="s">
        <v>489</v>
      </c>
      <c r="G1793" s="61">
        <v>1</v>
      </c>
      <c r="H1793" s="45">
        <v>15</v>
      </c>
      <c r="I1793" s="74">
        <f>0.01741015*(1000)</f>
        <v>17.410149999999998</v>
      </c>
    </row>
    <row r="1794" spans="1:9" s="71" customFormat="1" ht="16.5" hidden="1" customHeight="1" outlineLevel="1" x14ac:dyDescent="0.25">
      <c r="A1794" s="74">
        <v>3724</v>
      </c>
      <c r="B1794" s="45" t="s">
        <v>664</v>
      </c>
      <c r="C1794" s="60" t="s">
        <v>1430</v>
      </c>
      <c r="D1794" s="60"/>
      <c r="E1794" s="74">
        <v>2022</v>
      </c>
      <c r="F1794" s="74" t="s">
        <v>489</v>
      </c>
      <c r="G1794" s="61">
        <v>1</v>
      </c>
      <c r="H1794" s="45">
        <v>15</v>
      </c>
      <c r="I1794" s="74">
        <f>0.01741015*(1000)</f>
        <v>17.410149999999998</v>
      </c>
    </row>
    <row r="1795" spans="1:9" s="71" customFormat="1" ht="16.5" hidden="1" customHeight="1" outlineLevel="1" x14ac:dyDescent="0.25">
      <c r="A1795" s="74">
        <v>3729</v>
      </c>
      <c r="B1795" s="45" t="s">
        <v>664</v>
      </c>
      <c r="C1795" s="60" t="s">
        <v>1431</v>
      </c>
      <c r="D1795" s="60"/>
      <c r="E1795" s="74">
        <v>2022</v>
      </c>
      <c r="F1795" s="74" t="s">
        <v>489</v>
      </c>
      <c r="G1795" s="61">
        <v>1</v>
      </c>
      <c r="H1795" s="45">
        <v>15</v>
      </c>
      <c r="I1795" s="74">
        <f>0.01741015*(1000)</f>
        <v>17.410149999999998</v>
      </c>
    </row>
    <row r="1796" spans="1:9" s="71" customFormat="1" ht="16.5" hidden="1" customHeight="1" outlineLevel="1" x14ac:dyDescent="0.25">
      <c r="A1796" s="74">
        <v>3730</v>
      </c>
      <c r="B1796" s="45" t="s">
        <v>664</v>
      </c>
      <c r="C1796" s="60" t="s">
        <v>1432</v>
      </c>
      <c r="D1796" s="60"/>
      <c r="E1796" s="74">
        <v>2022</v>
      </c>
      <c r="F1796" s="74" t="s">
        <v>489</v>
      </c>
      <c r="G1796" s="61">
        <v>1</v>
      </c>
      <c r="H1796" s="45">
        <v>15</v>
      </c>
      <c r="I1796" s="74">
        <f>0.027201*(1000)</f>
        <v>27.201000000000001</v>
      </c>
    </row>
    <row r="1797" spans="1:9" s="71" customFormat="1" ht="16.5" hidden="1" customHeight="1" outlineLevel="1" x14ac:dyDescent="0.25">
      <c r="A1797" s="74">
        <v>3732</v>
      </c>
      <c r="B1797" s="45" t="s">
        <v>664</v>
      </c>
      <c r="C1797" s="60" t="s">
        <v>1433</v>
      </c>
      <c r="D1797" s="60"/>
      <c r="E1797" s="74">
        <v>2022</v>
      </c>
      <c r="F1797" s="74" t="s">
        <v>489</v>
      </c>
      <c r="G1797" s="61">
        <v>1</v>
      </c>
      <c r="H1797" s="45">
        <v>15</v>
      </c>
      <c r="I1797" s="74">
        <f>0.02707797*(1000)</f>
        <v>27.077970000000001</v>
      </c>
    </row>
    <row r="1798" spans="1:9" s="71" customFormat="1" ht="16.5" hidden="1" customHeight="1" outlineLevel="1" x14ac:dyDescent="0.25">
      <c r="A1798" s="74">
        <v>3734</v>
      </c>
      <c r="B1798" s="45" t="s">
        <v>664</v>
      </c>
      <c r="C1798" s="60" t="s">
        <v>1434</v>
      </c>
      <c r="D1798" s="60"/>
      <c r="E1798" s="74">
        <v>2022</v>
      </c>
      <c r="F1798" s="74" t="s">
        <v>489</v>
      </c>
      <c r="G1798" s="61">
        <v>1</v>
      </c>
      <c r="H1798" s="45">
        <v>15</v>
      </c>
      <c r="I1798" s="74">
        <f>0.02707797*(1000)</f>
        <v>27.077970000000001</v>
      </c>
    </row>
    <row r="1799" spans="1:9" s="71" customFormat="1" ht="16.5" hidden="1" customHeight="1" outlineLevel="1" x14ac:dyDescent="0.25">
      <c r="A1799" s="74">
        <v>3739</v>
      </c>
      <c r="B1799" s="45" t="s">
        <v>664</v>
      </c>
      <c r="C1799" s="60" t="s">
        <v>1435</v>
      </c>
      <c r="D1799" s="60"/>
      <c r="E1799" s="74">
        <v>2022</v>
      </c>
      <c r="F1799" s="74" t="s">
        <v>489</v>
      </c>
      <c r="G1799" s="61">
        <v>1</v>
      </c>
      <c r="H1799" s="45">
        <v>60</v>
      </c>
      <c r="I1799" s="74">
        <f>0.01714049*(1000)</f>
        <v>17.14049</v>
      </c>
    </row>
    <row r="1800" spans="1:9" s="71" customFormat="1" ht="16.5" hidden="1" customHeight="1" outlineLevel="1" x14ac:dyDescent="0.25">
      <c r="A1800" s="74">
        <v>3741</v>
      </c>
      <c r="B1800" s="45" t="s">
        <v>664</v>
      </c>
      <c r="C1800" s="60" t="s">
        <v>1436</v>
      </c>
      <c r="D1800" s="60"/>
      <c r="E1800" s="74">
        <v>2022</v>
      </c>
      <c r="F1800" s="74" t="s">
        <v>489</v>
      </c>
      <c r="G1800" s="61">
        <v>1</v>
      </c>
      <c r="H1800" s="45">
        <v>15</v>
      </c>
      <c r="I1800" s="74">
        <f>0.01714049*(1000)</f>
        <v>17.14049</v>
      </c>
    </row>
    <row r="1801" spans="1:9" s="71" customFormat="1" ht="16.5" hidden="1" customHeight="1" outlineLevel="1" x14ac:dyDescent="0.25">
      <c r="A1801" s="74">
        <v>3742</v>
      </c>
      <c r="B1801" s="45" t="s">
        <v>664</v>
      </c>
      <c r="C1801" s="60" t="s">
        <v>1437</v>
      </c>
      <c r="D1801" s="60"/>
      <c r="E1801" s="74">
        <v>2022</v>
      </c>
      <c r="F1801" s="74" t="s">
        <v>489</v>
      </c>
      <c r="G1801" s="61">
        <v>1</v>
      </c>
      <c r="H1801" s="45">
        <v>15</v>
      </c>
      <c r="I1801" s="74">
        <f>0.02707797*(1000)</f>
        <v>27.077970000000001</v>
      </c>
    </row>
    <row r="1802" spans="1:9" s="71" customFormat="1" ht="16.5" hidden="1" customHeight="1" outlineLevel="1" x14ac:dyDescent="0.25">
      <c r="A1802" s="74">
        <v>3748</v>
      </c>
      <c r="B1802" s="45" t="s">
        <v>664</v>
      </c>
      <c r="C1802" s="60" t="s">
        <v>1438</v>
      </c>
      <c r="D1802" s="60"/>
      <c r="E1802" s="74">
        <v>2022</v>
      </c>
      <c r="F1802" s="74" t="s">
        <v>489</v>
      </c>
      <c r="G1802" s="61">
        <v>1</v>
      </c>
      <c r="H1802" s="45">
        <v>15</v>
      </c>
      <c r="I1802" s="74">
        <f>0.01726354*(1000)</f>
        <v>17.263540000000003</v>
      </c>
    </row>
    <row r="1803" spans="1:9" s="71" customFormat="1" ht="16.5" hidden="1" customHeight="1" outlineLevel="1" x14ac:dyDescent="0.25">
      <c r="A1803" s="74">
        <v>3749</v>
      </c>
      <c r="B1803" s="45" t="s">
        <v>664</v>
      </c>
      <c r="C1803" s="60" t="s">
        <v>1439</v>
      </c>
      <c r="D1803" s="60"/>
      <c r="E1803" s="74">
        <v>2022</v>
      </c>
      <c r="F1803" s="74" t="s">
        <v>489</v>
      </c>
      <c r="G1803" s="61">
        <v>1</v>
      </c>
      <c r="H1803" s="45">
        <v>15</v>
      </c>
      <c r="I1803" s="74">
        <f>0.01726354*(1000)</f>
        <v>17.263540000000003</v>
      </c>
    </row>
    <row r="1804" spans="1:9" s="71" customFormat="1" ht="16.5" hidden="1" customHeight="1" outlineLevel="1" x14ac:dyDescent="0.25">
      <c r="A1804" s="74">
        <v>3753</v>
      </c>
      <c r="B1804" s="45" t="s">
        <v>664</v>
      </c>
      <c r="C1804" s="60" t="s">
        <v>1440</v>
      </c>
      <c r="D1804" s="60"/>
      <c r="E1804" s="74">
        <v>2022</v>
      </c>
      <c r="F1804" s="74" t="s">
        <v>489</v>
      </c>
      <c r="G1804" s="61">
        <v>1</v>
      </c>
      <c r="H1804" s="45">
        <v>5</v>
      </c>
      <c r="I1804" s="74">
        <f>0.01726354*(1000)</f>
        <v>17.263540000000003</v>
      </c>
    </row>
    <row r="1805" spans="1:9" s="71" customFormat="1" ht="16.5" hidden="1" customHeight="1" outlineLevel="1" x14ac:dyDescent="0.25">
      <c r="A1805" s="74">
        <v>3754</v>
      </c>
      <c r="B1805" s="45" t="s">
        <v>664</v>
      </c>
      <c r="C1805" s="60" t="s">
        <v>1441</v>
      </c>
      <c r="D1805" s="60"/>
      <c r="E1805" s="74">
        <v>2022</v>
      </c>
      <c r="F1805" s="74" t="s">
        <v>489</v>
      </c>
      <c r="G1805" s="61">
        <v>1</v>
      </c>
      <c r="H1805" s="45">
        <v>15</v>
      </c>
      <c r="I1805" s="74">
        <f>0.027201*(1000)</f>
        <v>27.201000000000001</v>
      </c>
    </row>
    <row r="1806" spans="1:9" s="71" customFormat="1" ht="16.5" hidden="1" customHeight="1" outlineLevel="1" x14ac:dyDescent="0.25">
      <c r="A1806" s="74">
        <v>3755</v>
      </c>
      <c r="B1806" s="45" t="s">
        <v>664</v>
      </c>
      <c r="C1806" s="60" t="s">
        <v>1442</v>
      </c>
      <c r="D1806" s="60"/>
      <c r="E1806" s="74">
        <v>2022</v>
      </c>
      <c r="F1806" s="74" t="s">
        <v>489</v>
      </c>
      <c r="G1806" s="61">
        <v>1</v>
      </c>
      <c r="H1806" s="45">
        <v>15</v>
      </c>
      <c r="I1806" s="74">
        <f>0.02707797*(1000)</f>
        <v>27.077970000000001</v>
      </c>
    </row>
    <row r="1807" spans="1:9" s="71" customFormat="1" ht="16.5" hidden="1" customHeight="1" outlineLevel="1" x14ac:dyDescent="0.25">
      <c r="A1807" s="74">
        <v>3756</v>
      </c>
      <c r="B1807" s="45" t="s">
        <v>664</v>
      </c>
      <c r="C1807" s="60" t="s">
        <v>1443</v>
      </c>
      <c r="D1807" s="60"/>
      <c r="E1807" s="74">
        <v>2022</v>
      </c>
      <c r="F1807" s="74" t="s">
        <v>489</v>
      </c>
      <c r="G1807" s="61">
        <v>1</v>
      </c>
      <c r="H1807" s="45">
        <v>11</v>
      </c>
      <c r="I1807" s="74">
        <f>0.02707797*(1000)</f>
        <v>27.077970000000001</v>
      </c>
    </row>
    <row r="1808" spans="1:9" s="71" customFormat="1" ht="16.5" hidden="1" customHeight="1" outlineLevel="1" x14ac:dyDescent="0.25">
      <c r="A1808" s="74">
        <v>3764</v>
      </c>
      <c r="B1808" s="45" t="s">
        <v>664</v>
      </c>
      <c r="C1808" s="60" t="s">
        <v>1444</v>
      </c>
      <c r="D1808" s="60"/>
      <c r="E1808" s="74">
        <v>2022</v>
      </c>
      <c r="F1808" s="74" t="s">
        <v>489</v>
      </c>
      <c r="G1808" s="61">
        <v>1</v>
      </c>
      <c r="H1808" s="45">
        <v>15</v>
      </c>
      <c r="I1808" s="74">
        <f>0.01717797*(1000)</f>
        <v>17.177970000000002</v>
      </c>
    </row>
    <row r="1809" spans="1:9" s="71" customFormat="1" ht="16.5" hidden="1" customHeight="1" outlineLevel="1" x14ac:dyDescent="0.25">
      <c r="A1809" s="74">
        <v>3766</v>
      </c>
      <c r="B1809" s="45" t="s">
        <v>664</v>
      </c>
      <c r="C1809" s="60" t="s">
        <v>1445</v>
      </c>
      <c r="D1809" s="60"/>
      <c r="E1809" s="74">
        <v>2022</v>
      </c>
      <c r="F1809" s="74" t="s">
        <v>489</v>
      </c>
      <c r="G1809" s="61">
        <v>1</v>
      </c>
      <c r="H1809" s="45">
        <v>15</v>
      </c>
      <c r="I1809" s="74">
        <f>0.01717797*(1000)</f>
        <v>17.177970000000002</v>
      </c>
    </row>
    <row r="1810" spans="1:9" s="71" customFormat="1" ht="16.5" hidden="1" customHeight="1" outlineLevel="1" x14ac:dyDescent="0.25">
      <c r="A1810" s="74">
        <v>3767</v>
      </c>
      <c r="B1810" s="45" t="s">
        <v>664</v>
      </c>
      <c r="C1810" s="60" t="s">
        <v>1446</v>
      </c>
      <c r="D1810" s="60"/>
      <c r="E1810" s="74">
        <v>2022</v>
      </c>
      <c r="F1810" s="74" t="s">
        <v>489</v>
      </c>
      <c r="G1810" s="61">
        <v>7</v>
      </c>
      <c r="H1810" s="45">
        <v>85</v>
      </c>
      <c r="I1810" s="74">
        <f>0.10276313*(1000)</f>
        <v>102.76312999999999</v>
      </c>
    </row>
    <row r="1811" spans="1:9" s="71" customFormat="1" ht="16.5" hidden="1" customHeight="1" outlineLevel="1" x14ac:dyDescent="0.25">
      <c r="A1811" s="74">
        <v>3768</v>
      </c>
      <c r="B1811" s="45" t="s">
        <v>664</v>
      </c>
      <c r="C1811" s="60" t="s">
        <v>1447</v>
      </c>
      <c r="D1811" s="60"/>
      <c r="E1811" s="74">
        <v>2022</v>
      </c>
      <c r="F1811" s="74" t="s">
        <v>489</v>
      </c>
      <c r="G1811" s="61">
        <v>1</v>
      </c>
      <c r="H1811" s="45">
        <v>15</v>
      </c>
      <c r="I1811" s="74">
        <f>0.01717797*(1000)</f>
        <v>17.177970000000002</v>
      </c>
    </row>
    <row r="1812" spans="1:9" s="71" customFormat="1" ht="16.5" hidden="1" customHeight="1" outlineLevel="1" x14ac:dyDescent="0.25">
      <c r="A1812" s="74">
        <v>3770</v>
      </c>
      <c r="B1812" s="45" t="s">
        <v>664</v>
      </c>
      <c r="C1812" s="60" t="s">
        <v>1448</v>
      </c>
      <c r="D1812" s="60"/>
      <c r="E1812" s="74">
        <v>2022</v>
      </c>
      <c r="F1812" s="74" t="s">
        <v>489</v>
      </c>
      <c r="G1812" s="61">
        <v>1</v>
      </c>
      <c r="H1812" s="45">
        <v>15</v>
      </c>
      <c r="I1812" s="74">
        <f>0.02711548*(1000)</f>
        <v>27.115480000000002</v>
      </c>
    </row>
    <row r="1813" spans="1:9" s="71" customFormat="1" ht="16.5" hidden="1" customHeight="1" outlineLevel="1" x14ac:dyDescent="0.25">
      <c r="A1813" s="74">
        <v>3773</v>
      </c>
      <c r="B1813" s="45" t="s">
        <v>664</v>
      </c>
      <c r="C1813" s="60" t="s">
        <v>1449</v>
      </c>
      <c r="D1813" s="60"/>
      <c r="E1813" s="74">
        <v>2022</v>
      </c>
      <c r="F1813" s="74" t="s">
        <v>489</v>
      </c>
      <c r="G1813" s="61">
        <v>1</v>
      </c>
      <c r="H1813" s="45">
        <v>15</v>
      </c>
      <c r="I1813" s="74">
        <f>0.01717797*(1000)</f>
        <v>17.177970000000002</v>
      </c>
    </row>
    <row r="1814" spans="1:9" s="71" customFormat="1" ht="16.5" hidden="1" customHeight="1" outlineLevel="1" x14ac:dyDescent="0.25">
      <c r="A1814" s="74">
        <v>3776</v>
      </c>
      <c r="B1814" s="45" t="s">
        <v>664</v>
      </c>
      <c r="C1814" s="60" t="s">
        <v>1450</v>
      </c>
      <c r="D1814" s="60"/>
      <c r="E1814" s="74">
        <v>2022</v>
      </c>
      <c r="F1814" s="74" t="s">
        <v>489</v>
      </c>
      <c r="G1814" s="61">
        <v>1</v>
      </c>
      <c r="H1814" s="45">
        <v>15</v>
      </c>
      <c r="I1814" s="74">
        <f>0.02711548*(1000)</f>
        <v>27.115480000000002</v>
      </c>
    </row>
    <row r="1815" spans="1:9" s="71" customFormat="1" ht="16.5" hidden="1" customHeight="1" outlineLevel="1" x14ac:dyDescent="0.25">
      <c r="A1815" s="74">
        <v>3779</v>
      </c>
      <c r="B1815" s="45" t="s">
        <v>664</v>
      </c>
      <c r="C1815" s="60" t="s">
        <v>1451</v>
      </c>
      <c r="D1815" s="60"/>
      <c r="E1815" s="74">
        <v>2022</v>
      </c>
      <c r="F1815" s="74" t="s">
        <v>489</v>
      </c>
      <c r="G1815" s="61">
        <v>1</v>
      </c>
      <c r="H1815" s="45">
        <v>15</v>
      </c>
      <c r="I1815" s="74">
        <f>0.02711548*(1000)</f>
        <v>27.115480000000002</v>
      </c>
    </row>
    <row r="1816" spans="1:9" s="71" customFormat="1" ht="16.5" hidden="1" customHeight="1" outlineLevel="1" x14ac:dyDescent="0.25">
      <c r="A1816" s="74">
        <v>3780</v>
      </c>
      <c r="B1816" s="45" t="s">
        <v>664</v>
      </c>
      <c r="C1816" s="60" t="s">
        <v>1452</v>
      </c>
      <c r="D1816" s="60"/>
      <c r="E1816" s="74">
        <v>2022</v>
      </c>
      <c r="F1816" s="74" t="s">
        <v>489</v>
      </c>
      <c r="G1816" s="61">
        <v>1</v>
      </c>
      <c r="H1816" s="45">
        <v>15</v>
      </c>
      <c r="I1816" s="74">
        <f>0.02711548*(1000)</f>
        <v>27.115480000000002</v>
      </c>
    </row>
    <row r="1817" spans="1:9" s="71" customFormat="1" ht="16.5" hidden="1" customHeight="1" outlineLevel="1" x14ac:dyDescent="0.25">
      <c r="A1817" s="74">
        <v>3783</v>
      </c>
      <c r="B1817" s="45" t="s">
        <v>664</v>
      </c>
      <c r="C1817" s="60" t="s">
        <v>1453</v>
      </c>
      <c r="D1817" s="60"/>
      <c r="E1817" s="74">
        <v>2022</v>
      </c>
      <c r="F1817" s="74" t="s">
        <v>489</v>
      </c>
      <c r="G1817" s="61">
        <v>1</v>
      </c>
      <c r="H1817" s="45">
        <v>4</v>
      </c>
      <c r="I1817" s="74">
        <f>0.01717797*(1000)</f>
        <v>17.177970000000002</v>
      </c>
    </row>
    <row r="1818" spans="1:9" s="71" customFormat="1" ht="16.5" hidden="1" customHeight="1" outlineLevel="1" x14ac:dyDescent="0.25">
      <c r="A1818" s="74">
        <v>3784</v>
      </c>
      <c r="B1818" s="45" t="s">
        <v>664</v>
      </c>
      <c r="C1818" s="60" t="s">
        <v>1454</v>
      </c>
      <c r="D1818" s="60"/>
      <c r="E1818" s="74">
        <v>2022</v>
      </c>
      <c r="F1818" s="74" t="s">
        <v>489</v>
      </c>
      <c r="G1818" s="61">
        <v>1</v>
      </c>
      <c r="H1818" s="45">
        <v>15</v>
      </c>
      <c r="I1818" s="74">
        <f>0.01717797*(1000)</f>
        <v>17.177970000000002</v>
      </c>
    </row>
    <row r="1819" spans="1:9" s="71" customFormat="1" ht="16.5" hidden="1" customHeight="1" outlineLevel="1" x14ac:dyDescent="0.25">
      <c r="A1819" s="74">
        <v>3787</v>
      </c>
      <c r="B1819" s="45" t="s">
        <v>664</v>
      </c>
      <c r="C1819" s="60" t="s">
        <v>1455</v>
      </c>
      <c r="D1819" s="60"/>
      <c r="E1819" s="74">
        <v>2022</v>
      </c>
      <c r="F1819" s="74" t="s">
        <v>489</v>
      </c>
      <c r="G1819" s="61">
        <v>1</v>
      </c>
      <c r="H1819" s="45">
        <v>12</v>
      </c>
      <c r="I1819" s="74">
        <f>0.02711548*(1000)</f>
        <v>27.115480000000002</v>
      </c>
    </row>
    <row r="1820" spans="1:9" s="71" customFormat="1" ht="16.5" hidden="1" customHeight="1" outlineLevel="1" x14ac:dyDescent="0.25">
      <c r="A1820" s="74">
        <v>3789</v>
      </c>
      <c r="B1820" s="45" t="s">
        <v>664</v>
      </c>
      <c r="C1820" s="60" t="s">
        <v>1456</v>
      </c>
      <c r="D1820" s="60"/>
      <c r="E1820" s="74">
        <v>2022</v>
      </c>
      <c r="F1820" s="74" t="s">
        <v>489</v>
      </c>
      <c r="G1820" s="61">
        <v>1</v>
      </c>
      <c r="H1820" s="45">
        <v>15</v>
      </c>
      <c r="I1820" s="74">
        <f>0.01717797*(1000)</f>
        <v>17.177970000000002</v>
      </c>
    </row>
    <row r="1821" spans="1:9" s="71" customFormat="1" ht="16.5" hidden="1" customHeight="1" outlineLevel="1" x14ac:dyDescent="0.25">
      <c r="A1821" s="74">
        <v>3790</v>
      </c>
      <c r="B1821" s="45" t="s">
        <v>664</v>
      </c>
      <c r="C1821" s="60" t="s">
        <v>1457</v>
      </c>
      <c r="D1821" s="60"/>
      <c r="E1821" s="74">
        <v>2022</v>
      </c>
      <c r="F1821" s="74" t="s">
        <v>489</v>
      </c>
      <c r="G1821" s="61">
        <v>1</v>
      </c>
      <c r="H1821" s="45">
        <v>15</v>
      </c>
      <c r="I1821" s="74">
        <f>0.02725638*(1000)</f>
        <v>27.25638</v>
      </c>
    </row>
    <row r="1822" spans="1:9" s="71" customFormat="1" ht="16.5" hidden="1" customHeight="1" outlineLevel="1" x14ac:dyDescent="0.25">
      <c r="A1822" s="74">
        <v>3793</v>
      </c>
      <c r="B1822" s="45" t="s">
        <v>664</v>
      </c>
      <c r="C1822" s="60" t="s">
        <v>1458</v>
      </c>
      <c r="D1822" s="60"/>
      <c r="E1822" s="74">
        <v>2022</v>
      </c>
      <c r="F1822" s="74" t="s">
        <v>489</v>
      </c>
      <c r="G1822" s="61">
        <v>1</v>
      </c>
      <c r="H1822" s="45">
        <v>15</v>
      </c>
      <c r="I1822" s="74">
        <f>0.01718689*(1000)</f>
        <v>17.186889999999998</v>
      </c>
    </row>
    <row r="1823" spans="1:9" s="71" customFormat="1" ht="16.5" hidden="1" customHeight="1" outlineLevel="1" x14ac:dyDescent="0.25">
      <c r="A1823" s="74">
        <v>3800</v>
      </c>
      <c r="B1823" s="45" t="s">
        <v>664</v>
      </c>
      <c r="C1823" s="60" t="s">
        <v>1459</v>
      </c>
      <c r="D1823" s="60"/>
      <c r="E1823" s="74">
        <v>2022</v>
      </c>
      <c r="F1823" s="74" t="s">
        <v>489</v>
      </c>
      <c r="G1823" s="61">
        <v>1</v>
      </c>
      <c r="H1823" s="45">
        <v>15</v>
      </c>
      <c r="I1823" s="74">
        <f>0.01714993*(1000)</f>
        <v>17.149930000000001</v>
      </c>
    </row>
    <row r="1824" spans="1:9" s="71" customFormat="1" ht="16.5" hidden="1" customHeight="1" outlineLevel="1" x14ac:dyDescent="0.25">
      <c r="A1824" s="74">
        <v>3806</v>
      </c>
      <c r="B1824" s="45" t="s">
        <v>664</v>
      </c>
      <c r="C1824" s="60" t="s">
        <v>1460</v>
      </c>
      <c r="D1824" s="60"/>
      <c r="E1824" s="74">
        <v>2022</v>
      </c>
      <c r="F1824" s="74" t="s">
        <v>489</v>
      </c>
      <c r="G1824" s="61">
        <v>1</v>
      </c>
      <c r="H1824" s="45">
        <v>7</v>
      </c>
      <c r="I1824" s="74">
        <f>0.01650691*(1000)</f>
        <v>16.506910000000001</v>
      </c>
    </row>
    <row r="1825" spans="1:9" s="71" customFormat="1" ht="16.5" hidden="1" customHeight="1" outlineLevel="1" x14ac:dyDescent="0.25">
      <c r="A1825" s="74">
        <v>3807</v>
      </c>
      <c r="B1825" s="45" t="s">
        <v>664</v>
      </c>
      <c r="C1825" s="60" t="s">
        <v>1461</v>
      </c>
      <c r="D1825" s="60"/>
      <c r="E1825" s="74">
        <v>2022</v>
      </c>
      <c r="F1825" s="74" t="s">
        <v>489</v>
      </c>
      <c r="G1825" s="61">
        <v>1</v>
      </c>
      <c r="H1825" s="45">
        <v>10</v>
      </c>
      <c r="I1825" s="74">
        <f>0.01650691*(1000)</f>
        <v>16.506910000000001</v>
      </c>
    </row>
    <row r="1826" spans="1:9" s="71" customFormat="1" ht="16.5" hidden="1" customHeight="1" outlineLevel="1" x14ac:dyDescent="0.25">
      <c r="A1826" s="74">
        <v>3811</v>
      </c>
      <c r="B1826" s="45" t="s">
        <v>664</v>
      </c>
      <c r="C1826" s="60" t="s">
        <v>1462</v>
      </c>
      <c r="D1826" s="60"/>
      <c r="E1826" s="74">
        <v>2022</v>
      </c>
      <c r="F1826" s="74" t="s">
        <v>489</v>
      </c>
      <c r="G1826" s="61">
        <v>1</v>
      </c>
      <c r="H1826" s="45">
        <v>15</v>
      </c>
      <c r="I1826" s="74">
        <f>0.02708743*(1000)</f>
        <v>27.087429999999998</v>
      </c>
    </row>
    <row r="1827" spans="1:9" s="71" customFormat="1" ht="16.5" hidden="1" customHeight="1" outlineLevel="1" x14ac:dyDescent="0.25">
      <c r="A1827" s="74">
        <v>3814</v>
      </c>
      <c r="B1827" s="45" t="s">
        <v>664</v>
      </c>
      <c r="C1827" s="60" t="s">
        <v>1463</v>
      </c>
      <c r="D1827" s="60"/>
      <c r="E1827" s="74">
        <v>2022</v>
      </c>
      <c r="F1827" s="74" t="s">
        <v>489</v>
      </c>
      <c r="G1827" s="61">
        <v>1</v>
      </c>
      <c r="H1827" s="45">
        <v>15</v>
      </c>
      <c r="I1827" s="74">
        <f>0.02708743*(1000)</f>
        <v>27.087429999999998</v>
      </c>
    </row>
    <row r="1828" spans="1:9" s="71" customFormat="1" ht="16.5" hidden="1" customHeight="1" outlineLevel="1" x14ac:dyDescent="0.25">
      <c r="A1828" s="74">
        <v>3815</v>
      </c>
      <c r="B1828" s="45" t="s">
        <v>664</v>
      </c>
      <c r="C1828" s="60" t="s">
        <v>1464</v>
      </c>
      <c r="D1828" s="60"/>
      <c r="E1828" s="74">
        <v>2022</v>
      </c>
      <c r="F1828" s="74" t="s">
        <v>489</v>
      </c>
      <c r="G1828" s="61">
        <v>1</v>
      </c>
      <c r="H1828" s="45">
        <v>15</v>
      </c>
      <c r="I1828" s="74">
        <f>0.01729657*(1000)</f>
        <v>17.296569999999999</v>
      </c>
    </row>
    <row r="1829" spans="1:9" s="71" customFormat="1" ht="16.5" hidden="1" customHeight="1" outlineLevel="1" x14ac:dyDescent="0.25">
      <c r="A1829" s="74">
        <v>3817</v>
      </c>
      <c r="B1829" s="45" t="s">
        <v>664</v>
      </c>
      <c r="C1829" s="60" t="s">
        <v>1465</v>
      </c>
      <c r="D1829" s="60"/>
      <c r="E1829" s="74">
        <v>2022</v>
      </c>
      <c r="F1829" s="74" t="s">
        <v>489</v>
      </c>
      <c r="G1829" s="61">
        <v>1</v>
      </c>
      <c r="H1829" s="45">
        <v>14</v>
      </c>
      <c r="I1829" s="74">
        <f>0.01729657*(1000)</f>
        <v>17.296569999999999</v>
      </c>
    </row>
    <row r="1830" spans="1:9" s="71" customFormat="1" ht="16.5" hidden="1" customHeight="1" outlineLevel="1" x14ac:dyDescent="0.25">
      <c r="A1830" s="74">
        <v>3818</v>
      </c>
      <c r="B1830" s="45" t="s">
        <v>664</v>
      </c>
      <c r="C1830" s="60" t="s">
        <v>1466</v>
      </c>
      <c r="D1830" s="60"/>
      <c r="E1830" s="74">
        <v>2022</v>
      </c>
      <c r="F1830" s="74" t="s">
        <v>489</v>
      </c>
      <c r="G1830" s="61">
        <v>1</v>
      </c>
      <c r="H1830" s="45">
        <v>4.46</v>
      </c>
      <c r="I1830" s="74">
        <f>0.01729657*(1000)</f>
        <v>17.296569999999999</v>
      </c>
    </row>
    <row r="1831" spans="1:9" s="71" customFormat="1" ht="16.5" hidden="1" customHeight="1" outlineLevel="1" x14ac:dyDescent="0.25">
      <c r="A1831" s="74">
        <v>3819</v>
      </c>
      <c r="B1831" s="45" t="s">
        <v>664</v>
      </c>
      <c r="C1831" s="60" t="s">
        <v>1467</v>
      </c>
      <c r="D1831" s="60"/>
      <c r="E1831" s="74">
        <v>2022</v>
      </c>
      <c r="F1831" s="74" t="s">
        <v>489</v>
      </c>
      <c r="G1831" s="61">
        <v>1</v>
      </c>
      <c r="H1831" s="45">
        <v>15</v>
      </c>
      <c r="I1831" s="74">
        <f>0.01729657*(1000)</f>
        <v>17.296569999999999</v>
      </c>
    </row>
    <row r="1832" spans="1:9" s="71" customFormat="1" ht="16.5" hidden="1" customHeight="1" outlineLevel="1" x14ac:dyDescent="0.25">
      <c r="A1832" s="74">
        <v>3821</v>
      </c>
      <c r="B1832" s="45" t="s">
        <v>664</v>
      </c>
      <c r="C1832" s="60" t="s">
        <v>1468</v>
      </c>
      <c r="D1832" s="60"/>
      <c r="E1832" s="74">
        <v>2022</v>
      </c>
      <c r="F1832" s="74" t="s">
        <v>489</v>
      </c>
      <c r="G1832" s="61">
        <v>1</v>
      </c>
      <c r="H1832" s="45">
        <v>11</v>
      </c>
      <c r="I1832" s="74">
        <f>0.01729656*(1000)</f>
        <v>17.296559999999999</v>
      </c>
    </row>
    <row r="1833" spans="1:9" s="71" customFormat="1" ht="16.5" hidden="1" customHeight="1" outlineLevel="1" x14ac:dyDescent="0.25">
      <c r="A1833" s="74">
        <v>3822</v>
      </c>
      <c r="B1833" s="45" t="s">
        <v>664</v>
      </c>
      <c r="C1833" s="60" t="s">
        <v>1469</v>
      </c>
      <c r="D1833" s="60"/>
      <c r="E1833" s="74">
        <v>2022</v>
      </c>
      <c r="F1833" s="74" t="s">
        <v>489</v>
      </c>
      <c r="G1833" s="61">
        <v>1</v>
      </c>
      <c r="H1833" s="45">
        <v>13.5</v>
      </c>
      <c r="I1833" s="74">
        <f>0.01729657*(1000)</f>
        <v>17.296569999999999</v>
      </c>
    </row>
    <row r="1834" spans="1:9" s="71" customFormat="1" ht="16.5" hidden="1" customHeight="1" outlineLevel="1" x14ac:dyDescent="0.25">
      <c r="A1834" s="74">
        <v>3823</v>
      </c>
      <c r="B1834" s="45" t="s">
        <v>664</v>
      </c>
      <c r="C1834" s="60" t="s">
        <v>1470</v>
      </c>
      <c r="D1834" s="60"/>
      <c r="E1834" s="74">
        <v>2022</v>
      </c>
      <c r="F1834" s="74" t="s">
        <v>489</v>
      </c>
      <c r="G1834" s="61">
        <v>1</v>
      </c>
      <c r="H1834" s="45">
        <v>15</v>
      </c>
      <c r="I1834" s="74">
        <f>0.01729656*(1000)</f>
        <v>17.296559999999999</v>
      </c>
    </row>
    <row r="1835" spans="1:9" s="71" customFormat="1" ht="16.5" hidden="1" customHeight="1" outlineLevel="1" x14ac:dyDescent="0.25">
      <c r="A1835" s="74">
        <v>3833</v>
      </c>
      <c r="B1835" s="45" t="s">
        <v>664</v>
      </c>
      <c r="C1835" s="60" t="s">
        <v>1471</v>
      </c>
      <c r="D1835" s="60"/>
      <c r="E1835" s="74">
        <v>2022</v>
      </c>
      <c r="F1835" s="74" t="s">
        <v>489</v>
      </c>
      <c r="G1835" s="61">
        <v>1</v>
      </c>
      <c r="H1835" s="45">
        <v>12</v>
      </c>
      <c r="I1835" s="74">
        <f>0.02708742*(1000)</f>
        <v>27.087420000000002</v>
      </c>
    </row>
    <row r="1836" spans="1:9" s="71" customFormat="1" ht="16.5" hidden="1" customHeight="1" outlineLevel="1" x14ac:dyDescent="0.25">
      <c r="A1836" s="74">
        <v>3834</v>
      </c>
      <c r="B1836" s="45" t="s">
        <v>664</v>
      </c>
      <c r="C1836" s="60" t="s">
        <v>1472</v>
      </c>
      <c r="D1836" s="60"/>
      <c r="E1836" s="74">
        <v>2022</v>
      </c>
      <c r="F1836" s="74" t="s">
        <v>489</v>
      </c>
      <c r="G1836" s="61">
        <v>1</v>
      </c>
      <c r="H1836" s="45">
        <v>15</v>
      </c>
      <c r="I1836" s="74">
        <f>0.01729656*(1000)</f>
        <v>17.296559999999999</v>
      </c>
    </row>
    <row r="1837" spans="1:9" s="71" customFormat="1" ht="16.5" hidden="1" customHeight="1" outlineLevel="1" x14ac:dyDescent="0.25">
      <c r="A1837" s="74">
        <v>3839</v>
      </c>
      <c r="B1837" s="45" t="s">
        <v>664</v>
      </c>
      <c r="C1837" s="60" t="s">
        <v>1473</v>
      </c>
      <c r="D1837" s="60"/>
      <c r="E1837" s="74">
        <v>2022</v>
      </c>
      <c r="F1837" s="74" t="s">
        <v>489</v>
      </c>
      <c r="G1837" s="61">
        <v>1</v>
      </c>
      <c r="H1837" s="45">
        <v>10</v>
      </c>
      <c r="I1837" s="74">
        <f>0.01729656*(1000)</f>
        <v>17.296559999999999</v>
      </c>
    </row>
    <row r="1838" spans="1:9" s="71" customFormat="1" ht="16.5" hidden="1" customHeight="1" outlineLevel="1" x14ac:dyDescent="0.25">
      <c r="A1838" s="74">
        <v>3847</v>
      </c>
      <c r="B1838" s="45" t="s">
        <v>664</v>
      </c>
      <c r="C1838" s="60" t="s">
        <v>1474</v>
      </c>
      <c r="D1838" s="60"/>
      <c r="E1838" s="74">
        <v>2022</v>
      </c>
      <c r="F1838" s="74" t="s">
        <v>489</v>
      </c>
      <c r="G1838" s="61">
        <v>1</v>
      </c>
      <c r="H1838" s="45">
        <v>15</v>
      </c>
      <c r="I1838" s="74">
        <f>0.01730821*(1000)</f>
        <v>17.308210000000003</v>
      </c>
    </row>
    <row r="1839" spans="1:9" s="71" customFormat="1" ht="16.5" hidden="1" customHeight="1" outlineLevel="1" x14ac:dyDescent="0.25">
      <c r="A1839" s="74">
        <v>3851</v>
      </c>
      <c r="B1839" s="45" t="s">
        <v>664</v>
      </c>
      <c r="C1839" s="60" t="s">
        <v>1475</v>
      </c>
      <c r="D1839" s="60"/>
      <c r="E1839" s="74">
        <v>2022</v>
      </c>
      <c r="F1839" s="74" t="s">
        <v>489</v>
      </c>
      <c r="G1839" s="61">
        <v>1</v>
      </c>
      <c r="H1839" s="45">
        <v>15</v>
      </c>
      <c r="I1839" s="74">
        <f>0.01730821*(1000)</f>
        <v>17.308210000000003</v>
      </c>
    </row>
    <row r="1840" spans="1:9" s="71" customFormat="1" ht="16.5" hidden="1" customHeight="1" outlineLevel="1" x14ac:dyDescent="0.25">
      <c r="A1840" s="74">
        <v>3852</v>
      </c>
      <c r="B1840" s="45" t="s">
        <v>664</v>
      </c>
      <c r="C1840" s="60" t="s">
        <v>1476</v>
      </c>
      <c r="D1840" s="60"/>
      <c r="E1840" s="74">
        <v>2022</v>
      </c>
      <c r="F1840" s="74" t="s">
        <v>489</v>
      </c>
      <c r="G1840" s="61">
        <v>1</v>
      </c>
      <c r="H1840" s="45">
        <v>15</v>
      </c>
      <c r="I1840" s="74">
        <f>0.02709905*(1000)</f>
        <v>27.099049999999998</v>
      </c>
    </row>
    <row r="1841" spans="1:9" s="71" customFormat="1" ht="16.5" hidden="1" customHeight="1" outlineLevel="1" x14ac:dyDescent="0.25">
      <c r="A1841" s="74">
        <v>3853</v>
      </c>
      <c r="B1841" s="45" t="s">
        <v>664</v>
      </c>
      <c r="C1841" s="60" t="s">
        <v>1477</v>
      </c>
      <c r="D1841" s="60"/>
      <c r="E1841" s="74">
        <v>2022</v>
      </c>
      <c r="F1841" s="74" t="s">
        <v>489</v>
      </c>
      <c r="G1841" s="61">
        <v>1</v>
      </c>
      <c r="H1841" s="45">
        <v>15</v>
      </c>
      <c r="I1841" s="74">
        <f t="shared" ref="I1841:I1846" si="3">0.01730821*(1000)</f>
        <v>17.308210000000003</v>
      </c>
    </row>
    <row r="1842" spans="1:9" s="71" customFormat="1" ht="16.5" hidden="1" customHeight="1" outlineLevel="1" x14ac:dyDescent="0.25">
      <c r="A1842" s="74">
        <v>3860</v>
      </c>
      <c r="B1842" s="45" t="s">
        <v>664</v>
      </c>
      <c r="C1842" s="60" t="s">
        <v>1478</v>
      </c>
      <c r="D1842" s="60"/>
      <c r="E1842" s="74">
        <v>2022</v>
      </c>
      <c r="F1842" s="74" t="s">
        <v>489</v>
      </c>
      <c r="G1842" s="61">
        <v>1</v>
      </c>
      <c r="H1842" s="45">
        <v>15</v>
      </c>
      <c r="I1842" s="74">
        <f t="shared" si="3"/>
        <v>17.308210000000003</v>
      </c>
    </row>
    <row r="1843" spans="1:9" s="71" customFormat="1" ht="16.5" hidden="1" customHeight="1" outlineLevel="1" x14ac:dyDescent="0.25">
      <c r="A1843" s="74">
        <v>3862</v>
      </c>
      <c r="B1843" s="45" t="s">
        <v>664</v>
      </c>
      <c r="C1843" s="60" t="s">
        <v>1479</v>
      </c>
      <c r="D1843" s="60"/>
      <c r="E1843" s="74">
        <v>2022</v>
      </c>
      <c r="F1843" s="74" t="s">
        <v>489</v>
      </c>
      <c r="G1843" s="61">
        <v>1</v>
      </c>
      <c r="H1843" s="45">
        <v>15</v>
      </c>
      <c r="I1843" s="74">
        <f t="shared" si="3"/>
        <v>17.308210000000003</v>
      </c>
    </row>
    <row r="1844" spans="1:9" s="71" customFormat="1" ht="16.5" hidden="1" customHeight="1" outlineLevel="1" x14ac:dyDescent="0.25">
      <c r="A1844" s="74">
        <v>3864</v>
      </c>
      <c r="B1844" s="45" t="s">
        <v>664</v>
      </c>
      <c r="C1844" s="60" t="s">
        <v>1480</v>
      </c>
      <c r="D1844" s="60"/>
      <c r="E1844" s="74">
        <v>2022</v>
      </c>
      <c r="F1844" s="74" t="s">
        <v>489</v>
      </c>
      <c r="G1844" s="61">
        <v>1</v>
      </c>
      <c r="H1844" s="45">
        <v>12</v>
      </c>
      <c r="I1844" s="74">
        <f t="shared" si="3"/>
        <v>17.308210000000003</v>
      </c>
    </row>
    <row r="1845" spans="1:9" s="71" customFormat="1" ht="16.5" hidden="1" customHeight="1" outlineLevel="1" x14ac:dyDescent="0.25">
      <c r="A1845" s="74">
        <v>3869</v>
      </c>
      <c r="B1845" s="45" t="s">
        <v>664</v>
      </c>
      <c r="C1845" s="60" t="s">
        <v>1481</v>
      </c>
      <c r="D1845" s="60"/>
      <c r="E1845" s="74">
        <v>2022</v>
      </c>
      <c r="F1845" s="74" t="s">
        <v>489</v>
      </c>
      <c r="G1845" s="61">
        <v>1</v>
      </c>
      <c r="H1845" s="45">
        <v>12</v>
      </c>
      <c r="I1845" s="74">
        <f t="shared" si="3"/>
        <v>17.308210000000003</v>
      </c>
    </row>
    <row r="1846" spans="1:9" s="71" customFormat="1" ht="16.5" hidden="1" customHeight="1" outlineLevel="1" x14ac:dyDescent="0.25">
      <c r="A1846" s="74">
        <v>3874</v>
      </c>
      <c r="B1846" s="45" t="s">
        <v>664</v>
      </c>
      <c r="C1846" s="60" t="s">
        <v>1482</v>
      </c>
      <c r="D1846" s="60"/>
      <c r="E1846" s="74">
        <v>2022</v>
      </c>
      <c r="F1846" s="74" t="s">
        <v>489</v>
      </c>
      <c r="G1846" s="61">
        <v>1</v>
      </c>
      <c r="H1846" s="45">
        <v>12</v>
      </c>
      <c r="I1846" s="74">
        <f t="shared" si="3"/>
        <v>17.308210000000003</v>
      </c>
    </row>
    <row r="1847" spans="1:9" s="71" customFormat="1" ht="16.5" hidden="1" customHeight="1" outlineLevel="1" x14ac:dyDescent="0.25">
      <c r="A1847" s="74">
        <v>3877</v>
      </c>
      <c r="B1847" s="45" t="s">
        <v>664</v>
      </c>
      <c r="C1847" s="60" t="s">
        <v>1483</v>
      </c>
      <c r="D1847" s="60"/>
      <c r="E1847" s="74">
        <v>2022</v>
      </c>
      <c r="F1847" s="74" t="s">
        <v>489</v>
      </c>
      <c r="G1847" s="61">
        <v>1</v>
      </c>
      <c r="H1847" s="45">
        <v>12</v>
      </c>
      <c r="I1847" s="74">
        <f>0.02709905*(1000)</f>
        <v>27.099049999999998</v>
      </c>
    </row>
    <row r="1848" spans="1:9" s="71" customFormat="1" ht="16.5" hidden="1" customHeight="1" outlineLevel="1" x14ac:dyDescent="0.25">
      <c r="A1848" s="74">
        <v>3882</v>
      </c>
      <c r="B1848" s="45" t="s">
        <v>664</v>
      </c>
      <c r="C1848" s="60" t="s">
        <v>1484</v>
      </c>
      <c r="D1848" s="60"/>
      <c r="E1848" s="74">
        <v>2022</v>
      </c>
      <c r="F1848" s="74" t="s">
        <v>489</v>
      </c>
      <c r="G1848" s="61">
        <v>1</v>
      </c>
      <c r="H1848" s="45">
        <v>12</v>
      </c>
      <c r="I1848" s="74">
        <f>0.01730821*(1000)</f>
        <v>17.308210000000003</v>
      </c>
    </row>
    <row r="1849" spans="1:9" s="71" customFormat="1" ht="16.5" hidden="1" customHeight="1" outlineLevel="1" x14ac:dyDescent="0.25">
      <c r="A1849" s="74">
        <v>3883</v>
      </c>
      <c r="B1849" s="45" t="s">
        <v>664</v>
      </c>
      <c r="C1849" s="60" t="s">
        <v>1485</v>
      </c>
      <c r="D1849" s="60"/>
      <c r="E1849" s="74">
        <v>2022</v>
      </c>
      <c r="F1849" s="74" t="s">
        <v>489</v>
      </c>
      <c r="G1849" s="61">
        <v>1</v>
      </c>
      <c r="H1849" s="45">
        <v>15</v>
      </c>
      <c r="I1849" s="74">
        <f>0.02709905*(1000)</f>
        <v>27.099049999999998</v>
      </c>
    </row>
    <row r="1850" spans="1:9" s="71" customFormat="1" ht="16.5" hidden="1" customHeight="1" outlineLevel="1" x14ac:dyDescent="0.25">
      <c r="A1850" s="74">
        <v>3885</v>
      </c>
      <c r="B1850" s="45" t="s">
        <v>664</v>
      </c>
      <c r="C1850" s="60" t="s">
        <v>1486</v>
      </c>
      <c r="D1850" s="60"/>
      <c r="E1850" s="74">
        <v>2022</v>
      </c>
      <c r="F1850" s="74" t="s">
        <v>489</v>
      </c>
      <c r="G1850" s="61">
        <v>1</v>
      </c>
      <c r="H1850" s="45">
        <v>12</v>
      </c>
      <c r="I1850" s="74">
        <f>0.01730821*(1000)</f>
        <v>17.308210000000003</v>
      </c>
    </row>
    <row r="1851" spans="1:9" s="71" customFormat="1" ht="16.5" hidden="1" customHeight="1" outlineLevel="1" x14ac:dyDescent="0.25">
      <c r="A1851" s="74">
        <v>3888</v>
      </c>
      <c r="B1851" s="45" t="s">
        <v>664</v>
      </c>
      <c r="C1851" s="60" t="s">
        <v>1487</v>
      </c>
      <c r="D1851" s="60"/>
      <c r="E1851" s="74">
        <v>2022</v>
      </c>
      <c r="F1851" s="74" t="s">
        <v>489</v>
      </c>
      <c r="G1851" s="61">
        <v>1</v>
      </c>
      <c r="H1851" s="45">
        <v>15</v>
      </c>
      <c r="I1851" s="74">
        <f>0.01730821*(1000)</f>
        <v>17.308210000000003</v>
      </c>
    </row>
    <row r="1852" spans="1:9" s="71" customFormat="1" ht="16.5" hidden="1" customHeight="1" outlineLevel="1" x14ac:dyDescent="0.25">
      <c r="A1852" s="74">
        <v>3889</v>
      </c>
      <c r="B1852" s="45" t="s">
        <v>664</v>
      </c>
      <c r="C1852" s="60" t="s">
        <v>1488</v>
      </c>
      <c r="D1852" s="60"/>
      <c r="E1852" s="74">
        <v>2022</v>
      </c>
      <c r="F1852" s="74" t="s">
        <v>489</v>
      </c>
      <c r="G1852" s="61">
        <v>1</v>
      </c>
      <c r="H1852" s="45">
        <v>10</v>
      </c>
      <c r="I1852" s="74">
        <f>0.01730821*(1000)</f>
        <v>17.308210000000003</v>
      </c>
    </row>
    <row r="1853" spans="1:9" s="71" customFormat="1" ht="16.5" hidden="1" customHeight="1" outlineLevel="1" x14ac:dyDescent="0.25">
      <c r="A1853" s="74">
        <v>3890</v>
      </c>
      <c r="B1853" s="45" t="s">
        <v>664</v>
      </c>
      <c r="C1853" s="60" t="s">
        <v>1489</v>
      </c>
      <c r="D1853" s="60"/>
      <c r="E1853" s="74">
        <v>2022</v>
      </c>
      <c r="F1853" s="74" t="s">
        <v>489</v>
      </c>
      <c r="G1853" s="61">
        <v>1</v>
      </c>
      <c r="H1853" s="45">
        <v>15</v>
      </c>
      <c r="I1853" s="74">
        <f>0.01730821*(1000)</f>
        <v>17.308210000000003</v>
      </c>
    </row>
    <row r="1854" spans="1:9" s="71" customFormat="1" ht="16.5" hidden="1" customHeight="1" outlineLevel="1" x14ac:dyDescent="0.25">
      <c r="A1854" s="74">
        <v>3891</v>
      </c>
      <c r="B1854" s="45" t="s">
        <v>664</v>
      </c>
      <c r="C1854" s="60" t="s">
        <v>1490</v>
      </c>
      <c r="D1854" s="60"/>
      <c r="E1854" s="74">
        <v>2022</v>
      </c>
      <c r="F1854" s="74" t="s">
        <v>489</v>
      </c>
      <c r="G1854" s="61">
        <v>1</v>
      </c>
      <c r="H1854" s="45">
        <v>15</v>
      </c>
      <c r="I1854" s="74">
        <f>0.01730821*(1000)</f>
        <v>17.308210000000003</v>
      </c>
    </row>
    <row r="1855" spans="1:9" s="71" customFormat="1" ht="16.5" hidden="1" customHeight="1" outlineLevel="1" x14ac:dyDescent="0.25">
      <c r="A1855" s="74">
        <v>3892</v>
      </c>
      <c r="B1855" s="45" t="s">
        <v>664</v>
      </c>
      <c r="C1855" s="60" t="s">
        <v>1491</v>
      </c>
      <c r="D1855" s="60"/>
      <c r="E1855" s="74">
        <v>2022</v>
      </c>
      <c r="F1855" s="74" t="s">
        <v>489</v>
      </c>
      <c r="G1855" s="61">
        <v>1</v>
      </c>
      <c r="H1855" s="45">
        <v>15</v>
      </c>
      <c r="I1855" s="74">
        <f>0.02709905*(1000)</f>
        <v>27.099049999999998</v>
      </c>
    </row>
    <row r="1856" spans="1:9" s="71" customFormat="1" ht="16.5" hidden="1" customHeight="1" outlineLevel="1" x14ac:dyDescent="0.25">
      <c r="A1856" s="74">
        <v>3895</v>
      </c>
      <c r="B1856" s="45" t="s">
        <v>664</v>
      </c>
      <c r="C1856" s="60" t="s">
        <v>1492</v>
      </c>
      <c r="D1856" s="60"/>
      <c r="E1856" s="74">
        <v>2022</v>
      </c>
      <c r="F1856" s="74" t="s">
        <v>489</v>
      </c>
      <c r="G1856" s="61">
        <v>1</v>
      </c>
      <c r="H1856" s="45">
        <v>15</v>
      </c>
      <c r="I1856" s="74">
        <f>0.02709905*(1000)</f>
        <v>27.099049999999998</v>
      </c>
    </row>
    <row r="1857" spans="1:9" s="71" customFormat="1" ht="16.5" hidden="1" customHeight="1" outlineLevel="1" x14ac:dyDescent="0.25">
      <c r="A1857" s="74">
        <v>3900</v>
      </c>
      <c r="B1857" s="45" t="s">
        <v>664</v>
      </c>
      <c r="C1857" s="60" t="s">
        <v>1493</v>
      </c>
      <c r="D1857" s="60"/>
      <c r="E1857" s="74">
        <v>2022</v>
      </c>
      <c r="F1857" s="74" t="s">
        <v>489</v>
      </c>
      <c r="G1857" s="61">
        <v>1</v>
      </c>
      <c r="H1857" s="45">
        <v>12</v>
      </c>
      <c r="I1857" s="74">
        <f>0.02710156*(1000)</f>
        <v>27.101559999999999</v>
      </c>
    </row>
    <row r="1858" spans="1:9" s="71" customFormat="1" ht="16.5" hidden="1" customHeight="1" outlineLevel="1" x14ac:dyDescent="0.25">
      <c r="A1858" s="74">
        <v>3903</v>
      </c>
      <c r="B1858" s="45" t="s">
        <v>664</v>
      </c>
      <c r="C1858" s="60" t="s">
        <v>1494</v>
      </c>
      <c r="D1858" s="60"/>
      <c r="E1858" s="74">
        <v>2022</v>
      </c>
      <c r="F1858" s="74" t="s">
        <v>489</v>
      </c>
      <c r="G1858" s="61">
        <v>1</v>
      </c>
      <c r="H1858" s="45">
        <v>15</v>
      </c>
      <c r="I1858" s="74">
        <f>0.01729417*(1000)</f>
        <v>17.294170000000001</v>
      </c>
    </row>
    <row r="1859" spans="1:9" s="71" customFormat="1" ht="16.5" hidden="1" customHeight="1" outlineLevel="1" x14ac:dyDescent="0.25">
      <c r="A1859" s="74">
        <v>3905</v>
      </c>
      <c r="B1859" s="45" t="s">
        <v>664</v>
      </c>
      <c r="C1859" s="60" t="s">
        <v>1495</v>
      </c>
      <c r="D1859" s="60"/>
      <c r="E1859" s="74">
        <v>2022</v>
      </c>
      <c r="F1859" s="74" t="s">
        <v>489</v>
      </c>
      <c r="G1859" s="61">
        <v>1</v>
      </c>
      <c r="H1859" s="45">
        <v>15</v>
      </c>
      <c r="I1859" s="74">
        <f>0.01729417*(1000)</f>
        <v>17.294170000000001</v>
      </c>
    </row>
    <row r="1860" spans="1:9" s="71" customFormat="1" ht="16.5" hidden="1" customHeight="1" outlineLevel="1" x14ac:dyDescent="0.25">
      <c r="A1860" s="74">
        <v>3906</v>
      </c>
      <c r="B1860" s="45" t="s">
        <v>664</v>
      </c>
      <c r="C1860" s="60" t="s">
        <v>1496</v>
      </c>
      <c r="D1860" s="60"/>
      <c r="E1860" s="74">
        <v>2022</v>
      </c>
      <c r="F1860" s="74" t="s">
        <v>489</v>
      </c>
      <c r="G1860" s="61">
        <v>1</v>
      </c>
      <c r="H1860" s="45">
        <v>15</v>
      </c>
      <c r="I1860" s="74">
        <f>0.01729417*(1000)</f>
        <v>17.294170000000001</v>
      </c>
    </row>
    <row r="1861" spans="1:9" s="71" customFormat="1" ht="16.5" hidden="1" customHeight="1" outlineLevel="1" x14ac:dyDescent="0.25">
      <c r="A1861" s="74">
        <v>3908</v>
      </c>
      <c r="B1861" s="45" t="s">
        <v>664</v>
      </c>
      <c r="C1861" s="60" t="s">
        <v>1497</v>
      </c>
      <c r="D1861" s="60"/>
      <c r="E1861" s="74">
        <v>2022</v>
      </c>
      <c r="F1861" s="74" t="s">
        <v>489</v>
      </c>
      <c r="G1861" s="61">
        <v>1</v>
      </c>
      <c r="H1861" s="45">
        <v>10</v>
      </c>
      <c r="I1861" s="74">
        <f>0.01729417*(1000)</f>
        <v>17.294170000000001</v>
      </c>
    </row>
    <row r="1862" spans="1:9" s="71" customFormat="1" ht="16.5" hidden="1" customHeight="1" outlineLevel="1" x14ac:dyDescent="0.25">
      <c r="A1862" s="74">
        <v>3911</v>
      </c>
      <c r="B1862" s="45" t="s">
        <v>664</v>
      </c>
      <c r="C1862" s="60" t="s">
        <v>1498</v>
      </c>
      <c r="D1862" s="60"/>
      <c r="E1862" s="74">
        <v>2022</v>
      </c>
      <c r="F1862" s="74" t="s">
        <v>489</v>
      </c>
      <c r="G1862" s="61">
        <v>1</v>
      </c>
      <c r="H1862" s="45">
        <v>15</v>
      </c>
      <c r="I1862" s="74">
        <f>0.01729417*(1000)</f>
        <v>17.294170000000001</v>
      </c>
    </row>
    <row r="1863" spans="1:9" s="71" customFormat="1" ht="16.5" hidden="1" customHeight="1" outlineLevel="1" x14ac:dyDescent="0.25">
      <c r="A1863" s="74">
        <v>3915</v>
      </c>
      <c r="B1863" s="45" t="s">
        <v>664</v>
      </c>
      <c r="C1863" s="60" t="s">
        <v>1499</v>
      </c>
      <c r="D1863" s="60"/>
      <c r="E1863" s="74">
        <v>2022</v>
      </c>
      <c r="F1863" s="74" t="s">
        <v>489</v>
      </c>
      <c r="G1863" s="61">
        <v>1</v>
      </c>
      <c r="H1863" s="45">
        <v>15</v>
      </c>
      <c r="I1863" s="74">
        <f>0.02708502*(1000)</f>
        <v>27.08502</v>
      </c>
    </row>
    <row r="1864" spans="1:9" s="71" customFormat="1" ht="16.5" hidden="1" customHeight="1" outlineLevel="1" x14ac:dyDescent="0.25">
      <c r="A1864" s="74">
        <v>3921</v>
      </c>
      <c r="B1864" s="45" t="s">
        <v>664</v>
      </c>
      <c r="C1864" s="60" t="s">
        <v>1500</v>
      </c>
      <c r="D1864" s="60"/>
      <c r="E1864" s="74">
        <v>2022</v>
      </c>
      <c r="F1864" s="74" t="s">
        <v>489</v>
      </c>
      <c r="G1864" s="61">
        <v>1</v>
      </c>
      <c r="H1864" s="45">
        <v>15</v>
      </c>
      <c r="I1864" s="74">
        <f>0.01729417*(1000)</f>
        <v>17.294170000000001</v>
      </c>
    </row>
    <row r="1865" spans="1:9" s="71" customFormat="1" ht="16.5" hidden="1" customHeight="1" outlineLevel="1" x14ac:dyDescent="0.25">
      <c r="A1865" s="74">
        <v>3922</v>
      </c>
      <c r="B1865" s="45" t="s">
        <v>664</v>
      </c>
      <c r="C1865" s="60" t="s">
        <v>1501</v>
      </c>
      <c r="D1865" s="60"/>
      <c r="E1865" s="74">
        <v>2022</v>
      </c>
      <c r="F1865" s="74" t="s">
        <v>489</v>
      </c>
      <c r="G1865" s="61">
        <v>1</v>
      </c>
      <c r="H1865" s="45">
        <v>15</v>
      </c>
      <c r="I1865" s="74">
        <f>0.01742616*(1000)</f>
        <v>17.426159999999999</v>
      </c>
    </row>
    <row r="1866" spans="1:9" s="71" customFormat="1" ht="16.5" hidden="1" customHeight="1" outlineLevel="1" x14ac:dyDescent="0.25">
      <c r="A1866" s="74">
        <v>3923</v>
      </c>
      <c r="B1866" s="45" t="s">
        <v>664</v>
      </c>
      <c r="C1866" s="60" t="s">
        <v>1502</v>
      </c>
      <c r="D1866" s="60"/>
      <c r="E1866" s="74">
        <v>2022</v>
      </c>
      <c r="F1866" s="74" t="s">
        <v>489</v>
      </c>
      <c r="G1866" s="61">
        <v>1</v>
      </c>
      <c r="H1866" s="45">
        <v>15</v>
      </c>
      <c r="I1866" s="74">
        <f t="shared" ref="I1866:I1871" si="4">0.01729417*(1000)</f>
        <v>17.294170000000001</v>
      </c>
    </row>
    <row r="1867" spans="1:9" s="71" customFormat="1" ht="16.5" hidden="1" customHeight="1" outlineLevel="1" x14ac:dyDescent="0.25">
      <c r="A1867" s="74">
        <v>3930</v>
      </c>
      <c r="B1867" s="45" t="s">
        <v>664</v>
      </c>
      <c r="C1867" s="60" t="s">
        <v>1503</v>
      </c>
      <c r="D1867" s="60"/>
      <c r="E1867" s="74">
        <v>2022</v>
      </c>
      <c r="F1867" s="74" t="s">
        <v>489</v>
      </c>
      <c r="G1867" s="61">
        <v>1</v>
      </c>
      <c r="H1867" s="45">
        <v>8</v>
      </c>
      <c r="I1867" s="74">
        <f t="shared" si="4"/>
        <v>17.294170000000001</v>
      </c>
    </row>
    <row r="1868" spans="1:9" s="71" customFormat="1" ht="16.5" hidden="1" customHeight="1" outlineLevel="1" x14ac:dyDescent="0.25">
      <c r="A1868" s="74">
        <v>3931</v>
      </c>
      <c r="B1868" s="45" t="s">
        <v>664</v>
      </c>
      <c r="C1868" s="60" t="s">
        <v>1504</v>
      </c>
      <c r="D1868" s="60"/>
      <c r="E1868" s="74">
        <v>2022</v>
      </c>
      <c r="F1868" s="74" t="s">
        <v>489</v>
      </c>
      <c r="G1868" s="61">
        <v>1</v>
      </c>
      <c r="H1868" s="45">
        <v>8</v>
      </c>
      <c r="I1868" s="74">
        <f t="shared" si="4"/>
        <v>17.294170000000001</v>
      </c>
    </row>
    <row r="1869" spans="1:9" s="71" customFormat="1" ht="16.5" hidden="1" customHeight="1" outlineLevel="1" x14ac:dyDescent="0.25">
      <c r="A1869" s="74">
        <v>3933</v>
      </c>
      <c r="B1869" s="45" t="s">
        <v>664</v>
      </c>
      <c r="C1869" s="60" t="s">
        <v>1505</v>
      </c>
      <c r="D1869" s="60"/>
      <c r="E1869" s="74">
        <v>2022</v>
      </c>
      <c r="F1869" s="74" t="s">
        <v>489</v>
      </c>
      <c r="G1869" s="61">
        <v>1</v>
      </c>
      <c r="H1869" s="45">
        <v>12</v>
      </c>
      <c r="I1869" s="74">
        <f t="shared" si="4"/>
        <v>17.294170000000001</v>
      </c>
    </row>
    <row r="1870" spans="1:9" s="71" customFormat="1" ht="16.5" hidden="1" customHeight="1" outlineLevel="1" x14ac:dyDescent="0.25">
      <c r="A1870" s="74">
        <v>3936</v>
      </c>
      <c r="B1870" s="45" t="s">
        <v>664</v>
      </c>
      <c r="C1870" s="60" t="s">
        <v>1506</v>
      </c>
      <c r="D1870" s="60"/>
      <c r="E1870" s="74">
        <v>2022</v>
      </c>
      <c r="F1870" s="74" t="s">
        <v>489</v>
      </c>
      <c r="G1870" s="61">
        <v>1</v>
      </c>
      <c r="H1870" s="45">
        <v>12</v>
      </c>
      <c r="I1870" s="74">
        <f t="shared" si="4"/>
        <v>17.294170000000001</v>
      </c>
    </row>
    <row r="1871" spans="1:9" s="71" customFormat="1" ht="16.5" hidden="1" customHeight="1" outlineLevel="1" x14ac:dyDescent="0.25">
      <c r="A1871" s="74">
        <v>3938</v>
      </c>
      <c r="B1871" s="45" t="s">
        <v>664</v>
      </c>
      <c r="C1871" s="60" t="s">
        <v>1507</v>
      </c>
      <c r="D1871" s="60"/>
      <c r="E1871" s="74">
        <v>2022</v>
      </c>
      <c r="F1871" s="74" t="s">
        <v>489</v>
      </c>
      <c r="G1871" s="61">
        <v>1</v>
      </c>
      <c r="H1871" s="45">
        <v>12</v>
      </c>
      <c r="I1871" s="74">
        <f t="shared" si="4"/>
        <v>17.294170000000001</v>
      </c>
    </row>
    <row r="1872" spans="1:9" s="71" customFormat="1" ht="16.5" hidden="1" customHeight="1" outlineLevel="1" x14ac:dyDescent="0.25">
      <c r="A1872" s="74">
        <v>3963</v>
      </c>
      <c r="B1872" s="45" t="s">
        <v>664</v>
      </c>
      <c r="C1872" s="60" t="s">
        <v>1508</v>
      </c>
      <c r="D1872" s="60"/>
      <c r="E1872" s="74">
        <v>2022</v>
      </c>
      <c r="F1872" s="74" t="s">
        <v>489</v>
      </c>
      <c r="G1872" s="61">
        <v>1</v>
      </c>
      <c r="H1872" s="45">
        <v>15</v>
      </c>
      <c r="I1872" s="74">
        <f>0.01731693*(1000)</f>
        <v>17.316930000000003</v>
      </c>
    </row>
    <row r="1873" spans="1:9" s="71" customFormat="1" ht="16.5" hidden="1" customHeight="1" outlineLevel="1" x14ac:dyDescent="0.25">
      <c r="A1873" s="74">
        <v>3966</v>
      </c>
      <c r="B1873" s="45" t="s">
        <v>664</v>
      </c>
      <c r="C1873" s="60" t="s">
        <v>1509</v>
      </c>
      <c r="D1873" s="60"/>
      <c r="E1873" s="74">
        <v>2022</v>
      </c>
      <c r="F1873" s="74" t="s">
        <v>489</v>
      </c>
      <c r="G1873" s="61">
        <v>1</v>
      </c>
      <c r="H1873" s="45">
        <v>15</v>
      </c>
      <c r="I1873" s="74">
        <f>0.017317*(1000)</f>
        <v>17.317</v>
      </c>
    </row>
    <row r="1874" spans="1:9" s="71" customFormat="1" ht="16.5" hidden="1" customHeight="1" outlineLevel="1" x14ac:dyDescent="0.25">
      <c r="A1874" s="74">
        <v>3971</v>
      </c>
      <c r="B1874" s="45" t="s">
        <v>664</v>
      </c>
      <c r="C1874" s="60" t="s">
        <v>1510</v>
      </c>
      <c r="D1874" s="60"/>
      <c r="E1874" s="74">
        <v>2022</v>
      </c>
      <c r="F1874" s="74" t="s">
        <v>489</v>
      </c>
      <c r="G1874" s="61">
        <v>1</v>
      </c>
      <c r="H1874" s="45">
        <v>11</v>
      </c>
      <c r="I1874" s="74">
        <f>0.017317*(1000)</f>
        <v>17.317</v>
      </c>
    </row>
    <row r="1875" spans="1:9" s="71" customFormat="1" ht="16.5" hidden="1" customHeight="1" outlineLevel="1" x14ac:dyDescent="0.25">
      <c r="A1875" s="74">
        <v>3974</v>
      </c>
      <c r="B1875" s="45" t="s">
        <v>664</v>
      </c>
      <c r="C1875" s="60" t="s">
        <v>1511</v>
      </c>
      <c r="D1875" s="60"/>
      <c r="E1875" s="74">
        <v>2022</v>
      </c>
      <c r="F1875" s="74" t="s">
        <v>489</v>
      </c>
      <c r="G1875" s="61">
        <v>1</v>
      </c>
      <c r="H1875" s="45">
        <v>15</v>
      </c>
      <c r="I1875" s="74">
        <f>0.01731701*(1000)</f>
        <v>17.31701</v>
      </c>
    </row>
    <row r="1876" spans="1:9" s="71" customFormat="1" ht="16.5" hidden="1" customHeight="1" outlineLevel="1" x14ac:dyDescent="0.25">
      <c r="A1876" s="74">
        <v>3975</v>
      </c>
      <c r="B1876" s="45" t="s">
        <v>664</v>
      </c>
      <c r="C1876" s="60" t="s">
        <v>1512</v>
      </c>
      <c r="D1876" s="60"/>
      <c r="E1876" s="74">
        <v>2022</v>
      </c>
      <c r="F1876" s="74" t="s">
        <v>489</v>
      </c>
      <c r="G1876" s="61">
        <v>1</v>
      </c>
      <c r="H1876" s="45">
        <v>15</v>
      </c>
      <c r="I1876" s="74">
        <f>0.01731703*(1000)</f>
        <v>17.317029999999999</v>
      </c>
    </row>
    <row r="1877" spans="1:9" s="71" customFormat="1" ht="16.5" hidden="1" customHeight="1" outlineLevel="1" x14ac:dyDescent="0.25">
      <c r="A1877" s="74">
        <v>3977</v>
      </c>
      <c r="B1877" s="45" t="s">
        <v>664</v>
      </c>
      <c r="C1877" s="60" t="s">
        <v>1513</v>
      </c>
      <c r="D1877" s="60"/>
      <c r="E1877" s="74">
        <v>2022</v>
      </c>
      <c r="F1877" s="74" t="s">
        <v>489</v>
      </c>
      <c r="G1877" s="61">
        <v>1</v>
      </c>
      <c r="H1877" s="45">
        <v>15</v>
      </c>
      <c r="I1877" s="74">
        <f>0.01731697*(1000)</f>
        <v>17.316970000000001</v>
      </c>
    </row>
    <row r="1878" spans="1:9" s="71" customFormat="1" ht="16.5" hidden="1" customHeight="1" outlineLevel="1" x14ac:dyDescent="0.25">
      <c r="A1878" s="74">
        <v>3978</v>
      </c>
      <c r="B1878" s="45" t="s">
        <v>664</v>
      </c>
      <c r="C1878" s="60" t="s">
        <v>1514</v>
      </c>
      <c r="D1878" s="60"/>
      <c r="E1878" s="74">
        <v>2022</v>
      </c>
      <c r="F1878" s="74" t="s">
        <v>489</v>
      </c>
      <c r="G1878" s="61">
        <v>1</v>
      </c>
      <c r="H1878" s="45">
        <v>15</v>
      </c>
      <c r="I1878" s="74">
        <f>0.017317*(1000)</f>
        <v>17.317</v>
      </c>
    </row>
    <row r="1879" spans="1:9" s="71" customFormat="1" ht="16.5" hidden="1" customHeight="1" outlineLevel="1" x14ac:dyDescent="0.25">
      <c r="A1879" s="74">
        <v>3979</v>
      </c>
      <c r="B1879" s="45" t="s">
        <v>664</v>
      </c>
      <c r="C1879" s="60" t="s">
        <v>1515</v>
      </c>
      <c r="D1879" s="60"/>
      <c r="E1879" s="74">
        <v>2022</v>
      </c>
      <c r="F1879" s="74" t="s">
        <v>489</v>
      </c>
      <c r="G1879" s="61">
        <v>1</v>
      </c>
      <c r="H1879" s="45">
        <v>15</v>
      </c>
      <c r="I1879" s="74">
        <f>0.017317*(1000)</f>
        <v>17.317</v>
      </c>
    </row>
    <row r="1880" spans="1:9" s="71" customFormat="1" ht="16.5" hidden="1" customHeight="1" outlineLevel="1" x14ac:dyDescent="0.25">
      <c r="A1880" s="74">
        <v>3981</v>
      </c>
      <c r="B1880" s="45" t="s">
        <v>664</v>
      </c>
      <c r="C1880" s="60" t="s">
        <v>1516</v>
      </c>
      <c r="D1880" s="60"/>
      <c r="E1880" s="74">
        <v>2022</v>
      </c>
      <c r="F1880" s="74" t="s">
        <v>489</v>
      </c>
      <c r="G1880" s="61">
        <v>1</v>
      </c>
      <c r="H1880" s="45">
        <v>14</v>
      </c>
      <c r="I1880" s="74">
        <f>0.017317*(1000)</f>
        <v>17.317</v>
      </c>
    </row>
    <row r="1881" spans="1:9" s="71" customFormat="1" ht="16.5" hidden="1" customHeight="1" outlineLevel="1" x14ac:dyDescent="0.25">
      <c r="A1881" s="74">
        <v>3995</v>
      </c>
      <c r="B1881" s="45" t="s">
        <v>664</v>
      </c>
      <c r="C1881" s="60" t="s">
        <v>1517</v>
      </c>
      <c r="D1881" s="60"/>
      <c r="E1881" s="74">
        <v>2022</v>
      </c>
      <c r="F1881" s="74" t="s">
        <v>489</v>
      </c>
      <c r="G1881" s="61">
        <v>1</v>
      </c>
      <c r="H1881" s="45">
        <v>15</v>
      </c>
      <c r="I1881" s="74">
        <f>0.017317*(1000)</f>
        <v>17.317</v>
      </c>
    </row>
    <row r="1882" spans="1:9" s="71" customFormat="1" ht="16.5" hidden="1" customHeight="1" outlineLevel="1" x14ac:dyDescent="0.25">
      <c r="A1882" s="74">
        <v>4001</v>
      </c>
      <c r="B1882" s="45" t="s">
        <v>664</v>
      </c>
      <c r="C1882" s="60" t="s">
        <v>1518</v>
      </c>
      <c r="D1882" s="60"/>
      <c r="E1882" s="74">
        <v>2022</v>
      </c>
      <c r="F1882" s="74" t="s">
        <v>489</v>
      </c>
      <c r="G1882" s="61">
        <v>1</v>
      </c>
      <c r="H1882" s="45">
        <v>15</v>
      </c>
      <c r="I1882" s="74">
        <f>0.017317*(1000)</f>
        <v>17.317</v>
      </c>
    </row>
    <row r="1883" spans="1:9" s="71" customFormat="1" ht="16.5" hidden="1" customHeight="1" outlineLevel="1" x14ac:dyDescent="0.25">
      <c r="A1883" s="74">
        <v>4002</v>
      </c>
      <c r="B1883" s="45" t="s">
        <v>664</v>
      </c>
      <c r="C1883" s="60" t="s">
        <v>1519</v>
      </c>
      <c r="D1883" s="60"/>
      <c r="E1883" s="74">
        <v>2022</v>
      </c>
      <c r="F1883" s="74" t="s">
        <v>489</v>
      </c>
      <c r="G1883" s="61">
        <v>1</v>
      </c>
      <c r="H1883" s="45">
        <v>15</v>
      </c>
      <c r="I1883" s="74">
        <f>0.01731702*(1000)</f>
        <v>17.317019999999999</v>
      </c>
    </row>
    <row r="1884" spans="1:9" s="71" customFormat="1" ht="16.5" hidden="1" customHeight="1" outlineLevel="1" x14ac:dyDescent="0.25">
      <c r="A1884" s="74">
        <v>4005</v>
      </c>
      <c r="B1884" s="45" t="s">
        <v>664</v>
      </c>
      <c r="C1884" s="60" t="s">
        <v>1520</v>
      </c>
      <c r="D1884" s="60"/>
      <c r="E1884" s="74">
        <v>2022</v>
      </c>
      <c r="F1884" s="74" t="s">
        <v>489</v>
      </c>
      <c r="G1884" s="61">
        <v>1</v>
      </c>
      <c r="H1884" s="45">
        <v>15</v>
      </c>
      <c r="I1884" s="74">
        <f>0.017317*(1000)</f>
        <v>17.317</v>
      </c>
    </row>
    <row r="1885" spans="1:9" s="71" customFormat="1" ht="16.5" hidden="1" customHeight="1" outlineLevel="1" x14ac:dyDescent="0.25">
      <c r="A1885" s="74">
        <v>4006</v>
      </c>
      <c r="B1885" s="45" t="s">
        <v>664</v>
      </c>
      <c r="C1885" s="60" t="s">
        <v>1521</v>
      </c>
      <c r="D1885" s="60"/>
      <c r="E1885" s="74">
        <v>2022</v>
      </c>
      <c r="F1885" s="74" t="s">
        <v>489</v>
      </c>
      <c r="G1885" s="61">
        <v>1</v>
      </c>
      <c r="H1885" s="45">
        <v>15</v>
      </c>
      <c r="I1885" s="74">
        <f>0.017317*(1000)</f>
        <v>17.317</v>
      </c>
    </row>
    <row r="1886" spans="1:9" s="71" customFormat="1" ht="16.5" hidden="1" customHeight="1" outlineLevel="1" x14ac:dyDescent="0.25">
      <c r="A1886" s="74">
        <v>4014</v>
      </c>
      <c r="B1886" s="45" t="s">
        <v>664</v>
      </c>
      <c r="C1886" s="60" t="s">
        <v>1522</v>
      </c>
      <c r="D1886" s="60"/>
      <c r="E1886" s="74">
        <v>2022</v>
      </c>
      <c r="F1886" s="74" t="s">
        <v>489</v>
      </c>
      <c r="G1886" s="61">
        <v>1</v>
      </c>
      <c r="H1886" s="45">
        <v>11</v>
      </c>
      <c r="I1886" s="74">
        <f>0.017317*(1000)</f>
        <v>17.317</v>
      </c>
    </row>
    <row r="1887" spans="1:9" s="71" customFormat="1" ht="16.5" hidden="1" customHeight="1" outlineLevel="1" x14ac:dyDescent="0.25">
      <c r="A1887" s="74">
        <v>4017</v>
      </c>
      <c r="B1887" s="45" t="s">
        <v>664</v>
      </c>
      <c r="C1887" s="60" t="s">
        <v>1523</v>
      </c>
      <c r="D1887" s="60"/>
      <c r="E1887" s="74">
        <v>2022</v>
      </c>
      <c r="F1887" s="74" t="s">
        <v>489</v>
      </c>
      <c r="G1887" s="61">
        <v>1</v>
      </c>
      <c r="H1887" s="45">
        <v>15</v>
      </c>
      <c r="I1887" s="74">
        <f>0.01652735*(1000)</f>
        <v>16.527349999999998</v>
      </c>
    </row>
    <row r="1888" spans="1:9" s="71" customFormat="1" ht="16.5" hidden="1" customHeight="1" outlineLevel="1" x14ac:dyDescent="0.25">
      <c r="A1888" s="74">
        <v>4027</v>
      </c>
      <c r="B1888" s="45" t="s">
        <v>664</v>
      </c>
      <c r="C1888" s="60" t="s">
        <v>1524</v>
      </c>
      <c r="D1888" s="60"/>
      <c r="E1888" s="74">
        <v>2022</v>
      </c>
      <c r="F1888" s="74" t="s">
        <v>489</v>
      </c>
      <c r="G1888" s="61">
        <v>1</v>
      </c>
      <c r="H1888" s="45">
        <v>15</v>
      </c>
      <c r="I1888" s="74">
        <f>0.02710785*(1000)</f>
        <v>27.107849999999999</v>
      </c>
    </row>
    <row r="1889" spans="1:9" s="71" customFormat="1" ht="16.5" hidden="1" customHeight="1" outlineLevel="1" x14ac:dyDescent="0.25">
      <c r="A1889" s="74">
        <v>4028</v>
      </c>
      <c r="B1889" s="45" t="s">
        <v>664</v>
      </c>
      <c r="C1889" s="60" t="s">
        <v>1525</v>
      </c>
      <c r="D1889" s="60"/>
      <c r="E1889" s="74">
        <v>2022</v>
      </c>
      <c r="F1889" s="74" t="s">
        <v>489</v>
      </c>
      <c r="G1889" s="61">
        <v>25</v>
      </c>
      <c r="H1889" s="45">
        <v>261</v>
      </c>
      <c r="I1889" s="74">
        <f>0.27894723*(1000)</f>
        <v>278.94722999999999</v>
      </c>
    </row>
    <row r="1890" spans="1:9" s="71" customFormat="1" ht="16.5" hidden="1" customHeight="1" outlineLevel="1" x14ac:dyDescent="0.25">
      <c r="A1890" s="74">
        <v>4029</v>
      </c>
      <c r="B1890" s="45" t="s">
        <v>664</v>
      </c>
      <c r="C1890" s="60" t="s">
        <v>1526</v>
      </c>
      <c r="D1890" s="60"/>
      <c r="E1890" s="74">
        <v>2022</v>
      </c>
      <c r="F1890" s="74" t="s">
        <v>489</v>
      </c>
      <c r="G1890" s="61">
        <v>14</v>
      </c>
      <c r="H1890" s="45">
        <v>158</v>
      </c>
      <c r="I1890" s="74">
        <f>0.17812172*(1000)</f>
        <v>178.12172000000001</v>
      </c>
    </row>
    <row r="1891" spans="1:9" s="71" customFormat="1" ht="16.5" hidden="1" customHeight="1" outlineLevel="1" x14ac:dyDescent="0.25">
      <c r="A1891" s="74">
        <v>4030</v>
      </c>
      <c r="B1891" s="45" t="s">
        <v>664</v>
      </c>
      <c r="C1891" s="60" t="s">
        <v>1527</v>
      </c>
      <c r="D1891" s="60"/>
      <c r="E1891" s="74">
        <v>2022</v>
      </c>
      <c r="F1891" s="74" t="s">
        <v>489</v>
      </c>
      <c r="G1891" s="61">
        <v>1</v>
      </c>
      <c r="H1891" s="45">
        <v>10</v>
      </c>
      <c r="I1891" s="74">
        <f>0.01805344*(1000)</f>
        <v>18.053440000000002</v>
      </c>
    </row>
    <row r="1892" spans="1:9" s="71" customFormat="1" ht="16.5" hidden="1" customHeight="1" outlineLevel="1" x14ac:dyDescent="0.25">
      <c r="A1892" s="74">
        <v>4031</v>
      </c>
      <c r="B1892" s="45" t="s">
        <v>664</v>
      </c>
      <c r="C1892" s="60" t="s">
        <v>1528</v>
      </c>
      <c r="D1892" s="60"/>
      <c r="E1892" s="74">
        <v>2022</v>
      </c>
      <c r="F1892" s="74" t="s">
        <v>489</v>
      </c>
      <c r="G1892" s="61">
        <v>1</v>
      </c>
      <c r="H1892" s="45">
        <v>15</v>
      </c>
      <c r="I1892" s="74">
        <f>0.01805344*(1000)</f>
        <v>18.053440000000002</v>
      </c>
    </row>
    <row r="1893" spans="1:9" s="71" customFormat="1" ht="16.5" hidden="1" customHeight="1" outlineLevel="1" x14ac:dyDescent="0.25">
      <c r="A1893" s="74">
        <v>4033</v>
      </c>
      <c r="B1893" s="45" t="s">
        <v>664</v>
      </c>
      <c r="C1893" s="60" t="s">
        <v>1529</v>
      </c>
      <c r="D1893" s="60"/>
      <c r="E1893" s="74">
        <v>2022</v>
      </c>
      <c r="F1893" s="74" t="s">
        <v>489</v>
      </c>
      <c r="G1893" s="61">
        <v>6</v>
      </c>
      <c r="H1893" s="45">
        <v>70</v>
      </c>
      <c r="I1893" s="74">
        <f>0.07497677*(1000)</f>
        <v>74.976770000000002</v>
      </c>
    </row>
    <row r="1894" spans="1:9" s="71" customFormat="1" ht="16.5" hidden="1" customHeight="1" outlineLevel="1" x14ac:dyDescent="0.25">
      <c r="A1894" s="74">
        <v>4034</v>
      </c>
      <c r="B1894" s="45" t="s">
        <v>664</v>
      </c>
      <c r="C1894" s="60" t="s">
        <v>1530</v>
      </c>
      <c r="D1894" s="60"/>
      <c r="E1894" s="74">
        <v>2022</v>
      </c>
      <c r="F1894" s="74" t="s">
        <v>489</v>
      </c>
      <c r="G1894" s="61">
        <v>3</v>
      </c>
      <c r="H1894" s="45">
        <v>45</v>
      </c>
      <c r="I1894" s="74">
        <f>0.05218231*(1000)</f>
        <v>52.182310000000001</v>
      </c>
    </row>
    <row r="1895" spans="1:9" s="71" customFormat="1" ht="16.5" hidden="1" customHeight="1" outlineLevel="1" x14ac:dyDescent="0.25">
      <c r="A1895" s="74">
        <v>4035</v>
      </c>
      <c r="B1895" s="45" t="s">
        <v>664</v>
      </c>
      <c r="C1895" s="60" t="s">
        <v>1531</v>
      </c>
      <c r="D1895" s="60"/>
      <c r="E1895" s="74">
        <v>2022</v>
      </c>
      <c r="F1895" s="74" t="s">
        <v>489</v>
      </c>
      <c r="G1895" s="61">
        <v>6</v>
      </c>
      <c r="H1895" s="45">
        <v>82</v>
      </c>
      <c r="I1895" s="74">
        <f>0.0965122*(1000)</f>
        <v>96.512200000000007</v>
      </c>
    </row>
    <row r="1896" spans="1:9" s="71" customFormat="1" ht="16.5" hidden="1" customHeight="1" outlineLevel="1" x14ac:dyDescent="0.25">
      <c r="A1896" s="74">
        <v>4036</v>
      </c>
      <c r="B1896" s="45" t="s">
        <v>664</v>
      </c>
      <c r="C1896" s="60" t="s">
        <v>1532</v>
      </c>
      <c r="D1896" s="60"/>
      <c r="E1896" s="74">
        <v>2022</v>
      </c>
      <c r="F1896" s="74" t="s">
        <v>489</v>
      </c>
      <c r="G1896" s="61">
        <v>5</v>
      </c>
      <c r="H1896" s="45">
        <v>65</v>
      </c>
      <c r="I1896" s="74">
        <f>0.06055113*(1000)</f>
        <v>60.551130000000001</v>
      </c>
    </row>
    <row r="1897" spans="1:9" s="71" customFormat="1" ht="16.5" hidden="1" customHeight="1" outlineLevel="1" x14ac:dyDescent="0.25">
      <c r="A1897" s="74">
        <v>4037</v>
      </c>
      <c r="B1897" s="45" t="s">
        <v>664</v>
      </c>
      <c r="C1897" s="60" t="s">
        <v>1533</v>
      </c>
      <c r="D1897" s="60"/>
      <c r="E1897" s="74">
        <v>2022</v>
      </c>
      <c r="F1897" s="74" t="s">
        <v>489</v>
      </c>
      <c r="G1897" s="61">
        <v>10</v>
      </c>
      <c r="H1897" s="45">
        <v>109</v>
      </c>
      <c r="I1897" s="74">
        <f>0.12105323*(1000)</f>
        <v>121.05323</v>
      </c>
    </row>
    <row r="1898" spans="1:9" s="71" customFormat="1" ht="16.5" hidden="1" customHeight="1" outlineLevel="1" x14ac:dyDescent="0.25">
      <c r="A1898" s="74">
        <v>4038</v>
      </c>
      <c r="B1898" s="45" t="s">
        <v>664</v>
      </c>
      <c r="C1898" s="60" t="s">
        <v>1534</v>
      </c>
      <c r="D1898" s="60"/>
      <c r="E1898" s="74">
        <v>2022</v>
      </c>
      <c r="F1898" s="74" t="s">
        <v>489</v>
      </c>
      <c r="G1898" s="61">
        <v>4</v>
      </c>
      <c r="H1898" s="45">
        <v>45</v>
      </c>
      <c r="I1898" s="74">
        <f>0.04720718*(1000)</f>
        <v>47.207180000000001</v>
      </c>
    </row>
    <row r="1899" spans="1:9" s="71" customFormat="1" ht="16.5" hidden="1" customHeight="1" outlineLevel="1" x14ac:dyDescent="0.25">
      <c r="A1899" s="74">
        <v>4039</v>
      </c>
      <c r="B1899" s="45" t="s">
        <v>664</v>
      </c>
      <c r="C1899" s="60" t="s">
        <v>1535</v>
      </c>
      <c r="D1899" s="60"/>
      <c r="E1899" s="74">
        <v>2022</v>
      </c>
      <c r="F1899" s="74" t="s">
        <v>489</v>
      </c>
      <c r="G1899" s="61">
        <v>2</v>
      </c>
      <c r="H1899" s="45">
        <v>25</v>
      </c>
      <c r="I1899" s="74">
        <f>0.02746508*(1000)</f>
        <v>27.46508</v>
      </c>
    </row>
    <row r="1900" spans="1:9" s="71" customFormat="1" ht="16.5" hidden="1" customHeight="1" outlineLevel="1" x14ac:dyDescent="0.25">
      <c r="A1900" s="74">
        <v>4041</v>
      </c>
      <c r="B1900" s="45" t="s">
        <v>664</v>
      </c>
      <c r="C1900" s="60" t="s">
        <v>1536</v>
      </c>
      <c r="D1900" s="60"/>
      <c r="E1900" s="74">
        <v>2022</v>
      </c>
      <c r="F1900" s="74" t="s">
        <v>489</v>
      </c>
      <c r="G1900" s="61">
        <v>4</v>
      </c>
      <c r="H1900" s="45">
        <v>45</v>
      </c>
      <c r="I1900" s="74">
        <f>0.04707777*(1000)</f>
        <v>47.077770000000001</v>
      </c>
    </row>
    <row r="1901" spans="1:9" s="71" customFormat="1" ht="16.5" hidden="1" customHeight="1" outlineLevel="1" x14ac:dyDescent="0.25">
      <c r="A1901" s="74">
        <v>4042</v>
      </c>
      <c r="B1901" s="45" t="s">
        <v>664</v>
      </c>
      <c r="C1901" s="60" t="s">
        <v>1537</v>
      </c>
      <c r="D1901" s="60"/>
      <c r="E1901" s="74">
        <v>2022</v>
      </c>
      <c r="F1901" s="74" t="s">
        <v>489</v>
      </c>
      <c r="G1901" s="61">
        <v>3</v>
      </c>
      <c r="H1901" s="45">
        <v>35</v>
      </c>
      <c r="I1901" s="74">
        <f>0.03727143*(1000)</f>
        <v>37.271430000000002</v>
      </c>
    </row>
    <row r="1902" spans="1:9" s="71" customFormat="1" ht="16.5" hidden="1" customHeight="1" outlineLevel="1" x14ac:dyDescent="0.25">
      <c r="A1902" s="74">
        <v>4043</v>
      </c>
      <c r="B1902" s="45" t="s">
        <v>664</v>
      </c>
      <c r="C1902" s="60" t="s">
        <v>1538</v>
      </c>
      <c r="D1902" s="60"/>
      <c r="E1902" s="74">
        <v>2022</v>
      </c>
      <c r="F1902" s="74" t="s">
        <v>489</v>
      </c>
      <c r="G1902" s="61">
        <v>3</v>
      </c>
      <c r="H1902" s="45">
        <v>39</v>
      </c>
      <c r="I1902" s="74">
        <f>0.03777068*(1000)</f>
        <v>37.770679999999999</v>
      </c>
    </row>
    <row r="1903" spans="1:9" s="71" customFormat="1" ht="16.5" hidden="1" customHeight="1" outlineLevel="1" x14ac:dyDescent="0.25">
      <c r="A1903" s="74">
        <v>4044</v>
      </c>
      <c r="B1903" s="45" t="s">
        <v>664</v>
      </c>
      <c r="C1903" s="60" t="s">
        <v>1539</v>
      </c>
      <c r="D1903" s="60"/>
      <c r="E1903" s="74">
        <v>2022</v>
      </c>
      <c r="F1903" s="74" t="s">
        <v>489</v>
      </c>
      <c r="G1903" s="61">
        <v>1</v>
      </c>
      <c r="H1903" s="45">
        <v>15</v>
      </c>
      <c r="I1903" s="74">
        <f>0.01851228*(1000)</f>
        <v>18.512280000000001</v>
      </c>
    </row>
    <row r="1904" spans="1:9" s="71" customFormat="1" ht="16.5" hidden="1" customHeight="1" outlineLevel="1" x14ac:dyDescent="0.25">
      <c r="A1904" s="74">
        <v>4045</v>
      </c>
      <c r="B1904" s="45" t="s">
        <v>664</v>
      </c>
      <c r="C1904" s="60" t="s">
        <v>1540</v>
      </c>
      <c r="D1904" s="60"/>
      <c r="E1904" s="74">
        <v>2022</v>
      </c>
      <c r="F1904" s="74" t="s">
        <v>489</v>
      </c>
      <c r="G1904" s="61">
        <v>9</v>
      </c>
      <c r="H1904" s="45">
        <v>100</v>
      </c>
      <c r="I1904" s="74">
        <f>0.10320204*(1000)</f>
        <v>103.20204</v>
      </c>
    </row>
    <row r="1905" spans="1:9" s="71" customFormat="1" ht="16.5" hidden="1" customHeight="1" outlineLevel="1" x14ac:dyDescent="0.25">
      <c r="A1905" s="74">
        <v>4046</v>
      </c>
      <c r="B1905" s="45" t="s">
        <v>664</v>
      </c>
      <c r="C1905" s="60" t="s">
        <v>1541</v>
      </c>
      <c r="D1905" s="60"/>
      <c r="E1905" s="74">
        <v>2022</v>
      </c>
      <c r="F1905" s="74" t="s">
        <v>489</v>
      </c>
      <c r="G1905" s="61">
        <v>2</v>
      </c>
      <c r="H1905" s="45">
        <v>25</v>
      </c>
      <c r="I1905" s="74">
        <f>0.02739341*(1000)</f>
        <v>27.393409999999999</v>
      </c>
    </row>
    <row r="1906" spans="1:9" s="71" customFormat="1" ht="16.5" hidden="1" customHeight="1" outlineLevel="1" x14ac:dyDescent="0.25">
      <c r="A1906" s="74">
        <v>4047</v>
      </c>
      <c r="B1906" s="45" t="s">
        <v>664</v>
      </c>
      <c r="C1906" s="60" t="s">
        <v>1542</v>
      </c>
      <c r="D1906" s="60"/>
      <c r="E1906" s="74">
        <v>2022</v>
      </c>
      <c r="F1906" s="74" t="s">
        <v>489</v>
      </c>
      <c r="G1906" s="61">
        <v>2</v>
      </c>
      <c r="H1906" s="45">
        <v>25</v>
      </c>
      <c r="I1906" s="74">
        <f>0.02739341*(1000)</f>
        <v>27.393409999999999</v>
      </c>
    </row>
    <row r="1907" spans="1:9" s="71" customFormat="1" ht="16.5" hidden="1" customHeight="1" outlineLevel="1" x14ac:dyDescent="0.25">
      <c r="A1907" s="74">
        <v>4049</v>
      </c>
      <c r="B1907" s="45" t="s">
        <v>664</v>
      </c>
      <c r="C1907" s="60" t="s">
        <v>1543</v>
      </c>
      <c r="D1907" s="60"/>
      <c r="E1907" s="74">
        <v>2022</v>
      </c>
      <c r="F1907" s="74" t="s">
        <v>489</v>
      </c>
      <c r="G1907" s="61">
        <v>3</v>
      </c>
      <c r="H1907" s="45">
        <v>45</v>
      </c>
      <c r="I1907" s="74">
        <f>0.05197274*(1000)</f>
        <v>51.972740000000002</v>
      </c>
    </row>
    <row r="1908" spans="1:9" s="71" customFormat="1" ht="16.5" hidden="1" customHeight="1" outlineLevel="1" x14ac:dyDescent="0.25">
      <c r="A1908" s="74">
        <v>4050</v>
      </c>
      <c r="B1908" s="45" t="s">
        <v>664</v>
      </c>
      <c r="C1908" s="60" t="s">
        <v>1544</v>
      </c>
      <c r="D1908" s="60"/>
      <c r="E1908" s="74">
        <v>2022</v>
      </c>
      <c r="F1908" s="74" t="s">
        <v>489</v>
      </c>
      <c r="G1908" s="61">
        <v>3</v>
      </c>
      <c r="H1908" s="45">
        <v>45</v>
      </c>
      <c r="I1908" s="74">
        <f>0.05197274*(1000)</f>
        <v>51.972740000000002</v>
      </c>
    </row>
    <row r="1909" spans="1:9" s="71" customFormat="1" ht="16.5" hidden="1" customHeight="1" outlineLevel="1" x14ac:dyDescent="0.25">
      <c r="A1909" s="74">
        <v>4053</v>
      </c>
      <c r="B1909" s="45" t="s">
        <v>664</v>
      </c>
      <c r="C1909" s="60" t="s">
        <v>1545</v>
      </c>
      <c r="D1909" s="60"/>
      <c r="E1909" s="74">
        <v>2022</v>
      </c>
      <c r="F1909" s="74" t="s">
        <v>489</v>
      </c>
      <c r="G1909" s="61">
        <v>4</v>
      </c>
      <c r="H1909" s="45">
        <v>45</v>
      </c>
      <c r="I1909" s="74">
        <f>0.04707777*(1000)</f>
        <v>47.077770000000001</v>
      </c>
    </row>
    <row r="1910" spans="1:9" s="71" customFormat="1" ht="16.5" hidden="1" customHeight="1" outlineLevel="1" x14ac:dyDescent="0.25">
      <c r="A1910" s="74">
        <v>4054</v>
      </c>
      <c r="B1910" s="45" t="s">
        <v>664</v>
      </c>
      <c r="C1910" s="60" t="s">
        <v>1546</v>
      </c>
      <c r="D1910" s="60"/>
      <c r="E1910" s="74">
        <v>2022</v>
      </c>
      <c r="F1910" s="74" t="s">
        <v>489</v>
      </c>
      <c r="G1910" s="61">
        <v>3</v>
      </c>
      <c r="H1910" s="45">
        <v>39.5</v>
      </c>
      <c r="I1910" s="74">
        <f>0.04467834*(1000)</f>
        <v>44.678339999999999</v>
      </c>
    </row>
    <row r="1911" spans="1:9" s="71" customFormat="1" ht="16.5" hidden="1" customHeight="1" outlineLevel="1" x14ac:dyDescent="0.25">
      <c r="A1911" s="74">
        <v>4056</v>
      </c>
      <c r="B1911" s="45" t="s">
        <v>664</v>
      </c>
      <c r="C1911" s="60" t="s">
        <v>1547</v>
      </c>
      <c r="D1911" s="60"/>
      <c r="E1911" s="74">
        <v>2022</v>
      </c>
      <c r="F1911" s="74" t="s">
        <v>489</v>
      </c>
      <c r="G1911" s="61">
        <v>3</v>
      </c>
      <c r="H1911" s="45">
        <v>45</v>
      </c>
      <c r="I1911" s="74">
        <f>0.05208527*(1000)</f>
        <v>52.085270000000001</v>
      </c>
    </row>
    <row r="1912" spans="1:9" s="71" customFormat="1" ht="16.5" hidden="1" customHeight="1" outlineLevel="1" x14ac:dyDescent="0.25">
      <c r="A1912" s="74">
        <v>4057</v>
      </c>
      <c r="B1912" s="45" t="s">
        <v>664</v>
      </c>
      <c r="C1912" s="60" t="s">
        <v>1548</v>
      </c>
      <c r="D1912" s="60"/>
      <c r="E1912" s="74">
        <v>2022</v>
      </c>
      <c r="F1912" s="74" t="s">
        <v>489</v>
      </c>
      <c r="G1912" s="61">
        <v>7</v>
      </c>
      <c r="H1912" s="45">
        <v>80</v>
      </c>
      <c r="I1912" s="74">
        <f>0.07738786*(1000)</f>
        <v>77.387860000000003</v>
      </c>
    </row>
    <row r="1913" spans="1:9" s="71" customFormat="1" ht="16.5" hidden="1" customHeight="1" outlineLevel="1" x14ac:dyDescent="0.25">
      <c r="A1913" s="74">
        <v>4058</v>
      </c>
      <c r="B1913" s="45" t="s">
        <v>664</v>
      </c>
      <c r="C1913" s="60" t="s">
        <v>1549</v>
      </c>
      <c r="D1913" s="60"/>
      <c r="E1913" s="74">
        <v>2022</v>
      </c>
      <c r="F1913" s="74" t="s">
        <v>489</v>
      </c>
      <c r="G1913" s="61">
        <v>3</v>
      </c>
      <c r="H1913" s="45">
        <v>31</v>
      </c>
      <c r="I1913" s="74">
        <f>0.03816248*(1000)</f>
        <v>38.162480000000002</v>
      </c>
    </row>
    <row r="1914" spans="1:9" s="71" customFormat="1" ht="16.5" hidden="1" customHeight="1" outlineLevel="1" x14ac:dyDescent="0.25">
      <c r="A1914" s="74">
        <v>4059</v>
      </c>
      <c r="B1914" s="45" t="s">
        <v>664</v>
      </c>
      <c r="C1914" s="60" t="s">
        <v>1550</v>
      </c>
      <c r="D1914" s="60"/>
      <c r="E1914" s="74">
        <v>2022</v>
      </c>
      <c r="F1914" s="74" t="s">
        <v>489</v>
      </c>
      <c r="G1914" s="61">
        <v>3</v>
      </c>
      <c r="H1914" s="45">
        <v>40</v>
      </c>
      <c r="I1914" s="74">
        <f>0.0455694*(1000)</f>
        <v>45.569400000000002</v>
      </c>
    </row>
    <row r="1915" spans="1:9" s="71" customFormat="1" ht="16.5" hidden="1" customHeight="1" outlineLevel="1" x14ac:dyDescent="0.25">
      <c r="A1915" s="74">
        <v>4060</v>
      </c>
      <c r="B1915" s="45" t="s">
        <v>664</v>
      </c>
      <c r="C1915" s="60" t="s">
        <v>1551</v>
      </c>
      <c r="D1915" s="60"/>
      <c r="E1915" s="74">
        <v>2022</v>
      </c>
      <c r="F1915" s="74" t="s">
        <v>489</v>
      </c>
      <c r="G1915" s="61">
        <v>1</v>
      </c>
      <c r="H1915" s="45">
        <v>15</v>
      </c>
      <c r="I1915" s="74">
        <f>0.01854975*(1000)</f>
        <v>18.54975</v>
      </c>
    </row>
    <row r="1916" spans="1:9" s="71" customFormat="1" ht="16.5" hidden="1" customHeight="1" outlineLevel="1" x14ac:dyDescent="0.25">
      <c r="A1916" s="74">
        <v>4061</v>
      </c>
      <c r="B1916" s="45" t="s">
        <v>664</v>
      </c>
      <c r="C1916" s="60" t="s">
        <v>1552</v>
      </c>
      <c r="D1916" s="60"/>
      <c r="E1916" s="74">
        <v>2022</v>
      </c>
      <c r="F1916" s="74" t="s">
        <v>489</v>
      </c>
      <c r="G1916" s="61">
        <v>5</v>
      </c>
      <c r="H1916" s="45">
        <v>65</v>
      </c>
      <c r="I1916" s="74">
        <f>0.07258899*(1000)</f>
        <v>72.58899000000001</v>
      </c>
    </row>
    <row r="1917" spans="1:9" s="71" customFormat="1" ht="16.5" hidden="1" customHeight="1" outlineLevel="1" x14ac:dyDescent="0.25">
      <c r="A1917" s="74">
        <v>4062</v>
      </c>
      <c r="B1917" s="45" t="s">
        <v>664</v>
      </c>
      <c r="C1917" s="60" t="s">
        <v>1553</v>
      </c>
      <c r="D1917" s="60"/>
      <c r="E1917" s="74">
        <v>2022</v>
      </c>
      <c r="F1917" s="74" t="s">
        <v>489</v>
      </c>
      <c r="G1917" s="61">
        <v>1</v>
      </c>
      <c r="H1917" s="45">
        <v>15</v>
      </c>
      <c r="I1917" s="74">
        <f>0.01854975*(1000)</f>
        <v>18.54975</v>
      </c>
    </row>
    <row r="1918" spans="1:9" s="71" customFormat="1" ht="16.5" hidden="1" customHeight="1" outlineLevel="1" x14ac:dyDescent="0.25">
      <c r="A1918" s="74">
        <v>4063</v>
      </c>
      <c r="B1918" s="45" t="s">
        <v>664</v>
      </c>
      <c r="C1918" s="60" t="s">
        <v>1554</v>
      </c>
      <c r="D1918" s="60"/>
      <c r="E1918" s="74">
        <v>2022</v>
      </c>
      <c r="F1918" s="74" t="s">
        <v>489</v>
      </c>
      <c r="G1918" s="61">
        <v>2</v>
      </c>
      <c r="H1918" s="45">
        <v>25</v>
      </c>
      <c r="I1918" s="74">
        <f>0.02888401*(1000)</f>
        <v>28.88401</v>
      </c>
    </row>
    <row r="1919" spans="1:9" s="71" customFormat="1" ht="16.5" hidden="1" customHeight="1" outlineLevel="1" x14ac:dyDescent="0.25">
      <c r="A1919" s="74">
        <v>4064</v>
      </c>
      <c r="B1919" s="45" t="s">
        <v>664</v>
      </c>
      <c r="C1919" s="60" t="s">
        <v>1555</v>
      </c>
      <c r="D1919" s="60"/>
      <c r="E1919" s="74">
        <v>2022</v>
      </c>
      <c r="F1919" s="74" t="s">
        <v>489</v>
      </c>
      <c r="G1919" s="61">
        <v>5</v>
      </c>
      <c r="H1919" s="45">
        <v>65</v>
      </c>
      <c r="I1919" s="74">
        <f>0.07311695*(1000)</f>
        <v>73.116950000000003</v>
      </c>
    </row>
    <row r="1920" spans="1:9" s="71" customFormat="1" ht="16.5" hidden="1" customHeight="1" outlineLevel="1" x14ac:dyDescent="0.25">
      <c r="A1920" s="74">
        <v>4066</v>
      </c>
      <c r="B1920" s="45" t="s">
        <v>664</v>
      </c>
      <c r="C1920" s="60" t="s">
        <v>1556</v>
      </c>
      <c r="D1920" s="60"/>
      <c r="E1920" s="74">
        <v>2022</v>
      </c>
      <c r="F1920" s="74" t="s">
        <v>489</v>
      </c>
      <c r="G1920" s="61">
        <v>7</v>
      </c>
      <c r="H1920" s="45">
        <v>87</v>
      </c>
      <c r="I1920" s="74">
        <f>0.09862931*(1000)</f>
        <v>98.629310000000004</v>
      </c>
    </row>
    <row r="1921" spans="1:9" s="71" customFormat="1" ht="16.5" hidden="1" customHeight="1" outlineLevel="1" x14ac:dyDescent="0.25">
      <c r="A1921" s="74">
        <v>4068</v>
      </c>
      <c r="B1921" s="45" t="s">
        <v>664</v>
      </c>
      <c r="C1921" s="60" t="s">
        <v>1557</v>
      </c>
      <c r="D1921" s="60"/>
      <c r="E1921" s="74">
        <v>2022</v>
      </c>
      <c r="F1921" s="74" t="s">
        <v>489</v>
      </c>
      <c r="G1921" s="61">
        <v>3</v>
      </c>
      <c r="H1921" s="45">
        <v>26</v>
      </c>
      <c r="I1921" s="74">
        <f>0.04487763*(1000)</f>
        <v>44.877630000000003</v>
      </c>
    </row>
    <row r="1922" spans="1:9" s="71" customFormat="1" ht="16.5" hidden="1" customHeight="1" outlineLevel="1" x14ac:dyDescent="0.25">
      <c r="A1922" s="74">
        <v>4069</v>
      </c>
      <c r="B1922" s="45" t="s">
        <v>664</v>
      </c>
      <c r="C1922" s="60" t="s">
        <v>1558</v>
      </c>
      <c r="D1922" s="60"/>
      <c r="E1922" s="74">
        <v>2022</v>
      </c>
      <c r="F1922" s="74" t="s">
        <v>489</v>
      </c>
      <c r="G1922" s="61">
        <v>2</v>
      </c>
      <c r="H1922" s="45">
        <v>27</v>
      </c>
      <c r="I1922" s="74">
        <f>0.0350713*(1000)</f>
        <v>35.071300000000001</v>
      </c>
    </row>
    <row r="1923" spans="1:9" s="71" customFormat="1" ht="16.5" hidden="1" customHeight="1" outlineLevel="1" x14ac:dyDescent="0.25">
      <c r="A1923" s="74">
        <v>4070</v>
      </c>
      <c r="B1923" s="45" t="s">
        <v>664</v>
      </c>
      <c r="C1923" s="60" t="s">
        <v>1559</v>
      </c>
      <c r="D1923" s="60"/>
      <c r="E1923" s="74">
        <v>2022</v>
      </c>
      <c r="F1923" s="74" t="s">
        <v>489</v>
      </c>
      <c r="G1923" s="61">
        <v>9</v>
      </c>
      <c r="H1923" s="45">
        <v>84</v>
      </c>
      <c r="I1923" s="74">
        <f>0.10345176*(1000)</f>
        <v>103.45176000000001</v>
      </c>
    </row>
    <row r="1924" spans="1:9" s="71" customFormat="1" ht="16.5" hidden="1" customHeight="1" outlineLevel="1" x14ac:dyDescent="0.25">
      <c r="A1924" s="74">
        <v>4071</v>
      </c>
      <c r="B1924" s="45" t="s">
        <v>664</v>
      </c>
      <c r="C1924" s="60" t="s">
        <v>1560</v>
      </c>
      <c r="D1924" s="60"/>
      <c r="E1924" s="74">
        <v>2022</v>
      </c>
      <c r="F1924" s="74" t="s">
        <v>489</v>
      </c>
      <c r="G1924" s="61">
        <v>3</v>
      </c>
      <c r="H1924" s="45">
        <v>35</v>
      </c>
      <c r="I1924" s="74">
        <f>0.03714834*(1000)</f>
        <v>37.148340000000005</v>
      </c>
    </row>
    <row r="1925" spans="1:9" s="71" customFormat="1" ht="16.5" hidden="1" customHeight="1" outlineLevel="1" x14ac:dyDescent="0.25">
      <c r="A1925" s="74">
        <v>4072</v>
      </c>
      <c r="B1925" s="45" t="s">
        <v>664</v>
      </c>
      <c r="C1925" s="60" t="s">
        <v>1561</v>
      </c>
      <c r="D1925" s="60"/>
      <c r="E1925" s="74">
        <v>2022</v>
      </c>
      <c r="F1925" s="74" t="s">
        <v>489</v>
      </c>
      <c r="G1925" s="61">
        <v>3</v>
      </c>
      <c r="H1925" s="45">
        <v>40</v>
      </c>
      <c r="I1925" s="74">
        <f>0.04487763*(1000)</f>
        <v>44.877630000000003</v>
      </c>
    </row>
    <row r="1926" spans="1:9" s="71" customFormat="1" ht="16.5" hidden="1" customHeight="1" outlineLevel="1" x14ac:dyDescent="0.25">
      <c r="A1926" s="74">
        <v>4073</v>
      </c>
      <c r="B1926" s="45" t="s">
        <v>664</v>
      </c>
      <c r="C1926" s="60" t="s">
        <v>1562</v>
      </c>
      <c r="D1926" s="60"/>
      <c r="E1926" s="74">
        <v>2022</v>
      </c>
      <c r="F1926" s="74" t="s">
        <v>489</v>
      </c>
      <c r="G1926" s="61">
        <v>3</v>
      </c>
      <c r="H1926" s="45">
        <v>35</v>
      </c>
      <c r="I1926" s="74">
        <f>0.033647*(1000)</f>
        <v>33.647000000000006</v>
      </c>
    </row>
    <row r="1927" spans="1:9" s="71" customFormat="1" ht="16.5" hidden="1" customHeight="1" outlineLevel="1" x14ac:dyDescent="0.25">
      <c r="A1927" s="74">
        <v>4074</v>
      </c>
      <c r="B1927" s="45" t="s">
        <v>664</v>
      </c>
      <c r="C1927" s="60" t="s">
        <v>1563</v>
      </c>
      <c r="D1927" s="60"/>
      <c r="E1927" s="74">
        <v>2022</v>
      </c>
      <c r="F1927" s="74" t="s">
        <v>489</v>
      </c>
      <c r="G1927" s="61">
        <v>5</v>
      </c>
      <c r="H1927" s="45">
        <v>65</v>
      </c>
      <c r="I1927" s="74">
        <f>0.06065989*(1000)</f>
        <v>60.659890000000004</v>
      </c>
    </row>
    <row r="1928" spans="1:9" s="71" customFormat="1" ht="16.5" hidden="1" customHeight="1" outlineLevel="1" x14ac:dyDescent="0.25">
      <c r="A1928" s="74">
        <v>4075</v>
      </c>
      <c r="B1928" s="45" t="s">
        <v>664</v>
      </c>
      <c r="C1928" s="60" t="s">
        <v>1564</v>
      </c>
      <c r="D1928" s="60"/>
      <c r="E1928" s="74">
        <v>2022</v>
      </c>
      <c r="F1928" s="74" t="s">
        <v>489</v>
      </c>
      <c r="G1928" s="61">
        <v>3</v>
      </c>
      <c r="H1928" s="45">
        <v>35</v>
      </c>
      <c r="I1928" s="74">
        <f>0.033647*(1000)</f>
        <v>33.647000000000006</v>
      </c>
    </row>
    <row r="1929" spans="1:9" s="71" customFormat="1" ht="16.5" hidden="1" customHeight="1" outlineLevel="1" x14ac:dyDescent="0.25">
      <c r="A1929" s="74">
        <v>4076</v>
      </c>
      <c r="B1929" s="45" t="s">
        <v>664</v>
      </c>
      <c r="C1929" s="60" t="s">
        <v>1565</v>
      </c>
      <c r="D1929" s="60"/>
      <c r="E1929" s="74">
        <v>2022</v>
      </c>
      <c r="F1929" s="74" t="s">
        <v>489</v>
      </c>
      <c r="G1929" s="61">
        <v>2</v>
      </c>
      <c r="H1929" s="45">
        <v>25</v>
      </c>
      <c r="I1929" s="74">
        <f>0.02384067*(1000)</f>
        <v>23.840670000000003</v>
      </c>
    </row>
    <row r="1930" spans="1:9" s="71" customFormat="1" ht="16.5" hidden="1" customHeight="1" outlineLevel="1" x14ac:dyDescent="0.25">
      <c r="A1930" s="74">
        <v>4078</v>
      </c>
      <c r="B1930" s="45" t="s">
        <v>664</v>
      </c>
      <c r="C1930" s="60" t="s">
        <v>1566</v>
      </c>
      <c r="D1930" s="60"/>
      <c r="E1930" s="74">
        <v>2022</v>
      </c>
      <c r="F1930" s="74" t="s">
        <v>489</v>
      </c>
      <c r="G1930" s="61">
        <v>1</v>
      </c>
      <c r="H1930" s="45">
        <v>10</v>
      </c>
      <c r="I1930" s="74">
        <f>0.01377039*(1000)</f>
        <v>13.770390000000001</v>
      </c>
    </row>
    <row r="1931" spans="1:9" s="71" customFormat="1" ht="16.5" hidden="1" customHeight="1" outlineLevel="1" x14ac:dyDescent="0.25">
      <c r="A1931" s="74">
        <v>4079</v>
      </c>
      <c r="B1931" s="45" t="s">
        <v>664</v>
      </c>
      <c r="C1931" s="60" t="s">
        <v>1567</v>
      </c>
      <c r="D1931" s="60"/>
      <c r="E1931" s="74">
        <v>2022</v>
      </c>
      <c r="F1931" s="74" t="s">
        <v>489</v>
      </c>
      <c r="G1931" s="61">
        <v>5</v>
      </c>
      <c r="H1931" s="45">
        <v>64</v>
      </c>
      <c r="I1931" s="74">
        <f>0.06039597*(1000)</f>
        <v>60.395969999999998</v>
      </c>
    </row>
    <row r="1932" spans="1:9" s="71" customFormat="1" ht="16.5" hidden="1" customHeight="1" outlineLevel="1" x14ac:dyDescent="0.25">
      <c r="A1932" s="74">
        <v>4080</v>
      </c>
      <c r="B1932" s="45" t="s">
        <v>664</v>
      </c>
      <c r="C1932" s="60" t="s">
        <v>1568</v>
      </c>
      <c r="D1932" s="60"/>
      <c r="E1932" s="74">
        <v>2022</v>
      </c>
      <c r="F1932" s="74" t="s">
        <v>489</v>
      </c>
      <c r="G1932" s="61">
        <v>1</v>
      </c>
      <c r="H1932" s="45">
        <v>11.33</v>
      </c>
      <c r="I1932" s="74">
        <f>0.01377039*(1000)</f>
        <v>13.770390000000001</v>
      </c>
    </row>
    <row r="1933" spans="1:9" s="71" customFormat="1" ht="16.5" hidden="1" customHeight="1" outlineLevel="1" x14ac:dyDescent="0.25">
      <c r="A1933" s="74">
        <v>4082</v>
      </c>
      <c r="B1933" s="45" t="s">
        <v>664</v>
      </c>
      <c r="C1933" s="60" t="s">
        <v>1569</v>
      </c>
      <c r="D1933" s="60"/>
      <c r="E1933" s="74">
        <v>2022</v>
      </c>
      <c r="F1933" s="74" t="s">
        <v>489</v>
      </c>
      <c r="G1933" s="61">
        <v>1</v>
      </c>
      <c r="H1933" s="45">
        <v>15</v>
      </c>
      <c r="I1933" s="74">
        <f>0.01403432*(1000)</f>
        <v>14.034319999999999</v>
      </c>
    </row>
    <row r="1934" spans="1:9" s="71" customFormat="1" ht="16.5" hidden="1" customHeight="1" outlineLevel="1" x14ac:dyDescent="0.25">
      <c r="A1934" s="74">
        <v>4083</v>
      </c>
      <c r="B1934" s="45" t="s">
        <v>664</v>
      </c>
      <c r="C1934" s="60" t="s">
        <v>1570</v>
      </c>
      <c r="D1934" s="60"/>
      <c r="E1934" s="74">
        <v>2022</v>
      </c>
      <c r="F1934" s="74" t="s">
        <v>489</v>
      </c>
      <c r="G1934" s="61">
        <v>1</v>
      </c>
      <c r="H1934" s="45">
        <v>15</v>
      </c>
      <c r="I1934" s="74">
        <f>0.01403432*(1000)</f>
        <v>14.034319999999999</v>
      </c>
    </row>
    <row r="1935" spans="1:9" s="71" customFormat="1" ht="16.5" hidden="1" customHeight="1" outlineLevel="1" x14ac:dyDescent="0.25">
      <c r="A1935" s="74">
        <v>4085</v>
      </c>
      <c r="B1935" s="45" t="s">
        <v>664</v>
      </c>
      <c r="C1935" s="60" t="s">
        <v>1571</v>
      </c>
      <c r="D1935" s="60"/>
      <c r="E1935" s="74">
        <v>2022</v>
      </c>
      <c r="F1935" s="74" t="s">
        <v>489</v>
      </c>
      <c r="G1935" s="61">
        <v>1</v>
      </c>
      <c r="H1935" s="45">
        <v>15</v>
      </c>
      <c r="I1935" s="74">
        <f>0.01403432*(1000)</f>
        <v>14.034319999999999</v>
      </c>
    </row>
    <row r="1936" spans="1:9" s="71" customFormat="1" ht="16.5" hidden="1" customHeight="1" outlineLevel="1" x14ac:dyDescent="0.25">
      <c r="A1936" s="74">
        <v>4086</v>
      </c>
      <c r="B1936" s="45" t="s">
        <v>664</v>
      </c>
      <c r="C1936" s="60" t="s">
        <v>1572</v>
      </c>
      <c r="D1936" s="60"/>
      <c r="E1936" s="74">
        <v>2022</v>
      </c>
      <c r="F1936" s="74" t="s">
        <v>489</v>
      </c>
      <c r="G1936" s="61">
        <v>1</v>
      </c>
      <c r="H1936" s="45">
        <v>3.08</v>
      </c>
      <c r="I1936" s="74">
        <f>0.0137704*(1000)</f>
        <v>13.7704</v>
      </c>
    </row>
    <row r="1937" spans="1:9" s="71" customFormat="1" ht="16.5" hidden="1" customHeight="1" outlineLevel="1" x14ac:dyDescent="0.25">
      <c r="A1937" s="74">
        <v>4090</v>
      </c>
      <c r="B1937" s="45" t="s">
        <v>664</v>
      </c>
      <c r="C1937" s="60" t="s">
        <v>1573</v>
      </c>
      <c r="D1937" s="60"/>
      <c r="E1937" s="74">
        <v>2022</v>
      </c>
      <c r="F1937" s="74" t="s">
        <v>489</v>
      </c>
      <c r="G1937" s="61">
        <v>1</v>
      </c>
      <c r="H1937" s="45">
        <v>10</v>
      </c>
      <c r="I1937" s="74">
        <f>0.01403436*(1000)</f>
        <v>14.03436</v>
      </c>
    </row>
    <row r="1938" spans="1:9" s="71" customFormat="1" ht="16.5" hidden="1" customHeight="1" outlineLevel="1" x14ac:dyDescent="0.25">
      <c r="A1938" s="74">
        <v>4091</v>
      </c>
      <c r="B1938" s="45" t="s">
        <v>664</v>
      </c>
      <c r="C1938" s="60" t="s">
        <v>1574</v>
      </c>
      <c r="D1938" s="60"/>
      <c r="E1938" s="74">
        <v>2022</v>
      </c>
      <c r="F1938" s="74" t="s">
        <v>489</v>
      </c>
      <c r="G1938" s="61">
        <v>1</v>
      </c>
      <c r="H1938" s="45">
        <v>79</v>
      </c>
      <c r="I1938" s="74">
        <f>0.01403434*(1000)</f>
        <v>14.034339999999998</v>
      </c>
    </row>
    <row r="1939" spans="1:9" s="71" customFormat="1" ht="16.5" hidden="1" customHeight="1" outlineLevel="1" x14ac:dyDescent="0.25">
      <c r="A1939" s="74">
        <v>4092</v>
      </c>
      <c r="B1939" s="45" t="s">
        <v>664</v>
      </c>
      <c r="C1939" s="60" t="s">
        <v>1575</v>
      </c>
      <c r="D1939" s="60"/>
      <c r="E1939" s="74">
        <v>2022</v>
      </c>
      <c r="F1939" s="74" t="s">
        <v>489</v>
      </c>
      <c r="G1939" s="61">
        <v>1</v>
      </c>
      <c r="H1939" s="45">
        <v>15</v>
      </c>
      <c r="I1939" s="74">
        <f>0.01403432*(1000)</f>
        <v>14.034319999999999</v>
      </c>
    </row>
    <row r="1940" spans="1:9" s="71" customFormat="1" ht="16.5" hidden="1" customHeight="1" outlineLevel="1" x14ac:dyDescent="0.25">
      <c r="A1940" s="74">
        <v>4093</v>
      </c>
      <c r="B1940" s="45" t="s">
        <v>664</v>
      </c>
      <c r="C1940" s="60" t="s">
        <v>1576</v>
      </c>
      <c r="D1940" s="60"/>
      <c r="E1940" s="74">
        <v>2022</v>
      </c>
      <c r="F1940" s="74" t="s">
        <v>489</v>
      </c>
      <c r="G1940" s="61">
        <v>1</v>
      </c>
      <c r="H1940" s="45">
        <v>15</v>
      </c>
      <c r="I1940" s="74">
        <f>0.01403434*(1000)</f>
        <v>14.034339999999998</v>
      </c>
    </row>
    <row r="1941" spans="1:9" s="71" customFormat="1" ht="16.5" hidden="1" customHeight="1" outlineLevel="1" x14ac:dyDescent="0.25">
      <c r="A1941" s="74">
        <v>4094</v>
      </c>
      <c r="B1941" s="45" t="s">
        <v>664</v>
      </c>
      <c r="C1941" s="60" t="s">
        <v>1577</v>
      </c>
      <c r="D1941" s="60"/>
      <c r="E1941" s="74">
        <v>2022</v>
      </c>
      <c r="F1941" s="74" t="s">
        <v>489</v>
      </c>
      <c r="G1941" s="61">
        <v>1</v>
      </c>
      <c r="H1941" s="45">
        <v>14</v>
      </c>
      <c r="I1941" s="74">
        <f>0.01377039*(1000)</f>
        <v>13.770390000000001</v>
      </c>
    </row>
    <row r="1942" spans="1:9" s="71" customFormat="1" ht="16.5" hidden="1" customHeight="1" outlineLevel="1" x14ac:dyDescent="0.25">
      <c r="A1942" s="74">
        <v>4095</v>
      </c>
      <c r="B1942" s="45" t="s">
        <v>664</v>
      </c>
      <c r="C1942" s="60" t="s">
        <v>1578</v>
      </c>
      <c r="D1942" s="60"/>
      <c r="E1942" s="74">
        <v>2022</v>
      </c>
      <c r="F1942" s="74" t="s">
        <v>489</v>
      </c>
      <c r="G1942" s="61">
        <v>1</v>
      </c>
      <c r="H1942" s="45">
        <v>14</v>
      </c>
      <c r="I1942" s="74">
        <f>0.01403434*(1000)</f>
        <v>14.034339999999998</v>
      </c>
    </row>
    <row r="1943" spans="1:9" s="71" customFormat="1" ht="16.5" hidden="1" customHeight="1" outlineLevel="1" x14ac:dyDescent="0.25">
      <c r="A1943" s="74">
        <v>4096</v>
      </c>
      <c r="B1943" s="45" t="s">
        <v>664</v>
      </c>
      <c r="C1943" s="60" t="s">
        <v>1579</v>
      </c>
      <c r="D1943" s="60"/>
      <c r="E1943" s="74">
        <v>2022</v>
      </c>
      <c r="F1943" s="74" t="s">
        <v>489</v>
      </c>
      <c r="G1943" s="61">
        <v>1</v>
      </c>
      <c r="H1943" s="45">
        <v>14</v>
      </c>
      <c r="I1943" s="74">
        <f>0.01377039*(1000)</f>
        <v>13.770390000000001</v>
      </c>
    </row>
    <row r="1944" spans="1:9" s="71" customFormat="1" ht="16.5" hidden="1" customHeight="1" outlineLevel="1" x14ac:dyDescent="0.25">
      <c r="A1944" s="74">
        <v>4097</v>
      </c>
      <c r="B1944" s="45" t="s">
        <v>664</v>
      </c>
      <c r="C1944" s="60" t="s">
        <v>1580</v>
      </c>
      <c r="D1944" s="60"/>
      <c r="E1944" s="74">
        <v>2022</v>
      </c>
      <c r="F1944" s="74" t="s">
        <v>489</v>
      </c>
      <c r="G1944" s="61">
        <v>1</v>
      </c>
      <c r="H1944" s="45">
        <v>79</v>
      </c>
      <c r="I1944" s="74">
        <f>0.01399669*(1000)</f>
        <v>13.996690000000001</v>
      </c>
    </row>
    <row r="1945" spans="1:9" s="71" customFormat="1" ht="16.5" hidden="1" customHeight="1" outlineLevel="1" x14ac:dyDescent="0.25">
      <c r="A1945" s="74">
        <v>4098</v>
      </c>
      <c r="B1945" s="45" t="s">
        <v>664</v>
      </c>
      <c r="C1945" s="60" t="s">
        <v>1581</v>
      </c>
      <c r="D1945" s="60"/>
      <c r="E1945" s="74">
        <v>2022</v>
      </c>
      <c r="F1945" s="74" t="s">
        <v>489</v>
      </c>
      <c r="G1945" s="61">
        <v>1</v>
      </c>
      <c r="H1945" s="45">
        <v>15</v>
      </c>
      <c r="I1945" s="74">
        <f>0.01399668*(1000)</f>
        <v>13.99668</v>
      </c>
    </row>
    <row r="1946" spans="1:9" s="71" customFormat="1" ht="16.5" hidden="1" customHeight="1" outlineLevel="1" x14ac:dyDescent="0.25">
      <c r="A1946" s="74">
        <v>4102</v>
      </c>
      <c r="B1946" s="45" t="s">
        <v>664</v>
      </c>
      <c r="C1946" s="60" t="s">
        <v>1582</v>
      </c>
      <c r="D1946" s="60"/>
      <c r="E1946" s="74">
        <v>2022</v>
      </c>
      <c r="F1946" s="74" t="s">
        <v>489</v>
      </c>
      <c r="G1946" s="61">
        <v>1</v>
      </c>
      <c r="H1946" s="45">
        <v>9.9</v>
      </c>
      <c r="I1946" s="74">
        <f>0.01373273*(1000)</f>
        <v>13.73273</v>
      </c>
    </row>
    <row r="1947" spans="1:9" s="71" customFormat="1" ht="16.5" hidden="1" customHeight="1" outlineLevel="1" x14ac:dyDescent="0.25">
      <c r="A1947" s="74">
        <v>4104</v>
      </c>
      <c r="B1947" s="45" t="s">
        <v>664</v>
      </c>
      <c r="C1947" s="60" t="s">
        <v>1583</v>
      </c>
      <c r="D1947" s="60"/>
      <c r="E1947" s="74">
        <v>2022</v>
      </c>
      <c r="F1947" s="74" t="s">
        <v>489</v>
      </c>
      <c r="G1947" s="61">
        <v>1</v>
      </c>
      <c r="H1947" s="45">
        <v>15</v>
      </c>
      <c r="I1947" s="74">
        <f>0.01373272*(1000)</f>
        <v>13.73272</v>
      </c>
    </row>
    <row r="1948" spans="1:9" s="71" customFormat="1" ht="16.5" hidden="1" customHeight="1" outlineLevel="1" x14ac:dyDescent="0.25">
      <c r="A1948" s="74">
        <v>4105</v>
      </c>
      <c r="B1948" s="45" t="s">
        <v>664</v>
      </c>
      <c r="C1948" s="60" t="s">
        <v>1584</v>
      </c>
      <c r="D1948" s="60"/>
      <c r="E1948" s="74">
        <v>2022</v>
      </c>
      <c r="F1948" s="74" t="s">
        <v>489</v>
      </c>
      <c r="G1948" s="61">
        <v>1</v>
      </c>
      <c r="H1948" s="45">
        <v>15</v>
      </c>
      <c r="I1948" s="74">
        <f>0.01399669*(1000)</f>
        <v>13.996690000000001</v>
      </c>
    </row>
    <row r="1949" spans="1:9" s="71" customFormat="1" ht="16.5" hidden="1" customHeight="1" outlineLevel="1" x14ac:dyDescent="0.25">
      <c r="A1949" s="74">
        <v>4106</v>
      </c>
      <c r="B1949" s="45" t="s">
        <v>664</v>
      </c>
      <c r="C1949" s="60" t="s">
        <v>1585</v>
      </c>
      <c r="D1949" s="60"/>
      <c r="E1949" s="74">
        <v>2022</v>
      </c>
      <c r="F1949" s="74" t="s">
        <v>489</v>
      </c>
      <c r="G1949" s="61">
        <v>1</v>
      </c>
      <c r="H1949" s="45">
        <v>15</v>
      </c>
      <c r="I1949" s="74">
        <f>0.01399668*(1000)</f>
        <v>13.99668</v>
      </c>
    </row>
    <row r="1950" spans="1:9" s="71" customFormat="1" ht="16.5" hidden="1" customHeight="1" outlineLevel="1" x14ac:dyDescent="0.25">
      <c r="A1950" s="74">
        <v>4107</v>
      </c>
      <c r="B1950" s="45" t="s">
        <v>664</v>
      </c>
      <c r="C1950" s="60" t="s">
        <v>1586</v>
      </c>
      <c r="D1950" s="60"/>
      <c r="E1950" s="74">
        <v>2022</v>
      </c>
      <c r="F1950" s="74" t="s">
        <v>489</v>
      </c>
      <c r="G1950" s="61">
        <v>1</v>
      </c>
      <c r="H1950" s="45">
        <v>15</v>
      </c>
      <c r="I1950" s="74">
        <f>0.0139967*(1000)</f>
        <v>13.996700000000001</v>
      </c>
    </row>
    <row r="1951" spans="1:9" s="71" customFormat="1" ht="16.5" hidden="1" customHeight="1" outlineLevel="1" x14ac:dyDescent="0.25">
      <c r="A1951" s="74">
        <v>4108</v>
      </c>
      <c r="B1951" s="45" t="s">
        <v>664</v>
      </c>
      <c r="C1951" s="60" t="s">
        <v>1587</v>
      </c>
      <c r="D1951" s="60"/>
      <c r="E1951" s="74">
        <v>2022</v>
      </c>
      <c r="F1951" s="74" t="s">
        <v>489</v>
      </c>
      <c r="G1951" s="61">
        <v>1</v>
      </c>
      <c r="H1951" s="45">
        <v>15</v>
      </c>
      <c r="I1951" s="74">
        <f>0.01373272*(1000)</f>
        <v>13.73272</v>
      </c>
    </row>
    <row r="1952" spans="1:9" s="71" customFormat="1" ht="16.5" hidden="1" customHeight="1" outlineLevel="1" x14ac:dyDescent="0.25">
      <c r="A1952" s="74">
        <v>4109</v>
      </c>
      <c r="B1952" s="45" t="s">
        <v>664</v>
      </c>
      <c r="C1952" s="60" t="s">
        <v>1588</v>
      </c>
      <c r="D1952" s="60"/>
      <c r="E1952" s="74">
        <v>2022</v>
      </c>
      <c r="F1952" s="74" t="s">
        <v>489</v>
      </c>
      <c r="G1952" s="61">
        <v>1</v>
      </c>
      <c r="H1952" s="45">
        <v>15</v>
      </c>
      <c r="I1952" s="74">
        <f>0.0139967*(1000)</f>
        <v>13.996700000000001</v>
      </c>
    </row>
    <row r="1953" spans="1:9" s="71" customFormat="1" ht="16.5" hidden="1" customHeight="1" outlineLevel="1" x14ac:dyDescent="0.25">
      <c r="A1953" s="74">
        <v>4110</v>
      </c>
      <c r="B1953" s="45" t="s">
        <v>664</v>
      </c>
      <c r="C1953" s="60" t="s">
        <v>1589</v>
      </c>
      <c r="D1953" s="60"/>
      <c r="E1953" s="74">
        <v>2022</v>
      </c>
      <c r="F1953" s="74" t="s">
        <v>489</v>
      </c>
      <c r="G1953" s="61">
        <v>1</v>
      </c>
      <c r="H1953" s="45">
        <v>15</v>
      </c>
      <c r="I1953" s="74">
        <f>0.01399668*(1000)</f>
        <v>13.99668</v>
      </c>
    </row>
    <row r="1954" spans="1:9" s="71" customFormat="1" ht="16.5" hidden="1" customHeight="1" outlineLevel="1" x14ac:dyDescent="0.25">
      <c r="A1954" s="74">
        <v>4111</v>
      </c>
      <c r="B1954" s="45" t="s">
        <v>664</v>
      </c>
      <c r="C1954" s="60" t="s">
        <v>1590</v>
      </c>
      <c r="D1954" s="60"/>
      <c r="E1954" s="74">
        <v>2022</v>
      </c>
      <c r="F1954" s="74" t="s">
        <v>489</v>
      </c>
      <c r="G1954" s="61">
        <v>1</v>
      </c>
      <c r="H1954" s="45">
        <v>5</v>
      </c>
      <c r="I1954" s="74">
        <f>0.0146211*(1000)</f>
        <v>14.6211</v>
      </c>
    </row>
    <row r="1955" spans="1:9" s="71" customFormat="1" ht="16.5" hidden="1" customHeight="1" outlineLevel="1" x14ac:dyDescent="0.25">
      <c r="A1955" s="74">
        <v>2868</v>
      </c>
      <c r="B1955" s="45" t="s">
        <v>664</v>
      </c>
      <c r="C1955" s="60" t="s">
        <v>1591</v>
      </c>
      <c r="D1955" s="60"/>
      <c r="E1955" s="74">
        <v>2022</v>
      </c>
      <c r="F1955" s="74" t="s">
        <v>489</v>
      </c>
      <c r="G1955" s="61">
        <v>1</v>
      </c>
      <c r="H1955" s="45">
        <v>150</v>
      </c>
      <c r="I1955" s="74">
        <f>0.101706*(1000)</f>
        <v>101.706</v>
      </c>
    </row>
    <row r="1956" spans="1:9" s="71" customFormat="1" ht="16.5" hidden="1" customHeight="1" outlineLevel="1" x14ac:dyDescent="0.25">
      <c r="A1956" s="74">
        <v>3015</v>
      </c>
      <c r="B1956" s="45" t="s">
        <v>664</v>
      </c>
      <c r="C1956" s="60" t="s">
        <v>1592</v>
      </c>
      <c r="D1956" s="60"/>
      <c r="E1956" s="74">
        <v>2022</v>
      </c>
      <c r="F1956" s="74" t="s">
        <v>489</v>
      </c>
      <c r="G1956" s="61">
        <v>1</v>
      </c>
      <c r="H1956" s="45">
        <v>24</v>
      </c>
      <c r="I1956" s="74">
        <f>0.14060254*(1000)</f>
        <v>140.60254</v>
      </c>
    </row>
    <row r="1957" spans="1:9" s="71" customFormat="1" ht="16.5" hidden="1" customHeight="1" outlineLevel="1" x14ac:dyDescent="0.25">
      <c r="A1957" s="74">
        <v>3016</v>
      </c>
      <c r="B1957" s="45" t="s">
        <v>664</v>
      </c>
      <c r="C1957" s="60" t="s">
        <v>1593</v>
      </c>
      <c r="D1957" s="60"/>
      <c r="E1957" s="74">
        <v>2022</v>
      </c>
      <c r="F1957" s="74" t="s">
        <v>489</v>
      </c>
      <c r="G1957" s="61">
        <v>1</v>
      </c>
      <c r="H1957" s="45">
        <v>24</v>
      </c>
      <c r="I1957" s="74">
        <f>0.162732*(1000)</f>
        <v>162.732</v>
      </c>
    </row>
    <row r="1958" spans="1:9" s="71" customFormat="1" ht="16.5" hidden="1" customHeight="1" outlineLevel="1" x14ac:dyDescent="0.25">
      <c r="A1958" s="74">
        <v>1044</v>
      </c>
      <c r="B1958" s="45" t="s">
        <v>664</v>
      </c>
      <c r="C1958" s="60" t="s">
        <v>1594</v>
      </c>
      <c r="D1958" s="60"/>
      <c r="E1958" s="74">
        <v>2022</v>
      </c>
      <c r="F1958" s="74" t="s">
        <v>489</v>
      </c>
      <c r="G1958" s="61">
        <v>2</v>
      </c>
      <c r="H1958" s="45">
        <v>30</v>
      </c>
      <c r="I1958" s="74">
        <v>86.535219999999995</v>
      </c>
    </row>
    <row r="1959" spans="1:9" s="71" customFormat="1" ht="16.5" hidden="1" customHeight="1" outlineLevel="1" x14ac:dyDescent="0.25">
      <c r="A1959" s="74">
        <v>1055</v>
      </c>
      <c r="B1959" s="45" t="s">
        <v>664</v>
      </c>
      <c r="C1959" s="60" t="s">
        <v>1595</v>
      </c>
      <c r="D1959" s="60"/>
      <c r="E1959" s="74">
        <v>2022</v>
      </c>
      <c r="F1959" s="74" t="s">
        <v>489</v>
      </c>
      <c r="G1959" s="61">
        <v>1</v>
      </c>
      <c r="H1959" s="45">
        <v>15</v>
      </c>
      <c r="I1959" s="74">
        <v>53.388809999999999</v>
      </c>
    </row>
    <row r="1960" spans="1:9" s="71" customFormat="1" ht="16.5" hidden="1" customHeight="1" outlineLevel="1" x14ac:dyDescent="0.25">
      <c r="A1960" s="74">
        <v>1061</v>
      </c>
      <c r="B1960" s="45" t="s">
        <v>664</v>
      </c>
      <c r="C1960" s="60" t="s">
        <v>1596</v>
      </c>
      <c r="D1960" s="60"/>
      <c r="E1960" s="74">
        <v>2022</v>
      </c>
      <c r="F1960" s="74" t="s">
        <v>489</v>
      </c>
      <c r="G1960" s="61">
        <v>1</v>
      </c>
      <c r="H1960" s="45">
        <v>60</v>
      </c>
      <c r="I1960" s="74">
        <v>47.115630000000003</v>
      </c>
    </row>
    <row r="1961" spans="1:9" s="71" customFormat="1" ht="16.5" hidden="1" customHeight="1" outlineLevel="1" x14ac:dyDescent="0.25">
      <c r="A1961" s="74">
        <v>1121</v>
      </c>
      <c r="B1961" s="45" t="s">
        <v>664</v>
      </c>
      <c r="C1961" s="60" t="s">
        <v>1597</v>
      </c>
      <c r="D1961" s="60"/>
      <c r="E1961" s="74">
        <v>2022</v>
      </c>
      <c r="F1961" s="74" t="s">
        <v>489</v>
      </c>
      <c r="G1961" s="61">
        <v>1</v>
      </c>
      <c r="H1961" s="45">
        <v>50</v>
      </c>
      <c r="I1961" s="74">
        <v>53.265700000000002</v>
      </c>
    </row>
    <row r="1962" spans="1:9" s="71" customFormat="1" ht="16.5" hidden="1" customHeight="1" outlineLevel="1" x14ac:dyDescent="0.25">
      <c r="A1962" s="74">
        <v>1122</v>
      </c>
      <c r="B1962" s="45" t="s">
        <v>664</v>
      </c>
      <c r="C1962" s="60" t="s">
        <v>1598</v>
      </c>
      <c r="D1962" s="60"/>
      <c r="E1962" s="74">
        <v>2022</v>
      </c>
      <c r="F1962" s="74" t="s">
        <v>489</v>
      </c>
      <c r="G1962" s="61">
        <v>1</v>
      </c>
      <c r="H1962" s="45">
        <v>15</v>
      </c>
      <c r="I1962" s="74">
        <v>42.335760000000001</v>
      </c>
    </row>
    <row r="1963" spans="1:9" s="71" customFormat="1" ht="16.5" hidden="1" customHeight="1" outlineLevel="1" x14ac:dyDescent="0.25">
      <c r="A1963" s="74">
        <v>1123</v>
      </c>
      <c r="B1963" s="45" t="s">
        <v>664</v>
      </c>
      <c r="C1963" s="60" t="s">
        <v>1599</v>
      </c>
      <c r="D1963" s="60"/>
      <c r="E1963" s="74">
        <v>2022</v>
      </c>
      <c r="F1963" s="74" t="s">
        <v>489</v>
      </c>
      <c r="G1963" s="61">
        <v>1</v>
      </c>
      <c r="H1963" s="45">
        <v>15</v>
      </c>
      <c r="I1963" s="74">
        <v>47.260330000000003</v>
      </c>
    </row>
    <row r="1964" spans="1:9" s="71" customFormat="1" ht="16.5" hidden="1" customHeight="1" outlineLevel="1" x14ac:dyDescent="0.25">
      <c r="A1964" s="74">
        <v>1160</v>
      </c>
      <c r="B1964" s="45" t="s">
        <v>664</v>
      </c>
      <c r="C1964" s="60" t="s">
        <v>1600</v>
      </c>
      <c r="D1964" s="60"/>
      <c r="E1964" s="74">
        <v>2022</v>
      </c>
      <c r="F1964" s="74" t="s">
        <v>489</v>
      </c>
      <c r="G1964" s="61">
        <v>1</v>
      </c>
      <c r="H1964" s="45">
        <v>15</v>
      </c>
      <c r="I1964" s="74">
        <v>43.98583</v>
      </c>
    </row>
    <row r="1965" spans="1:9" s="71" customFormat="1" ht="16.5" hidden="1" customHeight="1" outlineLevel="1" x14ac:dyDescent="0.25">
      <c r="A1965" s="74">
        <v>1161</v>
      </c>
      <c r="B1965" s="45" t="s">
        <v>664</v>
      </c>
      <c r="C1965" s="60" t="s">
        <v>1601</v>
      </c>
      <c r="D1965" s="60"/>
      <c r="E1965" s="74">
        <v>2022</v>
      </c>
      <c r="F1965" s="74" t="s">
        <v>489</v>
      </c>
      <c r="G1965" s="61">
        <v>1</v>
      </c>
      <c r="H1965" s="45">
        <v>15</v>
      </c>
      <c r="I1965" s="74">
        <v>40.71555</v>
      </c>
    </row>
    <row r="1966" spans="1:9" s="71" customFormat="1" ht="16.5" hidden="1" customHeight="1" outlineLevel="1" x14ac:dyDescent="0.25">
      <c r="A1966" s="74">
        <v>1178</v>
      </c>
      <c r="B1966" s="45" t="s">
        <v>664</v>
      </c>
      <c r="C1966" s="60" t="s">
        <v>1602</v>
      </c>
      <c r="D1966" s="60"/>
      <c r="E1966" s="74">
        <v>2022</v>
      </c>
      <c r="F1966" s="74" t="s">
        <v>489</v>
      </c>
      <c r="G1966" s="61">
        <v>1</v>
      </c>
      <c r="H1966" s="45">
        <v>15</v>
      </c>
      <c r="I1966" s="74">
        <v>42.137129999999999</v>
      </c>
    </row>
    <row r="1967" spans="1:9" s="71" customFormat="1" ht="16.5" hidden="1" customHeight="1" outlineLevel="1" x14ac:dyDescent="0.25">
      <c r="A1967" s="74">
        <v>1223</v>
      </c>
      <c r="B1967" s="45" t="s">
        <v>664</v>
      </c>
      <c r="C1967" s="60" t="s">
        <v>1603</v>
      </c>
      <c r="D1967" s="60"/>
      <c r="E1967" s="74">
        <v>2022</v>
      </c>
      <c r="F1967" s="74" t="s">
        <v>489</v>
      </c>
      <c r="G1967" s="61">
        <v>1</v>
      </c>
      <c r="H1967" s="45">
        <v>15</v>
      </c>
      <c r="I1967" s="74">
        <v>33.591650000000001</v>
      </c>
    </row>
    <row r="1968" spans="1:9" s="71" customFormat="1" ht="16.5" hidden="1" customHeight="1" outlineLevel="1" x14ac:dyDescent="0.25">
      <c r="A1968" s="74">
        <v>1252</v>
      </c>
      <c r="B1968" s="45" t="s">
        <v>664</v>
      </c>
      <c r="C1968" s="60" t="s">
        <v>1604</v>
      </c>
      <c r="D1968" s="60"/>
      <c r="E1968" s="74">
        <v>2022</v>
      </c>
      <c r="F1968" s="74" t="s">
        <v>489</v>
      </c>
      <c r="G1968" s="61">
        <v>1</v>
      </c>
      <c r="H1968" s="45">
        <v>15</v>
      </c>
      <c r="I1968" s="74">
        <v>42.78342</v>
      </c>
    </row>
    <row r="1969" spans="1:9" s="71" customFormat="1" ht="16.5" hidden="1" customHeight="1" outlineLevel="1" x14ac:dyDescent="0.25">
      <c r="A1969" s="74">
        <v>1270</v>
      </c>
      <c r="B1969" s="45" t="s">
        <v>664</v>
      </c>
      <c r="C1969" s="60" t="s">
        <v>1605</v>
      </c>
      <c r="D1969" s="60"/>
      <c r="E1969" s="74">
        <v>2022</v>
      </c>
      <c r="F1969" s="74" t="s">
        <v>489</v>
      </c>
      <c r="G1969" s="61">
        <v>1</v>
      </c>
      <c r="H1969" s="45">
        <v>15</v>
      </c>
      <c r="I1969" s="74">
        <v>34.623370000000001</v>
      </c>
    </row>
    <row r="1970" spans="1:9" s="71" customFormat="1" ht="16.5" hidden="1" customHeight="1" outlineLevel="1" x14ac:dyDescent="0.25">
      <c r="A1970" s="74">
        <v>1284</v>
      </c>
      <c r="B1970" s="45" t="s">
        <v>664</v>
      </c>
      <c r="C1970" s="60" t="s">
        <v>1606</v>
      </c>
      <c r="D1970" s="60"/>
      <c r="E1970" s="74">
        <v>2022</v>
      </c>
      <c r="F1970" s="74" t="s">
        <v>489</v>
      </c>
      <c r="G1970" s="61">
        <v>1</v>
      </c>
      <c r="H1970" s="45">
        <v>15</v>
      </c>
      <c r="I1970" s="74">
        <v>47.775500000000001</v>
      </c>
    </row>
    <row r="1971" spans="1:9" s="71" customFormat="1" ht="16.5" hidden="1" customHeight="1" outlineLevel="1" x14ac:dyDescent="0.25">
      <c r="A1971" s="74">
        <v>1418</v>
      </c>
      <c r="B1971" s="45" t="s">
        <v>664</v>
      </c>
      <c r="C1971" s="60" t="s">
        <v>1607</v>
      </c>
      <c r="D1971" s="60"/>
      <c r="E1971" s="74">
        <v>2022</v>
      </c>
      <c r="F1971" s="74" t="s">
        <v>489</v>
      </c>
      <c r="G1971" s="61">
        <v>1</v>
      </c>
      <c r="H1971" s="45">
        <v>12</v>
      </c>
      <c r="I1971" s="74">
        <v>36.114310000000003</v>
      </c>
    </row>
    <row r="1972" spans="1:9" s="71" customFormat="1" ht="16.5" hidden="1" customHeight="1" outlineLevel="1" x14ac:dyDescent="0.25">
      <c r="A1972" s="74">
        <v>1307</v>
      </c>
      <c r="B1972" s="45" t="s">
        <v>664</v>
      </c>
      <c r="C1972" s="60" t="s">
        <v>1608</v>
      </c>
      <c r="D1972" s="60"/>
      <c r="E1972" s="74">
        <v>2022</v>
      </c>
      <c r="F1972" s="74" t="s">
        <v>489</v>
      </c>
      <c r="G1972" s="61">
        <v>1</v>
      </c>
      <c r="H1972" s="45">
        <v>15</v>
      </c>
      <c r="I1972" s="74">
        <v>62.32367</v>
      </c>
    </row>
    <row r="1973" spans="1:9" s="71" customFormat="1" ht="16.5" hidden="1" customHeight="1" outlineLevel="1" x14ac:dyDescent="0.25">
      <c r="A1973" s="74">
        <v>1210</v>
      </c>
      <c r="B1973" s="45" t="s">
        <v>664</v>
      </c>
      <c r="C1973" s="60" t="s">
        <v>1609</v>
      </c>
      <c r="D1973" s="60"/>
      <c r="E1973" s="74">
        <v>2022</v>
      </c>
      <c r="F1973" s="74" t="s">
        <v>489</v>
      </c>
      <c r="G1973" s="61">
        <v>1</v>
      </c>
      <c r="H1973" s="45">
        <v>15</v>
      </c>
      <c r="I1973" s="74">
        <v>38.413550000000001</v>
      </c>
    </row>
    <row r="1974" spans="1:9" s="71" customFormat="1" ht="16.5" hidden="1" customHeight="1" outlineLevel="1" x14ac:dyDescent="0.25">
      <c r="A1974" s="74">
        <v>1089</v>
      </c>
      <c r="B1974" s="45" t="s">
        <v>664</v>
      </c>
      <c r="C1974" s="60" t="s">
        <v>1610</v>
      </c>
      <c r="D1974" s="60"/>
      <c r="E1974" s="74">
        <v>2022</v>
      </c>
      <c r="F1974" s="74" t="s">
        <v>489</v>
      </c>
      <c r="G1974" s="61">
        <v>1</v>
      </c>
      <c r="H1974" s="45">
        <v>7.5</v>
      </c>
      <c r="I1974" s="74">
        <v>54.667949999999998</v>
      </c>
    </row>
    <row r="1975" spans="1:9" s="71" customFormat="1" ht="16.5" hidden="1" customHeight="1" outlineLevel="1" x14ac:dyDescent="0.25">
      <c r="A1975" s="74">
        <v>1096</v>
      </c>
      <c r="B1975" s="45" t="s">
        <v>664</v>
      </c>
      <c r="C1975" s="60" t="s">
        <v>1611</v>
      </c>
      <c r="D1975" s="60"/>
      <c r="E1975" s="74">
        <v>2022</v>
      </c>
      <c r="F1975" s="74" t="s">
        <v>489</v>
      </c>
      <c r="G1975" s="61">
        <v>1</v>
      </c>
      <c r="H1975" s="45">
        <v>10</v>
      </c>
      <c r="I1975" s="74">
        <v>56.56474</v>
      </c>
    </row>
    <row r="1976" spans="1:9" s="71" customFormat="1" ht="16.5" hidden="1" customHeight="1" outlineLevel="1" x14ac:dyDescent="0.25">
      <c r="A1976" s="74">
        <v>1097</v>
      </c>
      <c r="B1976" s="45" t="s">
        <v>664</v>
      </c>
      <c r="C1976" s="60" t="s">
        <v>1612</v>
      </c>
      <c r="D1976" s="60"/>
      <c r="E1976" s="74">
        <v>2022</v>
      </c>
      <c r="F1976" s="74" t="s">
        <v>489</v>
      </c>
      <c r="G1976" s="61">
        <v>1</v>
      </c>
      <c r="H1976" s="45">
        <v>15</v>
      </c>
      <c r="I1976" s="74">
        <v>57.350670000000001</v>
      </c>
    </row>
    <row r="1977" spans="1:9" s="71" customFormat="1" ht="16.5" hidden="1" customHeight="1" outlineLevel="1" x14ac:dyDescent="0.25">
      <c r="A1977" s="74">
        <v>1098</v>
      </c>
      <c r="B1977" s="45" t="s">
        <v>664</v>
      </c>
      <c r="C1977" s="60" t="s">
        <v>1613</v>
      </c>
      <c r="D1977" s="60"/>
      <c r="E1977" s="74">
        <v>2022</v>
      </c>
      <c r="F1977" s="74" t="s">
        <v>489</v>
      </c>
      <c r="G1977" s="61">
        <v>1</v>
      </c>
      <c r="H1977" s="45">
        <v>10</v>
      </c>
      <c r="I1977" s="74">
        <v>55.497529999999998</v>
      </c>
    </row>
    <row r="1978" spans="1:9" s="71" customFormat="1" ht="16.5" hidden="1" customHeight="1" outlineLevel="1" x14ac:dyDescent="0.25">
      <c r="A1978" s="74">
        <v>1151</v>
      </c>
      <c r="B1978" s="45" t="s">
        <v>664</v>
      </c>
      <c r="C1978" s="60" t="s">
        <v>1614</v>
      </c>
      <c r="D1978" s="60"/>
      <c r="E1978" s="74">
        <v>2022</v>
      </c>
      <c r="F1978" s="74" t="s">
        <v>489</v>
      </c>
      <c r="G1978" s="61">
        <v>1</v>
      </c>
      <c r="H1978" s="45">
        <v>12.9</v>
      </c>
      <c r="I1978" s="74">
        <v>38.853920000000002</v>
      </c>
    </row>
    <row r="1979" spans="1:9" s="71" customFormat="1" ht="16.5" hidden="1" customHeight="1" outlineLevel="1" x14ac:dyDescent="0.25">
      <c r="A1979" s="74">
        <v>1220</v>
      </c>
      <c r="B1979" s="45" t="s">
        <v>664</v>
      </c>
      <c r="C1979" s="60" t="s">
        <v>1615</v>
      </c>
      <c r="D1979" s="60"/>
      <c r="E1979" s="74">
        <v>2022</v>
      </c>
      <c r="F1979" s="74" t="s">
        <v>489</v>
      </c>
      <c r="G1979" s="61">
        <v>1</v>
      </c>
      <c r="H1979" s="45">
        <v>15</v>
      </c>
      <c r="I1979" s="74">
        <v>41.550669999999997</v>
      </c>
    </row>
    <row r="1980" spans="1:9" s="71" customFormat="1" ht="16.5" hidden="1" customHeight="1" outlineLevel="1" x14ac:dyDescent="0.25">
      <c r="A1980" s="74">
        <v>1233</v>
      </c>
      <c r="B1980" s="45" t="s">
        <v>664</v>
      </c>
      <c r="C1980" s="60" t="s">
        <v>1616</v>
      </c>
      <c r="D1980" s="60"/>
      <c r="E1980" s="74">
        <v>2022</v>
      </c>
      <c r="F1980" s="74" t="s">
        <v>489</v>
      </c>
      <c r="G1980" s="61">
        <v>1</v>
      </c>
      <c r="H1980" s="45">
        <v>15</v>
      </c>
      <c r="I1980" s="74">
        <v>43.655679999999997</v>
      </c>
    </row>
    <row r="1981" spans="1:9" s="71" customFormat="1" ht="16.5" hidden="1" customHeight="1" outlineLevel="1" x14ac:dyDescent="0.25">
      <c r="A1981" s="74">
        <v>1234</v>
      </c>
      <c r="B1981" s="45" t="s">
        <v>664</v>
      </c>
      <c r="C1981" s="60" t="s">
        <v>1617</v>
      </c>
      <c r="D1981" s="60"/>
      <c r="E1981" s="74">
        <v>2022</v>
      </c>
      <c r="F1981" s="74" t="s">
        <v>489</v>
      </c>
      <c r="G1981" s="61">
        <v>1</v>
      </c>
      <c r="H1981" s="45">
        <v>10</v>
      </c>
      <c r="I1981" s="74">
        <v>39.847290000000001</v>
      </c>
    </row>
    <row r="1982" spans="1:9" s="71" customFormat="1" ht="16.5" hidden="1" customHeight="1" outlineLevel="1" x14ac:dyDescent="0.25">
      <c r="A1982" s="74">
        <v>1235</v>
      </c>
      <c r="B1982" s="45" t="s">
        <v>664</v>
      </c>
      <c r="C1982" s="60" t="s">
        <v>1618</v>
      </c>
      <c r="D1982" s="60"/>
      <c r="E1982" s="74">
        <v>2022</v>
      </c>
      <c r="F1982" s="74" t="s">
        <v>489</v>
      </c>
      <c r="G1982" s="61">
        <v>1</v>
      </c>
      <c r="H1982" s="45">
        <v>10</v>
      </c>
      <c r="I1982" s="74">
        <v>40.894889999999997</v>
      </c>
    </row>
    <row r="1983" spans="1:9" s="71" customFormat="1" ht="16.5" hidden="1" customHeight="1" outlineLevel="1" x14ac:dyDescent="0.25">
      <c r="A1983" s="74">
        <v>1239</v>
      </c>
      <c r="B1983" s="45" t="s">
        <v>664</v>
      </c>
      <c r="C1983" s="60" t="s">
        <v>1619</v>
      </c>
      <c r="D1983" s="60"/>
      <c r="E1983" s="74">
        <v>2022</v>
      </c>
      <c r="F1983" s="74" t="s">
        <v>489</v>
      </c>
      <c r="G1983" s="61">
        <v>1</v>
      </c>
      <c r="H1983" s="45">
        <v>15</v>
      </c>
      <c r="I1983" s="74">
        <v>47.152790000000003</v>
      </c>
    </row>
    <row r="1984" spans="1:9" s="71" customFormat="1" ht="16.5" hidden="1" customHeight="1" outlineLevel="1" x14ac:dyDescent="0.25">
      <c r="A1984" s="74">
        <v>1318</v>
      </c>
      <c r="B1984" s="45" t="s">
        <v>664</v>
      </c>
      <c r="C1984" s="60" t="s">
        <v>1620</v>
      </c>
      <c r="D1984" s="60"/>
      <c r="E1984" s="74">
        <v>2022</v>
      </c>
      <c r="F1984" s="74" t="s">
        <v>489</v>
      </c>
      <c r="G1984" s="61">
        <v>1</v>
      </c>
      <c r="H1984" s="45">
        <v>10</v>
      </c>
      <c r="I1984" s="74">
        <v>60.427759999999999</v>
      </c>
    </row>
    <row r="1985" spans="1:9" s="71" customFormat="1" ht="16.5" hidden="1" customHeight="1" outlineLevel="1" x14ac:dyDescent="0.25">
      <c r="A1985" s="74">
        <v>1405</v>
      </c>
      <c r="B1985" s="45" t="s">
        <v>664</v>
      </c>
      <c r="C1985" s="60" t="s">
        <v>1621</v>
      </c>
      <c r="D1985" s="60"/>
      <c r="E1985" s="74">
        <v>2022</v>
      </c>
      <c r="F1985" s="74" t="s">
        <v>489</v>
      </c>
      <c r="G1985" s="61">
        <v>1</v>
      </c>
      <c r="H1985" s="45">
        <v>10</v>
      </c>
      <c r="I1985" s="74">
        <v>37.648600000000002</v>
      </c>
    </row>
    <row r="1986" spans="1:9" s="71" customFormat="1" ht="16.5" hidden="1" customHeight="1" outlineLevel="1" x14ac:dyDescent="0.25">
      <c r="A1986" s="74">
        <v>1304</v>
      </c>
      <c r="B1986" s="45" t="s">
        <v>664</v>
      </c>
      <c r="C1986" s="60" t="s">
        <v>1622</v>
      </c>
      <c r="D1986" s="60"/>
      <c r="E1986" s="74">
        <v>2022</v>
      </c>
      <c r="F1986" s="74" t="s">
        <v>489</v>
      </c>
      <c r="G1986" s="61">
        <v>1</v>
      </c>
      <c r="H1986" s="45">
        <v>15</v>
      </c>
      <c r="I1986" s="74">
        <v>61.438830000000003</v>
      </c>
    </row>
    <row r="1987" spans="1:9" s="71" customFormat="1" ht="16.5" hidden="1" customHeight="1" outlineLevel="1" x14ac:dyDescent="0.25">
      <c r="A1987" s="74">
        <v>1305</v>
      </c>
      <c r="B1987" s="45" t="s">
        <v>664</v>
      </c>
      <c r="C1987" s="60" t="s">
        <v>1623</v>
      </c>
      <c r="D1987" s="60"/>
      <c r="E1987" s="74">
        <v>2022</v>
      </c>
      <c r="F1987" s="74" t="s">
        <v>489</v>
      </c>
      <c r="G1987" s="61">
        <v>1</v>
      </c>
      <c r="H1987" s="45">
        <v>15</v>
      </c>
      <c r="I1987" s="74">
        <v>63.389650000000003</v>
      </c>
    </row>
    <row r="1988" spans="1:9" s="71" customFormat="1" ht="16.5" hidden="1" customHeight="1" outlineLevel="1" x14ac:dyDescent="0.25">
      <c r="A1988" s="74">
        <v>1306</v>
      </c>
      <c r="B1988" s="45" t="s">
        <v>664</v>
      </c>
      <c r="C1988" s="60" t="s">
        <v>1624</v>
      </c>
      <c r="D1988" s="60"/>
      <c r="E1988" s="74">
        <v>2022</v>
      </c>
      <c r="F1988" s="74" t="s">
        <v>489</v>
      </c>
      <c r="G1988" s="61">
        <v>1</v>
      </c>
      <c r="H1988" s="45">
        <v>15</v>
      </c>
      <c r="I1988" s="74">
        <v>62.820740000000001</v>
      </c>
    </row>
    <row r="1989" spans="1:9" s="71" customFormat="1" ht="16.5" hidden="1" customHeight="1" outlineLevel="1" x14ac:dyDescent="0.25">
      <c r="A1989" s="74">
        <v>1372</v>
      </c>
      <c r="B1989" s="45" t="s">
        <v>664</v>
      </c>
      <c r="C1989" s="60" t="s">
        <v>1625</v>
      </c>
      <c r="D1989" s="60"/>
      <c r="E1989" s="74">
        <v>2022</v>
      </c>
      <c r="F1989" s="74" t="s">
        <v>489</v>
      </c>
      <c r="G1989" s="61">
        <v>1</v>
      </c>
      <c r="H1989" s="45">
        <v>10</v>
      </c>
      <c r="I1989" s="74">
        <v>36.178669999999997</v>
      </c>
    </row>
    <row r="1990" spans="1:9" s="71" customFormat="1" ht="16.5" hidden="1" customHeight="1" outlineLevel="1" x14ac:dyDescent="0.25">
      <c r="A1990" s="74">
        <v>1448</v>
      </c>
      <c r="B1990" s="45" t="s">
        <v>664</v>
      </c>
      <c r="C1990" s="60" t="s">
        <v>1626</v>
      </c>
      <c r="D1990" s="60"/>
      <c r="E1990" s="74">
        <v>2022</v>
      </c>
      <c r="F1990" s="74" t="s">
        <v>489</v>
      </c>
      <c r="G1990" s="61">
        <v>1</v>
      </c>
      <c r="H1990" s="45">
        <v>15</v>
      </c>
      <c r="I1990" s="74">
        <v>42.914639999999999</v>
      </c>
    </row>
    <row r="1991" spans="1:9" s="71" customFormat="1" ht="16.5" hidden="1" customHeight="1" outlineLevel="1" x14ac:dyDescent="0.25">
      <c r="A1991" s="74">
        <v>1407</v>
      </c>
      <c r="B1991" s="45" t="s">
        <v>664</v>
      </c>
      <c r="C1991" s="60" t="s">
        <v>1627</v>
      </c>
      <c r="D1991" s="60"/>
      <c r="E1991" s="74">
        <v>2022</v>
      </c>
      <c r="F1991" s="74" t="s">
        <v>489</v>
      </c>
      <c r="G1991" s="61">
        <v>1</v>
      </c>
      <c r="H1991" s="45">
        <v>15</v>
      </c>
      <c r="I1991" s="74">
        <v>36.584400000000002</v>
      </c>
    </row>
    <row r="1992" spans="1:9" s="71" customFormat="1" ht="16.5" hidden="1" customHeight="1" outlineLevel="1" x14ac:dyDescent="0.25">
      <c r="A1992" s="74">
        <v>1413</v>
      </c>
      <c r="B1992" s="45" t="s">
        <v>664</v>
      </c>
      <c r="C1992" s="60" t="s">
        <v>1628</v>
      </c>
      <c r="D1992" s="60"/>
      <c r="E1992" s="74">
        <v>2022</v>
      </c>
      <c r="F1992" s="74" t="s">
        <v>489</v>
      </c>
      <c r="G1992" s="61">
        <v>1</v>
      </c>
      <c r="H1992" s="45">
        <v>15</v>
      </c>
      <c r="I1992" s="74">
        <v>36.64584</v>
      </c>
    </row>
    <row r="1993" spans="1:9" s="71" customFormat="1" ht="16.5" hidden="1" customHeight="1" outlineLevel="1" x14ac:dyDescent="0.25">
      <c r="A1993" s="74">
        <v>1443</v>
      </c>
      <c r="B1993" s="45" t="s">
        <v>664</v>
      </c>
      <c r="C1993" s="60" t="s">
        <v>1629</v>
      </c>
      <c r="D1993" s="60"/>
      <c r="E1993" s="74">
        <v>2022</v>
      </c>
      <c r="F1993" s="74" t="s">
        <v>489</v>
      </c>
      <c r="G1993" s="61">
        <v>1</v>
      </c>
      <c r="H1993" s="45">
        <v>15</v>
      </c>
      <c r="I1993" s="74">
        <v>40.352539999999998</v>
      </c>
    </row>
    <row r="1994" spans="1:9" s="71" customFormat="1" ht="16.5" hidden="1" customHeight="1" outlineLevel="1" x14ac:dyDescent="0.25">
      <c r="A1994" s="74">
        <v>1082</v>
      </c>
      <c r="B1994" s="45" t="s">
        <v>664</v>
      </c>
      <c r="C1994" s="60" t="s">
        <v>1630</v>
      </c>
      <c r="D1994" s="60"/>
      <c r="E1994" s="74">
        <v>2022</v>
      </c>
      <c r="F1994" s="74" t="s">
        <v>489</v>
      </c>
      <c r="G1994" s="61">
        <v>1</v>
      </c>
      <c r="H1994" s="45">
        <v>15</v>
      </c>
      <c r="I1994" s="74">
        <v>68.708150000000003</v>
      </c>
    </row>
    <row r="1995" spans="1:9" s="71" customFormat="1" ht="16.5" hidden="1" customHeight="1" outlineLevel="1" x14ac:dyDescent="0.25">
      <c r="A1995" s="74">
        <v>1083</v>
      </c>
      <c r="B1995" s="45" t="s">
        <v>664</v>
      </c>
      <c r="C1995" s="60" t="s">
        <v>1631</v>
      </c>
      <c r="D1995" s="60"/>
      <c r="E1995" s="74">
        <v>2022</v>
      </c>
      <c r="F1995" s="74" t="s">
        <v>489</v>
      </c>
      <c r="G1995" s="61">
        <v>1</v>
      </c>
      <c r="H1995" s="45">
        <v>10</v>
      </c>
      <c r="I1995" s="74">
        <v>46.08522</v>
      </c>
    </row>
    <row r="1996" spans="1:9" s="71" customFormat="1" ht="16.5" hidden="1" customHeight="1" outlineLevel="1" x14ac:dyDescent="0.25">
      <c r="A1996" s="74">
        <v>1108</v>
      </c>
      <c r="B1996" s="45" t="s">
        <v>664</v>
      </c>
      <c r="C1996" s="60" t="s">
        <v>1632</v>
      </c>
      <c r="D1996" s="60"/>
      <c r="E1996" s="74">
        <v>2022</v>
      </c>
      <c r="F1996" s="74" t="s">
        <v>489</v>
      </c>
      <c r="G1996" s="61">
        <v>1</v>
      </c>
      <c r="H1996" s="45">
        <v>15</v>
      </c>
      <c r="I1996" s="74">
        <v>43.129370000000002</v>
      </c>
    </row>
    <row r="1997" spans="1:9" s="71" customFormat="1" ht="16.5" hidden="1" customHeight="1" outlineLevel="1" x14ac:dyDescent="0.25">
      <c r="A1997" s="74">
        <v>1148</v>
      </c>
      <c r="B1997" s="45" t="s">
        <v>664</v>
      </c>
      <c r="C1997" s="60" t="s">
        <v>1633</v>
      </c>
      <c r="D1997" s="60"/>
      <c r="E1997" s="74">
        <v>2022</v>
      </c>
      <c r="F1997" s="74" t="s">
        <v>489</v>
      </c>
      <c r="G1997" s="61">
        <v>1</v>
      </c>
      <c r="H1997" s="45">
        <v>4</v>
      </c>
      <c r="I1997" s="74">
        <v>33.656930000000003</v>
      </c>
    </row>
    <row r="1998" spans="1:9" s="71" customFormat="1" ht="16.5" hidden="1" customHeight="1" outlineLevel="1" x14ac:dyDescent="0.25">
      <c r="A1998" s="74">
        <v>1141</v>
      </c>
      <c r="B1998" s="45" t="s">
        <v>664</v>
      </c>
      <c r="C1998" s="60" t="s">
        <v>1634</v>
      </c>
      <c r="D1998" s="60"/>
      <c r="E1998" s="74">
        <v>2022</v>
      </c>
      <c r="F1998" s="74" t="s">
        <v>489</v>
      </c>
      <c r="G1998" s="61">
        <v>1</v>
      </c>
      <c r="H1998" s="45">
        <v>15</v>
      </c>
      <c r="I1998" s="74">
        <v>39.422069999999998</v>
      </c>
    </row>
    <row r="1999" spans="1:9" s="71" customFormat="1" ht="16.5" hidden="1" customHeight="1" outlineLevel="1" x14ac:dyDescent="0.25">
      <c r="A1999" s="74">
        <v>1156</v>
      </c>
      <c r="B1999" s="45" t="s">
        <v>664</v>
      </c>
      <c r="C1999" s="60" t="s">
        <v>1635</v>
      </c>
      <c r="D1999" s="60"/>
      <c r="E1999" s="74">
        <v>2022</v>
      </c>
      <c r="F1999" s="74" t="s">
        <v>489</v>
      </c>
      <c r="G1999" s="61">
        <v>1</v>
      </c>
      <c r="H1999" s="45">
        <v>15</v>
      </c>
      <c r="I1999" s="74">
        <v>43.10463</v>
      </c>
    </row>
    <row r="2000" spans="1:9" s="71" customFormat="1" ht="16.5" hidden="1" customHeight="1" outlineLevel="1" x14ac:dyDescent="0.25">
      <c r="A2000" s="74">
        <v>1208</v>
      </c>
      <c r="B2000" s="45" t="s">
        <v>664</v>
      </c>
      <c r="C2000" s="60" t="s">
        <v>1636</v>
      </c>
      <c r="D2000" s="60"/>
      <c r="E2000" s="74">
        <v>2022</v>
      </c>
      <c r="F2000" s="74" t="s">
        <v>489</v>
      </c>
      <c r="G2000" s="61">
        <v>1</v>
      </c>
      <c r="H2000" s="45">
        <v>10</v>
      </c>
      <c r="I2000" s="74">
        <v>42.972769999999997</v>
      </c>
    </row>
    <row r="2001" spans="1:9" s="71" customFormat="1" ht="16.5" hidden="1" customHeight="1" outlineLevel="1" x14ac:dyDescent="0.25">
      <c r="A2001" s="74">
        <v>1209</v>
      </c>
      <c r="B2001" s="45" t="s">
        <v>664</v>
      </c>
      <c r="C2001" s="60" t="s">
        <v>1637</v>
      </c>
      <c r="D2001" s="60"/>
      <c r="E2001" s="74">
        <v>2022</v>
      </c>
      <c r="F2001" s="74" t="s">
        <v>489</v>
      </c>
      <c r="G2001" s="61">
        <v>1</v>
      </c>
      <c r="H2001" s="45">
        <v>10</v>
      </c>
      <c r="I2001" s="74">
        <v>45.254869999999997</v>
      </c>
    </row>
    <row r="2002" spans="1:9" s="71" customFormat="1" ht="16.5" hidden="1" customHeight="1" outlineLevel="1" x14ac:dyDescent="0.25">
      <c r="A2002" s="74">
        <v>1184</v>
      </c>
      <c r="B2002" s="45" t="s">
        <v>664</v>
      </c>
      <c r="C2002" s="60" t="s">
        <v>1638</v>
      </c>
      <c r="D2002" s="60"/>
      <c r="E2002" s="74">
        <v>2022</v>
      </c>
      <c r="F2002" s="74" t="s">
        <v>489</v>
      </c>
      <c r="G2002" s="61">
        <v>1</v>
      </c>
      <c r="H2002" s="45">
        <v>10</v>
      </c>
      <c r="I2002" s="74">
        <v>36.296529999999997</v>
      </c>
    </row>
    <row r="2003" spans="1:9" s="71" customFormat="1" ht="16.5" hidden="1" customHeight="1" outlineLevel="1" x14ac:dyDescent="0.25">
      <c r="A2003" s="74">
        <v>1194</v>
      </c>
      <c r="B2003" s="45" t="s">
        <v>664</v>
      </c>
      <c r="C2003" s="60" t="s">
        <v>1639</v>
      </c>
      <c r="D2003" s="60"/>
      <c r="E2003" s="74">
        <v>2022</v>
      </c>
      <c r="F2003" s="74" t="s">
        <v>489</v>
      </c>
      <c r="G2003" s="61">
        <v>1</v>
      </c>
      <c r="H2003" s="45">
        <v>10</v>
      </c>
      <c r="I2003" s="74">
        <v>34.787280000000003</v>
      </c>
    </row>
    <row r="2004" spans="1:9" s="71" customFormat="1" ht="16.5" hidden="1" customHeight="1" outlineLevel="1" x14ac:dyDescent="0.25">
      <c r="A2004" s="74">
        <v>1193</v>
      </c>
      <c r="B2004" s="45" t="s">
        <v>664</v>
      </c>
      <c r="C2004" s="60" t="s">
        <v>1640</v>
      </c>
      <c r="D2004" s="60"/>
      <c r="E2004" s="74">
        <v>2022</v>
      </c>
      <c r="F2004" s="74" t="s">
        <v>489</v>
      </c>
      <c r="G2004" s="61">
        <v>1</v>
      </c>
      <c r="H2004" s="45">
        <v>10</v>
      </c>
      <c r="I2004" s="74">
        <v>34.74465</v>
      </c>
    </row>
    <row r="2005" spans="1:9" s="71" customFormat="1" ht="16.5" hidden="1" customHeight="1" outlineLevel="1" x14ac:dyDescent="0.25">
      <c r="A2005" s="74">
        <v>1216</v>
      </c>
      <c r="B2005" s="45" t="s">
        <v>664</v>
      </c>
      <c r="C2005" s="60" t="s">
        <v>1641</v>
      </c>
      <c r="D2005" s="60"/>
      <c r="E2005" s="74">
        <v>2022</v>
      </c>
      <c r="F2005" s="74" t="s">
        <v>489</v>
      </c>
      <c r="G2005" s="61">
        <v>1</v>
      </c>
      <c r="H2005" s="45">
        <v>10</v>
      </c>
      <c r="I2005" s="74">
        <v>40.400860000000002</v>
      </c>
    </row>
    <row r="2006" spans="1:9" s="71" customFormat="1" ht="16.5" hidden="1" customHeight="1" outlineLevel="1" x14ac:dyDescent="0.25">
      <c r="A2006" s="74">
        <v>1276</v>
      </c>
      <c r="B2006" s="45" t="s">
        <v>664</v>
      </c>
      <c r="C2006" s="60" t="s">
        <v>1642</v>
      </c>
      <c r="D2006" s="60"/>
      <c r="E2006" s="74">
        <v>2022</v>
      </c>
      <c r="F2006" s="74" t="s">
        <v>489</v>
      </c>
      <c r="G2006" s="61">
        <v>1</v>
      </c>
      <c r="H2006" s="45">
        <v>15</v>
      </c>
      <c r="I2006" s="74">
        <v>33.428179999999998</v>
      </c>
    </row>
    <row r="2007" spans="1:9" s="71" customFormat="1" ht="16.5" hidden="1" customHeight="1" outlineLevel="1" x14ac:dyDescent="0.25">
      <c r="A2007" s="74">
        <v>1286</v>
      </c>
      <c r="B2007" s="45" t="s">
        <v>664</v>
      </c>
      <c r="C2007" s="60" t="s">
        <v>1643</v>
      </c>
      <c r="D2007" s="60"/>
      <c r="E2007" s="74">
        <v>2022</v>
      </c>
      <c r="F2007" s="74" t="s">
        <v>489</v>
      </c>
      <c r="G2007" s="61">
        <v>1</v>
      </c>
      <c r="H2007" s="45">
        <v>15</v>
      </c>
      <c r="I2007" s="74">
        <v>41.658909999999999</v>
      </c>
    </row>
    <row r="2008" spans="1:9" s="71" customFormat="1" ht="16.5" hidden="1" customHeight="1" outlineLevel="1" x14ac:dyDescent="0.25">
      <c r="A2008" s="74">
        <v>1396</v>
      </c>
      <c r="B2008" s="45" t="s">
        <v>664</v>
      </c>
      <c r="C2008" s="60" t="s">
        <v>1644</v>
      </c>
      <c r="D2008" s="60"/>
      <c r="E2008" s="74">
        <v>2022</v>
      </c>
      <c r="F2008" s="74" t="s">
        <v>489</v>
      </c>
      <c r="G2008" s="61">
        <v>1</v>
      </c>
      <c r="H2008" s="45">
        <v>15</v>
      </c>
      <c r="I2008" s="74">
        <v>65.21378</v>
      </c>
    </row>
    <row r="2009" spans="1:9" s="71" customFormat="1" ht="16.5" hidden="1" customHeight="1" outlineLevel="1" x14ac:dyDescent="0.25">
      <c r="A2009" s="74">
        <v>1330</v>
      </c>
      <c r="B2009" s="45" t="s">
        <v>664</v>
      </c>
      <c r="C2009" s="60" t="s">
        <v>1645</v>
      </c>
      <c r="D2009" s="60"/>
      <c r="E2009" s="74">
        <v>2022</v>
      </c>
      <c r="F2009" s="74" t="s">
        <v>489</v>
      </c>
      <c r="G2009" s="61">
        <v>1</v>
      </c>
      <c r="H2009" s="45">
        <v>10</v>
      </c>
      <c r="I2009" s="74">
        <v>68.216179999999994</v>
      </c>
    </row>
    <row r="2010" spans="1:9" s="71" customFormat="1" ht="16.5" hidden="1" customHeight="1" outlineLevel="1" x14ac:dyDescent="0.25">
      <c r="A2010" s="74">
        <v>1341</v>
      </c>
      <c r="B2010" s="45" t="s">
        <v>664</v>
      </c>
      <c r="C2010" s="60" t="s">
        <v>1646</v>
      </c>
      <c r="D2010" s="60"/>
      <c r="E2010" s="74">
        <v>2022</v>
      </c>
      <c r="F2010" s="74" t="s">
        <v>489</v>
      </c>
      <c r="G2010" s="61">
        <v>1</v>
      </c>
      <c r="H2010" s="45">
        <v>15</v>
      </c>
      <c r="I2010" s="74">
        <v>38.476990000000001</v>
      </c>
    </row>
    <row r="2011" spans="1:9" s="71" customFormat="1" ht="16.5" hidden="1" customHeight="1" outlineLevel="1" x14ac:dyDescent="0.25">
      <c r="A2011" s="74">
        <v>1389</v>
      </c>
      <c r="B2011" s="45" t="s">
        <v>664</v>
      </c>
      <c r="C2011" s="60" t="s">
        <v>1647</v>
      </c>
      <c r="D2011" s="60"/>
      <c r="E2011" s="74">
        <v>2022</v>
      </c>
      <c r="F2011" s="74" t="s">
        <v>489</v>
      </c>
      <c r="G2011" s="61">
        <v>1</v>
      </c>
      <c r="H2011" s="45">
        <v>15</v>
      </c>
      <c r="I2011" s="74">
        <v>57.830880000000001</v>
      </c>
    </row>
    <row r="2012" spans="1:9" s="71" customFormat="1" ht="16.5" hidden="1" customHeight="1" outlineLevel="1" x14ac:dyDescent="0.25">
      <c r="A2012" s="74">
        <v>1390</v>
      </c>
      <c r="B2012" s="45" t="s">
        <v>664</v>
      </c>
      <c r="C2012" s="60" t="s">
        <v>1648</v>
      </c>
      <c r="D2012" s="60"/>
      <c r="E2012" s="74">
        <v>2022</v>
      </c>
      <c r="F2012" s="74" t="s">
        <v>489</v>
      </c>
      <c r="G2012" s="61">
        <v>1</v>
      </c>
      <c r="H2012" s="45">
        <v>10</v>
      </c>
      <c r="I2012" s="74">
        <v>61.299909999999997</v>
      </c>
    </row>
    <row r="2013" spans="1:9" s="71" customFormat="1" ht="16.5" hidden="1" customHeight="1" outlineLevel="1" x14ac:dyDescent="0.25">
      <c r="A2013" s="74">
        <v>1073</v>
      </c>
      <c r="B2013" s="45" t="s">
        <v>664</v>
      </c>
      <c r="C2013" s="60" t="s">
        <v>1649</v>
      </c>
      <c r="D2013" s="60"/>
      <c r="E2013" s="74">
        <v>2022</v>
      </c>
      <c r="F2013" s="74" t="s">
        <v>489</v>
      </c>
      <c r="G2013" s="61">
        <v>1</v>
      </c>
      <c r="H2013" s="45">
        <v>20</v>
      </c>
      <c r="I2013" s="74">
        <v>44.950040000000001</v>
      </c>
    </row>
    <row r="2014" spans="1:9" s="71" customFormat="1" ht="16.5" hidden="1" customHeight="1" outlineLevel="1" x14ac:dyDescent="0.25">
      <c r="A2014" s="74">
        <v>1164</v>
      </c>
      <c r="B2014" s="45" t="s">
        <v>664</v>
      </c>
      <c r="C2014" s="60" t="s">
        <v>1650</v>
      </c>
      <c r="D2014" s="60"/>
      <c r="E2014" s="74">
        <v>2022</v>
      </c>
      <c r="F2014" s="74" t="s">
        <v>489</v>
      </c>
      <c r="G2014" s="61">
        <v>1</v>
      </c>
      <c r="H2014" s="45">
        <v>15</v>
      </c>
      <c r="I2014" s="74">
        <v>53.912640000000003</v>
      </c>
    </row>
    <row r="2015" spans="1:9" s="71" customFormat="1" ht="16.5" hidden="1" customHeight="1" outlineLevel="1" x14ac:dyDescent="0.25">
      <c r="A2015" s="74">
        <v>1205</v>
      </c>
      <c r="B2015" s="45" t="s">
        <v>664</v>
      </c>
      <c r="C2015" s="60" t="s">
        <v>1651</v>
      </c>
      <c r="D2015" s="60"/>
      <c r="E2015" s="74">
        <v>2022</v>
      </c>
      <c r="F2015" s="74" t="s">
        <v>489</v>
      </c>
      <c r="G2015" s="61">
        <v>1</v>
      </c>
      <c r="H2015" s="45">
        <v>15</v>
      </c>
      <c r="I2015" s="74">
        <v>39.213679999999997</v>
      </c>
    </row>
    <row r="2016" spans="1:9" s="71" customFormat="1" ht="16.5" hidden="1" customHeight="1" outlineLevel="1" x14ac:dyDescent="0.25">
      <c r="A2016" s="74">
        <v>1244</v>
      </c>
      <c r="B2016" s="45" t="s">
        <v>664</v>
      </c>
      <c r="C2016" s="60" t="s">
        <v>1652</v>
      </c>
      <c r="D2016" s="60"/>
      <c r="E2016" s="74">
        <v>2022</v>
      </c>
      <c r="F2016" s="74" t="s">
        <v>489</v>
      </c>
      <c r="G2016" s="61">
        <v>1</v>
      </c>
      <c r="H2016" s="45">
        <v>15</v>
      </c>
      <c r="I2016" s="74">
        <v>43.24915</v>
      </c>
    </row>
    <row r="2017" spans="1:9" s="71" customFormat="1" ht="16.5" hidden="1" customHeight="1" outlineLevel="1" x14ac:dyDescent="0.25">
      <c r="A2017" s="74">
        <v>1246</v>
      </c>
      <c r="B2017" s="45" t="s">
        <v>664</v>
      </c>
      <c r="C2017" s="60" t="s">
        <v>1653</v>
      </c>
      <c r="D2017" s="60"/>
      <c r="E2017" s="74">
        <v>2022</v>
      </c>
      <c r="F2017" s="74" t="s">
        <v>489</v>
      </c>
      <c r="G2017" s="61">
        <v>1</v>
      </c>
      <c r="H2017" s="45">
        <v>10</v>
      </c>
      <c r="I2017" s="74">
        <v>53.918219999999998</v>
      </c>
    </row>
    <row r="2018" spans="1:9" s="71" customFormat="1" ht="16.5" hidden="1" customHeight="1" outlineLevel="1" x14ac:dyDescent="0.25">
      <c r="A2018" s="74">
        <v>1248</v>
      </c>
      <c r="B2018" s="45" t="s">
        <v>664</v>
      </c>
      <c r="C2018" s="60" t="s">
        <v>1654</v>
      </c>
      <c r="D2018" s="60"/>
      <c r="E2018" s="74">
        <v>2022</v>
      </c>
      <c r="F2018" s="74" t="s">
        <v>489</v>
      </c>
      <c r="G2018" s="61">
        <v>1</v>
      </c>
      <c r="H2018" s="45">
        <v>10</v>
      </c>
      <c r="I2018" s="74">
        <v>46.094259999999998</v>
      </c>
    </row>
    <row r="2019" spans="1:9" s="71" customFormat="1" ht="16.5" hidden="1" customHeight="1" outlineLevel="1" x14ac:dyDescent="0.25">
      <c r="A2019" s="74">
        <v>1290</v>
      </c>
      <c r="B2019" s="45" t="s">
        <v>664</v>
      </c>
      <c r="C2019" s="60" t="s">
        <v>1655</v>
      </c>
      <c r="D2019" s="60"/>
      <c r="E2019" s="74">
        <v>2022</v>
      </c>
      <c r="F2019" s="74" t="s">
        <v>489</v>
      </c>
      <c r="G2019" s="61">
        <v>1</v>
      </c>
      <c r="H2019" s="45">
        <v>15</v>
      </c>
      <c r="I2019" s="74">
        <v>44.476759999999999</v>
      </c>
    </row>
    <row r="2020" spans="1:9" s="71" customFormat="1" ht="16.5" hidden="1" customHeight="1" outlineLevel="1" x14ac:dyDescent="0.25">
      <c r="A2020" s="74">
        <v>1297</v>
      </c>
      <c r="B2020" s="45" t="s">
        <v>664</v>
      </c>
      <c r="C2020" s="60" t="s">
        <v>1656</v>
      </c>
      <c r="D2020" s="60"/>
      <c r="E2020" s="74">
        <v>2022</v>
      </c>
      <c r="F2020" s="74" t="s">
        <v>489</v>
      </c>
      <c r="G2020" s="61">
        <v>1</v>
      </c>
      <c r="H2020" s="45">
        <v>15</v>
      </c>
      <c r="I2020" s="74">
        <v>51.792439999999999</v>
      </c>
    </row>
    <row r="2021" spans="1:9" s="71" customFormat="1" ht="16.5" hidden="1" customHeight="1" outlineLevel="1" x14ac:dyDescent="0.25">
      <c r="A2021" s="74">
        <v>1310</v>
      </c>
      <c r="B2021" s="45" t="s">
        <v>664</v>
      </c>
      <c r="C2021" s="60" t="s">
        <v>1657</v>
      </c>
      <c r="D2021" s="60"/>
      <c r="E2021" s="74">
        <v>2022</v>
      </c>
      <c r="F2021" s="74" t="s">
        <v>489</v>
      </c>
      <c r="G2021" s="61">
        <v>1</v>
      </c>
      <c r="H2021" s="45">
        <v>15</v>
      </c>
      <c r="I2021" s="74">
        <v>50.672580000000004</v>
      </c>
    </row>
    <row r="2022" spans="1:9" s="71" customFormat="1" ht="16.5" hidden="1" customHeight="1" outlineLevel="1" x14ac:dyDescent="0.25">
      <c r="A2022" s="74">
        <v>1402</v>
      </c>
      <c r="B2022" s="45" t="s">
        <v>664</v>
      </c>
      <c r="C2022" s="60" t="s">
        <v>1658</v>
      </c>
      <c r="D2022" s="60"/>
      <c r="E2022" s="74">
        <v>2022</v>
      </c>
      <c r="F2022" s="74" t="s">
        <v>489</v>
      </c>
      <c r="G2022" s="61">
        <v>1</v>
      </c>
      <c r="H2022" s="45">
        <v>10</v>
      </c>
      <c r="I2022" s="74">
        <v>42.638539999999999</v>
      </c>
    </row>
    <row r="2023" spans="1:9" s="71" customFormat="1" ht="16.5" hidden="1" customHeight="1" outlineLevel="1" x14ac:dyDescent="0.25">
      <c r="A2023" s="74">
        <v>1403</v>
      </c>
      <c r="B2023" s="45" t="s">
        <v>664</v>
      </c>
      <c r="C2023" s="60" t="s">
        <v>1659</v>
      </c>
      <c r="D2023" s="60"/>
      <c r="E2023" s="74">
        <v>2022</v>
      </c>
      <c r="F2023" s="74" t="s">
        <v>489</v>
      </c>
      <c r="G2023" s="61">
        <v>1</v>
      </c>
      <c r="H2023" s="45">
        <v>10</v>
      </c>
      <c r="I2023" s="74">
        <v>46.796889999999998</v>
      </c>
    </row>
    <row r="2024" spans="1:9" s="71" customFormat="1" ht="16.5" hidden="1" customHeight="1" outlineLevel="1" x14ac:dyDescent="0.25">
      <c r="A2024" s="74">
        <v>1200</v>
      </c>
      <c r="B2024" s="45" t="s">
        <v>664</v>
      </c>
      <c r="C2024" s="60" t="s">
        <v>1660</v>
      </c>
      <c r="D2024" s="60"/>
      <c r="E2024" s="74">
        <v>2022</v>
      </c>
      <c r="F2024" s="74" t="s">
        <v>489</v>
      </c>
      <c r="G2024" s="61">
        <v>1</v>
      </c>
      <c r="H2024" s="45">
        <v>10</v>
      </c>
      <c r="I2024" s="74">
        <v>40.640360000000001</v>
      </c>
    </row>
    <row r="2025" spans="1:9" s="71" customFormat="1" ht="16.5" hidden="1" customHeight="1" outlineLevel="1" x14ac:dyDescent="0.25">
      <c r="A2025" s="74">
        <v>1359</v>
      </c>
      <c r="B2025" s="45" t="s">
        <v>664</v>
      </c>
      <c r="C2025" s="60" t="s">
        <v>1661</v>
      </c>
      <c r="D2025" s="60"/>
      <c r="E2025" s="74">
        <v>2022</v>
      </c>
      <c r="F2025" s="74" t="s">
        <v>489</v>
      </c>
      <c r="G2025" s="61">
        <v>1</v>
      </c>
      <c r="H2025" s="45">
        <v>15</v>
      </c>
      <c r="I2025" s="74">
        <v>40.79589</v>
      </c>
    </row>
    <row r="2026" spans="1:9" s="71" customFormat="1" ht="16.5" hidden="1" customHeight="1" outlineLevel="1" x14ac:dyDescent="0.25">
      <c r="A2026" s="74">
        <v>1360</v>
      </c>
      <c r="B2026" s="45" t="s">
        <v>664</v>
      </c>
      <c r="C2026" s="60" t="s">
        <v>1662</v>
      </c>
      <c r="D2026" s="60"/>
      <c r="E2026" s="74">
        <v>2022</v>
      </c>
      <c r="F2026" s="74" t="s">
        <v>489</v>
      </c>
      <c r="G2026" s="61">
        <v>1</v>
      </c>
      <c r="H2026" s="45">
        <v>10</v>
      </c>
      <c r="I2026" s="74">
        <v>53.976849999999999</v>
      </c>
    </row>
    <row r="2027" spans="1:9" s="71" customFormat="1" ht="16.5" hidden="1" customHeight="1" outlineLevel="1" x14ac:dyDescent="0.25">
      <c r="A2027" s="74">
        <v>1167</v>
      </c>
      <c r="B2027" s="45" t="s">
        <v>664</v>
      </c>
      <c r="C2027" s="60" t="s">
        <v>1663</v>
      </c>
      <c r="D2027" s="60"/>
      <c r="E2027" s="74">
        <v>2022</v>
      </c>
      <c r="F2027" s="74" t="s">
        <v>489</v>
      </c>
      <c r="G2027" s="61">
        <v>1</v>
      </c>
      <c r="H2027" s="45">
        <v>10</v>
      </c>
      <c r="I2027" s="74">
        <v>40.422899999999998</v>
      </c>
    </row>
    <row r="2028" spans="1:9" s="71" customFormat="1" ht="16.5" hidden="1" customHeight="1" outlineLevel="1" x14ac:dyDescent="0.25">
      <c r="A2028" s="74">
        <v>1314</v>
      </c>
      <c r="B2028" s="45" t="s">
        <v>664</v>
      </c>
      <c r="C2028" s="60" t="s">
        <v>1664</v>
      </c>
      <c r="D2028" s="60"/>
      <c r="E2028" s="74">
        <v>2022</v>
      </c>
      <c r="F2028" s="74" t="s">
        <v>489</v>
      </c>
      <c r="G2028" s="61">
        <v>1</v>
      </c>
      <c r="H2028" s="45">
        <v>10</v>
      </c>
      <c r="I2028" s="74">
        <v>43.15466</v>
      </c>
    </row>
    <row r="2029" spans="1:9" s="71" customFormat="1" ht="16.5" hidden="1" customHeight="1" outlineLevel="1" x14ac:dyDescent="0.25">
      <c r="A2029" s="74">
        <v>1362</v>
      </c>
      <c r="B2029" s="45" t="s">
        <v>664</v>
      </c>
      <c r="C2029" s="60" t="s">
        <v>1665</v>
      </c>
      <c r="D2029" s="60"/>
      <c r="E2029" s="74">
        <v>2022</v>
      </c>
      <c r="F2029" s="74" t="s">
        <v>489</v>
      </c>
      <c r="G2029" s="61">
        <v>1</v>
      </c>
      <c r="H2029" s="45">
        <v>15</v>
      </c>
      <c r="I2029" s="74">
        <v>41.020989999999998</v>
      </c>
    </row>
    <row r="2030" spans="1:9" s="71" customFormat="1" ht="16.5" hidden="1" customHeight="1" outlineLevel="1" x14ac:dyDescent="0.25">
      <c r="A2030" s="74">
        <v>1363</v>
      </c>
      <c r="B2030" s="45" t="s">
        <v>664</v>
      </c>
      <c r="C2030" s="60" t="s">
        <v>1666</v>
      </c>
      <c r="D2030" s="60"/>
      <c r="E2030" s="74">
        <v>2022</v>
      </c>
      <c r="F2030" s="74" t="s">
        <v>489</v>
      </c>
      <c r="G2030" s="61">
        <v>1</v>
      </c>
      <c r="H2030" s="45">
        <v>10</v>
      </c>
      <c r="I2030" s="74">
        <v>39.98019</v>
      </c>
    </row>
    <row r="2031" spans="1:9" s="71" customFormat="1" ht="16.5" hidden="1" customHeight="1" outlineLevel="1" x14ac:dyDescent="0.25">
      <c r="A2031" s="74">
        <v>1144</v>
      </c>
      <c r="B2031" s="45" t="s">
        <v>664</v>
      </c>
      <c r="C2031" s="60" t="s">
        <v>1667</v>
      </c>
      <c r="D2031" s="60"/>
      <c r="E2031" s="74">
        <v>2022</v>
      </c>
      <c r="F2031" s="74" t="s">
        <v>489</v>
      </c>
      <c r="G2031" s="61">
        <v>1</v>
      </c>
      <c r="H2031" s="45">
        <v>15</v>
      </c>
      <c r="I2031" s="74">
        <v>50.807389999999998</v>
      </c>
    </row>
    <row r="2032" spans="1:9" s="71" customFormat="1" ht="16.5" hidden="1" customHeight="1" outlineLevel="1" x14ac:dyDescent="0.25">
      <c r="A2032" s="74">
        <v>1171</v>
      </c>
      <c r="B2032" s="45" t="s">
        <v>664</v>
      </c>
      <c r="C2032" s="60" t="s">
        <v>1668</v>
      </c>
      <c r="D2032" s="60"/>
      <c r="E2032" s="74">
        <v>2022</v>
      </c>
      <c r="F2032" s="74" t="s">
        <v>489</v>
      </c>
      <c r="G2032" s="61">
        <v>1</v>
      </c>
      <c r="H2032" s="45">
        <v>10</v>
      </c>
      <c r="I2032" s="74">
        <v>46.302549999999997</v>
      </c>
    </row>
    <row r="2033" spans="1:9" s="71" customFormat="1" ht="16.5" hidden="1" customHeight="1" outlineLevel="1" x14ac:dyDescent="0.25">
      <c r="A2033" s="74">
        <v>1173</v>
      </c>
      <c r="B2033" s="45" t="s">
        <v>664</v>
      </c>
      <c r="C2033" s="60" t="s">
        <v>1669</v>
      </c>
      <c r="D2033" s="60"/>
      <c r="E2033" s="74">
        <v>2022</v>
      </c>
      <c r="F2033" s="74" t="s">
        <v>489</v>
      </c>
      <c r="G2033" s="61">
        <v>1</v>
      </c>
      <c r="H2033" s="45">
        <v>15</v>
      </c>
      <c r="I2033" s="74">
        <v>41.212389999999999</v>
      </c>
    </row>
    <row r="2034" spans="1:9" s="71" customFormat="1" ht="16.5" hidden="1" customHeight="1" outlineLevel="1" x14ac:dyDescent="0.25">
      <c r="A2034" s="74">
        <v>1188</v>
      </c>
      <c r="B2034" s="45" t="s">
        <v>664</v>
      </c>
      <c r="C2034" s="60" t="s">
        <v>1670</v>
      </c>
      <c r="D2034" s="60"/>
      <c r="E2034" s="74">
        <v>2022</v>
      </c>
      <c r="F2034" s="74" t="s">
        <v>489</v>
      </c>
      <c r="G2034" s="61">
        <v>1</v>
      </c>
      <c r="H2034" s="45">
        <v>10</v>
      </c>
      <c r="I2034" s="74">
        <v>40.819969999999998</v>
      </c>
    </row>
    <row r="2035" spans="1:9" s="71" customFormat="1" ht="16.5" hidden="1" customHeight="1" outlineLevel="1" x14ac:dyDescent="0.25">
      <c r="A2035" s="74">
        <v>1113</v>
      </c>
      <c r="B2035" s="45" t="s">
        <v>664</v>
      </c>
      <c r="C2035" s="60" t="s">
        <v>1671</v>
      </c>
      <c r="D2035" s="60"/>
      <c r="E2035" s="74">
        <v>2022</v>
      </c>
      <c r="F2035" s="74" t="s">
        <v>489</v>
      </c>
      <c r="G2035" s="61">
        <v>1</v>
      </c>
      <c r="H2035" s="45">
        <v>10</v>
      </c>
      <c r="I2035" s="74">
        <v>43.487720000000003</v>
      </c>
    </row>
    <row r="2036" spans="1:9" s="71" customFormat="1" ht="16.5" hidden="1" customHeight="1" outlineLevel="1" x14ac:dyDescent="0.25">
      <c r="A2036" s="74">
        <v>1219</v>
      </c>
      <c r="B2036" s="45" t="s">
        <v>664</v>
      </c>
      <c r="C2036" s="60" t="s">
        <v>1672</v>
      </c>
      <c r="D2036" s="60"/>
      <c r="E2036" s="74">
        <v>2022</v>
      </c>
      <c r="F2036" s="74" t="s">
        <v>489</v>
      </c>
      <c r="G2036" s="61">
        <v>1</v>
      </c>
      <c r="H2036" s="45">
        <v>10</v>
      </c>
      <c r="I2036" s="74">
        <v>39.026890000000002</v>
      </c>
    </row>
    <row r="2037" spans="1:9" s="71" customFormat="1" ht="16.5" hidden="1" customHeight="1" outlineLevel="1" x14ac:dyDescent="0.25">
      <c r="A2037" s="74">
        <v>1281</v>
      </c>
      <c r="B2037" s="45" t="s">
        <v>664</v>
      </c>
      <c r="C2037" s="60" t="s">
        <v>1673</v>
      </c>
      <c r="D2037" s="60"/>
      <c r="E2037" s="74">
        <v>2022</v>
      </c>
      <c r="F2037" s="74" t="s">
        <v>489</v>
      </c>
      <c r="G2037" s="61">
        <v>1</v>
      </c>
      <c r="H2037" s="45">
        <v>10</v>
      </c>
      <c r="I2037" s="74">
        <v>50.454700000000003</v>
      </c>
    </row>
    <row r="2038" spans="1:9" s="71" customFormat="1" ht="16.5" hidden="1" customHeight="1" outlineLevel="1" x14ac:dyDescent="0.25">
      <c r="A2038" s="74">
        <v>1428</v>
      </c>
      <c r="B2038" s="45" t="s">
        <v>664</v>
      </c>
      <c r="C2038" s="60" t="s">
        <v>1674</v>
      </c>
      <c r="D2038" s="60"/>
      <c r="E2038" s="74">
        <v>2022</v>
      </c>
      <c r="F2038" s="74" t="s">
        <v>489</v>
      </c>
      <c r="G2038" s="61">
        <v>1</v>
      </c>
      <c r="H2038" s="45">
        <v>10</v>
      </c>
      <c r="I2038" s="74">
        <v>57.468910000000001</v>
      </c>
    </row>
    <row r="2039" spans="1:9" s="71" customFormat="1" ht="16.5" hidden="1" customHeight="1" outlineLevel="1" x14ac:dyDescent="0.25">
      <c r="A2039" s="74">
        <v>1429</v>
      </c>
      <c r="B2039" s="45" t="s">
        <v>664</v>
      </c>
      <c r="C2039" s="60" t="s">
        <v>1675</v>
      </c>
      <c r="D2039" s="60"/>
      <c r="E2039" s="74">
        <v>2022</v>
      </c>
      <c r="F2039" s="74" t="s">
        <v>489</v>
      </c>
      <c r="G2039" s="61">
        <v>1</v>
      </c>
      <c r="H2039" s="45">
        <v>10</v>
      </c>
      <c r="I2039" s="74">
        <v>53.955840000000002</v>
      </c>
    </row>
    <row r="2040" spans="1:9" s="71" customFormat="1" ht="16.5" hidden="1" customHeight="1" outlineLevel="1" x14ac:dyDescent="0.25">
      <c r="A2040" s="74">
        <v>1424</v>
      </c>
      <c r="B2040" s="45" t="s">
        <v>664</v>
      </c>
      <c r="C2040" s="60" t="s">
        <v>1676</v>
      </c>
      <c r="D2040" s="60"/>
      <c r="E2040" s="74">
        <v>2022</v>
      </c>
      <c r="F2040" s="74" t="s">
        <v>489</v>
      </c>
      <c r="G2040" s="61">
        <v>1</v>
      </c>
      <c r="H2040" s="45">
        <v>15</v>
      </c>
      <c r="I2040" s="74">
        <v>54.964480000000002</v>
      </c>
    </row>
    <row r="2041" spans="1:9" s="71" customFormat="1" ht="16.5" hidden="1" customHeight="1" outlineLevel="1" x14ac:dyDescent="0.25">
      <c r="A2041" s="74">
        <v>1423</v>
      </c>
      <c r="B2041" s="45" t="s">
        <v>664</v>
      </c>
      <c r="C2041" s="60" t="s">
        <v>1677</v>
      </c>
      <c r="D2041" s="60"/>
      <c r="E2041" s="74">
        <v>2022</v>
      </c>
      <c r="F2041" s="74" t="s">
        <v>489</v>
      </c>
      <c r="G2041" s="61">
        <v>1</v>
      </c>
      <c r="H2041" s="45">
        <v>10</v>
      </c>
      <c r="I2041" s="74">
        <v>59.050780000000003</v>
      </c>
    </row>
    <row r="2042" spans="1:9" s="71" customFormat="1" ht="16.5" hidden="1" customHeight="1" outlineLevel="1" x14ac:dyDescent="0.25">
      <c r="A2042" s="74">
        <v>1422</v>
      </c>
      <c r="B2042" s="45" t="s">
        <v>664</v>
      </c>
      <c r="C2042" s="60" t="s">
        <v>1678</v>
      </c>
      <c r="D2042" s="60"/>
      <c r="E2042" s="74">
        <v>2022</v>
      </c>
      <c r="F2042" s="74" t="s">
        <v>489</v>
      </c>
      <c r="G2042" s="61">
        <v>1</v>
      </c>
      <c r="H2042" s="45">
        <v>10</v>
      </c>
      <c r="I2042" s="74">
        <v>58.687519999999999</v>
      </c>
    </row>
    <row r="2043" spans="1:9" s="71" customFormat="1" ht="16.5" hidden="1" customHeight="1" outlineLevel="1" x14ac:dyDescent="0.25">
      <c r="A2043" s="74">
        <v>1321</v>
      </c>
      <c r="B2043" s="45" t="s">
        <v>664</v>
      </c>
      <c r="C2043" s="60" t="s">
        <v>1679</v>
      </c>
      <c r="D2043" s="60"/>
      <c r="E2043" s="74">
        <v>2022</v>
      </c>
      <c r="F2043" s="74" t="s">
        <v>489</v>
      </c>
      <c r="G2043" s="61">
        <v>1</v>
      </c>
      <c r="H2043" s="45">
        <v>15</v>
      </c>
      <c r="I2043" s="74">
        <v>64.873170000000002</v>
      </c>
    </row>
    <row r="2044" spans="1:9" s="71" customFormat="1" ht="16.5" hidden="1" customHeight="1" outlineLevel="1" x14ac:dyDescent="0.25">
      <c r="A2044" s="74">
        <v>1116</v>
      </c>
      <c r="B2044" s="45" t="s">
        <v>664</v>
      </c>
      <c r="C2044" s="60" t="s">
        <v>1680</v>
      </c>
      <c r="D2044" s="60"/>
      <c r="E2044" s="74">
        <v>2022</v>
      </c>
      <c r="F2044" s="74" t="s">
        <v>489</v>
      </c>
      <c r="G2044" s="61">
        <v>1</v>
      </c>
      <c r="H2044" s="45">
        <v>15</v>
      </c>
      <c r="I2044" s="74">
        <v>52.422229999999999</v>
      </c>
    </row>
    <row r="2045" spans="1:9" s="71" customFormat="1" ht="16.5" hidden="1" customHeight="1" outlineLevel="1" x14ac:dyDescent="0.25">
      <c r="A2045" s="74">
        <v>1112</v>
      </c>
      <c r="B2045" s="45" t="s">
        <v>664</v>
      </c>
      <c r="C2045" s="60" t="s">
        <v>1681</v>
      </c>
      <c r="D2045" s="60"/>
      <c r="E2045" s="74">
        <v>2022</v>
      </c>
      <c r="F2045" s="74" t="s">
        <v>489</v>
      </c>
      <c r="G2045" s="61">
        <v>1</v>
      </c>
      <c r="H2045" s="45">
        <v>15</v>
      </c>
      <c r="I2045" s="74">
        <v>68.662059999999997</v>
      </c>
    </row>
    <row r="2046" spans="1:9" s="71" customFormat="1" ht="16.5" hidden="1" customHeight="1" outlineLevel="1" x14ac:dyDescent="0.25">
      <c r="A2046" s="74">
        <v>1129</v>
      </c>
      <c r="B2046" s="45" t="s">
        <v>664</v>
      </c>
      <c r="C2046" s="60" t="s">
        <v>1682</v>
      </c>
      <c r="D2046" s="60"/>
      <c r="E2046" s="74">
        <v>2022</v>
      </c>
      <c r="F2046" s="74" t="s">
        <v>489</v>
      </c>
      <c r="G2046" s="61">
        <v>1</v>
      </c>
      <c r="H2046" s="45">
        <v>12</v>
      </c>
      <c r="I2046" s="74">
        <v>34.621499999999997</v>
      </c>
    </row>
    <row r="2047" spans="1:9" s="71" customFormat="1" ht="16.5" hidden="1" customHeight="1" outlineLevel="1" x14ac:dyDescent="0.25">
      <c r="A2047" s="74">
        <v>1140</v>
      </c>
      <c r="B2047" s="45" t="s">
        <v>664</v>
      </c>
      <c r="C2047" s="60" t="s">
        <v>1683</v>
      </c>
      <c r="D2047" s="60"/>
      <c r="E2047" s="74">
        <v>2022</v>
      </c>
      <c r="F2047" s="74" t="s">
        <v>489</v>
      </c>
      <c r="G2047" s="61">
        <v>1</v>
      </c>
      <c r="H2047" s="45">
        <v>10</v>
      </c>
      <c r="I2047" s="74">
        <v>43.646900000000002</v>
      </c>
    </row>
    <row r="2048" spans="1:9" s="71" customFormat="1" ht="16.5" hidden="1" customHeight="1" outlineLevel="1" x14ac:dyDescent="0.25">
      <c r="A2048" s="74">
        <v>1145</v>
      </c>
      <c r="B2048" s="45" t="s">
        <v>664</v>
      </c>
      <c r="C2048" s="60" t="s">
        <v>1684</v>
      </c>
      <c r="D2048" s="60"/>
      <c r="E2048" s="74">
        <v>2022</v>
      </c>
      <c r="F2048" s="74" t="s">
        <v>489</v>
      </c>
      <c r="G2048" s="61">
        <v>1</v>
      </c>
      <c r="H2048" s="45">
        <v>15</v>
      </c>
      <c r="I2048" s="74">
        <v>52.007460000000002</v>
      </c>
    </row>
    <row r="2049" spans="1:9" s="71" customFormat="1" ht="16.5" hidden="1" customHeight="1" outlineLevel="1" x14ac:dyDescent="0.25">
      <c r="A2049" s="74">
        <v>1157</v>
      </c>
      <c r="B2049" s="45" t="s">
        <v>664</v>
      </c>
      <c r="C2049" s="60" t="s">
        <v>1685</v>
      </c>
      <c r="D2049" s="60"/>
      <c r="E2049" s="74">
        <v>2022</v>
      </c>
      <c r="F2049" s="74" t="s">
        <v>489</v>
      </c>
      <c r="G2049" s="61">
        <v>1</v>
      </c>
      <c r="H2049" s="45">
        <v>12</v>
      </c>
      <c r="I2049" s="74">
        <v>51.891289999999998</v>
      </c>
    </row>
    <row r="2050" spans="1:9" s="71" customFormat="1" ht="16.5" hidden="1" customHeight="1" outlineLevel="1" x14ac:dyDescent="0.25">
      <c r="A2050" s="74">
        <v>1191</v>
      </c>
      <c r="B2050" s="45" t="s">
        <v>664</v>
      </c>
      <c r="C2050" s="60" t="s">
        <v>1686</v>
      </c>
      <c r="D2050" s="60"/>
      <c r="E2050" s="74">
        <v>2022</v>
      </c>
      <c r="F2050" s="74" t="s">
        <v>489</v>
      </c>
      <c r="G2050" s="61">
        <v>1</v>
      </c>
      <c r="H2050" s="45">
        <v>9</v>
      </c>
      <c r="I2050" s="74">
        <v>33.916029999999999</v>
      </c>
    </row>
    <row r="2051" spans="1:9" s="71" customFormat="1" ht="16.5" hidden="1" customHeight="1" outlineLevel="1" x14ac:dyDescent="0.25">
      <c r="A2051" s="74">
        <v>1237</v>
      </c>
      <c r="B2051" s="45" t="s">
        <v>664</v>
      </c>
      <c r="C2051" s="60" t="s">
        <v>1687</v>
      </c>
      <c r="D2051" s="60"/>
      <c r="E2051" s="74">
        <v>2022</v>
      </c>
      <c r="F2051" s="74" t="s">
        <v>489</v>
      </c>
      <c r="G2051" s="61">
        <v>1</v>
      </c>
      <c r="H2051" s="45">
        <v>15</v>
      </c>
      <c r="I2051" s="74">
        <v>53.987810000000003</v>
      </c>
    </row>
    <row r="2052" spans="1:9" s="71" customFormat="1" ht="16.5" hidden="1" customHeight="1" outlineLevel="1" x14ac:dyDescent="0.25">
      <c r="A2052" s="74">
        <v>1408</v>
      </c>
      <c r="B2052" s="45" t="s">
        <v>664</v>
      </c>
      <c r="C2052" s="60" t="s">
        <v>1688</v>
      </c>
      <c r="D2052" s="60"/>
      <c r="E2052" s="74">
        <v>2022</v>
      </c>
      <c r="F2052" s="74" t="s">
        <v>489</v>
      </c>
      <c r="G2052" s="61">
        <v>1</v>
      </c>
      <c r="H2052" s="45">
        <v>8</v>
      </c>
      <c r="I2052" s="74">
        <v>56.748849999999997</v>
      </c>
    </row>
    <row r="2053" spans="1:9" s="71" customFormat="1" ht="16.5" hidden="1" customHeight="1" outlineLevel="1" x14ac:dyDescent="0.25">
      <c r="A2053" s="74">
        <v>1393</v>
      </c>
      <c r="B2053" s="45" t="s">
        <v>664</v>
      </c>
      <c r="C2053" s="60" t="s">
        <v>1689</v>
      </c>
      <c r="D2053" s="60"/>
      <c r="E2053" s="74">
        <v>2022</v>
      </c>
      <c r="F2053" s="74" t="s">
        <v>489</v>
      </c>
      <c r="G2053" s="61">
        <v>1</v>
      </c>
      <c r="H2053" s="45">
        <v>12</v>
      </c>
      <c r="I2053" s="74">
        <v>64.794449999999998</v>
      </c>
    </row>
    <row r="2054" spans="1:9" s="71" customFormat="1" ht="16.5" hidden="1" customHeight="1" outlineLevel="1" x14ac:dyDescent="0.25">
      <c r="A2054" s="74">
        <v>1392</v>
      </c>
      <c r="B2054" s="45" t="s">
        <v>664</v>
      </c>
      <c r="C2054" s="60" t="s">
        <v>1690</v>
      </c>
      <c r="D2054" s="60"/>
      <c r="E2054" s="74">
        <v>2022</v>
      </c>
      <c r="F2054" s="74" t="s">
        <v>489</v>
      </c>
      <c r="G2054" s="61">
        <v>1</v>
      </c>
      <c r="H2054" s="45">
        <v>12</v>
      </c>
      <c r="I2054" s="74">
        <v>52.73686</v>
      </c>
    </row>
    <row r="2055" spans="1:9" s="71" customFormat="1" ht="16.5" hidden="1" customHeight="1" outlineLevel="1" x14ac:dyDescent="0.25">
      <c r="A2055" s="74">
        <v>1322</v>
      </c>
      <c r="B2055" s="45" t="s">
        <v>664</v>
      </c>
      <c r="C2055" s="60" t="s">
        <v>1691</v>
      </c>
      <c r="D2055" s="60"/>
      <c r="E2055" s="74">
        <v>2022</v>
      </c>
      <c r="F2055" s="74" t="s">
        <v>489</v>
      </c>
      <c r="G2055" s="61">
        <v>1</v>
      </c>
      <c r="H2055" s="45">
        <v>15</v>
      </c>
      <c r="I2055" s="74">
        <v>53.144950000000001</v>
      </c>
    </row>
    <row r="2056" spans="1:9" s="71" customFormat="1" ht="16.5" hidden="1" customHeight="1" outlineLevel="1" x14ac:dyDescent="0.25">
      <c r="A2056" s="74">
        <v>1368</v>
      </c>
      <c r="B2056" s="45" t="s">
        <v>664</v>
      </c>
      <c r="C2056" s="60" t="s">
        <v>1692</v>
      </c>
      <c r="D2056" s="60"/>
      <c r="E2056" s="74">
        <v>2022</v>
      </c>
      <c r="F2056" s="74" t="s">
        <v>489</v>
      </c>
      <c r="G2056" s="61">
        <v>1</v>
      </c>
      <c r="H2056" s="45">
        <v>10</v>
      </c>
      <c r="I2056" s="74">
        <v>49.251280000000001</v>
      </c>
    </row>
    <row r="2057" spans="1:9" s="71" customFormat="1" ht="16.5" hidden="1" customHeight="1" outlineLevel="1" x14ac:dyDescent="0.25">
      <c r="A2057" s="74">
        <v>1370</v>
      </c>
      <c r="B2057" s="45" t="s">
        <v>664</v>
      </c>
      <c r="C2057" s="60" t="s">
        <v>1693</v>
      </c>
      <c r="D2057" s="60"/>
      <c r="E2057" s="74">
        <v>2022</v>
      </c>
      <c r="F2057" s="74" t="s">
        <v>489</v>
      </c>
      <c r="G2057" s="61">
        <v>1</v>
      </c>
      <c r="H2057" s="45">
        <v>12</v>
      </c>
      <c r="I2057" s="74">
        <v>41.831789999999998</v>
      </c>
    </row>
    <row r="2058" spans="1:9" s="71" customFormat="1" ht="16.5" hidden="1" customHeight="1" outlineLevel="1" x14ac:dyDescent="0.25">
      <c r="A2058" s="74">
        <v>1274</v>
      </c>
      <c r="B2058" s="45" t="s">
        <v>664</v>
      </c>
      <c r="C2058" s="60" t="s">
        <v>1694</v>
      </c>
      <c r="D2058" s="60"/>
      <c r="E2058" s="74">
        <v>2022</v>
      </c>
      <c r="F2058" s="74" t="s">
        <v>489</v>
      </c>
      <c r="G2058" s="61">
        <v>1</v>
      </c>
      <c r="H2058" s="45">
        <v>15</v>
      </c>
      <c r="I2058" s="74">
        <v>45.338180000000001</v>
      </c>
    </row>
    <row r="2059" spans="1:9" s="71" customFormat="1" ht="16.5" hidden="1" customHeight="1" outlineLevel="1" x14ac:dyDescent="0.25">
      <c r="A2059" s="74">
        <v>1285</v>
      </c>
      <c r="B2059" s="45" t="s">
        <v>664</v>
      </c>
      <c r="C2059" s="60" t="s">
        <v>1695</v>
      </c>
      <c r="D2059" s="60"/>
      <c r="E2059" s="74">
        <v>2022</v>
      </c>
      <c r="F2059" s="74" t="s">
        <v>489</v>
      </c>
      <c r="G2059" s="61">
        <v>1</v>
      </c>
      <c r="H2059" s="45">
        <v>15</v>
      </c>
      <c r="I2059" s="74">
        <v>48.91621</v>
      </c>
    </row>
    <row r="2060" spans="1:9" s="71" customFormat="1" ht="16.5" hidden="1" customHeight="1" outlineLevel="1" x14ac:dyDescent="0.25">
      <c r="A2060" s="74">
        <v>1334</v>
      </c>
      <c r="B2060" s="45" t="s">
        <v>664</v>
      </c>
      <c r="C2060" s="60" t="s">
        <v>1696</v>
      </c>
      <c r="D2060" s="60"/>
      <c r="E2060" s="74">
        <v>2022</v>
      </c>
      <c r="F2060" s="74" t="s">
        <v>489</v>
      </c>
      <c r="G2060" s="61">
        <v>1</v>
      </c>
      <c r="H2060" s="45">
        <v>15</v>
      </c>
      <c r="I2060" s="74">
        <v>45.769159999999999</v>
      </c>
    </row>
    <row r="2061" spans="1:9" s="71" customFormat="1" ht="16.5" hidden="1" customHeight="1" outlineLevel="1" x14ac:dyDescent="0.25">
      <c r="A2061" s="74">
        <v>1395</v>
      </c>
      <c r="B2061" s="45" t="s">
        <v>664</v>
      </c>
      <c r="C2061" s="60" t="s">
        <v>1697</v>
      </c>
      <c r="D2061" s="60"/>
      <c r="E2061" s="74">
        <v>2022</v>
      </c>
      <c r="F2061" s="74" t="s">
        <v>489</v>
      </c>
      <c r="G2061" s="61">
        <v>1</v>
      </c>
      <c r="H2061" s="45">
        <v>10</v>
      </c>
      <c r="I2061" s="74">
        <v>37.439340000000001</v>
      </c>
    </row>
    <row r="2062" spans="1:9" s="71" customFormat="1" ht="16.5" hidden="1" customHeight="1" outlineLevel="1" x14ac:dyDescent="0.25">
      <c r="A2062" s="74">
        <v>1440</v>
      </c>
      <c r="B2062" s="45" t="s">
        <v>664</v>
      </c>
      <c r="C2062" s="60" t="s">
        <v>1698</v>
      </c>
      <c r="D2062" s="60"/>
      <c r="E2062" s="74">
        <v>2022</v>
      </c>
      <c r="F2062" s="74" t="s">
        <v>489</v>
      </c>
      <c r="G2062" s="61">
        <v>1</v>
      </c>
      <c r="H2062" s="45">
        <v>10</v>
      </c>
      <c r="I2062" s="74">
        <v>40.855060000000002</v>
      </c>
    </row>
    <row r="2063" spans="1:9" s="71" customFormat="1" ht="16.5" hidden="1" customHeight="1" outlineLevel="1" x14ac:dyDescent="0.25">
      <c r="A2063" s="74">
        <v>1051</v>
      </c>
      <c r="B2063" s="45" t="s">
        <v>664</v>
      </c>
      <c r="C2063" s="60" t="s">
        <v>1699</v>
      </c>
      <c r="D2063" s="60"/>
      <c r="E2063" s="74">
        <v>2022</v>
      </c>
      <c r="F2063" s="74" t="s">
        <v>489</v>
      </c>
      <c r="G2063" s="61">
        <v>1</v>
      </c>
      <c r="H2063" s="45">
        <v>10</v>
      </c>
      <c r="I2063" s="74">
        <v>38.90428</v>
      </c>
    </row>
    <row r="2064" spans="1:9" s="71" customFormat="1" ht="16.5" hidden="1" customHeight="1" outlineLevel="1" x14ac:dyDescent="0.25">
      <c r="A2064" s="74">
        <v>1068</v>
      </c>
      <c r="B2064" s="45" t="s">
        <v>664</v>
      </c>
      <c r="C2064" s="60" t="s">
        <v>1700</v>
      </c>
      <c r="D2064" s="60"/>
      <c r="E2064" s="74">
        <v>2022</v>
      </c>
      <c r="F2064" s="74" t="s">
        <v>489</v>
      </c>
      <c r="G2064" s="61">
        <v>1</v>
      </c>
      <c r="H2064" s="45">
        <v>5</v>
      </c>
      <c r="I2064" s="74">
        <v>38.930019999999999</v>
      </c>
    </row>
    <row r="2065" spans="1:9" s="71" customFormat="1" ht="16.5" hidden="1" customHeight="1" outlineLevel="1" x14ac:dyDescent="0.25">
      <c r="A2065" s="74">
        <v>1154</v>
      </c>
      <c r="B2065" s="45" t="s">
        <v>664</v>
      </c>
      <c r="C2065" s="60" t="s">
        <v>1701</v>
      </c>
      <c r="D2065" s="60"/>
      <c r="E2065" s="74">
        <v>2022</v>
      </c>
      <c r="F2065" s="74" t="s">
        <v>489</v>
      </c>
      <c r="G2065" s="61">
        <v>1</v>
      </c>
      <c r="H2065" s="45">
        <v>15</v>
      </c>
      <c r="I2065" s="74">
        <v>43.780540000000002</v>
      </c>
    </row>
    <row r="2066" spans="1:9" s="71" customFormat="1" ht="16.5" hidden="1" customHeight="1" outlineLevel="1" x14ac:dyDescent="0.25">
      <c r="A2066" s="74">
        <v>1227</v>
      </c>
      <c r="B2066" s="45" t="s">
        <v>664</v>
      </c>
      <c r="C2066" s="60" t="s">
        <v>1702</v>
      </c>
      <c r="D2066" s="60"/>
      <c r="E2066" s="74">
        <v>2022</v>
      </c>
      <c r="F2066" s="74" t="s">
        <v>489</v>
      </c>
      <c r="G2066" s="61">
        <v>1</v>
      </c>
      <c r="H2066" s="45">
        <v>15</v>
      </c>
      <c r="I2066" s="74">
        <v>33.102460000000001</v>
      </c>
    </row>
    <row r="2067" spans="1:9" s="71" customFormat="1" ht="16.5" hidden="1" customHeight="1" outlineLevel="1" x14ac:dyDescent="0.25">
      <c r="A2067" s="74">
        <v>1420</v>
      </c>
      <c r="B2067" s="45" t="s">
        <v>664</v>
      </c>
      <c r="C2067" s="60" t="s">
        <v>1703</v>
      </c>
      <c r="D2067" s="60"/>
      <c r="E2067" s="74">
        <v>2022</v>
      </c>
      <c r="F2067" s="74" t="s">
        <v>489</v>
      </c>
      <c r="G2067" s="61">
        <v>1</v>
      </c>
      <c r="H2067" s="45">
        <v>15</v>
      </c>
      <c r="I2067" s="74">
        <v>33.99465</v>
      </c>
    </row>
    <row r="2068" spans="1:9" s="71" customFormat="1" ht="16.5" hidden="1" customHeight="1" outlineLevel="1" x14ac:dyDescent="0.25">
      <c r="A2068" s="74">
        <v>1338</v>
      </c>
      <c r="B2068" s="45" t="s">
        <v>664</v>
      </c>
      <c r="C2068" s="60" t="s">
        <v>1704</v>
      </c>
      <c r="D2068" s="60"/>
      <c r="E2068" s="74">
        <v>2022</v>
      </c>
      <c r="F2068" s="74" t="s">
        <v>489</v>
      </c>
      <c r="G2068" s="61">
        <v>1</v>
      </c>
      <c r="H2068" s="45">
        <v>10</v>
      </c>
      <c r="I2068" s="74">
        <v>34.47972</v>
      </c>
    </row>
    <row r="2069" spans="1:9" s="71" customFormat="1" ht="16.5" hidden="1" customHeight="1" outlineLevel="1" x14ac:dyDescent="0.25">
      <c r="A2069" s="74">
        <v>1373</v>
      </c>
      <c r="B2069" s="45" t="s">
        <v>664</v>
      </c>
      <c r="C2069" s="60" t="s">
        <v>1705</v>
      </c>
      <c r="D2069" s="60"/>
      <c r="E2069" s="74">
        <v>2022</v>
      </c>
      <c r="F2069" s="74" t="s">
        <v>489</v>
      </c>
      <c r="G2069" s="61">
        <v>1</v>
      </c>
      <c r="H2069" s="45">
        <v>15</v>
      </c>
      <c r="I2069" s="74">
        <v>41.608049999999999</v>
      </c>
    </row>
    <row r="2070" spans="1:9" s="71" customFormat="1" ht="16.5" hidden="1" customHeight="1" outlineLevel="1" x14ac:dyDescent="0.25">
      <c r="A2070" s="74">
        <v>1348</v>
      </c>
      <c r="B2070" s="45" t="s">
        <v>664</v>
      </c>
      <c r="C2070" s="60" t="s">
        <v>1706</v>
      </c>
      <c r="D2070" s="60"/>
      <c r="E2070" s="74">
        <v>2022</v>
      </c>
      <c r="F2070" s="74" t="s">
        <v>489</v>
      </c>
      <c r="G2070" s="61">
        <v>1</v>
      </c>
      <c r="H2070" s="45">
        <v>7.5</v>
      </c>
      <c r="I2070" s="74">
        <v>94.058890000000005</v>
      </c>
    </row>
    <row r="2071" spans="1:9" s="71" customFormat="1" ht="16.5" hidden="1" customHeight="1" outlineLevel="1" x14ac:dyDescent="0.25">
      <c r="A2071" s="74">
        <v>1070</v>
      </c>
      <c r="B2071" s="45" t="s">
        <v>664</v>
      </c>
      <c r="C2071" s="60" t="s">
        <v>1707</v>
      </c>
      <c r="D2071" s="60"/>
      <c r="E2071" s="74">
        <v>2022</v>
      </c>
      <c r="F2071" s="74" t="s">
        <v>489</v>
      </c>
      <c r="G2071" s="61">
        <v>1</v>
      </c>
      <c r="H2071" s="45">
        <v>15</v>
      </c>
      <c r="I2071" s="74">
        <v>130.49606</v>
      </c>
    </row>
    <row r="2072" spans="1:9" s="71" customFormat="1" ht="16.5" hidden="1" customHeight="1" outlineLevel="1" x14ac:dyDescent="0.25">
      <c r="A2072" s="74">
        <v>1412</v>
      </c>
      <c r="B2072" s="45" t="s">
        <v>664</v>
      </c>
      <c r="C2072" s="60" t="s">
        <v>1708</v>
      </c>
      <c r="D2072" s="60"/>
      <c r="E2072" s="74">
        <v>2022</v>
      </c>
      <c r="F2072" s="74" t="s">
        <v>489</v>
      </c>
      <c r="G2072" s="61">
        <v>1</v>
      </c>
      <c r="H2072" s="45">
        <v>15</v>
      </c>
      <c r="I2072" s="74">
        <v>33.466160000000002</v>
      </c>
    </row>
    <row r="2073" spans="1:9" s="71" customFormat="1" ht="16.5" hidden="1" customHeight="1" outlineLevel="1" x14ac:dyDescent="0.25">
      <c r="A2073" s="74">
        <v>1324</v>
      </c>
      <c r="B2073" s="45" t="s">
        <v>664</v>
      </c>
      <c r="C2073" s="60" t="s">
        <v>1709</v>
      </c>
      <c r="D2073" s="60"/>
      <c r="E2073" s="74">
        <v>2022</v>
      </c>
      <c r="F2073" s="74" t="s">
        <v>489</v>
      </c>
      <c r="G2073" s="61">
        <v>1</v>
      </c>
      <c r="H2073" s="45">
        <v>15</v>
      </c>
      <c r="I2073" s="74">
        <v>36.723219999999998</v>
      </c>
    </row>
    <row r="2074" spans="1:9" s="71" customFormat="1" ht="16.5" hidden="1" customHeight="1" outlineLevel="1" x14ac:dyDescent="0.25">
      <c r="A2074" s="74">
        <v>1406</v>
      </c>
      <c r="B2074" s="45" t="s">
        <v>664</v>
      </c>
      <c r="C2074" s="60" t="s">
        <v>1710</v>
      </c>
      <c r="D2074" s="60"/>
      <c r="E2074" s="74">
        <v>2022</v>
      </c>
      <c r="F2074" s="74" t="s">
        <v>489</v>
      </c>
      <c r="G2074" s="61">
        <v>1</v>
      </c>
      <c r="H2074" s="45">
        <v>10</v>
      </c>
      <c r="I2074" s="74">
        <v>35.893079999999998</v>
      </c>
    </row>
    <row r="2075" spans="1:9" s="71" customFormat="1" ht="16.5" hidden="1" customHeight="1" outlineLevel="1" x14ac:dyDescent="0.25">
      <c r="A2075" s="74">
        <v>1444</v>
      </c>
      <c r="B2075" s="45" t="s">
        <v>664</v>
      </c>
      <c r="C2075" s="60" t="s">
        <v>1711</v>
      </c>
      <c r="D2075" s="60"/>
      <c r="E2075" s="74">
        <v>2022</v>
      </c>
      <c r="F2075" s="74" t="s">
        <v>489</v>
      </c>
      <c r="G2075" s="61">
        <v>1</v>
      </c>
      <c r="H2075" s="45">
        <v>10</v>
      </c>
      <c r="I2075" s="74">
        <v>39.840040000000002</v>
      </c>
    </row>
    <row r="2076" spans="1:9" s="71" customFormat="1" ht="16.5" hidden="1" customHeight="1" outlineLevel="1" x14ac:dyDescent="0.25">
      <c r="A2076" s="74">
        <v>1347</v>
      </c>
      <c r="B2076" s="45" t="s">
        <v>664</v>
      </c>
      <c r="C2076" s="60" t="s">
        <v>1712</v>
      </c>
      <c r="D2076" s="60"/>
      <c r="E2076" s="74">
        <v>2022</v>
      </c>
      <c r="F2076" s="74" t="s">
        <v>489</v>
      </c>
      <c r="G2076" s="61">
        <v>1</v>
      </c>
      <c r="H2076" s="45">
        <v>11.5</v>
      </c>
      <c r="I2076" s="74">
        <v>37.63364</v>
      </c>
    </row>
    <row r="2077" spans="1:9" s="71" customFormat="1" ht="16.5" hidden="1" customHeight="1" outlineLevel="1" x14ac:dyDescent="0.25">
      <c r="A2077" s="74">
        <v>1238</v>
      </c>
      <c r="B2077" s="45" t="s">
        <v>664</v>
      </c>
      <c r="C2077" s="60" t="s">
        <v>1713</v>
      </c>
      <c r="D2077" s="60"/>
      <c r="E2077" s="74">
        <v>2022</v>
      </c>
      <c r="F2077" s="74" t="s">
        <v>489</v>
      </c>
      <c r="G2077" s="61">
        <v>1</v>
      </c>
      <c r="H2077" s="45">
        <v>10</v>
      </c>
      <c r="I2077" s="74">
        <v>34.252290000000002</v>
      </c>
    </row>
    <row r="2078" spans="1:9" s="71" customFormat="1" ht="16.5" hidden="1" customHeight="1" outlineLevel="1" x14ac:dyDescent="0.25">
      <c r="A2078" s="74">
        <v>1226</v>
      </c>
      <c r="B2078" s="45" t="s">
        <v>664</v>
      </c>
      <c r="C2078" s="60" t="s">
        <v>1714</v>
      </c>
      <c r="D2078" s="60"/>
      <c r="E2078" s="74">
        <v>2022</v>
      </c>
      <c r="F2078" s="74" t="s">
        <v>489</v>
      </c>
      <c r="G2078" s="61">
        <v>1</v>
      </c>
      <c r="H2078" s="45">
        <v>10</v>
      </c>
      <c r="I2078" s="74">
        <v>35.23536</v>
      </c>
    </row>
    <row r="2079" spans="1:9" s="71" customFormat="1" ht="16.5" hidden="1" customHeight="1" outlineLevel="1" x14ac:dyDescent="0.25">
      <c r="A2079" s="74">
        <v>1222</v>
      </c>
      <c r="B2079" s="45" t="s">
        <v>664</v>
      </c>
      <c r="C2079" s="60" t="s">
        <v>1715</v>
      </c>
      <c r="D2079" s="60"/>
      <c r="E2079" s="74">
        <v>2022</v>
      </c>
      <c r="F2079" s="74" t="s">
        <v>489</v>
      </c>
      <c r="G2079" s="61">
        <v>1</v>
      </c>
      <c r="H2079" s="45">
        <v>15</v>
      </c>
      <c r="I2079" s="74">
        <v>39.6006</v>
      </c>
    </row>
    <row r="2080" spans="1:9" s="71" customFormat="1" ht="16.5" hidden="1" customHeight="1" outlineLevel="1" x14ac:dyDescent="0.25">
      <c r="A2080" s="74">
        <v>1483</v>
      </c>
      <c r="B2080" s="45" t="s">
        <v>664</v>
      </c>
      <c r="C2080" s="60" t="s">
        <v>1716</v>
      </c>
      <c r="D2080" s="60"/>
      <c r="E2080" s="74">
        <v>2022</v>
      </c>
      <c r="F2080" s="74" t="s">
        <v>489</v>
      </c>
      <c r="G2080" s="61">
        <v>1</v>
      </c>
      <c r="H2080" s="45">
        <v>15</v>
      </c>
      <c r="I2080" s="74">
        <v>40.364910000000002</v>
      </c>
    </row>
    <row r="2081" spans="1:9" s="71" customFormat="1" ht="16.5" hidden="1" customHeight="1" outlineLevel="1" x14ac:dyDescent="0.25">
      <c r="A2081" s="74">
        <v>1452</v>
      </c>
      <c r="B2081" s="45" t="s">
        <v>664</v>
      </c>
      <c r="C2081" s="60" t="s">
        <v>1717</v>
      </c>
      <c r="D2081" s="60"/>
      <c r="E2081" s="74">
        <v>2022</v>
      </c>
      <c r="F2081" s="74" t="s">
        <v>489</v>
      </c>
      <c r="G2081" s="61">
        <v>1</v>
      </c>
      <c r="H2081" s="45">
        <v>10</v>
      </c>
      <c r="I2081" s="74">
        <v>45.90719</v>
      </c>
    </row>
    <row r="2082" spans="1:9" s="71" customFormat="1" ht="16.5" hidden="1" customHeight="1" outlineLevel="1" x14ac:dyDescent="0.25">
      <c r="A2082" s="74">
        <v>1296</v>
      </c>
      <c r="B2082" s="45" t="s">
        <v>664</v>
      </c>
      <c r="C2082" s="60" t="s">
        <v>1718</v>
      </c>
      <c r="D2082" s="60"/>
      <c r="E2082" s="74">
        <v>2022</v>
      </c>
      <c r="F2082" s="74" t="s">
        <v>489</v>
      </c>
      <c r="G2082" s="61">
        <v>1</v>
      </c>
      <c r="H2082" s="45">
        <v>10</v>
      </c>
      <c r="I2082" s="74">
        <v>42.89987</v>
      </c>
    </row>
    <row r="2083" spans="1:9" s="71" customFormat="1" ht="16.5" hidden="1" customHeight="1" outlineLevel="1" x14ac:dyDescent="0.25">
      <c r="A2083" s="74">
        <v>1166</v>
      </c>
      <c r="B2083" s="45" t="s">
        <v>664</v>
      </c>
      <c r="C2083" s="60" t="s">
        <v>1719</v>
      </c>
      <c r="D2083" s="60"/>
      <c r="E2083" s="74">
        <v>2022</v>
      </c>
      <c r="F2083" s="74" t="s">
        <v>489</v>
      </c>
      <c r="G2083" s="61">
        <v>1</v>
      </c>
      <c r="H2083" s="45">
        <v>15</v>
      </c>
      <c r="I2083" s="74">
        <v>45.900530000000003</v>
      </c>
    </row>
    <row r="2084" spans="1:9" s="71" customFormat="1" ht="16.5" hidden="1" customHeight="1" outlineLevel="1" x14ac:dyDescent="0.25">
      <c r="A2084" s="74">
        <v>1165</v>
      </c>
      <c r="B2084" s="45" t="s">
        <v>664</v>
      </c>
      <c r="C2084" s="60" t="s">
        <v>1720</v>
      </c>
      <c r="D2084" s="60"/>
      <c r="E2084" s="74">
        <v>2022</v>
      </c>
      <c r="F2084" s="74" t="s">
        <v>489</v>
      </c>
      <c r="G2084" s="61">
        <v>1</v>
      </c>
      <c r="H2084" s="45">
        <v>10</v>
      </c>
      <c r="I2084" s="74">
        <v>39.112009999999998</v>
      </c>
    </row>
    <row r="2085" spans="1:9" s="71" customFormat="1" ht="16.5" hidden="1" customHeight="1" outlineLevel="1" x14ac:dyDescent="0.25">
      <c r="A2085" s="74">
        <v>1399</v>
      </c>
      <c r="B2085" s="45" t="s">
        <v>664</v>
      </c>
      <c r="C2085" s="60" t="s">
        <v>1721</v>
      </c>
      <c r="D2085" s="60"/>
      <c r="E2085" s="74">
        <v>2022</v>
      </c>
      <c r="F2085" s="74" t="s">
        <v>489</v>
      </c>
      <c r="G2085" s="61">
        <v>1</v>
      </c>
      <c r="H2085" s="45">
        <v>10</v>
      </c>
      <c r="I2085" s="74">
        <v>48.382739999999998</v>
      </c>
    </row>
    <row r="2086" spans="1:9" s="71" customFormat="1" ht="16.5" hidden="1" customHeight="1" outlineLevel="1" x14ac:dyDescent="0.25">
      <c r="A2086" s="74">
        <v>1451</v>
      </c>
      <c r="B2086" s="45" t="s">
        <v>664</v>
      </c>
      <c r="C2086" s="60" t="s">
        <v>1722</v>
      </c>
      <c r="D2086" s="60"/>
      <c r="E2086" s="74">
        <v>2022</v>
      </c>
      <c r="F2086" s="74" t="s">
        <v>489</v>
      </c>
      <c r="G2086" s="61">
        <v>1</v>
      </c>
      <c r="H2086" s="45">
        <v>5</v>
      </c>
      <c r="I2086" s="74">
        <v>43.459679999999999</v>
      </c>
    </row>
    <row r="2087" spans="1:9" s="71" customFormat="1" ht="16.5" hidden="1" customHeight="1" outlineLevel="1" x14ac:dyDescent="0.25">
      <c r="A2087" s="74">
        <v>1311</v>
      </c>
      <c r="B2087" s="45" t="s">
        <v>664</v>
      </c>
      <c r="C2087" s="60" t="s">
        <v>1723</v>
      </c>
      <c r="D2087" s="60"/>
      <c r="E2087" s="74">
        <v>2022</v>
      </c>
      <c r="F2087" s="74" t="s">
        <v>489</v>
      </c>
      <c r="G2087" s="61">
        <v>1</v>
      </c>
      <c r="H2087" s="45">
        <v>10</v>
      </c>
      <c r="I2087" s="74">
        <v>46.3949</v>
      </c>
    </row>
    <row r="2088" spans="1:9" s="71" customFormat="1" ht="16.5" hidden="1" customHeight="1" outlineLevel="1" x14ac:dyDescent="0.25">
      <c r="A2088" s="74">
        <v>1409</v>
      </c>
      <c r="B2088" s="45" t="s">
        <v>664</v>
      </c>
      <c r="C2088" s="60" t="s">
        <v>1724</v>
      </c>
      <c r="D2088" s="60"/>
      <c r="E2088" s="74">
        <v>2022</v>
      </c>
      <c r="F2088" s="74" t="s">
        <v>489</v>
      </c>
      <c r="G2088" s="61">
        <v>1</v>
      </c>
      <c r="H2088" s="45">
        <v>10</v>
      </c>
      <c r="I2088" s="74">
        <v>89.700040000000001</v>
      </c>
    </row>
    <row r="2089" spans="1:9" s="71" customFormat="1" ht="16.5" hidden="1" customHeight="1" outlineLevel="1" x14ac:dyDescent="0.25">
      <c r="A2089" s="74">
        <v>1328</v>
      </c>
      <c r="B2089" s="45" t="s">
        <v>664</v>
      </c>
      <c r="C2089" s="60" t="s">
        <v>1725</v>
      </c>
      <c r="D2089" s="60"/>
      <c r="E2089" s="74">
        <v>2022</v>
      </c>
      <c r="F2089" s="74" t="s">
        <v>489</v>
      </c>
      <c r="G2089" s="61">
        <v>1</v>
      </c>
      <c r="H2089" s="45">
        <v>15</v>
      </c>
      <c r="I2089" s="74">
        <v>38.271180000000001</v>
      </c>
    </row>
    <row r="2090" spans="1:9" s="71" customFormat="1" ht="16.5" hidden="1" customHeight="1" outlineLevel="1" x14ac:dyDescent="0.25">
      <c r="A2090" s="74">
        <v>1187</v>
      </c>
      <c r="B2090" s="45" t="s">
        <v>664</v>
      </c>
      <c r="C2090" s="60" t="s">
        <v>1726</v>
      </c>
      <c r="D2090" s="60"/>
      <c r="E2090" s="74">
        <v>2022</v>
      </c>
      <c r="F2090" s="74" t="s">
        <v>489</v>
      </c>
      <c r="G2090" s="61">
        <v>1</v>
      </c>
      <c r="H2090" s="45">
        <v>15</v>
      </c>
      <c r="I2090" s="74">
        <v>31.806660000000001</v>
      </c>
    </row>
    <row r="2091" spans="1:9" s="71" customFormat="1" ht="16.5" hidden="1" customHeight="1" outlineLevel="1" x14ac:dyDescent="0.25">
      <c r="A2091" s="74">
        <v>1291</v>
      </c>
      <c r="B2091" s="45" t="s">
        <v>664</v>
      </c>
      <c r="C2091" s="60" t="s">
        <v>1727</v>
      </c>
      <c r="D2091" s="60"/>
      <c r="E2091" s="74">
        <v>2022</v>
      </c>
      <c r="F2091" s="74" t="s">
        <v>489</v>
      </c>
      <c r="G2091" s="61">
        <v>1</v>
      </c>
      <c r="H2091" s="45">
        <v>15</v>
      </c>
      <c r="I2091" s="74">
        <v>73.42313</v>
      </c>
    </row>
    <row r="2092" spans="1:9" s="71" customFormat="1" ht="16.5" hidden="1" customHeight="1" outlineLevel="1" x14ac:dyDescent="0.25">
      <c r="A2092" s="74">
        <v>1079</v>
      </c>
      <c r="B2092" s="45" t="s">
        <v>664</v>
      </c>
      <c r="C2092" s="60" t="s">
        <v>1728</v>
      </c>
      <c r="D2092" s="60"/>
      <c r="E2092" s="74">
        <v>2022</v>
      </c>
      <c r="F2092" s="74" t="s">
        <v>489</v>
      </c>
      <c r="G2092" s="61">
        <v>3</v>
      </c>
      <c r="H2092" s="45">
        <v>35</v>
      </c>
      <c r="I2092" s="74">
        <v>141.36573999999999</v>
      </c>
    </row>
    <row r="2093" spans="1:9" s="71" customFormat="1" ht="16.5" hidden="1" customHeight="1" outlineLevel="1" x14ac:dyDescent="0.25">
      <c r="A2093" s="74">
        <v>1094</v>
      </c>
      <c r="B2093" s="45" t="s">
        <v>664</v>
      </c>
      <c r="C2093" s="60" t="s">
        <v>1729</v>
      </c>
      <c r="D2093" s="60"/>
      <c r="E2093" s="74">
        <v>2022</v>
      </c>
      <c r="F2093" s="74" t="s">
        <v>489</v>
      </c>
      <c r="G2093" s="61">
        <v>1</v>
      </c>
      <c r="H2093" s="45">
        <v>10</v>
      </c>
      <c r="I2093" s="74">
        <v>71.742769999999993</v>
      </c>
    </row>
    <row r="2094" spans="1:9" s="71" customFormat="1" ht="16.5" hidden="1" customHeight="1" outlineLevel="1" x14ac:dyDescent="0.25">
      <c r="A2094" s="74">
        <v>1138</v>
      </c>
      <c r="B2094" s="45" t="s">
        <v>664</v>
      </c>
      <c r="C2094" s="60" t="s">
        <v>1730</v>
      </c>
      <c r="D2094" s="60"/>
      <c r="E2094" s="74">
        <v>2022</v>
      </c>
      <c r="F2094" s="74" t="s">
        <v>489</v>
      </c>
      <c r="G2094" s="61">
        <v>1</v>
      </c>
      <c r="H2094" s="45">
        <v>10</v>
      </c>
      <c r="I2094" s="74">
        <v>54.257840000000002</v>
      </c>
    </row>
    <row r="2095" spans="1:9" s="71" customFormat="1" ht="16.5" hidden="1" customHeight="1" outlineLevel="1" x14ac:dyDescent="0.25">
      <c r="A2095" s="74">
        <v>1092</v>
      </c>
      <c r="B2095" s="45" t="s">
        <v>664</v>
      </c>
      <c r="C2095" s="60" t="s">
        <v>1731</v>
      </c>
      <c r="D2095" s="60"/>
      <c r="E2095" s="74">
        <v>2022</v>
      </c>
      <c r="F2095" s="74" t="s">
        <v>489</v>
      </c>
      <c r="G2095" s="61">
        <v>1</v>
      </c>
      <c r="H2095" s="45">
        <v>14.32</v>
      </c>
      <c r="I2095" s="74">
        <v>97.881889999999999</v>
      </c>
    </row>
    <row r="2096" spans="1:9" s="71" customFormat="1" ht="16.5" hidden="1" customHeight="1" outlineLevel="1" x14ac:dyDescent="0.25">
      <c r="A2096" s="74">
        <v>1214</v>
      </c>
      <c r="B2096" s="45" t="s">
        <v>664</v>
      </c>
      <c r="C2096" s="60" t="s">
        <v>1732</v>
      </c>
      <c r="D2096" s="60"/>
      <c r="E2096" s="74">
        <v>2022</v>
      </c>
      <c r="F2096" s="74" t="s">
        <v>489</v>
      </c>
      <c r="G2096" s="61">
        <v>1</v>
      </c>
      <c r="H2096" s="45">
        <v>5</v>
      </c>
      <c r="I2096" s="74">
        <v>81.462370000000007</v>
      </c>
    </row>
    <row r="2097" spans="1:9" s="71" customFormat="1" ht="16.5" hidden="1" customHeight="1" outlineLevel="1" x14ac:dyDescent="0.25">
      <c r="A2097" s="74">
        <v>1302</v>
      </c>
      <c r="B2097" s="45" t="s">
        <v>664</v>
      </c>
      <c r="C2097" s="60" t="s">
        <v>1733</v>
      </c>
      <c r="D2097" s="60"/>
      <c r="E2097" s="74">
        <v>2022</v>
      </c>
      <c r="F2097" s="74" t="s">
        <v>489</v>
      </c>
      <c r="G2097" s="61">
        <v>1</v>
      </c>
      <c r="H2097" s="45">
        <v>15</v>
      </c>
      <c r="I2097" s="74">
        <v>80.935910000000007</v>
      </c>
    </row>
    <row r="2098" spans="1:9" s="71" customFormat="1" ht="16.5" hidden="1" customHeight="1" outlineLevel="1" x14ac:dyDescent="0.25">
      <c r="A2098" s="74">
        <v>1377</v>
      </c>
      <c r="B2098" s="45" t="s">
        <v>664</v>
      </c>
      <c r="C2098" s="60" t="s">
        <v>1734</v>
      </c>
      <c r="D2098" s="60"/>
      <c r="E2098" s="74">
        <v>2022</v>
      </c>
      <c r="F2098" s="74" t="s">
        <v>489</v>
      </c>
      <c r="G2098" s="61">
        <v>1</v>
      </c>
      <c r="H2098" s="45">
        <v>15</v>
      </c>
      <c r="I2098" s="74">
        <v>78.586110000000005</v>
      </c>
    </row>
    <row r="2099" spans="1:9" s="71" customFormat="1" ht="16.5" hidden="1" customHeight="1" outlineLevel="1" x14ac:dyDescent="0.25">
      <c r="A2099" s="74">
        <v>1382</v>
      </c>
      <c r="B2099" s="45" t="s">
        <v>664</v>
      </c>
      <c r="C2099" s="60" t="s">
        <v>1735</v>
      </c>
      <c r="D2099" s="60"/>
      <c r="E2099" s="74">
        <v>2022</v>
      </c>
      <c r="F2099" s="74" t="s">
        <v>489</v>
      </c>
      <c r="G2099" s="61">
        <v>1</v>
      </c>
      <c r="H2099" s="45">
        <v>15</v>
      </c>
      <c r="I2099" s="74">
        <v>78.673060000000007</v>
      </c>
    </row>
    <row r="2100" spans="1:9" s="71" customFormat="1" ht="16.5" hidden="1" customHeight="1" outlineLevel="1" x14ac:dyDescent="0.25">
      <c r="A2100" s="74">
        <v>1414</v>
      </c>
      <c r="B2100" s="45" t="s">
        <v>664</v>
      </c>
      <c r="C2100" s="60" t="s">
        <v>1736</v>
      </c>
      <c r="D2100" s="60"/>
      <c r="E2100" s="74">
        <v>2022</v>
      </c>
      <c r="F2100" s="74" t="s">
        <v>489</v>
      </c>
      <c r="G2100" s="61">
        <v>1</v>
      </c>
      <c r="H2100" s="45">
        <v>15</v>
      </c>
      <c r="I2100" s="74">
        <v>81.501260000000002</v>
      </c>
    </row>
    <row r="2101" spans="1:9" s="71" customFormat="1" ht="16.5" hidden="1" customHeight="1" outlineLevel="1" x14ac:dyDescent="0.25">
      <c r="A2101" s="74">
        <v>1411</v>
      </c>
      <c r="B2101" s="45" t="s">
        <v>664</v>
      </c>
      <c r="C2101" s="60" t="s">
        <v>1737</v>
      </c>
      <c r="D2101" s="60"/>
      <c r="E2101" s="74">
        <v>2022</v>
      </c>
      <c r="F2101" s="74" t="s">
        <v>489</v>
      </c>
      <c r="G2101" s="61">
        <v>1</v>
      </c>
      <c r="H2101" s="45">
        <v>15</v>
      </c>
      <c r="I2101" s="74">
        <v>84.287409999999994</v>
      </c>
    </row>
    <row r="2102" spans="1:9" s="71" customFormat="1" ht="16.5" hidden="1" customHeight="1" outlineLevel="1" x14ac:dyDescent="0.25">
      <c r="A2102" s="74">
        <v>1455</v>
      </c>
      <c r="B2102" s="45" t="s">
        <v>664</v>
      </c>
      <c r="C2102" s="60" t="s">
        <v>1738</v>
      </c>
      <c r="D2102" s="60"/>
      <c r="E2102" s="74">
        <v>2022</v>
      </c>
      <c r="F2102" s="74" t="s">
        <v>489</v>
      </c>
      <c r="G2102" s="61">
        <v>1</v>
      </c>
      <c r="H2102" s="45">
        <v>15</v>
      </c>
      <c r="I2102" s="74">
        <v>86.227609999999999</v>
      </c>
    </row>
    <row r="2103" spans="1:9" s="71" customFormat="1" ht="16.5" hidden="1" customHeight="1" outlineLevel="1" x14ac:dyDescent="0.25">
      <c r="A2103" s="74">
        <v>1473</v>
      </c>
      <c r="B2103" s="45" t="s">
        <v>664</v>
      </c>
      <c r="C2103" s="60" t="s">
        <v>1739</v>
      </c>
      <c r="D2103" s="60"/>
      <c r="E2103" s="74">
        <v>2022</v>
      </c>
      <c r="F2103" s="74" t="s">
        <v>489</v>
      </c>
      <c r="G2103" s="61">
        <v>1</v>
      </c>
      <c r="H2103" s="45">
        <v>10</v>
      </c>
      <c r="I2103" s="74">
        <v>86.207790000000003</v>
      </c>
    </row>
    <row r="2104" spans="1:9" s="71" customFormat="1" ht="16.5" hidden="1" customHeight="1" outlineLevel="1" x14ac:dyDescent="0.25">
      <c r="A2104" s="74">
        <v>1476</v>
      </c>
      <c r="B2104" s="45" t="s">
        <v>664</v>
      </c>
      <c r="C2104" s="60" t="s">
        <v>1740</v>
      </c>
      <c r="D2104" s="60"/>
      <c r="E2104" s="74">
        <v>2022</v>
      </c>
      <c r="F2104" s="74" t="s">
        <v>489</v>
      </c>
      <c r="G2104" s="61">
        <v>1</v>
      </c>
      <c r="H2104" s="45">
        <v>12</v>
      </c>
      <c r="I2104" s="74">
        <v>86.479950000000002</v>
      </c>
    </row>
    <row r="2105" spans="1:9" s="71" customFormat="1" ht="16.5" hidden="1" customHeight="1" outlineLevel="1" x14ac:dyDescent="0.25">
      <c r="A2105" s="74">
        <v>1137</v>
      </c>
      <c r="B2105" s="45" t="s">
        <v>664</v>
      </c>
      <c r="C2105" s="60" t="s">
        <v>1741</v>
      </c>
      <c r="D2105" s="60"/>
      <c r="E2105" s="74">
        <v>2022</v>
      </c>
      <c r="F2105" s="74" t="s">
        <v>489</v>
      </c>
      <c r="G2105" s="61">
        <v>1</v>
      </c>
      <c r="H2105" s="45">
        <v>15</v>
      </c>
      <c r="I2105" s="74">
        <v>80.540080000000003</v>
      </c>
    </row>
    <row r="2106" spans="1:9" s="71" customFormat="1" ht="16.5" hidden="1" customHeight="1" outlineLevel="1" x14ac:dyDescent="0.25">
      <c r="A2106" s="74">
        <v>1255</v>
      </c>
      <c r="B2106" s="45" t="s">
        <v>664</v>
      </c>
      <c r="C2106" s="60" t="s">
        <v>1742</v>
      </c>
      <c r="D2106" s="60"/>
      <c r="E2106" s="74">
        <v>2022</v>
      </c>
      <c r="F2106" s="74" t="s">
        <v>489</v>
      </c>
      <c r="G2106" s="61">
        <v>1</v>
      </c>
      <c r="H2106" s="45">
        <v>10</v>
      </c>
      <c r="I2106" s="74">
        <v>81.526499999999999</v>
      </c>
    </row>
    <row r="2107" spans="1:9" s="71" customFormat="1" ht="16.5" hidden="1" customHeight="1" outlineLevel="1" x14ac:dyDescent="0.25">
      <c r="A2107" s="74">
        <v>1256</v>
      </c>
      <c r="B2107" s="45" t="s">
        <v>664</v>
      </c>
      <c r="C2107" s="60" t="s">
        <v>1743</v>
      </c>
      <c r="D2107" s="60"/>
      <c r="E2107" s="74">
        <v>2022</v>
      </c>
      <c r="F2107" s="74" t="s">
        <v>489</v>
      </c>
      <c r="G2107" s="61">
        <v>1</v>
      </c>
      <c r="H2107" s="45">
        <v>15</v>
      </c>
      <c r="I2107" s="74">
        <v>85.061710000000005</v>
      </c>
    </row>
    <row r="2108" spans="1:9" s="71" customFormat="1" ht="16.5" hidden="1" customHeight="1" outlineLevel="1" x14ac:dyDescent="0.25">
      <c r="A2108" s="74">
        <v>1283</v>
      </c>
      <c r="B2108" s="45" t="s">
        <v>664</v>
      </c>
      <c r="C2108" s="60" t="s">
        <v>1744</v>
      </c>
      <c r="D2108" s="60"/>
      <c r="E2108" s="74">
        <v>2022</v>
      </c>
      <c r="F2108" s="74" t="s">
        <v>489</v>
      </c>
      <c r="G2108" s="61">
        <v>1</v>
      </c>
      <c r="H2108" s="45">
        <v>15</v>
      </c>
      <c r="I2108" s="74">
        <v>85.193719999999999</v>
      </c>
    </row>
    <row r="2109" spans="1:9" s="71" customFormat="1" ht="16.5" hidden="1" customHeight="1" outlineLevel="1" x14ac:dyDescent="0.25">
      <c r="A2109" s="74">
        <v>1342</v>
      </c>
      <c r="B2109" s="45" t="s">
        <v>664</v>
      </c>
      <c r="C2109" s="60" t="s">
        <v>1745</v>
      </c>
      <c r="D2109" s="60"/>
      <c r="E2109" s="74">
        <v>2022</v>
      </c>
      <c r="F2109" s="74" t="s">
        <v>489</v>
      </c>
      <c r="G2109" s="61">
        <v>1</v>
      </c>
      <c r="H2109" s="45">
        <v>15</v>
      </c>
      <c r="I2109" s="74">
        <v>80.760549999999995</v>
      </c>
    </row>
    <row r="2110" spans="1:9" s="71" customFormat="1" ht="16.5" hidden="1" customHeight="1" outlineLevel="1" x14ac:dyDescent="0.25">
      <c r="A2110" s="74">
        <v>1381</v>
      </c>
      <c r="B2110" s="45" t="s">
        <v>664</v>
      </c>
      <c r="C2110" s="60" t="s">
        <v>1746</v>
      </c>
      <c r="D2110" s="60"/>
      <c r="E2110" s="74">
        <v>2022</v>
      </c>
      <c r="F2110" s="74" t="s">
        <v>489</v>
      </c>
      <c r="G2110" s="61">
        <v>1</v>
      </c>
      <c r="H2110" s="45">
        <v>15</v>
      </c>
      <c r="I2110" s="74">
        <v>78.673069999999996</v>
      </c>
    </row>
    <row r="2111" spans="1:9" s="71" customFormat="1" ht="16.5" hidden="1" customHeight="1" outlineLevel="1" x14ac:dyDescent="0.25">
      <c r="A2111" s="74">
        <v>1487</v>
      </c>
      <c r="B2111" s="45" t="s">
        <v>664</v>
      </c>
      <c r="C2111" s="60" t="s">
        <v>130</v>
      </c>
      <c r="D2111" s="60"/>
      <c r="E2111" s="74">
        <v>2022</v>
      </c>
      <c r="F2111" s="74" t="s">
        <v>489</v>
      </c>
      <c r="G2111" s="61">
        <v>1</v>
      </c>
      <c r="H2111" s="45">
        <v>150</v>
      </c>
      <c r="I2111" s="74">
        <v>44.125349999999997</v>
      </c>
    </row>
    <row r="2112" spans="1:9" s="71" customFormat="1" ht="16.5" hidden="1" customHeight="1" outlineLevel="1" x14ac:dyDescent="0.25">
      <c r="A2112" s="74">
        <v>1486</v>
      </c>
      <c r="B2112" s="45" t="s">
        <v>664</v>
      </c>
      <c r="C2112" s="60" t="s">
        <v>131</v>
      </c>
      <c r="D2112" s="60"/>
      <c r="E2112" s="74">
        <v>2022</v>
      </c>
      <c r="F2112" s="74" t="s">
        <v>489</v>
      </c>
      <c r="G2112" s="61">
        <v>1</v>
      </c>
      <c r="H2112" s="45">
        <v>40</v>
      </c>
      <c r="I2112" s="74">
        <v>157.52896000000001</v>
      </c>
    </row>
    <row r="2113" spans="1:9" s="71" customFormat="1" ht="16.5" hidden="1" customHeight="1" outlineLevel="1" x14ac:dyDescent="0.25">
      <c r="A2113" s="74">
        <v>1547</v>
      </c>
      <c r="B2113" s="45" t="s">
        <v>664</v>
      </c>
      <c r="C2113" s="60" t="s">
        <v>546</v>
      </c>
      <c r="D2113" s="60"/>
      <c r="E2113" s="74">
        <v>2022</v>
      </c>
      <c r="F2113" s="74" t="s">
        <v>489</v>
      </c>
      <c r="G2113" s="61">
        <v>4</v>
      </c>
      <c r="H2113" s="45">
        <v>52</v>
      </c>
      <c r="I2113" s="74">
        <v>137.0154</v>
      </c>
    </row>
    <row r="2114" spans="1:9" s="71" customFormat="1" ht="16.5" hidden="1" customHeight="1" outlineLevel="1" x14ac:dyDescent="0.25">
      <c r="A2114" s="74">
        <v>1206</v>
      </c>
      <c r="B2114" s="45" t="s">
        <v>664</v>
      </c>
      <c r="C2114" s="60" t="s">
        <v>132</v>
      </c>
      <c r="D2114" s="60"/>
      <c r="E2114" s="74">
        <v>2022</v>
      </c>
      <c r="F2114" s="74" t="s">
        <v>489</v>
      </c>
      <c r="G2114" s="61">
        <v>1</v>
      </c>
      <c r="H2114" s="45">
        <v>150</v>
      </c>
      <c r="I2114" s="74">
        <v>27.545380000000002</v>
      </c>
    </row>
    <row r="2115" spans="1:9" s="71" customFormat="1" ht="16.5" hidden="1" customHeight="1" outlineLevel="1" x14ac:dyDescent="0.25">
      <c r="A2115" s="74">
        <v>1065</v>
      </c>
      <c r="B2115" s="45" t="s">
        <v>664</v>
      </c>
      <c r="C2115" s="60" t="s">
        <v>1747</v>
      </c>
      <c r="D2115" s="60"/>
      <c r="E2115" s="74">
        <v>2022</v>
      </c>
      <c r="F2115" s="74" t="s">
        <v>489</v>
      </c>
      <c r="G2115" s="61">
        <v>1</v>
      </c>
      <c r="H2115" s="45">
        <v>15</v>
      </c>
      <c r="I2115" s="74">
        <v>62.319769999999998</v>
      </c>
    </row>
    <row r="2116" spans="1:9" s="71" customFormat="1" ht="16.5" hidden="1" customHeight="1" outlineLevel="1" x14ac:dyDescent="0.25">
      <c r="A2116" s="74">
        <v>1087</v>
      </c>
      <c r="B2116" s="45" t="s">
        <v>664</v>
      </c>
      <c r="C2116" s="60" t="s">
        <v>1748</v>
      </c>
      <c r="D2116" s="60"/>
      <c r="E2116" s="74">
        <v>2022</v>
      </c>
      <c r="F2116" s="74" t="s">
        <v>489</v>
      </c>
      <c r="G2116" s="61">
        <v>2</v>
      </c>
      <c r="H2116" s="45">
        <v>30</v>
      </c>
      <c r="I2116" s="74">
        <v>95.923919999999995</v>
      </c>
    </row>
    <row r="2117" spans="1:9" s="71" customFormat="1" ht="16.5" hidden="1" customHeight="1" outlineLevel="1" x14ac:dyDescent="0.25">
      <c r="A2117" s="74">
        <v>1067</v>
      </c>
      <c r="B2117" s="45" t="s">
        <v>664</v>
      </c>
      <c r="C2117" s="60" t="s">
        <v>1749</v>
      </c>
      <c r="D2117" s="60"/>
      <c r="E2117" s="74">
        <v>2022</v>
      </c>
      <c r="F2117" s="74" t="s">
        <v>489</v>
      </c>
      <c r="G2117" s="61">
        <v>3</v>
      </c>
      <c r="H2117" s="45">
        <v>50</v>
      </c>
      <c r="I2117" s="74">
        <v>132.68106</v>
      </c>
    </row>
    <row r="2118" spans="1:9" s="71" customFormat="1" ht="16.5" hidden="1" customHeight="1" outlineLevel="1" x14ac:dyDescent="0.25">
      <c r="A2118" s="74">
        <v>1479</v>
      </c>
      <c r="B2118" s="45" t="s">
        <v>664</v>
      </c>
      <c r="C2118" s="60" t="s">
        <v>1750</v>
      </c>
      <c r="D2118" s="60"/>
      <c r="E2118" s="74">
        <v>2022</v>
      </c>
      <c r="F2118" s="74" t="s">
        <v>489</v>
      </c>
      <c r="G2118" s="61">
        <v>1</v>
      </c>
      <c r="H2118" s="45">
        <v>15</v>
      </c>
      <c r="I2118" s="74">
        <v>83.002189999999999</v>
      </c>
    </row>
    <row r="2119" spans="1:9" s="71" customFormat="1" ht="16.5" hidden="1" customHeight="1" outlineLevel="1" x14ac:dyDescent="0.25">
      <c r="A2119" s="74">
        <v>1358</v>
      </c>
      <c r="B2119" s="45" t="s">
        <v>664</v>
      </c>
      <c r="C2119" s="60" t="s">
        <v>1751</v>
      </c>
      <c r="D2119" s="60"/>
      <c r="E2119" s="74">
        <v>2022</v>
      </c>
      <c r="F2119" s="74" t="s">
        <v>489</v>
      </c>
      <c r="G2119" s="61">
        <v>1</v>
      </c>
      <c r="H2119" s="45">
        <v>15</v>
      </c>
      <c r="I2119" s="74">
        <v>65.968590000000006</v>
      </c>
    </row>
    <row r="2120" spans="1:9" s="71" customFormat="1" ht="16.5" hidden="1" customHeight="1" outlineLevel="1" x14ac:dyDescent="0.25">
      <c r="A2120" s="74">
        <v>1536</v>
      </c>
      <c r="B2120" s="45" t="s">
        <v>664</v>
      </c>
      <c r="C2120" s="60" t="s">
        <v>1752</v>
      </c>
      <c r="D2120" s="60"/>
      <c r="E2120" s="74">
        <v>2022</v>
      </c>
      <c r="F2120" s="74" t="s">
        <v>489</v>
      </c>
      <c r="G2120" s="61">
        <v>1</v>
      </c>
      <c r="H2120" s="45">
        <v>15</v>
      </c>
      <c r="I2120" s="74">
        <v>88.14631</v>
      </c>
    </row>
    <row r="2121" spans="1:9" s="71" customFormat="1" ht="16.5" hidden="1" customHeight="1" outlineLevel="1" x14ac:dyDescent="0.25">
      <c r="A2121" s="74">
        <v>1521</v>
      </c>
      <c r="B2121" s="45" t="s">
        <v>664</v>
      </c>
      <c r="C2121" s="60" t="s">
        <v>1753</v>
      </c>
      <c r="D2121" s="60"/>
      <c r="E2121" s="74">
        <v>2022</v>
      </c>
      <c r="F2121" s="74" t="s">
        <v>489</v>
      </c>
      <c r="G2121" s="61">
        <v>1</v>
      </c>
      <c r="H2121" s="45">
        <v>9.5</v>
      </c>
      <c r="I2121" s="74">
        <v>90.682079999999999</v>
      </c>
    </row>
    <row r="2122" spans="1:9" s="71" customFormat="1" ht="16.5" hidden="1" customHeight="1" outlineLevel="1" x14ac:dyDescent="0.25">
      <c r="A2122" s="74">
        <v>1475</v>
      </c>
      <c r="B2122" s="45" t="s">
        <v>664</v>
      </c>
      <c r="C2122" s="60" t="s">
        <v>1754</v>
      </c>
      <c r="D2122" s="60"/>
      <c r="E2122" s="74">
        <v>2022</v>
      </c>
      <c r="F2122" s="74" t="s">
        <v>489</v>
      </c>
      <c r="G2122" s="61">
        <v>1</v>
      </c>
      <c r="H2122" s="45">
        <v>15</v>
      </c>
      <c r="I2122" s="74">
        <v>90.342820000000003</v>
      </c>
    </row>
    <row r="2123" spans="1:9" s="71" customFormat="1" ht="16.5" hidden="1" customHeight="1" outlineLevel="1" x14ac:dyDescent="0.25">
      <c r="A2123" s="74">
        <v>1221</v>
      </c>
      <c r="B2123" s="45" t="s">
        <v>664</v>
      </c>
      <c r="C2123" s="60" t="s">
        <v>1755</v>
      </c>
      <c r="D2123" s="60"/>
      <c r="E2123" s="74">
        <v>2022</v>
      </c>
      <c r="F2123" s="74" t="s">
        <v>489</v>
      </c>
      <c r="G2123" s="61">
        <v>1</v>
      </c>
      <c r="H2123" s="45">
        <v>15</v>
      </c>
      <c r="I2123" s="74">
        <v>74.334599999999995</v>
      </c>
    </row>
    <row r="2124" spans="1:9" s="71" customFormat="1" ht="16.5" hidden="1" customHeight="1" outlineLevel="1" x14ac:dyDescent="0.25">
      <c r="A2124" s="74">
        <v>1195</v>
      </c>
      <c r="B2124" s="45" t="s">
        <v>664</v>
      </c>
      <c r="C2124" s="60" t="s">
        <v>1756</v>
      </c>
      <c r="D2124" s="60"/>
      <c r="E2124" s="74">
        <v>2022</v>
      </c>
      <c r="F2124" s="74" t="s">
        <v>489</v>
      </c>
      <c r="G2124" s="61">
        <v>1</v>
      </c>
      <c r="H2124" s="45">
        <v>15</v>
      </c>
      <c r="I2124" s="74">
        <v>49.187600000000003</v>
      </c>
    </row>
    <row r="2125" spans="1:9" s="71" customFormat="1" ht="16.5" hidden="1" customHeight="1" outlineLevel="1" x14ac:dyDescent="0.25">
      <c r="A2125" s="74">
        <v>1456</v>
      </c>
      <c r="B2125" s="45" t="s">
        <v>664</v>
      </c>
      <c r="C2125" s="60" t="s">
        <v>1757</v>
      </c>
      <c r="D2125" s="60"/>
      <c r="E2125" s="74">
        <v>2022</v>
      </c>
      <c r="F2125" s="74" t="s">
        <v>489</v>
      </c>
      <c r="G2125" s="61">
        <v>1</v>
      </c>
      <c r="H2125" s="45">
        <v>10</v>
      </c>
      <c r="I2125" s="74">
        <v>86.996020000000001</v>
      </c>
    </row>
    <row r="2126" spans="1:9" s="71" customFormat="1" ht="16.5" hidden="1" customHeight="1" outlineLevel="1" x14ac:dyDescent="0.25">
      <c r="A2126" s="74">
        <v>1506</v>
      </c>
      <c r="B2126" s="45" t="s">
        <v>664</v>
      </c>
      <c r="C2126" s="60" t="s">
        <v>1758</v>
      </c>
      <c r="D2126" s="60"/>
      <c r="E2126" s="74">
        <v>2022</v>
      </c>
      <c r="F2126" s="74" t="s">
        <v>489</v>
      </c>
      <c r="G2126" s="61">
        <v>1</v>
      </c>
      <c r="H2126" s="45">
        <v>15</v>
      </c>
      <c r="I2126" s="74">
        <v>85.170680000000004</v>
      </c>
    </row>
    <row r="2127" spans="1:9" s="71" customFormat="1" ht="16.5" hidden="1" customHeight="1" outlineLevel="1" x14ac:dyDescent="0.25">
      <c r="A2127" s="74">
        <v>1459</v>
      </c>
      <c r="B2127" s="45" t="s">
        <v>664</v>
      </c>
      <c r="C2127" s="60" t="s">
        <v>1759</v>
      </c>
      <c r="D2127" s="60"/>
      <c r="E2127" s="74">
        <v>2022</v>
      </c>
      <c r="F2127" s="74" t="s">
        <v>489</v>
      </c>
      <c r="G2127" s="61">
        <v>1</v>
      </c>
      <c r="H2127" s="45">
        <v>10</v>
      </c>
      <c r="I2127" s="74">
        <v>85.073089999999993</v>
      </c>
    </row>
    <row r="2128" spans="1:9" s="71" customFormat="1" ht="16.5" hidden="1" customHeight="1" outlineLevel="1" x14ac:dyDescent="0.25">
      <c r="A2128" s="74">
        <v>1503</v>
      </c>
      <c r="B2128" s="45" t="s">
        <v>664</v>
      </c>
      <c r="C2128" s="60" t="s">
        <v>1760</v>
      </c>
      <c r="D2128" s="60"/>
      <c r="E2128" s="74">
        <v>2022</v>
      </c>
      <c r="F2128" s="74" t="s">
        <v>489</v>
      </c>
      <c r="G2128" s="61">
        <v>1</v>
      </c>
      <c r="H2128" s="45">
        <v>14</v>
      </c>
      <c r="I2128" s="74">
        <v>86.879540000000006</v>
      </c>
    </row>
    <row r="2129" spans="1:9" s="71" customFormat="1" ht="16.5" hidden="1" customHeight="1" outlineLevel="1" x14ac:dyDescent="0.25">
      <c r="A2129" s="74">
        <v>1504</v>
      </c>
      <c r="B2129" s="45" t="s">
        <v>664</v>
      </c>
      <c r="C2129" s="60" t="s">
        <v>1761</v>
      </c>
      <c r="D2129" s="60"/>
      <c r="E2129" s="74">
        <v>2022</v>
      </c>
      <c r="F2129" s="74" t="s">
        <v>489</v>
      </c>
      <c r="G2129" s="61">
        <v>1</v>
      </c>
      <c r="H2129" s="45">
        <v>14</v>
      </c>
      <c r="I2129" s="74">
        <v>86.847430000000003</v>
      </c>
    </row>
    <row r="2130" spans="1:9" s="71" customFormat="1" ht="16.5" hidden="1" customHeight="1" outlineLevel="1" x14ac:dyDescent="0.25">
      <c r="A2130" s="74">
        <v>1134</v>
      </c>
      <c r="B2130" s="45" t="s">
        <v>664</v>
      </c>
      <c r="C2130" s="60" t="s">
        <v>1762</v>
      </c>
      <c r="D2130" s="60"/>
      <c r="E2130" s="74">
        <v>2022</v>
      </c>
      <c r="F2130" s="74" t="s">
        <v>489</v>
      </c>
      <c r="G2130" s="61">
        <v>1</v>
      </c>
      <c r="H2130" s="45">
        <v>10</v>
      </c>
      <c r="I2130" s="74">
        <v>26.882750000000001</v>
      </c>
    </row>
    <row r="2131" spans="1:9" s="71" customFormat="1" ht="16.5" hidden="1" customHeight="1" outlineLevel="1" x14ac:dyDescent="0.25">
      <c r="A2131" s="74">
        <v>1159</v>
      </c>
      <c r="B2131" s="45" t="s">
        <v>664</v>
      </c>
      <c r="C2131" s="60" t="s">
        <v>1763</v>
      </c>
      <c r="D2131" s="60"/>
      <c r="E2131" s="74">
        <v>2022</v>
      </c>
      <c r="F2131" s="74" t="s">
        <v>489</v>
      </c>
      <c r="G2131" s="61">
        <v>1</v>
      </c>
      <c r="H2131" s="45">
        <v>15</v>
      </c>
      <c r="I2131" s="74">
        <v>36.490160000000003</v>
      </c>
    </row>
    <row r="2132" spans="1:9" s="71" customFormat="1" ht="16.5" hidden="1" customHeight="1" outlineLevel="1" x14ac:dyDescent="0.25">
      <c r="A2132" s="74">
        <v>1269</v>
      </c>
      <c r="B2132" s="45" t="s">
        <v>664</v>
      </c>
      <c r="C2132" s="60" t="s">
        <v>1764</v>
      </c>
      <c r="D2132" s="60"/>
      <c r="E2132" s="74">
        <v>2022</v>
      </c>
      <c r="F2132" s="74" t="s">
        <v>489</v>
      </c>
      <c r="G2132" s="61">
        <v>1</v>
      </c>
      <c r="H2132" s="45">
        <v>15</v>
      </c>
      <c r="I2132" s="74">
        <v>34.019820000000003</v>
      </c>
    </row>
    <row r="2133" spans="1:9" s="71" customFormat="1" ht="16.5" hidden="1" customHeight="1" outlineLevel="1" x14ac:dyDescent="0.25">
      <c r="A2133" s="74">
        <v>1175</v>
      </c>
      <c r="B2133" s="45" t="s">
        <v>664</v>
      </c>
      <c r="C2133" s="60" t="s">
        <v>1765</v>
      </c>
      <c r="D2133" s="60"/>
      <c r="E2133" s="74">
        <v>2022</v>
      </c>
      <c r="F2133" s="74" t="s">
        <v>489</v>
      </c>
      <c r="G2133" s="61">
        <v>1</v>
      </c>
      <c r="H2133" s="45">
        <v>15</v>
      </c>
      <c r="I2133" s="74">
        <v>36.645710000000001</v>
      </c>
    </row>
    <row r="2134" spans="1:9" s="71" customFormat="1" ht="16.5" hidden="1" customHeight="1" outlineLevel="1" x14ac:dyDescent="0.25">
      <c r="A2134" s="74">
        <v>1339</v>
      </c>
      <c r="B2134" s="45" t="s">
        <v>664</v>
      </c>
      <c r="C2134" s="60" t="s">
        <v>1766</v>
      </c>
      <c r="D2134" s="60"/>
      <c r="E2134" s="74">
        <v>2022</v>
      </c>
      <c r="F2134" s="74" t="s">
        <v>489</v>
      </c>
      <c r="G2134" s="61">
        <v>1</v>
      </c>
      <c r="H2134" s="45">
        <v>15</v>
      </c>
      <c r="I2134" s="74">
        <v>34.73583</v>
      </c>
    </row>
    <row r="2135" spans="1:9" s="71" customFormat="1" ht="16.5" hidden="1" customHeight="1" outlineLevel="1" x14ac:dyDescent="0.25">
      <c r="A2135" s="74">
        <v>1379</v>
      </c>
      <c r="B2135" s="45" t="s">
        <v>664</v>
      </c>
      <c r="C2135" s="60" t="s">
        <v>1767</v>
      </c>
      <c r="D2135" s="60"/>
      <c r="E2135" s="74">
        <v>2022</v>
      </c>
      <c r="F2135" s="74" t="s">
        <v>489</v>
      </c>
      <c r="G2135" s="61">
        <v>1</v>
      </c>
      <c r="H2135" s="45">
        <v>15</v>
      </c>
      <c r="I2135" s="74">
        <v>38.084859999999999</v>
      </c>
    </row>
    <row r="2136" spans="1:9" s="71" customFormat="1" ht="16.5" hidden="1" customHeight="1" outlineLevel="1" x14ac:dyDescent="0.25">
      <c r="A2136" s="74">
        <v>1380</v>
      </c>
      <c r="B2136" s="45" t="s">
        <v>664</v>
      </c>
      <c r="C2136" s="60" t="s">
        <v>1768</v>
      </c>
      <c r="D2136" s="60"/>
      <c r="E2136" s="74">
        <v>2022</v>
      </c>
      <c r="F2136" s="74" t="s">
        <v>489</v>
      </c>
      <c r="G2136" s="61">
        <v>1</v>
      </c>
      <c r="H2136" s="45">
        <v>15</v>
      </c>
      <c r="I2136" s="74">
        <v>33.371780000000001</v>
      </c>
    </row>
    <row r="2137" spans="1:9" s="71" customFormat="1" ht="16.5" hidden="1" customHeight="1" outlineLevel="1" x14ac:dyDescent="0.25">
      <c r="A2137" s="74">
        <v>1436</v>
      </c>
      <c r="B2137" s="45" t="s">
        <v>664</v>
      </c>
      <c r="C2137" s="60" t="s">
        <v>1769</v>
      </c>
      <c r="D2137" s="60"/>
      <c r="E2137" s="74">
        <v>2022</v>
      </c>
      <c r="F2137" s="74" t="s">
        <v>489</v>
      </c>
      <c r="G2137" s="61">
        <v>1</v>
      </c>
      <c r="H2137" s="45">
        <v>15</v>
      </c>
      <c r="I2137" s="74">
        <v>38.202109999999998</v>
      </c>
    </row>
    <row r="2138" spans="1:9" s="71" customFormat="1" ht="16.5" hidden="1" customHeight="1" outlineLevel="1" x14ac:dyDescent="0.25">
      <c r="A2138" s="74">
        <v>1528</v>
      </c>
      <c r="B2138" s="45" t="s">
        <v>664</v>
      </c>
      <c r="C2138" s="60" t="s">
        <v>1770</v>
      </c>
      <c r="D2138" s="60"/>
      <c r="E2138" s="74">
        <v>2022</v>
      </c>
      <c r="F2138" s="74" t="s">
        <v>489</v>
      </c>
      <c r="G2138" s="61">
        <v>1</v>
      </c>
      <c r="H2138" s="45">
        <v>7</v>
      </c>
      <c r="I2138" s="74">
        <v>29.749590000000001</v>
      </c>
    </row>
    <row r="2139" spans="1:9" s="71" customFormat="1" ht="16.5" hidden="1" customHeight="1" outlineLevel="1" x14ac:dyDescent="0.25">
      <c r="A2139" s="74">
        <v>1533</v>
      </c>
      <c r="B2139" s="45" t="s">
        <v>664</v>
      </c>
      <c r="C2139" s="60" t="s">
        <v>1771</v>
      </c>
      <c r="D2139" s="60"/>
      <c r="E2139" s="74">
        <v>2022</v>
      </c>
      <c r="F2139" s="74" t="s">
        <v>489</v>
      </c>
      <c r="G2139" s="61">
        <v>1</v>
      </c>
      <c r="H2139" s="45">
        <v>10</v>
      </c>
      <c r="I2139" s="74">
        <v>40.349409999999999</v>
      </c>
    </row>
    <row r="2140" spans="1:9" s="71" customFormat="1" ht="16.5" hidden="1" customHeight="1" outlineLevel="1" x14ac:dyDescent="0.25">
      <c r="A2140" s="74">
        <v>1316</v>
      </c>
      <c r="B2140" s="45" t="s">
        <v>664</v>
      </c>
      <c r="C2140" s="60" t="s">
        <v>1772</v>
      </c>
      <c r="D2140" s="60"/>
      <c r="E2140" s="74">
        <v>2022</v>
      </c>
      <c r="F2140" s="74" t="s">
        <v>489</v>
      </c>
      <c r="G2140" s="61">
        <v>1</v>
      </c>
      <c r="H2140" s="45">
        <v>50</v>
      </c>
      <c r="I2140" s="74">
        <v>43.117429999999999</v>
      </c>
    </row>
    <row r="2141" spans="1:9" s="71" customFormat="1" ht="16.5" hidden="1" customHeight="1" outlineLevel="1" x14ac:dyDescent="0.25">
      <c r="A2141" s="74">
        <v>1202</v>
      </c>
      <c r="B2141" s="45" t="s">
        <v>664</v>
      </c>
      <c r="C2141" s="60" t="s">
        <v>1773</v>
      </c>
      <c r="D2141" s="60"/>
      <c r="E2141" s="74">
        <v>2022</v>
      </c>
      <c r="F2141" s="74" t="s">
        <v>489</v>
      </c>
      <c r="G2141" s="61">
        <v>1</v>
      </c>
      <c r="H2141" s="45">
        <v>10</v>
      </c>
      <c r="I2141" s="74">
        <v>43.094119999999997</v>
      </c>
    </row>
    <row r="2142" spans="1:9" s="71" customFormat="1" ht="16.5" hidden="1" customHeight="1" outlineLevel="1" x14ac:dyDescent="0.25">
      <c r="A2142" s="74">
        <v>1292</v>
      </c>
      <c r="B2142" s="45" t="s">
        <v>664</v>
      </c>
      <c r="C2142" s="60" t="s">
        <v>1774</v>
      </c>
      <c r="D2142" s="60"/>
      <c r="E2142" s="74">
        <v>2022</v>
      </c>
      <c r="F2142" s="74" t="s">
        <v>489</v>
      </c>
      <c r="G2142" s="61">
        <v>1</v>
      </c>
      <c r="H2142" s="45">
        <v>10</v>
      </c>
      <c r="I2142" s="74">
        <v>48.123710000000003</v>
      </c>
    </row>
    <row r="2143" spans="1:9" s="71" customFormat="1" ht="16.5" hidden="1" customHeight="1" outlineLevel="1" x14ac:dyDescent="0.25">
      <c r="A2143" s="74">
        <v>1294</v>
      </c>
      <c r="B2143" s="45" t="s">
        <v>664</v>
      </c>
      <c r="C2143" s="60" t="s">
        <v>1775</v>
      </c>
      <c r="D2143" s="60"/>
      <c r="E2143" s="74">
        <v>2022</v>
      </c>
      <c r="F2143" s="74" t="s">
        <v>489</v>
      </c>
      <c r="G2143" s="61">
        <v>1</v>
      </c>
      <c r="H2143" s="45">
        <v>10</v>
      </c>
      <c r="I2143" s="74">
        <v>50.650030000000001</v>
      </c>
    </row>
    <row r="2144" spans="1:9" s="71" customFormat="1" ht="16.5" hidden="1" customHeight="1" outlineLevel="1" x14ac:dyDescent="0.25">
      <c r="A2144" s="74">
        <v>1295</v>
      </c>
      <c r="B2144" s="45" t="s">
        <v>664</v>
      </c>
      <c r="C2144" s="60" t="s">
        <v>1776</v>
      </c>
      <c r="D2144" s="60"/>
      <c r="E2144" s="74">
        <v>2022</v>
      </c>
      <c r="F2144" s="74" t="s">
        <v>489</v>
      </c>
      <c r="G2144" s="61">
        <v>1</v>
      </c>
      <c r="H2144" s="45">
        <v>10</v>
      </c>
      <c r="I2144" s="74">
        <v>48.205060000000003</v>
      </c>
    </row>
    <row r="2145" spans="1:9" s="71" customFormat="1" ht="16.5" hidden="1" customHeight="1" outlineLevel="1" x14ac:dyDescent="0.25">
      <c r="A2145" s="74">
        <v>1315</v>
      </c>
      <c r="B2145" s="45" t="s">
        <v>664</v>
      </c>
      <c r="C2145" s="60" t="s">
        <v>1777</v>
      </c>
      <c r="D2145" s="60"/>
      <c r="E2145" s="74">
        <v>2022</v>
      </c>
      <c r="F2145" s="74" t="s">
        <v>489</v>
      </c>
      <c r="G2145" s="61">
        <v>1</v>
      </c>
      <c r="H2145" s="45">
        <v>10</v>
      </c>
      <c r="I2145" s="74">
        <v>47.775539999999999</v>
      </c>
    </row>
    <row r="2146" spans="1:9" s="71" customFormat="1" ht="16.5" hidden="1" customHeight="1" outlineLevel="1" x14ac:dyDescent="0.25">
      <c r="A2146" s="74">
        <v>1364</v>
      </c>
      <c r="B2146" s="45" t="s">
        <v>664</v>
      </c>
      <c r="C2146" s="60" t="s">
        <v>1778</v>
      </c>
      <c r="D2146" s="60"/>
      <c r="E2146" s="74">
        <v>2022</v>
      </c>
      <c r="F2146" s="74" t="s">
        <v>489</v>
      </c>
      <c r="G2146" s="61">
        <v>1</v>
      </c>
      <c r="H2146" s="45">
        <v>30</v>
      </c>
      <c r="I2146" s="74">
        <v>48.490540000000003</v>
      </c>
    </row>
    <row r="2147" spans="1:9" s="71" customFormat="1" ht="16.5" hidden="1" customHeight="1" outlineLevel="1" x14ac:dyDescent="0.25">
      <c r="A2147" s="74">
        <v>1453</v>
      </c>
      <c r="B2147" s="45" t="s">
        <v>664</v>
      </c>
      <c r="C2147" s="60" t="s">
        <v>1779</v>
      </c>
      <c r="D2147" s="60"/>
      <c r="E2147" s="74">
        <v>2022</v>
      </c>
      <c r="F2147" s="74" t="s">
        <v>489</v>
      </c>
      <c r="G2147" s="61">
        <v>1</v>
      </c>
      <c r="H2147" s="45">
        <v>10</v>
      </c>
      <c r="I2147" s="74">
        <v>45.316180000000003</v>
      </c>
    </row>
    <row r="2148" spans="1:9" s="71" customFormat="1" ht="16.5" hidden="1" customHeight="1" outlineLevel="1" x14ac:dyDescent="0.25">
      <c r="A2148" s="74">
        <v>1484</v>
      </c>
      <c r="B2148" s="45" t="s">
        <v>664</v>
      </c>
      <c r="C2148" s="60" t="s">
        <v>1780</v>
      </c>
      <c r="D2148" s="60"/>
      <c r="E2148" s="74">
        <v>2022</v>
      </c>
      <c r="F2148" s="74" t="s">
        <v>489</v>
      </c>
      <c r="G2148" s="61">
        <v>1</v>
      </c>
      <c r="H2148" s="45">
        <v>10</v>
      </c>
      <c r="I2148" s="74">
        <v>53.510590000000001</v>
      </c>
    </row>
    <row r="2149" spans="1:9" s="71" customFormat="1" ht="16.5" hidden="1" customHeight="1" outlineLevel="1" x14ac:dyDescent="0.25">
      <c r="A2149" s="74">
        <v>1080</v>
      </c>
      <c r="B2149" s="45" t="s">
        <v>664</v>
      </c>
      <c r="C2149" s="60" t="s">
        <v>1781</v>
      </c>
      <c r="D2149" s="60"/>
      <c r="E2149" s="74">
        <v>2022</v>
      </c>
      <c r="F2149" s="74" t="s">
        <v>489</v>
      </c>
      <c r="G2149" s="61">
        <v>1</v>
      </c>
      <c r="H2149" s="45">
        <v>5.5</v>
      </c>
      <c r="I2149" s="74">
        <v>47.956159999999997</v>
      </c>
    </row>
    <row r="2150" spans="1:9" s="71" customFormat="1" ht="16.5" hidden="1" customHeight="1" outlineLevel="1" x14ac:dyDescent="0.25">
      <c r="A2150" s="74">
        <v>1207</v>
      </c>
      <c r="B2150" s="45" t="s">
        <v>664</v>
      </c>
      <c r="C2150" s="60" t="s">
        <v>1782</v>
      </c>
      <c r="D2150" s="60"/>
      <c r="E2150" s="74">
        <v>2022</v>
      </c>
      <c r="F2150" s="74" t="s">
        <v>489</v>
      </c>
      <c r="G2150" s="61">
        <v>1</v>
      </c>
      <c r="H2150" s="45">
        <v>10</v>
      </c>
      <c r="I2150" s="74">
        <v>44.824689999999997</v>
      </c>
    </row>
    <row r="2151" spans="1:9" s="71" customFormat="1" ht="16.5" hidden="1" customHeight="1" outlineLevel="1" x14ac:dyDescent="0.25">
      <c r="A2151" s="74">
        <v>1236</v>
      </c>
      <c r="B2151" s="45" t="s">
        <v>664</v>
      </c>
      <c r="C2151" s="60" t="s">
        <v>1783</v>
      </c>
      <c r="D2151" s="60"/>
      <c r="E2151" s="74">
        <v>2022</v>
      </c>
      <c r="F2151" s="74" t="s">
        <v>489</v>
      </c>
      <c r="G2151" s="61">
        <v>1</v>
      </c>
      <c r="H2151" s="45">
        <v>10</v>
      </c>
      <c r="I2151" s="74">
        <v>40.863199999999999</v>
      </c>
    </row>
    <row r="2152" spans="1:9" s="71" customFormat="1" ht="16.5" hidden="1" customHeight="1" outlineLevel="1" x14ac:dyDescent="0.25">
      <c r="A2152" s="74">
        <v>1275</v>
      </c>
      <c r="B2152" s="45" t="s">
        <v>664</v>
      </c>
      <c r="C2152" s="60" t="s">
        <v>1784</v>
      </c>
      <c r="D2152" s="60"/>
      <c r="E2152" s="74">
        <v>2022</v>
      </c>
      <c r="F2152" s="74" t="s">
        <v>489</v>
      </c>
      <c r="G2152" s="61">
        <v>1</v>
      </c>
      <c r="H2152" s="45">
        <v>10</v>
      </c>
      <c r="I2152" s="74">
        <v>43.507240000000003</v>
      </c>
    </row>
    <row r="2153" spans="1:9" s="71" customFormat="1" ht="16.5" hidden="1" customHeight="1" outlineLevel="1" x14ac:dyDescent="0.25">
      <c r="A2153" s="74">
        <v>1425</v>
      </c>
      <c r="B2153" s="45" t="s">
        <v>664</v>
      </c>
      <c r="C2153" s="60" t="s">
        <v>1785</v>
      </c>
      <c r="D2153" s="60"/>
      <c r="E2153" s="74">
        <v>2022</v>
      </c>
      <c r="F2153" s="74" t="s">
        <v>489</v>
      </c>
      <c r="G2153" s="61">
        <v>1</v>
      </c>
      <c r="H2153" s="45">
        <v>15</v>
      </c>
      <c r="I2153" s="74">
        <v>32.320010000000003</v>
      </c>
    </row>
    <row r="2154" spans="1:9" s="71" customFormat="1" ht="16.5" hidden="1" customHeight="1" outlineLevel="1" x14ac:dyDescent="0.25">
      <c r="A2154" s="74">
        <v>1493</v>
      </c>
      <c r="B2154" s="45" t="s">
        <v>664</v>
      </c>
      <c r="C2154" s="60" t="s">
        <v>1786</v>
      </c>
      <c r="D2154" s="60"/>
      <c r="E2154" s="74">
        <v>2022</v>
      </c>
      <c r="F2154" s="74" t="s">
        <v>489</v>
      </c>
      <c r="G2154" s="61">
        <v>1</v>
      </c>
      <c r="H2154" s="45">
        <v>10</v>
      </c>
      <c r="I2154" s="74">
        <v>35.636139999999997</v>
      </c>
    </row>
    <row r="2155" spans="1:9" s="71" customFormat="1" ht="16.5" hidden="1" customHeight="1" outlineLevel="1" x14ac:dyDescent="0.25">
      <c r="A2155" s="74">
        <v>1052</v>
      </c>
      <c r="B2155" s="45" t="s">
        <v>664</v>
      </c>
      <c r="C2155" s="60" t="s">
        <v>1787</v>
      </c>
      <c r="D2155" s="60"/>
      <c r="E2155" s="74">
        <v>2022</v>
      </c>
      <c r="F2155" s="74" t="s">
        <v>489</v>
      </c>
      <c r="G2155" s="61">
        <v>1</v>
      </c>
      <c r="H2155" s="45">
        <v>10</v>
      </c>
      <c r="I2155" s="74">
        <v>74.33511</v>
      </c>
    </row>
    <row r="2156" spans="1:9" s="71" customFormat="1" ht="16.5" hidden="1" customHeight="1" outlineLevel="1" x14ac:dyDescent="0.25">
      <c r="A2156" s="74">
        <v>1131</v>
      </c>
      <c r="B2156" s="45" t="s">
        <v>664</v>
      </c>
      <c r="C2156" s="60" t="s">
        <v>1788</v>
      </c>
      <c r="D2156" s="60"/>
      <c r="E2156" s="74">
        <v>2022</v>
      </c>
      <c r="F2156" s="74" t="s">
        <v>489</v>
      </c>
      <c r="G2156" s="61">
        <v>1</v>
      </c>
      <c r="H2156" s="45">
        <v>15</v>
      </c>
      <c r="I2156" s="74">
        <v>42.004069999999999</v>
      </c>
    </row>
    <row r="2157" spans="1:9" s="71" customFormat="1" ht="16.5" hidden="1" customHeight="1" outlineLevel="1" x14ac:dyDescent="0.25">
      <c r="A2157" s="74">
        <v>1146</v>
      </c>
      <c r="B2157" s="45" t="s">
        <v>664</v>
      </c>
      <c r="C2157" s="60" t="s">
        <v>1789</v>
      </c>
      <c r="D2157" s="60"/>
      <c r="E2157" s="74">
        <v>2022</v>
      </c>
      <c r="F2157" s="74" t="s">
        <v>489</v>
      </c>
      <c r="G2157" s="61">
        <v>1</v>
      </c>
      <c r="H2157" s="45">
        <v>10</v>
      </c>
      <c r="I2157" s="74">
        <v>52.71125</v>
      </c>
    </row>
    <row r="2158" spans="1:9" s="71" customFormat="1" ht="16.5" hidden="1" customHeight="1" outlineLevel="1" x14ac:dyDescent="0.25">
      <c r="A2158" s="74">
        <v>1149</v>
      </c>
      <c r="B2158" s="45" t="s">
        <v>664</v>
      </c>
      <c r="C2158" s="60" t="s">
        <v>1790</v>
      </c>
      <c r="D2158" s="60"/>
      <c r="E2158" s="74">
        <v>2022</v>
      </c>
      <c r="F2158" s="74" t="s">
        <v>489</v>
      </c>
      <c r="G2158" s="61">
        <v>1</v>
      </c>
      <c r="H2158" s="45">
        <v>15</v>
      </c>
      <c r="I2158" s="74">
        <v>48.982729999999997</v>
      </c>
    </row>
    <row r="2159" spans="1:9" s="71" customFormat="1" ht="16.5" hidden="1" customHeight="1" outlineLevel="1" x14ac:dyDescent="0.25">
      <c r="A2159" s="74">
        <v>1505</v>
      </c>
      <c r="B2159" s="45" t="s">
        <v>664</v>
      </c>
      <c r="C2159" s="60" t="s">
        <v>1791</v>
      </c>
      <c r="D2159" s="60"/>
      <c r="E2159" s="74">
        <v>2022</v>
      </c>
      <c r="F2159" s="74" t="s">
        <v>489</v>
      </c>
      <c r="G2159" s="61">
        <v>1</v>
      </c>
      <c r="H2159" s="45">
        <v>10</v>
      </c>
      <c r="I2159" s="74">
        <v>43.742100000000001</v>
      </c>
    </row>
    <row r="2160" spans="1:9" s="71" customFormat="1" ht="16.5" hidden="1" customHeight="1" outlineLevel="1" x14ac:dyDescent="0.25">
      <c r="A2160" s="74">
        <v>1500</v>
      </c>
      <c r="B2160" s="45" t="s">
        <v>664</v>
      </c>
      <c r="C2160" s="60" t="s">
        <v>1792</v>
      </c>
      <c r="D2160" s="60"/>
      <c r="E2160" s="74">
        <v>2022</v>
      </c>
      <c r="F2160" s="74" t="s">
        <v>489</v>
      </c>
      <c r="G2160" s="61">
        <v>1</v>
      </c>
      <c r="H2160" s="45">
        <v>12</v>
      </c>
      <c r="I2160" s="74">
        <v>24.801909999999999</v>
      </c>
    </row>
    <row r="2161" spans="1:9" s="71" customFormat="1" ht="16.5" hidden="1" customHeight="1" outlineLevel="1" x14ac:dyDescent="0.25">
      <c r="A2161" s="74">
        <v>1446</v>
      </c>
      <c r="B2161" s="45" t="s">
        <v>664</v>
      </c>
      <c r="C2161" s="60" t="s">
        <v>1793</v>
      </c>
      <c r="D2161" s="60"/>
      <c r="E2161" s="74">
        <v>2022</v>
      </c>
      <c r="F2161" s="74" t="s">
        <v>489</v>
      </c>
      <c r="G2161" s="61">
        <v>1</v>
      </c>
      <c r="H2161" s="45">
        <v>10</v>
      </c>
      <c r="I2161" s="74">
        <v>39.332250000000002</v>
      </c>
    </row>
    <row r="2162" spans="1:9" s="71" customFormat="1" ht="16.5" hidden="1" customHeight="1" outlineLevel="1" x14ac:dyDescent="0.25">
      <c r="A2162" s="74">
        <v>1142</v>
      </c>
      <c r="B2162" s="45" t="s">
        <v>664</v>
      </c>
      <c r="C2162" s="60" t="s">
        <v>1794</v>
      </c>
      <c r="D2162" s="60"/>
      <c r="E2162" s="74">
        <v>2022</v>
      </c>
      <c r="F2162" s="74" t="s">
        <v>489</v>
      </c>
      <c r="G2162" s="61">
        <v>1</v>
      </c>
      <c r="H2162" s="45">
        <v>10</v>
      </c>
      <c r="I2162" s="74">
        <v>38.592860000000002</v>
      </c>
    </row>
    <row r="2163" spans="1:9" s="71" customFormat="1" ht="16.5" hidden="1" customHeight="1" outlineLevel="1" x14ac:dyDescent="0.25">
      <c r="A2163" s="74">
        <v>1523</v>
      </c>
      <c r="B2163" s="45" t="s">
        <v>664</v>
      </c>
      <c r="C2163" s="60" t="s">
        <v>1795</v>
      </c>
      <c r="D2163" s="60"/>
      <c r="E2163" s="74">
        <v>2022</v>
      </c>
      <c r="F2163" s="74" t="s">
        <v>489</v>
      </c>
      <c r="G2163" s="61">
        <v>1</v>
      </c>
      <c r="H2163" s="45">
        <v>10</v>
      </c>
      <c r="I2163" s="74">
        <v>43.155459999999998</v>
      </c>
    </row>
    <row r="2164" spans="1:9" s="71" customFormat="1" ht="16.5" hidden="1" customHeight="1" outlineLevel="1" x14ac:dyDescent="0.25">
      <c r="A2164" s="74">
        <v>1125</v>
      </c>
      <c r="B2164" s="45" t="s">
        <v>664</v>
      </c>
      <c r="C2164" s="60" t="s">
        <v>1796</v>
      </c>
      <c r="D2164" s="60"/>
      <c r="E2164" s="74">
        <v>2022</v>
      </c>
      <c r="F2164" s="74" t="s">
        <v>489</v>
      </c>
      <c r="G2164" s="61">
        <v>2</v>
      </c>
      <c r="H2164" s="45">
        <v>30</v>
      </c>
      <c r="I2164" s="74">
        <v>116.72546</v>
      </c>
    </row>
    <row r="2165" spans="1:9" s="71" customFormat="1" ht="16.5" hidden="1" customHeight="1" outlineLevel="1" x14ac:dyDescent="0.25">
      <c r="A2165" s="74">
        <v>1361</v>
      </c>
      <c r="B2165" s="45" t="s">
        <v>664</v>
      </c>
      <c r="C2165" s="60" t="s">
        <v>1797</v>
      </c>
      <c r="D2165" s="60"/>
      <c r="E2165" s="74">
        <v>2022</v>
      </c>
      <c r="F2165" s="74" t="s">
        <v>489</v>
      </c>
      <c r="G2165" s="61">
        <v>1</v>
      </c>
      <c r="H2165" s="45">
        <v>10</v>
      </c>
      <c r="I2165" s="74">
        <v>46.818600000000004</v>
      </c>
    </row>
    <row r="2166" spans="1:9" s="71" customFormat="1" ht="16.5" hidden="1" customHeight="1" outlineLevel="1" x14ac:dyDescent="0.25">
      <c r="A2166" s="74">
        <v>1247</v>
      </c>
      <c r="B2166" s="45" t="s">
        <v>664</v>
      </c>
      <c r="C2166" s="60" t="s">
        <v>1798</v>
      </c>
      <c r="D2166" s="60"/>
      <c r="E2166" s="74">
        <v>2022</v>
      </c>
      <c r="F2166" s="74" t="s">
        <v>489</v>
      </c>
      <c r="G2166" s="61">
        <v>1</v>
      </c>
      <c r="H2166" s="45">
        <v>15</v>
      </c>
      <c r="I2166" s="74">
        <v>48.378329999999998</v>
      </c>
    </row>
    <row r="2167" spans="1:9" s="71" customFormat="1" ht="16.5" hidden="1" customHeight="1" outlineLevel="1" x14ac:dyDescent="0.25">
      <c r="A2167" s="74">
        <v>1201</v>
      </c>
      <c r="B2167" s="45" t="s">
        <v>664</v>
      </c>
      <c r="C2167" s="60" t="s">
        <v>1799</v>
      </c>
      <c r="D2167" s="60"/>
      <c r="E2167" s="74">
        <v>2022</v>
      </c>
      <c r="F2167" s="74" t="s">
        <v>489</v>
      </c>
      <c r="G2167" s="61">
        <v>1</v>
      </c>
      <c r="H2167" s="45">
        <v>10</v>
      </c>
      <c r="I2167" s="74">
        <v>46.786639999999998</v>
      </c>
    </row>
    <row r="2168" spans="1:9" s="71" customFormat="1" ht="16.5" hidden="1" customHeight="1" outlineLevel="1" x14ac:dyDescent="0.25">
      <c r="A2168" s="74">
        <v>1168</v>
      </c>
      <c r="B2168" s="45" t="s">
        <v>664</v>
      </c>
      <c r="C2168" s="60" t="s">
        <v>1800</v>
      </c>
      <c r="D2168" s="60"/>
      <c r="E2168" s="74">
        <v>2022</v>
      </c>
      <c r="F2168" s="74" t="s">
        <v>489</v>
      </c>
      <c r="G2168" s="61">
        <v>1</v>
      </c>
      <c r="H2168" s="45">
        <v>10</v>
      </c>
      <c r="I2168" s="74">
        <v>47.54401</v>
      </c>
    </row>
    <row r="2169" spans="1:9" s="71" customFormat="1" ht="16.5" hidden="1" customHeight="1" outlineLevel="1" x14ac:dyDescent="0.25">
      <c r="A2169" s="74">
        <v>1538</v>
      </c>
      <c r="B2169" s="45" t="s">
        <v>664</v>
      </c>
      <c r="C2169" s="60" t="s">
        <v>1801</v>
      </c>
      <c r="D2169" s="60"/>
      <c r="E2169" s="74">
        <v>2022</v>
      </c>
      <c r="F2169" s="74" t="s">
        <v>489</v>
      </c>
      <c r="G2169" s="61">
        <v>1</v>
      </c>
      <c r="H2169" s="45">
        <v>10</v>
      </c>
      <c r="I2169" s="74">
        <v>43.350859999999997</v>
      </c>
    </row>
    <row r="2170" spans="1:9" s="71" customFormat="1" ht="16.5" hidden="1" customHeight="1" outlineLevel="1" x14ac:dyDescent="0.25">
      <c r="A2170" s="74">
        <v>1293</v>
      </c>
      <c r="B2170" s="45" t="s">
        <v>664</v>
      </c>
      <c r="C2170" s="60" t="s">
        <v>1802</v>
      </c>
      <c r="D2170" s="60"/>
      <c r="E2170" s="74">
        <v>2022</v>
      </c>
      <c r="F2170" s="74" t="s">
        <v>489</v>
      </c>
      <c r="G2170" s="61">
        <v>1</v>
      </c>
      <c r="H2170" s="45">
        <v>10</v>
      </c>
      <c r="I2170" s="74">
        <v>45.084960000000002</v>
      </c>
    </row>
    <row r="2171" spans="1:9" s="71" customFormat="1" ht="16.5" hidden="1" customHeight="1" outlineLevel="1" x14ac:dyDescent="0.25">
      <c r="A2171" s="74">
        <v>1243</v>
      </c>
      <c r="B2171" s="45" t="s">
        <v>664</v>
      </c>
      <c r="C2171" s="60" t="s">
        <v>1803</v>
      </c>
      <c r="D2171" s="60"/>
      <c r="E2171" s="74">
        <v>2022</v>
      </c>
      <c r="F2171" s="74" t="s">
        <v>489</v>
      </c>
      <c r="G2171" s="61">
        <v>1</v>
      </c>
      <c r="H2171" s="45">
        <v>10</v>
      </c>
      <c r="I2171" s="74">
        <v>48.893569999999997</v>
      </c>
    </row>
    <row r="2172" spans="1:9" s="71" customFormat="1" ht="16.5" hidden="1" customHeight="1" outlineLevel="1" x14ac:dyDescent="0.25">
      <c r="A2172" s="74">
        <v>1426</v>
      </c>
      <c r="B2172" s="45" t="s">
        <v>664</v>
      </c>
      <c r="C2172" s="60" t="s">
        <v>1804</v>
      </c>
      <c r="D2172" s="60"/>
      <c r="E2172" s="74">
        <v>2022</v>
      </c>
      <c r="F2172" s="74" t="s">
        <v>489</v>
      </c>
      <c r="G2172" s="61">
        <v>1</v>
      </c>
      <c r="H2172" s="45">
        <v>15</v>
      </c>
      <c r="I2172" s="74">
        <v>39.483910000000002</v>
      </c>
    </row>
    <row r="2173" spans="1:9" s="71" customFormat="1" ht="16.5" hidden="1" customHeight="1" outlineLevel="1" x14ac:dyDescent="0.25">
      <c r="A2173" s="74">
        <v>1225</v>
      </c>
      <c r="B2173" s="45" t="s">
        <v>664</v>
      </c>
      <c r="C2173" s="60" t="s">
        <v>1805</v>
      </c>
      <c r="D2173" s="60"/>
      <c r="E2173" s="74">
        <v>2022</v>
      </c>
      <c r="F2173" s="74" t="s">
        <v>489</v>
      </c>
      <c r="G2173" s="61">
        <v>1</v>
      </c>
      <c r="H2173" s="45">
        <v>15</v>
      </c>
      <c r="I2173" s="74">
        <v>35.738939999999999</v>
      </c>
    </row>
    <row r="2174" spans="1:9" s="71" customFormat="1" ht="16.5" hidden="1" customHeight="1" outlineLevel="1" x14ac:dyDescent="0.25">
      <c r="A2174" s="74">
        <v>1250</v>
      </c>
      <c r="B2174" s="45" t="s">
        <v>664</v>
      </c>
      <c r="C2174" s="60" t="s">
        <v>1806</v>
      </c>
      <c r="D2174" s="60"/>
      <c r="E2174" s="74">
        <v>2022</v>
      </c>
      <c r="F2174" s="74" t="s">
        <v>489</v>
      </c>
      <c r="G2174" s="61">
        <v>1</v>
      </c>
      <c r="H2174" s="45">
        <v>15</v>
      </c>
      <c r="I2174" s="74">
        <v>38.710889999999999</v>
      </c>
    </row>
    <row r="2175" spans="1:9" s="71" customFormat="1" ht="16.5" hidden="1" customHeight="1" outlineLevel="1" x14ac:dyDescent="0.25">
      <c r="A2175" s="74">
        <v>1262</v>
      </c>
      <c r="B2175" s="45" t="s">
        <v>664</v>
      </c>
      <c r="C2175" s="60" t="s">
        <v>1807</v>
      </c>
      <c r="D2175" s="60"/>
      <c r="E2175" s="74">
        <v>2022</v>
      </c>
      <c r="F2175" s="74" t="s">
        <v>489</v>
      </c>
      <c r="G2175" s="61">
        <v>1</v>
      </c>
      <c r="H2175" s="45">
        <v>10</v>
      </c>
      <c r="I2175" s="74">
        <v>42.29289</v>
      </c>
    </row>
    <row r="2176" spans="1:9" s="71" customFormat="1" ht="16.5" hidden="1" customHeight="1" outlineLevel="1" x14ac:dyDescent="0.25">
      <c r="A2176" s="74">
        <v>1107</v>
      </c>
      <c r="B2176" s="45" t="s">
        <v>664</v>
      </c>
      <c r="C2176" s="60" t="s">
        <v>1808</v>
      </c>
      <c r="D2176" s="60"/>
      <c r="E2176" s="74">
        <v>2022</v>
      </c>
      <c r="F2176" s="74" t="s">
        <v>489</v>
      </c>
      <c r="G2176" s="61">
        <v>1</v>
      </c>
      <c r="H2176" s="45">
        <v>53.84</v>
      </c>
      <c r="I2176" s="74">
        <v>63.997860000000003</v>
      </c>
    </row>
    <row r="2177" spans="1:9" s="71" customFormat="1" ht="16.5" hidden="1" customHeight="1" outlineLevel="1" x14ac:dyDescent="0.25">
      <c r="A2177" s="74">
        <v>1332</v>
      </c>
      <c r="B2177" s="45" t="s">
        <v>664</v>
      </c>
      <c r="C2177" s="60" t="s">
        <v>1809</v>
      </c>
      <c r="D2177" s="60"/>
      <c r="E2177" s="74">
        <v>2022</v>
      </c>
      <c r="F2177" s="74" t="s">
        <v>489</v>
      </c>
      <c r="G2177" s="61">
        <v>1</v>
      </c>
      <c r="H2177" s="45">
        <v>15</v>
      </c>
      <c r="I2177" s="74">
        <v>44.73272</v>
      </c>
    </row>
    <row r="2178" spans="1:9" s="71" customFormat="1" ht="16.5" hidden="1" customHeight="1" outlineLevel="1" x14ac:dyDescent="0.25">
      <c r="A2178" s="74">
        <v>1299</v>
      </c>
      <c r="B2178" s="45" t="s">
        <v>664</v>
      </c>
      <c r="C2178" s="60" t="s">
        <v>1810</v>
      </c>
      <c r="D2178" s="60"/>
      <c r="E2178" s="74">
        <v>2022</v>
      </c>
      <c r="F2178" s="74" t="s">
        <v>489</v>
      </c>
      <c r="G2178" s="61">
        <v>1</v>
      </c>
      <c r="H2178" s="45">
        <v>10</v>
      </c>
      <c r="I2178" s="74">
        <v>26.997969999999999</v>
      </c>
    </row>
    <row r="2179" spans="1:9" s="71" customFormat="1" ht="16.5" hidden="1" customHeight="1" outlineLevel="1" x14ac:dyDescent="0.25">
      <c r="A2179" s="74">
        <v>1568</v>
      </c>
      <c r="B2179" s="45" t="s">
        <v>664</v>
      </c>
      <c r="C2179" s="60" t="s">
        <v>1811</v>
      </c>
      <c r="D2179" s="60"/>
      <c r="E2179" s="74">
        <v>2022</v>
      </c>
      <c r="F2179" s="74" t="s">
        <v>489</v>
      </c>
      <c r="G2179" s="61">
        <v>1</v>
      </c>
      <c r="H2179" s="45">
        <v>15</v>
      </c>
      <c r="I2179" s="74">
        <v>26.403600000000001</v>
      </c>
    </row>
    <row r="2180" spans="1:9" s="71" customFormat="1" ht="16.5" hidden="1" customHeight="1" outlineLevel="1" x14ac:dyDescent="0.25">
      <c r="A2180" s="74">
        <v>1102</v>
      </c>
      <c r="B2180" s="45" t="s">
        <v>664</v>
      </c>
      <c r="C2180" s="60" t="s">
        <v>1812</v>
      </c>
      <c r="D2180" s="60"/>
      <c r="E2180" s="74">
        <v>2022</v>
      </c>
      <c r="F2180" s="74" t="s">
        <v>489</v>
      </c>
      <c r="G2180" s="61">
        <v>1</v>
      </c>
      <c r="H2180" s="45">
        <v>15</v>
      </c>
      <c r="I2180" s="74">
        <v>41.390169999999998</v>
      </c>
    </row>
    <row r="2181" spans="1:9" s="71" customFormat="1" ht="16.5" hidden="1" customHeight="1" outlineLevel="1" x14ac:dyDescent="0.25">
      <c r="A2181" s="74">
        <v>1525</v>
      </c>
      <c r="B2181" s="45" t="s">
        <v>664</v>
      </c>
      <c r="C2181" s="60" t="s">
        <v>1813</v>
      </c>
      <c r="D2181" s="60"/>
      <c r="E2181" s="74">
        <v>2022</v>
      </c>
      <c r="F2181" s="74" t="s">
        <v>489</v>
      </c>
      <c r="G2181" s="61">
        <v>1</v>
      </c>
      <c r="H2181" s="45">
        <v>15</v>
      </c>
      <c r="I2181" s="74">
        <v>27.6084</v>
      </c>
    </row>
    <row r="2182" spans="1:9" s="71" customFormat="1" ht="16.5" hidden="1" customHeight="1" outlineLevel="1" x14ac:dyDescent="0.25">
      <c r="A2182" s="74">
        <v>1513</v>
      </c>
      <c r="B2182" s="45" t="s">
        <v>664</v>
      </c>
      <c r="C2182" s="60" t="s">
        <v>1814</v>
      </c>
      <c r="D2182" s="60"/>
      <c r="E2182" s="74">
        <v>2022</v>
      </c>
      <c r="F2182" s="74" t="s">
        <v>489</v>
      </c>
      <c r="G2182" s="61">
        <v>1</v>
      </c>
      <c r="H2182" s="45">
        <v>10</v>
      </c>
      <c r="I2182" s="74">
        <v>38.969439999999999</v>
      </c>
    </row>
    <row r="2183" spans="1:9" s="71" customFormat="1" ht="16.5" hidden="1" customHeight="1" outlineLevel="1" x14ac:dyDescent="0.25">
      <c r="A2183" s="74">
        <v>1481</v>
      </c>
      <c r="B2183" s="45" t="s">
        <v>664</v>
      </c>
      <c r="C2183" s="60" t="s">
        <v>1815</v>
      </c>
      <c r="D2183" s="60"/>
      <c r="E2183" s="74">
        <v>2022</v>
      </c>
      <c r="F2183" s="74" t="s">
        <v>489</v>
      </c>
      <c r="G2183" s="61">
        <v>1</v>
      </c>
      <c r="H2183" s="45">
        <v>15</v>
      </c>
      <c r="I2183" s="74">
        <v>45.531030000000001</v>
      </c>
    </row>
    <row r="2184" spans="1:9" s="71" customFormat="1" ht="16.5" hidden="1" customHeight="1" outlineLevel="1" x14ac:dyDescent="0.25">
      <c r="A2184" s="74">
        <v>1594</v>
      </c>
      <c r="B2184" s="45" t="s">
        <v>664</v>
      </c>
      <c r="C2184" s="60" t="s">
        <v>1816</v>
      </c>
      <c r="D2184" s="60"/>
      <c r="E2184" s="74">
        <v>2022</v>
      </c>
      <c r="F2184" s="74" t="s">
        <v>489</v>
      </c>
      <c r="G2184" s="61">
        <v>1</v>
      </c>
      <c r="H2184" s="45">
        <v>10</v>
      </c>
      <c r="I2184" s="74">
        <v>20.496880000000001</v>
      </c>
    </row>
    <row r="2185" spans="1:9" s="71" customFormat="1" ht="16.5" hidden="1" customHeight="1" outlineLevel="1" x14ac:dyDescent="0.25">
      <c r="A2185" s="74">
        <v>1595</v>
      </c>
      <c r="B2185" s="45" t="s">
        <v>664</v>
      </c>
      <c r="C2185" s="60" t="s">
        <v>1817</v>
      </c>
      <c r="D2185" s="60"/>
      <c r="E2185" s="74">
        <v>2022</v>
      </c>
      <c r="F2185" s="74" t="s">
        <v>489</v>
      </c>
      <c r="G2185" s="61">
        <v>1</v>
      </c>
      <c r="H2185" s="45">
        <v>15</v>
      </c>
      <c r="I2185" s="74">
        <v>20.496870000000001</v>
      </c>
    </row>
    <row r="2186" spans="1:9" s="71" customFormat="1" ht="16.5" hidden="1" customHeight="1" outlineLevel="1" x14ac:dyDescent="0.25">
      <c r="A2186" s="74">
        <v>1567</v>
      </c>
      <c r="B2186" s="45" t="s">
        <v>664</v>
      </c>
      <c r="C2186" s="60" t="s">
        <v>1818</v>
      </c>
      <c r="D2186" s="60"/>
      <c r="E2186" s="74">
        <v>2022</v>
      </c>
      <c r="F2186" s="74" t="s">
        <v>489</v>
      </c>
      <c r="G2186" s="61">
        <v>1</v>
      </c>
      <c r="H2186" s="45">
        <v>10</v>
      </c>
      <c r="I2186" s="74">
        <v>26.947420000000001</v>
      </c>
    </row>
    <row r="2187" spans="1:9" s="71" customFormat="1" ht="16.5" hidden="1" customHeight="1" outlineLevel="1" x14ac:dyDescent="0.25">
      <c r="A2187" s="74">
        <v>1555</v>
      </c>
      <c r="B2187" s="45" t="s">
        <v>664</v>
      </c>
      <c r="C2187" s="60" t="s">
        <v>1819</v>
      </c>
      <c r="D2187" s="60"/>
      <c r="E2187" s="74">
        <v>2022</v>
      </c>
      <c r="F2187" s="74" t="s">
        <v>489</v>
      </c>
      <c r="G2187" s="61">
        <v>1</v>
      </c>
      <c r="H2187" s="45">
        <v>10</v>
      </c>
      <c r="I2187" s="74">
        <v>27.47073</v>
      </c>
    </row>
    <row r="2188" spans="1:9" s="71" customFormat="1" ht="16.5" hidden="1" customHeight="1" outlineLevel="1" x14ac:dyDescent="0.25">
      <c r="A2188" s="74">
        <v>1549</v>
      </c>
      <c r="B2188" s="45" t="s">
        <v>664</v>
      </c>
      <c r="C2188" s="60" t="s">
        <v>1820</v>
      </c>
      <c r="D2188" s="60"/>
      <c r="E2188" s="74">
        <v>2022</v>
      </c>
      <c r="F2188" s="74" t="s">
        <v>489</v>
      </c>
      <c r="G2188" s="61">
        <v>1</v>
      </c>
      <c r="H2188" s="45">
        <v>10</v>
      </c>
      <c r="I2188" s="74">
        <v>27.648389999999999</v>
      </c>
    </row>
    <row r="2189" spans="1:9" s="71" customFormat="1" ht="16.5" hidden="1" customHeight="1" outlineLevel="1" x14ac:dyDescent="0.25">
      <c r="A2189" s="74">
        <v>1597</v>
      </c>
      <c r="B2189" s="45" t="s">
        <v>664</v>
      </c>
      <c r="C2189" s="60" t="s">
        <v>1821</v>
      </c>
      <c r="D2189" s="60"/>
      <c r="E2189" s="74">
        <v>2022</v>
      </c>
      <c r="F2189" s="74" t="s">
        <v>489</v>
      </c>
      <c r="G2189" s="61">
        <v>1</v>
      </c>
      <c r="H2189" s="45">
        <v>15</v>
      </c>
      <c r="I2189" s="74">
        <v>19.454840000000001</v>
      </c>
    </row>
    <row r="2190" spans="1:9" s="71" customFormat="1" ht="16.5" hidden="1" customHeight="1" outlineLevel="1" x14ac:dyDescent="0.25">
      <c r="A2190" s="74">
        <v>1472</v>
      </c>
      <c r="B2190" s="45" t="s">
        <v>664</v>
      </c>
      <c r="C2190" s="60" t="s">
        <v>1822</v>
      </c>
      <c r="D2190" s="60"/>
      <c r="E2190" s="74">
        <v>2022</v>
      </c>
      <c r="F2190" s="74" t="s">
        <v>489</v>
      </c>
      <c r="G2190" s="61">
        <v>1</v>
      </c>
      <c r="H2190" s="45">
        <v>11.74</v>
      </c>
      <c r="I2190" s="74">
        <v>43.993499999999997</v>
      </c>
    </row>
    <row r="2191" spans="1:9" s="71" customFormat="1" ht="16.5" hidden="1" customHeight="1" outlineLevel="1" x14ac:dyDescent="0.25">
      <c r="A2191" s="74">
        <v>1152</v>
      </c>
      <c r="B2191" s="45" t="s">
        <v>664</v>
      </c>
      <c r="C2191" s="60" t="s">
        <v>1823</v>
      </c>
      <c r="D2191" s="60"/>
      <c r="E2191" s="74">
        <v>2022</v>
      </c>
      <c r="F2191" s="74" t="s">
        <v>489</v>
      </c>
      <c r="G2191" s="61">
        <v>1</v>
      </c>
      <c r="H2191" s="45">
        <v>10</v>
      </c>
      <c r="I2191" s="74">
        <v>36.728580000000001</v>
      </c>
    </row>
    <row r="2192" spans="1:9" s="71" customFormat="1" ht="16.5" hidden="1" customHeight="1" outlineLevel="1" x14ac:dyDescent="0.25">
      <c r="A2192" s="74">
        <v>1517</v>
      </c>
      <c r="B2192" s="45" t="s">
        <v>664</v>
      </c>
      <c r="C2192" s="60" t="s">
        <v>1824</v>
      </c>
      <c r="D2192" s="60"/>
      <c r="E2192" s="74">
        <v>2022</v>
      </c>
      <c r="F2192" s="74" t="s">
        <v>489</v>
      </c>
      <c r="G2192" s="61">
        <v>1</v>
      </c>
      <c r="H2192" s="45">
        <v>15</v>
      </c>
      <c r="I2192" s="74">
        <v>28.380590000000002</v>
      </c>
    </row>
    <row r="2193" spans="1:9" s="71" customFormat="1" ht="16.5" hidden="1" customHeight="1" outlineLevel="1" x14ac:dyDescent="0.25">
      <c r="A2193" s="74">
        <v>1346</v>
      </c>
      <c r="B2193" s="45" t="s">
        <v>664</v>
      </c>
      <c r="C2193" s="60" t="s">
        <v>1825</v>
      </c>
      <c r="D2193" s="60"/>
      <c r="E2193" s="74">
        <v>2022</v>
      </c>
      <c r="F2193" s="74" t="s">
        <v>489</v>
      </c>
      <c r="G2193" s="61">
        <v>1</v>
      </c>
      <c r="H2193" s="45">
        <v>11.5</v>
      </c>
      <c r="I2193" s="74">
        <v>29.349150000000002</v>
      </c>
    </row>
    <row r="2194" spans="1:9" s="71" customFormat="1" ht="16.5" hidden="1" customHeight="1" outlineLevel="1" x14ac:dyDescent="0.25">
      <c r="A2194" s="74">
        <v>1059</v>
      </c>
      <c r="B2194" s="45" t="s">
        <v>664</v>
      </c>
      <c r="C2194" s="60" t="s">
        <v>1826</v>
      </c>
      <c r="D2194" s="60"/>
      <c r="E2194" s="74">
        <v>2022</v>
      </c>
      <c r="F2194" s="74" t="s">
        <v>489</v>
      </c>
      <c r="G2194" s="61">
        <v>1</v>
      </c>
      <c r="H2194" s="45">
        <v>15</v>
      </c>
      <c r="I2194" s="74">
        <v>72.895859999999999</v>
      </c>
    </row>
    <row r="2195" spans="1:9" s="71" customFormat="1" ht="16.5" hidden="1" customHeight="1" outlineLevel="1" x14ac:dyDescent="0.25">
      <c r="A2195" s="74">
        <v>1058</v>
      </c>
      <c r="B2195" s="45" t="s">
        <v>664</v>
      </c>
      <c r="C2195" s="60" t="s">
        <v>1827</v>
      </c>
      <c r="D2195" s="60"/>
      <c r="E2195" s="74">
        <v>2022</v>
      </c>
      <c r="F2195" s="74" t="s">
        <v>489</v>
      </c>
      <c r="G2195" s="61">
        <v>1</v>
      </c>
      <c r="H2195" s="45">
        <v>15</v>
      </c>
      <c r="I2195" s="74">
        <v>54.167459999999998</v>
      </c>
    </row>
    <row r="2196" spans="1:9" s="71" customFormat="1" ht="16.5" hidden="1" customHeight="1" outlineLevel="1" x14ac:dyDescent="0.25">
      <c r="A2196" s="74">
        <v>1064</v>
      </c>
      <c r="B2196" s="45" t="s">
        <v>664</v>
      </c>
      <c r="C2196" s="60" t="s">
        <v>1828</v>
      </c>
      <c r="D2196" s="60"/>
      <c r="E2196" s="74">
        <v>2022</v>
      </c>
      <c r="F2196" s="74" t="s">
        <v>489</v>
      </c>
      <c r="G2196" s="61">
        <v>1</v>
      </c>
      <c r="H2196" s="45">
        <v>15</v>
      </c>
      <c r="I2196" s="74">
        <v>64.419569999999993</v>
      </c>
    </row>
    <row r="2197" spans="1:9" s="71" customFormat="1" ht="16.5" hidden="1" customHeight="1" outlineLevel="1" x14ac:dyDescent="0.25">
      <c r="A2197" s="74">
        <v>1103</v>
      </c>
      <c r="B2197" s="45" t="s">
        <v>664</v>
      </c>
      <c r="C2197" s="60" t="s">
        <v>1829</v>
      </c>
      <c r="D2197" s="60"/>
      <c r="E2197" s="74">
        <v>2022</v>
      </c>
      <c r="F2197" s="74" t="s">
        <v>489</v>
      </c>
      <c r="G2197" s="61">
        <v>1</v>
      </c>
      <c r="H2197" s="45">
        <v>15</v>
      </c>
      <c r="I2197" s="74">
        <v>82.14152</v>
      </c>
    </row>
    <row r="2198" spans="1:9" s="71" customFormat="1" ht="16.5" hidden="1" customHeight="1" outlineLevel="1" x14ac:dyDescent="0.25">
      <c r="A2198" s="74">
        <v>1072</v>
      </c>
      <c r="B2198" s="45" t="s">
        <v>664</v>
      </c>
      <c r="C2198" s="60" t="s">
        <v>1830</v>
      </c>
      <c r="D2198" s="60"/>
      <c r="E2198" s="74">
        <v>2022</v>
      </c>
      <c r="F2198" s="74" t="s">
        <v>489</v>
      </c>
      <c r="G2198" s="61">
        <v>1</v>
      </c>
      <c r="H2198" s="45">
        <v>15</v>
      </c>
      <c r="I2198" s="74">
        <v>56.087829999999997</v>
      </c>
    </row>
    <row r="2199" spans="1:9" s="71" customFormat="1" ht="16.5" hidden="1" customHeight="1" outlineLevel="1" x14ac:dyDescent="0.25">
      <c r="A2199" s="74">
        <v>1176</v>
      </c>
      <c r="B2199" s="45" t="s">
        <v>664</v>
      </c>
      <c r="C2199" s="60" t="s">
        <v>1831</v>
      </c>
      <c r="D2199" s="60"/>
      <c r="E2199" s="74">
        <v>2022</v>
      </c>
      <c r="F2199" s="74" t="s">
        <v>489</v>
      </c>
      <c r="G2199" s="61">
        <v>1</v>
      </c>
      <c r="H2199" s="45">
        <v>15</v>
      </c>
      <c r="I2199" s="74">
        <v>56.383980000000001</v>
      </c>
    </row>
    <row r="2200" spans="1:9" s="71" customFormat="1" ht="16.5" hidden="1" customHeight="1" outlineLevel="1" x14ac:dyDescent="0.25">
      <c r="A2200" s="74">
        <v>1179</v>
      </c>
      <c r="B2200" s="45" t="s">
        <v>664</v>
      </c>
      <c r="C2200" s="60" t="s">
        <v>1832</v>
      </c>
      <c r="D2200" s="60"/>
      <c r="E2200" s="74">
        <v>2022</v>
      </c>
      <c r="F2200" s="74" t="s">
        <v>489</v>
      </c>
      <c r="G2200" s="61">
        <v>1</v>
      </c>
      <c r="H2200" s="45">
        <v>15</v>
      </c>
      <c r="I2200" s="74">
        <v>40.05283</v>
      </c>
    </row>
    <row r="2201" spans="1:9" s="71" customFormat="1" ht="16.5" hidden="1" customHeight="1" outlineLevel="1" x14ac:dyDescent="0.25">
      <c r="A2201" s="74">
        <v>1215</v>
      </c>
      <c r="B2201" s="45" t="s">
        <v>664</v>
      </c>
      <c r="C2201" s="60" t="s">
        <v>1833</v>
      </c>
      <c r="D2201" s="60"/>
      <c r="E2201" s="74">
        <v>2022</v>
      </c>
      <c r="F2201" s="74" t="s">
        <v>489</v>
      </c>
      <c r="G2201" s="61">
        <v>1</v>
      </c>
      <c r="H2201" s="45">
        <v>13</v>
      </c>
      <c r="I2201" s="74">
        <v>34.396630000000002</v>
      </c>
    </row>
    <row r="2202" spans="1:9" s="71" customFormat="1" ht="16.5" hidden="1" customHeight="1" outlineLevel="1" x14ac:dyDescent="0.25">
      <c r="A2202" s="74">
        <v>1259</v>
      </c>
      <c r="B2202" s="45" t="s">
        <v>664</v>
      </c>
      <c r="C2202" s="60" t="s">
        <v>1834</v>
      </c>
      <c r="D2202" s="60"/>
      <c r="E2202" s="74">
        <v>2022</v>
      </c>
      <c r="F2202" s="74" t="s">
        <v>489</v>
      </c>
      <c r="G2202" s="61">
        <v>1</v>
      </c>
      <c r="H2202" s="45">
        <v>15</v>
      </c>
      <c r="I2202" s="74">
        <v>37.455849999999998</v>
      </c>
    </row>
    <row r="2203" spans="1:9" s="71" customFormat="1" ht="16.5" hidden="1" customHeight="1" outlineLevel="1" x14ac:dyDescent="0.25">
      <c r="A2203" s="74">
        <v>1534</v>
      </c>
      <c r="B2203" s="45" t="s">
        <v>664</v>
      </c>
      <c r="C2203" s="60" t="s">
        <v>1835</v>
      </c>
      <c r="D2203" s="60"/>
      <c r="E2203" s="74">
        <v>2022</v>
      </c>
      <c r="F2203" s="74" t="s">
        <v>489</v>
      </c>
      <c r="G2203" s="61">
        <v>1</v>
      </c>
      <c r="H2203" s="45">
        <v>10</v>
      </c>
      <c r="I2203" s="74">
        <v>45.203119999999998</v>
      </c>
    </row>
    <row r="2204" spans="1:9" s="71" customFormat="1" ht="16.5" hidden="1" customHeight="1" outlineLevel="1" x14ac:dyDescent="0.25">
      <c r="A2204" s="74">
        <v>1535</v>
      </c>
      <c r="B2204" s="45" t="s">
        <v>664</v>
      </c>
      <c r="C2204" s="60" t="s">
        <v>1836</v>
      </c>
      <c r="D2204" s="60"/>
      <c r="E2204" s="74">
        <v>2022</v>
      </c>
      <c r="F2204" s="74" t="s">
        <v>489</v>
      </c>
      <c r="G2204" s="61">
        <v>1</v>
      </c>
      <c r="H2204" s="45">
        <v>15</v>
      </c>
      <c r="I2204" s="74">
        <v>43.985790000000001</v>
      </c>
    </row>
    <row r="2205" spans="1:9" s="71" customFormat="1" ht="16.5" hidden="1" customHeight="1" outlineLevel="1" x14ac:dyDescent="0.25">
      <c r="A2205" s="74">
        <v>1404</v>
      </c>
      <c r="B2205" s="45" t="s">
        <v>664</v>
      </c>
      <c r="C2205" s="60" t="s">
        <v>1837</v>
      </c>
      <c r="D2205" s="60"/>
      <c r="E2205" s="74">
        <v>2022</v>
      </c>
      <c r="F2205" s="74" t="s">
        <v>489</v>
      </c>
      <c r="G2205" s="61">
        <v>1</v>
      </c>
      <c r="H2205" s="45">
        <v>10</v>
      </c>
      <c r="I2205" s="74">
        <v>47.006889999999999</v>
      </c>
    </row>
    <row r="2206" spans="1:9" s="71" customFormat="1" ht="16.5" hidden="1" customHeight="1" outlineLevel="1" x14ac:dyDescent="0.25">
      <c r="A2206" s="74">
        <v>1400</v>
      </c>
      <c r="B2206" s="45" t="s">
        <v>664</v>
      </c>
      <c r="C2206" s="60" t="s">
        <v>1838</v>
      </c>
      <c r="D2206" s="60"/>
      <c r="E2206" s="74">
        <v>2022</v>
      </c>
      <c r="F2206" s="74" t="s">
        <v>489</v>
      </c>
      <c r="G2206" s="61">
        <v>1</v>
      </c>
      <c r="H2206" s="45">
        <v>13.87</v>
      </c>
      <c r="I2206" s="74">
        <v>41.962510000000002</v>
      </c>
    </row>
    <row r="2207" spans="1:9" s="71" customFormat="1" ht="16.5" hidden="1" customHeight="1" outlineLevel="1" x14ac:dyDescent="0.25">
      <c r="A2207" s="74">
        <v>1312</v>
      </c>
      <c r="B2207" s="45" t="s">
        <v>664</v>
      </c>
      <c r="C2207" s="60" t="s">
        <v>1839</v>
      </c>
      <c r="D2207" s="60"/>
      <c r="E2207" s="74">
        <v>2022</v>
      </c>
      <c r="F2207" s="74" t="s">
        <v>489</v>
      </c>
      <c r="G2207" s="61">
        <v>1</v>
      </c>
      <c r="H2207" s="45">
        <v>10</v>
      </c>
      <c r="I2207" s="74">
        <v>39.046149999999997</v>
      </c>
    </row>
    <row r="2208" spans="1:9" s="71" customFormat="1" ht="16.5" hidden="1" customHeight="1" outlineLevel="1" x14ac:dyDescent="0.25">
      <c r="A2208" s="74">
        <v>1203</v>
      </c>
      <c r="B2208" s="45" t="s">
        <v>664</v>
      </c>
      <c r="C2208" s="60" t="s">
        <v>1840</v>
      </c>
      <c r="D2208" s="60"/>
      <c r="E2208" s="74">
        <v>2022</v>
      </c>
      <c r="F2208" s="74" t="s">
        <v>489</v>
      </c>
      <c r="G2208" s="61">
        <v>1</v>
      </c>
      <c r="H2208" s="45">
        <v>15</v>
      </c>
      <c r="I2208" s="74">
        <v>54.768389999999997</v>
      </c>
    </row>
    <row r="2209" spans="1:9" s="71" customFormat="1" ht="16.5" hidden="1" customHeight="1" outlineLevel="1" x14ac:dyDescent="0.25">
      <c r="A2209" s="74">
        <v>1169</v>
      </c>
      <c r="B2209" s="45" t="s">
        <v>664</v>
      </c>
      <c r="C2209" s="60" t="s">
        <v>1841</v>
      </c>
      <c r="D2209" s="60"/>
      <c r="E2209" s="74">
        <v>2022</v>
      </c>
      <c r="F2209" s="74" t="s">
        <v>489</v>
      </c>
      <c r="G2209" s="61">
        <v>1</v>
      </c>
      <c r="H2209" s="45">
        <v>10</v>
      </c>
      <c r="I2209" s="74">
        <v>52.673810000000003</v>
      </c>
    </row>
    <row r="2210" spans="1:9" s="71" customFormat="1" ht="16.5" hidden="1" customHeight="1" outlineLevel="1" x14ac:dyDescent="0.25">
      <c r="A2210" s="74">
        <v>1126</v>
      </c>
      <c r="B2210" s="45" t="s">
        <v>664</v>
      </c>
      <c r="C2210" s="60" t="s">
        <v>1842</v>
      </c>
      <c r="D2210" s="60"/>
      <c r="E2210" s="74">
        <v>2022</v>
      </c>
      <c r="F2210" s="74" t="s">
        <v>489</v>
      </c>
      <c r="G2210" s="61">
        <v>1</v>
      </c>
      <c r="H2210" s="45">
        <v>10</v>
      </c>
      <c r="I2210" s="74">
        <v>60.327979999999997</v>
      </c>
    </row>
    <row r="2211" spans="1:9" s="71" customFormat="1" ht="16.5" hidden="1" customHeight="1" outlineLevel="1" x14ac:dyDescent="0.25">
      <c r="A2211" s="74">
        <v>1537</v>
      </c>
      <c r="B2211" s="45" t="s">
        <v>664</v>
      </c>
      <c r="C2211" s="60" t="s">
        <v>1843</v>
      </c>
      <c r="D2211" s="60"/>
      <c r="E2211" s="74">
        <v>2022</v>
      </c>
      <c r="F2211" s="74" t="s">
        <v>489</v>
      </c>
      <c r="G2211" s="61">
        <v>1</v>
      </c>
      <c r="H2211" s="45">
        <v>10</v>
      </c>
      <c r="I2211" s="74">
        <v>43.162660000000002</v>
      </c>
    </row>
    <row r="2212" spans="1:9" s="71" customFormat="1" ht="16.5" hidden="1" customHeight="1" outlineLevel="1" x14ac:dyDescent="0.25">
      <c r="A2212" s="74">
        <v>1084</v>
      </c>
      <c r="B2212" s="45" t="s">
        <v>664</v>
      </c>
      <c r="C2212" s="60" t="s">
        <v>1844</v>
      </c>
      <c r="D2212" s="60"/>
      <c r="E2212" s="74">
        <v>2022</v>
      </c>
      <c r="F2212" s="74" t="s">
        <v>489</v>
      </c>
      <c r="G2212" s="61">
        <v>1</v>
      </c>
      <c r="H2212" s="45">
        <v>10</v>
      </c>
      <c r="I2212" s="74">
        <v>51.739199999999997</v>
      </c>
    </row>
    <row r="2213" spans="1:9" s="71" customFormat="1" ht="16.5" hidden="1" customHeight="1" outlineLevel="1" x14ac:dyDescent="0.25">
      <c r="A2213" s="74">
        <v>1204</v>
      </c>
      <c r="B2213" s="45" t="s">
        <v>664</v>
      </c>
      <c r="C2213" s="60" t="s">
        <v>1845</v>
      </c>
      <c r="D2213" s="60"/>
      <c r="E2213" s="74">
        <v>2022</v>
      </c>
      <c r="F2213" s="74" t="s">
        <v>489</v>
      </c>
      <c r="G2213" s="61">
        <v>1</v>
      </c>
      <c r="H2213" s="45">
        <v>15</v>
      </c>
      <c r="I2213" s="74">
        <v>54.881410000000002</v>
      </c>
    </row>
    <row r="2214" spans="1:9" s="71" customFormat="1" ht="16.5" hidden="1" customHeight="1" outlineLevel="1" x14ac:dyDescent="0.25">
      <c r="A2214" s="74">
        <v>1621</v>
      </c>
      <c r="B2214" s="45" t="s">
        <v>664</v>
      </c>
      <c r="C2214" s="60" t="s">
        <v>1846</v>
      </c>
      <c r="D2214" s="60"/>
      <c r="E2214" s="74">
        <v>2022</v>
      </c>
      <c r="F2214" s="74" t="s">
        <v>489</v>
      </c>
      <c r="G2214" s="61">
        <v>1</v>
      </c>
      <c r="H2214" s="45">
        <v>15</v>
      </c>
      <c r="I2214" s="74">
        <v>19.513359999999999</v>
      </c>
    </row>
    <row r="2215" spans="1:9" s="71" customFormat="1" ht="16.5" hidden="1" customHeight="1" outlineLevel="1" x14ac:dyDescent="0.25">
      <c r="A2215" s="74">
        <v>1627</v>
      </c>
      <c r="B2215" s="45" t="s">
        <v>664</v>
      </c>
      <c r="C2215" s="60" t="s">
        <v>1847</v>
      </c>
      <c r="D2215" s="60"/>
      <c r="E2215" s="74">
        <v>2022</v>
      </c>
      <c r="F2215" s="74" t="s">
        <v>489</v>
      </c>
      <c r="G2215" s="61">
        <v>1</v>
      </c>
      <c r="H2215" s="45">
        <v>40</v>
      </c>
      <c r="I2215" s="74">
        <v>20.464320000000001</v>
      </c>
    </row>
    <row r="2216" spans="1:9" s="71" customFormat="1" ht="16.5" hidden="1" customHeight="1" outlineLevel="1" x14ac:dyDescent="0.25">
      <c r="A2216" s="74">
        <v>1445</v>
      </c>
      <c r="B2216" s="45" t="s">
        <v>664</v>
      </c>
      <c r="C2216" s="60" t="s">
        <v>1848</v>
      </c>
      <c r="D2216" s="60"/>
      <c r="E2216" s="74">
        <v>2022</v>
      </c>
      <c r="F2216" s="74" t="s">
        <v>489</v>
      </c>
      <c r="G2216" s="61">
        <v>1</v>
      </c>
      <c r="H2216" s="45">
        <v>10</v>
      </c>
      <c r="I2216" s="74">
        <v>36.522120000000001</v>
      </c>
    </row>
    <row r="2217" spans="1:9" s="71" customFormat="1" ht="16.5" hidden="1" customHeight="1" outlineLevel="1" x14ac:dyDescent="0.25">
      <c r="A2217" s="74">
        <v>1438</v>
      </c>
      <c r="B2217" s="45" t="s">
        <v>664</v>
      </c>
      <c r="C2217" s="60" t="s">
        <v>1849</v>
      </c>
      <c r="D2217" s="60"/>
      <c r="E2217" s="74">
        <v>2022</v>
      </c>
      <c r="F2217" s="74" t="s">
        <v>489</v>
      </c>
      <c r="G2217" s="61">
        <v>1</v>
      </c>
      <c r="H2217" s="45">
        <v>15</v>
      </c>
      <c r="I2217" s="74">
        <v>45.898330000000001</v>
      </c>
    </row>
    <row r="2218" spans="1:9" s="71" customFormat="1" ht="16.5" hidden="1" customHeight="1" outlineLevel="1" x14ac:dyDescent="0.25">
      <c r="A2218" s="74">
        <v>1427</v>
      </c>
      <c r="B2218" s="45" t="s">
        <v>664</v>
      </c>
      <c r="C2218" s="60" t="s">
        <v>1850</v>
      </c>
      <c r="D2218" s="60"/>
      <c r="E2218" s="74">
        <v>2022</v>
      </c>
      <c r="F2218" s="74" t="s">
        <v>489</v>
      </c>
      <c r="G2218" s="61">
        <v>1</v>
      </c>
      <c r="H2218" s="45">
        <v>15</v>
      </c>
      <c r="I2218" s="74">
        <v>34.098860000000002</v>
      </c>
    </row>
    <row r="2219" spans="1:9" s="71" customFormat="1" ht="16.5" hidden="1" customHeight="1" outlineLevel="1" x14ac:dyDescent="0.25">
      <c r="A2219" s="74">
        <v>1394</v>
      </c>
      <c r="B2219" s="45" t="s">
        <v>664</v>
      </c>
      <c r="C2219" s="60" t="s">
        <v>1851</v>
      </c>
      <c r="D2219" s="60"/>
      <c r="E2219" s="74">
        <v>2022</v>
      </c>
      <c r="F2219" s="74" t="s">
        <v>489</v>
      </c>
      <c r="G2219" s="61">
        <v>1</v>
      </c>
      <c r="H2219" s="45">
        <v>10</v>
      </c>
      <c r="I2219" s="74">
        <v>33.057929999999999</v>
      </c>
    </row>
    <row r="2220" spans="1:9" s="71" customFormat="1" ht="16.5" hidden="1" customHeight="1" outlineLevel="1" x14ac:dyDescent="0.25">
      <c r="A2220" s="74">
        <v>1081</v>
      </c>
      <c r="B2220" s="45" t="s">
        <v>664</v>
      </c>
      <c r="C2220" s="60" t="s">
        <v>1852</v>
      </c>
      <c r="D2220" s="60"/>
      <c r="E2220" s="74">
        <v>2022</v>
      </c>
      <c r="F2220" s="74" t="s">
        <v>489</v>
      </c>
      <c r="G2220" s="61">
        <v>1</v>
      </c>
      <c r="H2220" s="45">
        <v>15</v>
      </c>
      <c r="I2220" s="74">
        <v>43.036850000000001</v>
      </c>
    </row>
    <row r="2221" spans="1:9" s="71" customFormat="1" ht="16.5" hidden="1" customHeight="1" outlineLevel="1" x14ac:dyDescent="0.25">
      <c r="A2221" s="74">
        <v>1111</v>
      </c>
      <c r="B2221" s="45" t="s">
        <v>664</v>
      </c>
      <c r="C2221" s="60" t="s">
        <v>1853</v>
      </c>
      <c r="D2221" s="60"/>
      <c r="E2221" s="74">
        <v>2022</v>
      </c>
      <c r="F2221" s="74" t="s">
        <v>489</v>
      </c>
      <c r="G2221" s="61">
        <v>1</v>
      </c>
      <c r="H2221" s="45">
        <v>7.5</v>
      </c>
      <c r="I2221" s="74">
        <v>47.949930000000002</v>
      </c>
    </row>
    <row r="2222" spans="1:9" s="71" customFormat="1" ht="16.5" hidden="1" customHeight="1" outlineLevel="1" x14ac:dyDescent="0.25">
      <c r="A2222" s="74">
        <v>1118</v>
      </c>
      <c r="B2222" s="45" t="s">
        <v>664</v>
      </c>
      <c r="C2222" s="60" t="s">
        <v>1854</v>
      </c>
      <c r="D2222" s="60"/>
      <c r="E2222" s="74">
        <v>2022</v>
      </c>
      <c r="F2222" s="74" t="s">
        <v>489</v>
      </c>
      <c r="G2222" s="61">
        <v>1</v>
      </c>
      <c r="H2222" s="45">
        <v>5</v>
      </c>
      <c r="I2222" s="74">
        <v>63.230629999999998</v>
      </c>
    </row>
    <row r="2223" spans="1:9" s="71" customFormat="1" ht="16.5" hidden="1" customHeight="1" outlineLevel="1" x14ac:dyDescent="0.25">
      <c r="A2223" s="74">
        <v>1391</v>
      </c>
      <c r="B2223" s="45" t="s">
        <v>664</v>
      </c>
      <c r="C2223" s="60" t="s">
        <v>1855</v>
      </c>
      <c r="D2223" s="60"/>
      <c r="E2223" s="74">
        <v>2022</v>
      </c>
      <c r="F2223" s="74" t="s">
        <v>489</v>
      </c>
      <c r="G2223" s="61">
        <v>1</v>
      </c>
      <c r="H2223" s="45">
        <v>10</v>
      </c>
      <c r="I2223" s="74">
        <v>23.755220000000001</v>
      </c>
    </row>
    <row r="2224" spans="1:9" s="71" customFormat="1" ht="16.5" hidden="1" customHeight="1" outlineLevel="1" x14ac:dyDescent="0.25">
      <c r="A2224" s="74">
        <v>1460</v>
      </c>
      <c r="B2224" s="45" t="s">
        <v>664</v>
      </c>
      <c r="C2224" s="60" t="s">
        <v>1856</v>
      </c>
      <c r="D2224" s="60"/>
      <c r="E2224" s="74">
        <v>2022</v>
      </c>
      <c r="F2224" s="74" t="s">
        <v>489</v>
      </c>
      <c r="G2224" s="61">
        <v>1</v>
      </c>
      <c r="H2224" s="45">
        <v>10</v>
      </c>
      <c r="I2224" s="74">
        <v>23.460129999999999</v>
      </c>
    </row>
    <row r="2225" spans="1:9" s="71" customFormat="1" ht="16.5" hidden="1" customHeight="1" outlineLevel="1" x14ac:dyDescent="0.25">
      <c r="A2225" s="74">
        <v>1531</v>
      </c>
      <c r="B2225" s="45" t="s">
        <v>664</v>
      </c>
      <c r="C2225" s="60" t="s">
        <v>1857</v>
      </c>
      <c r="D2225" s="60"/>
      <c r="E2225" s="74">
        <v>2022</v>
      </c>
      <c r="F2225" s="74" t="s">
        <v>489</v>
      </c>
      <c r="G2225" s="61">
        <v>1</v>
      </c>
      <c r="H2225" s="45">
        <v>10</v>
      </c>
      <c r="I2225" s="74">
        <v>23.870629999999998</v>
      </c>
    </row>
    <row r="2226" spans="1:9" s="71" customFormat="1" ht="16.5" hidden="1" customHeight="1" outlineLevel="1" x14ac:dyDescent="0.25">
      <c r="A2226" s="74">
        <v>1532</v>
      </c>
      <c r="B2226" s="45" t="s">
        <v>664</v>
      </c>
      <c r="C2226" s="60" t="s">
        <v>1858</v>
      </c>
      <c r="D2226" s="60"/>
      <c r="E2226" s="74">
        <v>2022</v>
      </c>
      <c r="F2226" s="74" t="s">
        <v>489</v>
      </c>
      <c r="G2226" s="61">
        <v>1</v>
      </c>
      <c r="H2226" s="45">
        <v>10</v>
      </c>
      <c r="I2226" s="74">
        <v>23.860959999999999</v>
      </c>
    </row>
    <row r="2227" spans="1:9" s="71" customFormat="1" ht="16.5" hidden="1" customHeight="1" outlineLevel="1" x14ac:dyDescent="0.25">
      <c r="A2227" s="74">
        <v>1251</v>
      </c>
      <c r="B2227" s="45" t="s">
        <v>664</v>
      </c>
      <c r="C2227" s="60" t="s">
        <v>1859</v>
      </c>
      <c r="D2227" s="60"/>
      <c r="E2227" s="74">
        <v>2022</v>
      </c>
      <c r="F2227" s="74" t="s">
        <v>489</v>
      </c>
      <c r="G2227" s="61">
        <v>1</v>
      </c>
      <c r="H2227" s="45">
        <v>15</v>
      </c>
      <c r="I2227" s="74">
        <v>24.039619999999999</v>
      </c>
    </row>
    <row r="2228" spans="1:9" s="71" customFormat="1" ht="16.5" hidden="1" customHeight="1" outlineLevel="1" x14ac:dyDescent="0.25">
      <c r="A2228" s="74">
        <v>1260</v>
      </c>
      <c r="B2228" s="45" t="s">
        <v>664</v>
      </c>
      <c r="C2228" s="60" t="s">
        <v>1860</v>
      </c>
      <c r="D2228" s="60"/>
      <c r="E2228" s="74">
        <v>2022</v>
      </c>
      <c r="F2228" s="74" t="s">
        <v>489</v>
      </c>
      <c r="G2228" s="61">
        <v>1</v>
      </c>
      <c r="H2228" s="45">
        <v>10</v>
      </c>
      <c r="I2228" s="74">
        <v>23.93337</v>
      </c>
    </row>
    <row r="2229" spans="1:9" s="71" customFormat="1" ht="16.5" hidden="1" customHeight="1" outlineLevel="1" x14ac:dyDescent="0.25">
      <c r="A2229" s="74">
        <v>1217</v>
      </c>
      <c r="B2229" s="45" t="s">
        <v>664</v>
      </c>
      <c r="C2229" s="60" t="s">
        <v>1861</v>
      </c>
      <c r="D2229" s="60"/>
      <c r="E2229" s="74">
        <v>2022</v>
      </c>
      <c r="F2229" s="74" t="s">
        <v>489</v>
      </c>
      <c r="G2229" s="61">
        <v>1</v>
      </c>
      <c r="H2229" s="45">
        <v>10</v>
      </c>
      <c r="I2229" s="74">
        <v>23.86253</v>
      </c>
    </row>
    <row r="2230" spans="1:9" s="71" customFormat="1" ht="16.5" hidden="1" customHeight="1" outlineLevel="1" x14ac:dyDescent="0.25">
      <c r="A2230" s="74">
        <v>1117</v>
      </c>
      <c r="B2230" s="45" t="s">
        <v>664</v>
      </c>
      <c r="C2230" s="60" t="s">
        <v>1862</v>
      </c>
      <c r="D2230" s="60"/>
      <c r="E2230" s="74">
        <v>2022</v>
      </c>
      <c r="F2230" s="74" t="s">
        <v>489</v>
      </c>
      <c r="G2230" s="61">
        <v>1</v>
      </c>
      <c r="H2230" s="45">
        <v>10</v>
      </c>
      <c r="I2230" s="74">
        <v>32.602209999999999</v>
      </c>
    </row>
    <row r="2231" spans="1:9" s="71" customFormat="1" ht="16.5" hidden="1" customHeight="1" outlineLevel="1" x14ac:dyDescent="0.25">
      <c r="A2231" s="74">
        <v>1602</v>
      </c>
      <c r="B2231" s="45" t="s">
        <v>664</v>
      </c>
      <c r="C2231" s="60" t="s">
        <v>1863</v>
      </c>
      <c r="D2231" s="60"/>
      <c r="E2231" s="74">
        <v>2022</v>
      </c>
      <c r="F2231" s="74" t="s">
        <v>489</v>
      </c>
      <c r="G2231" s="61">
        <v>1</v>
      </c>
      <c r="H2231" s="45">
        <v>9</v>
      </c>
      <c r="I2231" s="74">
        <v>21.374549999999999</v>
      </c>
    </row>
    <row r="2232" spans="1:9" s="71" customFormat="1" ht="16.5" hidden="1" customHeight="1" outlineLevel="1" x14ac:dyDescent="0.25">
      <c r="A2232" s="74">
        <v>1600</v>
      </c>
      <c r="B2232" s="45" t="s">
        <v>664</v>
      </c>
      <c r="C2232" s="60" t="s">
        <v>1864</v>
      </c>
      <c r="D2232" s="60"/>
      <c r="E2232" s="74">
        <v>2022</v>
      </c>
      <c r="F2232" s="74" t="s">
        <v>489</v>
      </c>
      <c r="G2232" s="61">
        <v>1</v>
      </c>
      <c r="H2232" s="45">
        <v>15</v>
      </c>
      <c r="I2232" s="74">
        <v>21.36281</v>
      </c>
    </row>
    <row r="2233" spans="1:9" s="71" customFormat="1" ht="16.5" hidden="1" customHeight="1" outlineLevel="1" x14ac:dyDescent="0.25">
      <c r="A2233" s="74">
        <v>1300</v>
      </c>
      <c r="B2233" s="45" t="s">
        <v>664</v>
      </c>
      <c r="C2233" s="60" t="s">
        <v>1865</v>
      </c>
      <c r="D2233" s="60"/>
      <c r="E2233" s="74">
        <v>2022</v>
      </c>
      <c r="F2233" s="74" t="s">
        <v>489</v>
      </c>
      <c r="G2233" s="61">
        <v>1</v>
      </c>
      <c r="H2233" s="45">
        <v>70</v>
      </c>
      <c r="I2233" s="74">
        <v>106.99420000000001</v>
      </c>
    </row>
    <row r="2234" spans="1:9" s="71" customFormat="1" ht="16.5" hidden="1" customHeight="1" outlineLevel="1" x14ac:dyDescent="0.25">
      <c r="A2234" s="74">
        <v>1629</v>
      </c>
      <c r="B2234" s="45" t="s">
        <v>664</v>
      </c>
      <c r="C2234" s="60" t="s">
        <v>1866</v>
      </c>
      <c r="D2234" s="60"/>
      <c r="E2234" s="74">
        <v>2022</v>
      </c>
      <c r="F2234" s="74" t="s">
        <v>489</v>
      </c>
      <c r="G2234" s="61">
        <v>1</v>
      </c>
      <c r="H2234" s="45">
        <v>10</v>
      </c>
      <c r="I2234" s="74">
        <v>20.372979999999998</v>
      </c>
    </row>
    <row r="2235" spans="1:9" s="71" customFormat="1" ht="16.5" hidden="1" customHeight="1" outlineLevel="1" x14ac:dyDescent="0.25">
      <c r="A2235" s="74">
        <v>1467</v>
      </c>
      <c r="B2235" s="45" t="s">
        <v>664</v>
      </c>
      <c r="C2235" s="60" t="s">
        <v>1867</v>
      </c>
      <c r="D2235" s="60"/>
      <c r="E2235" s="74">
        <v>2022</v>
      </c>
      <c r="F2235" s="74" t="s">
        <v>489</v>
      </c>
      <c r="G2235" s="61">
        <v>1</v>
      </c>
      <c r="H2235" s="45">
        <v>15</v>
      </c>
      <c r="I2235" s="74">
        <v>43.774450000000002</v>
      </c>
    </row>
    <row r="2236" spans="1:9" s="71" customFormat="1" ht="16.5" hidden="1" customHeight="1" outlineLevel="1" x14ac:dyDescent="0.25">
      <c r="A2236" s="74">
        <v>1585</v>
      </c>
      <c r="B2236" s="45" t="s">
        <v>664</v>
      </c>
      <c r="C2236" s="60" t="s">
        <v>1868</v>
      </c>
      <c r="D2236" s="60"/>
      <c r="E2236" s="74">
        <v>2022</v>
      </c>
      <c r="F2236" s="74" t="s">
        <v>489</v>
      </c>
      <c r="G2236" s="61">
        <v>1</v>
      </c>
      <c r="H2236" s="45">
        <v>15</v>
      </c>
      <c r="I2236" s="74">
        <v>29.345410000000001</v>
      </c>
    </row>
    <row r="2237" spans="1:9" s="71" customFormat="1" ht="16.5" hidden="1" customHeight="1" outlineLevel="1" x14ac:dyDescent="0.25">
      <c r="A2237" s="74">
        <v>1574</v>
      </c>
      <c r="B2237" s="45" t="s">
        <v>664</v>
      </c>
      <c r="C2237" s="60" t="s">
        <v>1869</v>
      </c>
      <c r="D2237" s="60"/>
      <c r="E2237" s="74">
        <v>2022</v>
      </c>
      <c r="F2237" s="74" t="s">
        <v>489</v>
      </c>
      <c r="G2237" s="61">
        <v>1</v>
      </c>
      <c r="H2237" s="45">
        <v>11</v>
      </c>
      <c r="I2237" s="74">
        <v>29.348510000000001</v>
      </c>
    </row>
    <row r="2238" spans="1:9" s="71" customFormat="1" ht="16.5" hidden="1" customHeight="1" outlineLevel="1" x14ac:dyDescent="0.25">
      <c r="A2238" s="74">
        <v>1544</v>
      </c>
      <c r="B2238" s="45" t="s">
        <v>664</v>
      </c>
      <c r="C2238" s="60" t="s">
        <v>1870</v>
      </c>
      <c r="D2238" s="60"/>
      <c r="E2238" s="74">
        <v>2022</v>
      </c>
      <c r="F2238" s="74" t="s">
        <v>489</v>
      </c>
      <c r="G2238" s="61">
        <v>1</v>
      </c>
      <c r="H2238" s="45">
        <v>11.5</v>
      </c>
      <c r="I2238" s="74">
        <v>29.530819999999999</v>
      </c>
    </row>
    <row r="2239" spans="1:9" s="71" customFormat="1" ht="16.5" hidden="1" customHeight="1" outlineLevel="1" x14ac:dyDescent="0.25">
      <c r="A2239" s="74">
        <v>1539</v>
      </c>
      <c r="B2239" s="45" t="s">
        <v>664</v>
      </c>
      <c r="C2239" s="60" t="s">
        <v>1871</v>
      </c>
      <c r="D2239" s="60"/>
      <c r="E2239" s="74">
        <v>2022</v>
      </c>
      <c r="F2239" s="74" t="s">
        <v>489</v>
      </c>
      <c r="G2239" s="61">
        <v>1</v>
      </c>
      <c r="H2239" s="45">
        <v>10</v>
      </c>
      <c r="I2239" s="74">
        <v>27.992619999999999</v>
      </c>
    </row>
    <row r="2240" spans="1:9" s="71" customFormat="1" ht="16.5" hidden="1" customHeight="1" outlineLevel="1" x14ac:dyDescent="0.25">
      <c r="A2240" s="74">
        <v>1540</v>
      </c>
      <c r="B2240" s="45" t="s">
        <v>664</v>
      </c>
      <c r="C2240" s="60" t="s">
        <v>1872</v>
      </c>
      <c r="D2240" s="60"/>
      <c r="E2240" s="74">
        <v>2022</v>
      </c>
      <c r="F2240" s="74" t="s">
        <v>489</v>
      </c>
      <c r="G2240" s="61">
        <v>1</v>
      </c>
      <c r="H2240" s="45">
        <v>10</v>
      </c>
      <c r="I2240" s="74">
        <v>29.114439999999998</v>
      </c>
    </row>
    <row r="2241" spans="1:9" s="71" customFormat="1" ht="16.5" hidden="1" customHeight="1" outlineLevel="1" x14ac:dyDescent="0.25">
      <c r="A2241" s="74">
        <v>1518</v>
      </c>
      <c r="B2241" s="45" t="s">
        <v>664</v>
      </c>
      <c r="C2241" s="60" t="s">
        <v>1873</v>
      </c>
      <c r="D2241" s="60"/>
      <c r="E2241" s="74">
        <v>2022</v>
      </c>
      <c r="F2241" s="74" t="s">
        <v>489</v>
      </c>
      <c r="G2241" s="61">
        <v>1</v>
      </c>
      <c r="H2241" s="45">
        <v>5</v>
      </c>
      <c r="I2241" s="74">
        <v>27.587070000000001</v>
      </c>
    </row>
    <row r="2242" spans="1:9" s="71" customFormat="1" ht="16.5" hidden="1" customHeight="1" outlineLevel="1" x14ac:dyDescent="0.25">
      <c r="A2242" s="74">
        <v>1543</v>
      </c>
      <c r="B2242" s="45" t="s">
        <v>664</v>
      </c>
      <c r="C2242" s="60" t="s">
        <v>1874</v>
      </c>
      <c r="D2242" s="60"/>
      <c r="E2242" s="74">
        <v>2022</v>
      </c>
      <c r="F2242" s="74" t="s">
        <v>489</v>
      </c>
      <c r="G2242" s="61">
        <v>1</v>
      </c>
      <c r="H2242" s="45">
        <v>10</v>
      </c>
      <c r="I2242" s="74">
        <v>28.80339</v>
      </c>
    </row>
    <row r="2243" spans="1:9" s="71" customFormat="1" ht="16.5" hidden="1" customHeight="1" outlineLevel="1" x14ac:dyDescent="0.25">
      <c r="A2243" s="74">
        <v>1516</v>
      </c>
      <c r="B2243" s="45" t="s">
        <v>664</v>
      </c>
      <c r="C2243" s="60" t="s">
        <v>1875</v>
      </c>
      <c r="D2243" s="60"/>
      <c r="E2243" s="74">
        <v>2022</v>
      </c>
      <c r="F2243" s="74" t="s">
        <v>489</v>
      </c>
      <c r="G2243" s="61">
        <v>1</v>
      </c>
      <c r="H2243" s="45">
        <v>15</v>
      </c>
      <c r="I2243" s="74">
        <v>28.28978</v>
      </c>
    </row>
    <row r="2244" spans="1:9" s="71" customFormat="1" ht="16.5" hidden="1" customHeight="1" outlineLevel="1" x14ac:dyDescent="0.25">
      <c r="A2244" s="74">
        <v>1480</v>
      </c>
      <c r="B2244" s="45" t="s">
        <v>664</v>
      </c>
      <c r="C2244" s="60" t="s">
        <v>1876</v>
      </c>
      <c r="D2244" s="60"/>
      <c r="E2244" s="74">
        <v>2022</v>
      </c>
      <c r="F2244" s="74" t="s">
        <v>489</v>
      </c>
      <c r="G2244" s="61">
        <v>1</v>
      </c>
      <c r="H2244" s="45">
        <v>14</v>
      </c>
      <c r="I2244" s="74">
        <v>47.325870000000002</v>
      </c>
    </row>
    <row r="2245" spans="1:9" s="71" customFormat="1" ht="16.5" hidden="1" customHeight="1" outlineLevel="1" x14ac:dyDescent="0.25">
      <c r="A2245" s="74">
        <v>1211</v>
      </c>
      <c r="B2245" s="45" t="s">
        <v>664</v>
      </c>
      <c r="C2245" s="60" t="s">
        <v>1877</v>
      </c>
      <c r="D2245" s="60"/>
      <c r="E2245" s="74">
        <v>2022</v>
      </c>
      <c r="F2245" s="74" t="s">
        <v>489</v>
      </c>
      <c r="G2245" s="61">
        <v>1</v>
      </c>
      <c r="H2245" s="45">
        <v>15</v>
      </c>
      <c r="I2245" s="74">
        <v>29.51773</v>
      </c>
    </row>
    <row r="2246" spans="1:9" s="71" customFormat="1" ht="16.5" hidden="1" customHeight="1" outlineLevel="1" x14ac:dyDescent="0.25">
      <c r="A2246" s="74">
        <v>1478</v>
      </c>
      <c r="B2246" s="45" t="s">
        <v>664</v>
      </c>
      <c r="C2246" s="60" t="s">
        <v>1878</v>
      </c>
      <c r="D2246" s="60"/>
      <c r="E2246" s="74">
        <v>2022</v>
      </c>
      <c r="F2246" s="74" t="s">
        <v>489</v>
      </c>
      <c r="G2246" s="61">
        <v>1</v>
      </c>
      <c r="H2246" s="45">
        <v>11.5</v>
      </c>
      <c r="I2246" s="74">
        <v>29.14348</v>
      </c>
    </row>
    <row r="2247" spans="1:9" s="71" customFormat="1" ht="16.5" hidden="1" customHeight="1" outlineLevel="1" x14ac:dyDescent="0.25">
      <c r="A2247" s="74">
        <v>1542</v>
      </c>
      <c r="B2247" s="45" t="s">
        <v>664</v>
      </c>
      <c r="C2247" s="60" t="s">
        <v>1879</v>
      </c>
      <c r="D2247" s="60"/>
      <c r="E2247" s="74">
        <v>2022</v>
      </c>
      <c r="F2247" s="74" t="s">
        <v>489</v>
      </c>
      <c r="G2247" s="61">
        <v>1</v>
      </c>
      <c r="H2247" s="45">
        <v>10</v>
      </c>
      <c r="I2247" s="74">
        <v>28.895720000000001</v>
      </c>
    </row>
    <row r="2248" spans="1:9" s="71" customFormat="1" ht="16.5" hidden="1" customHeight="1" outlineLevel="1" x14ac:dyDescent="0.25">
      <c r="A2248" s="74">
        <v>1431</v>
      </c>
      <c r="B2248" s="45" t="s">
        <v>664</v>
      </c>
      <c r="C2248" s="60" t="s">
        <v>1880</v>
      </c>
      <c r="D2248" s="60"/>
      <c r="E2248" s="74">
        <v>2022</v>
      </c>
      <c r="F2248" s="74" t="s">
        <v>489</v>
      </c>
      <c r="G2248" s="61">
        <v>1</v>
      </c>
      <c r="H2248" s="45">
        <v>10</v>
      </c>
      <c r="I2248" s="74">
        <v>86.677850000000007</v>
      </c>
    </row>
    <row r="2249" spans="1:9" s="71" customFormat="1" ht="16.5" hidden="1" customHeight="1" outlineLevel="1" x14ac:dyDescent="0.25">
      <c r="A2249" s="74">
        <v>1432</v>
      </c>
      <c r="B2249" s="45" t="s">
        <v>664</v>
      </c>
      <c r="C2249" s="60" t="s">
        <v>1881</v>
      </c>
      <c r="D2249" s="60"/>
      <c r="E2249" s="74">
        <v>2022</v>
      </c>
      <c r="F2249" s="74" t="s">
        <v>489</v>
      </c>
      <c r="G2249" s="61">
        <v>1</v>
      </c>
      <c r="H2249" s="45">
        <v>10</v>
      </c>
      <c r="I2249" s="74">
        <v>85.210419999999999</v>
      </c>
    </row>
    <row r="2250" spans="1:9" s="71" customFormat="1" ht="16.5" hidden="1" customHeight="1" outlineLevel="1" x14ac:dyDescent="0.25">
      <c r="A2250" s="74">
        <v>1546</v>
      </c>
      <c r="B2250" s="45" t="s">
        <v>664</v>
      </c>
      <c r="C2250" s="60" t="s">
        <v>1882</v>
      </c>
      <c r="D2250" s="60"/>
      <c r="E2250" s="74">
        <v>2022</v>
      </c>
      <c r="F2250" s="74" t="s">
        <v>489</v>
      </c>
      <c r="G2250" s="61">
        <v>1</v>
      </c>
      <c r="H2250" s="45">
        <v>10</v>
      </c>
      <c r="I2250" s="74">
        <v>79.431190000000001</v>
      </c>
    </row>
    <row r="2251" spans="1:9" s="71" customFormat="1" ht="16.5" hidden="1" customHeight="1" outlineLevel="1" x14ac:dyDescent="0.25">
      <c r="A2251" s="74">
        <v>1571</v>
      </c>
      <c r="B2251" s="45" t="s">
        <v>664</v>
      </c>
      <c r="C2251" s="60" t="s">
        <v>1883</v>
      </c>
      <c r="D2251" s="60"/>
      <c r="E2251" s="74">
        <v>2022</v>
      </c>
      <c r="F2251" s="74" t="s">
        <v>489</v>
      </c>
      <c r="G2251" s="61">
        <v>1</v>
      </c>
      <c r="H2251" s="45">
        <v>10</v>
      </c>
      <c r="I2251" s="74">
        <v>27.743770000000001</v>
      </c>
    </row>
    <row r="2252" spans="1:9" s="71" customFormat="1" ht="16.5" hidden="1" customHeight="1" outlineLevel="1" x14ac:dyDescent="0.25">
      <c r="A2252" s="74">
        <v>1656</v>
      </c>
      <c r="B2252" s="45" t="s">
        <v>664</v>
      </c>
      <c r="C2252" s="60" t="s">
        <v>1884</v>
      </c>
      <c r="D2252" s="60"/>
      <c r="E2252" s="74">
        <v>2022</v>
      </c>
      <c r="F2252" s="74" t="s">
        <v>489</v>
      </c>
      <c r="G2252" s="61">
        <v>1</v>
      </c>
      <c r="H2252" s="45">
        <v>10</v>
      </c>
      <c r="I2252" s="74">
        <v>21.623889999999999</v>
      </c>
    </row>
    <row r="2253" spans="1:9" s="71" customFormat="1" ht="16.5" hidden="1" customHeight="1" outlineLevel="1" x14ac:dyDescent="0.25">
      <c r="A2253" s="74">
        <v>1657</v>
      </c>
      <c r="B2253" s="45" t="s">
        <v>664</v>
      </c>
      <c r="C2253" s="60" t="s">
        <v>1885</v>
      </c>
      <c r="D2253" s="60"/>
      <c r="E2253" s="74">
        <v>2022</v>
      </c>
      <c r="F2253" s="74" t="s">
        <v>489</v>
      </c>
      <c r="G2253" s="61">
        <v>1</v>
      </c>
      <c r="H2253" s="45">
        <v>15</v>
      </c>
      <c r="I2253" s="74">
        <v>21.58127</v>
      </c>
    </row>
    <row r="2254" spans="1:9" s="71" customFormat="1" ht="16.5" hidden="1" customHeight="1" outlineLevel="1" x14ac:dyDescent="0.25">
      <c r="A2254" s="74">
        <v>1658</v>
      </c>
      <c r="B2254" s="45" t="s">
        <v>664</v>
      </c>
      <c r="C2254" s="60" t="s">
        <v>1886</v>
      </c>
      <c r="D2254" s="60"/>
      <c r="E2254" s="74">
        <v>2022</v>
      </c>
      <c r="F2254" s="74" t="s">
        <v>489</v>
      </c>
      <c r="G2254" s="61">
        <v>1</v>
      </c>
      <c r="H2254" s="45">
        <v>15</v>
      </c>
      <c r="I2254" s="74">
        <v>20.353010000000001</v>
      </c>
    </row>
    <row r="2255" spans="1:9" s="71" customFormat="1" ht="16.5" hidden="1" customHeight="1" outlineLevel="1" x14ac:dyDescent="0.25">
      <c r="A2255" s="74">
        <v>1556</v>
      </c>
      <c r="B2255" s="45" t="s">
        <v>664</v>
      </c>
      <c r="C2255" s="60" t="s">
        <v>1887</v>
      </c>
      <c r="D2255" s="60"/>
      <c r="E2255" s="74">
        <v>2022</v>
      </c>
      <c r="F2255" s="74" t="s">
        <v>489</v>
      </c>
      <c r="G2255" s="61">
        <v>1</v>
      </c>
      <c r="H2255" s="45">
        <v>15</v>
      </c>
      <c r="I2255" s="74">
        <v>27.641110000000001</v>
      </c>
    </row>
    <row r="2256" spans="1:9" s="71" customFormat="1" ht="16.5" hidden="1" customHeight="1" outlineLevel="1" x14ac:dyDescent="0.25">
      <c r="A2256" s="74">
        <v>1416</v>
      </c>
      <c r="B2256" s="45" t="s">
        <v>664</v>
      </c>
      <c r="C2256" s="60" t="s">
        <v>1888</v>
      </c>
      <c r="D2256" s="60"/>
      <c r="E2256" s="74">
        <v>2022</v>
      </c>
      <c r="F2256" s="74" t="s">
        <v>489</v>
      </c>
      <c r="G2256" s="61">
        <v>1</v>
      </c>
      <c r="H2256" s="45">
        <v>15</v>
      </c>
      <c r="I2256" s="74">
        <v>25.94896</v>
      </c>
    </row>
    <row r="2257" spans="1:9" s="71" customFormat="1" ht="16.5" hidden="1" customHeight="1" outlineLevel="1" x14ac:dyDescent="0.25">
      <c r="A2257" s="74">
        <v>1383</v>
      </c>
      <c r="B2257" s="45" t="s">
        <v>664</v>
      </c>
      <c r="C2257" s="60" t="s">
        <v>1889</v>
      </c>
      <c r="D2257" s="60"/>
      <c r="E2257" s="74">
        <v>2022</v>
      </c>
      <c r="F2257" s="74" t="s">
        <v>489</v>
      </c>
      <c r="G2257" s="61">
        <v>1</v>
      </c>
      <c r="H2257" s="45">
        <v>15</v>
      </c>
      <c r="I2257" s="74">
        <v>27.371600000000001</v>
      </c>
    </row>
    <row r="2258" spans="1:9" s="71" customFormat="1" ht="16.5" hidden="1" customHeight="1" outlineLevel="1" x14ac:dyDescent="0.25">
      <c r="A2258" s="74">
        <v>1659</v>
      </c>
      <c r="B2258" s="45" t="s">
        <v>664</v>
      </c>
      <c r="C2258" s="60" t="s">
        <v>1890</v>
      </c>
      <c r="D2258" s="60"/>
      <c r="E2258" s="74">
        <v>2022</v>
      </c>
      <c r="F2258" s="74" t="s">
        <v>489</v>
      </c>
      <c r="G2258" s="61">
        <v>1</v>
      </c>
      <c r="H2258" s="45">
        <v>15</v>
      </c>
      <c r="I2258" s="74">
        <v>20.32394</v>
      </c>
    </row>
    <row r="2259" spans="1:9" s="71" customFormat="1" ht="16.5" hidden="1" customHeight="1" outlineLevel="1" x14ac:dyDescent="0.25">
      <c r="A2259" s="74">
        <v>1569</v>
      </c>
      <c r="B2259" s="45" t="s">
        <v>664</v>
      </c>
      <c r="C2259" s="60" t="s">
        <v>1891</v>
      </c>
      <c r="D2259" s="60"/>
      <c r="E2259" s="74">
        <v>2022</v>
      </c>
      <c r="F2259" s="74" t="s">
        <v>489</v>
      </c>
      <c r="G2259" s="61">
        <v>1</v>
      </c>
      <c r="H2259" s="45">
        <v>10</v>
      </c>
      <c r="I2259" s="74">
        <v>28.20553</v>
      </c>
    </row>
    <row r="2260" spans="1:9" s="71" customFormat="1" ht="16.5" hidden="1" customHeight="1" outlineLevel="1" x14ac:dyDescent="0.25">
      <c r="A2260" s="74">
        <v>1378</v>
      </c>
      <c r="B2260" s="45" t="s">
        <v>664</v>
      </c>
      <c r="C2260" s="60" t="s">
        <v>1892</v>
      </c>
      <c r="D2260" s="60"/>
      <c r="E2260" s="74">
        <v>2022</v>
      </c>
      <c r="F2260" s="74" t="s">
        <v>489</v>
      </c>
      <c r="G2260" s="61">
        <v>1</v>
      </c>
      <c r="H2260" s="45">
        <v>15</v>
      </c>
      <c r="I2260" s="74">
        <v>27.528220000000001</v>
      </c>
    </row>
    <row r="2261" spans="1:9" s="71" customFormat="1" ht="16.5" hidden="1" customHeight="1" outlineLevel="1" x14ac:dyDescent="0.25">
      <c r="A2261" s="74">
        <v>1660</v>
      </c>
      <c r="B2261" s="45" t="s">
        <v>664</v>
      </c>
      <c r="C2261" s="60" t="s">
        <v>1893</v>
      </c>
      <c r="D2261" s="60"/>
      <c r="E2261" s="74">
        <v>2022</v>
      </c>
      <c r="F2261" s="74" t="s">
        <v>489</v>
      </c>
      <c r="G2261" s="61">
        <v>1</v>
      </c>
      <c r="H2261" s="45">
        <v>15</v>
      </c>
      <c r="I2261" s="74">
        <v>20.434280000000001</v>
      </c>
    </row>
    <row r="2262" spans="1:9" s="71" customFormat="1" ht="16.5" hidden="1" customHeight="1" outlineLevel="1" x14ac:dyDescent="0.25">
      <c r="A2262" s="74">
        <v>1582</v>
      </c>
      <c r="B2262" s="45" t="s">
        <v>664</v>
      </c>
      <c r="C2262" s="60" t="s">
        <v>1894</v>
      </c>
      <c r="D2262" s="60"/>
      <c r="E2262" s="74">
        <v>2022</v>
      </c>
      <c r="F2262" s="74" t="s">
        <v>489</v>
      </c>
      <c r="G2262" s="61">
        <v>1</v>
      </c>
      <c r="H2262" s="45">
        <v>12</v>
      </c>
      <c r="I2262" s="74">
        <v>27.355149999999998</v>
      </c>
    </row>
    <row r="2263" spans="1:9" s="71" customFormat="1" ht="16.5" hidden="1" customHeight="1" outlineLevel="1" x14ac:dyDescent="0.25">
      <c r="A2263" s="74">
        <v>1661</v>
      </c>
      <c r="B2263" s="45" t="s">
        <v>664</v>
      </c>
      <c r="C2263" s="60" t="s">
        <v>1895</v>
      </c>
      <c r="D2263" s="60"/>
      <c r="E2263" s="74">
        <v>2022</v>
      </c>
      <c r="F2263" s="74" t="s">
        <v>489</v>
      </c>
      <c r="G2263" s="61">
        <v>1</v>
      </c>
      <c r="H2263" s="45">
        <v>9</v>
      </c>
      <c r="I2263" s="74">
        <v>20.406030000000001</v>
      </c>
    </row>
    <row r="2264" spans="1:9" s="71" customFormat="1" ht="16.5" hidden="1" customHeight="1" outlineLevel="1" x14ac:dyDescent="0.25">
      <c r="A2264" s="74">
        <v>1662</v>
      </c>
      <c r="B2264" s="45" t="s">
        <v>664</v>
      </c>
      <c r="C2264" s="60" t="s">
        <v>1896</v>
      </c>
      <c r="D2264" s="60"/>
      <c r="E2264" s="74">
        <v>2022</v>
      </c>
      <c r="F2264" s="74" t="s">
        <v>489</v>
      </c>
      <c r="G2264" s="61">
        <v>1</v>
      </c>
      <c r="H2264" s="45">
        <v>15</v>
      </c>
      <c r="I2264" s="74">
        <v>20.582090000000001</v>
      </c>
    </row>
    <row r="2265" spans="1:9" s="71" customFormat="1" ht="16.5" hidden="1" customHeight="1" outlineLevel="1" x14ac:dyDescent="0.25">
      <c r="A2265" s="74">
        <v>1586</v>
      </c>
      <c r="B2265" s="45" t="s">
        <v>664</v>
      </c>
      <c r="C2265" s="60" t="s">
        <v>1897</v>
      </c>
      <c r="D2265" s="60"/>
      <c r="E2265" s="74">
        <v>2022</v>
      </c>
      <c r="F2265" s="74" t="s">
        <v>489</v>
      </c>
      <c r="G2265" s="61">
        <v>1</v>
      </c>
      <c r="H2265" s="45">
        <v>15</v>
      </c>
      <c r="I2265" s="74">
        <v>27.349409999999999</v>
      </c>
    </row>
    <row r="2266" spans="1:9" s="71" customFormat="1" ht="16.5" hidden="1" customHeight="1" outlineLevel="1" x14ac:dyDescent="0.25">
      <c r="A2266" s="74">
        <v>1651</v>
      </c>
      <c r="B2266" s="45" t="s">
        <v>664</v>
      </c>
      <c r="C2266" s="60" t="s">
        <v>1898</v>
      </c>
      <c r="D2266" s="60"/>
      <c r="E2266" s="74">
        <v>2022</v>
      </c>
      <c r="F2266" s="74" t="s">
        <v>489</v>
      </c>
      <c r="G2266" s="61">
        <v>1</v>
      </c>
      <c r="H2266" s="45">
        <v>15</v>
      </c>
      <c r="I2266" s="74">
        <v>20.391559999999998</v>
      </c>
    </row>
    <row r="2267" spans="1:9" s="71" customFormat="1" ht="16.5" hidden="1" customHeight="1" outlineLevel="1" x14ac:dyDescent="0.25">
      <c r="A2267" s="74">
        <v>1558</v>
      </c>
      <c r="B2267" s="45" t="s">
        <v>664</v>
      </c>
      <c r="C2267" s="60" t="s">
        <v>1899</v>
      </c>
      <c r="D2267" s="60"/>
      <c r="E2267" s="74">
        <v>2022</v>
      </c>
      <c r="F2267" s="74" t="s">
        <v>489</v>
      </c>
      <c r="G2267" s="61">
        <v>1</v>
      </c>
      <c r="H2267" s="45">
        <v>15</v>
      </c>
      <c r="I2267" s="74">
        <v>27.349409999999999</v>
      </c>
    </row>
    <row r="2268" spans="1:9" s="71" customFormat="1" ht="16.5" hidden="1" customHeight="1" outlineLevel="1" x14ac:dyDescent="0.25">
      <c r="A2268" s="74">
        <v>1301</v>
      </c>
      <c r="B2268" s="45" t="s">
        <v>664</v>
      </c>
      <c r="C2268" s="60" t="s">
        <v>1900</v>
      </c>
      <c r="D2268" s="60"/>
      <c r="E2268" s="74">
        <v>2022</v>
      </c>
      <c r="F2268" s="74" t="s">
        <v>489</v>
      </c>
      <c r="G2268" s="61">
        <v>1</v>
      </c>
      <c r="H2268" s="45">
        <v>14</v>
      </c>
      <c r="I2268" s="74">
        <v>27.582529999999998</v>
      </c>
    </row>
    <row r="2269" spans="1:9" s="71" customFormat="1" ht="16.5" hidden="1" customHeight="1" outlineLevel="1" x14ac:dyDescent="0.25">
      <c r="A2269" s="74">
        <v>1652</v>
      </c>
      <c r="B2269" s="45" t="s">
        <v>664</v>
      </c>
      <c r="C2269" s="60" t="s">
        <v>1901</v>
      </c>
      <c r="D2269" s="60"/>
      <c r="E2269" s="74">
        <v>2022</v>
      </c>
      <c r="F2269" s="74" t="s">
        <v>489</v>
      </c>
      <c r="G2269" s="61">
        <v>1</v>
      </c>
      <c r="H2269" s="45">
        <v>15</v>
      </c>
      <c r="I2269" s="74">
        <v>20.391549999999999</v>
      </c>
    </row>
    <row r="2270" spans="1:9" s="71" customFormat="1" ht="16.5" hidden="1" customHeight="1" outlineLevel="1" x14ac:dyDescent="0.25">
      <c r="A2270" s="74">
        <v>1336</v>
      </c>
      <c r="B2270" s="45" t="s">
        <v>664</v>
      </c>
      <c r="C2270" s="60" t="s">
        <v>1902</v>
      </c>
      <c r="D2270" s="60"/>
      <c r="E2270" s="74">
        <v>2022</v>
      </c>
      <c r="F2270" s="74" t="s">
        <v>489</v>
      </c>
      <c r="G2270" s="61">
        <v>1</v>
      </c>
      <c r="H2270" s="45">
        <v>10</v>
      </c>
      <c r="I2270" s="74">
        <v>27.122769999999999</v>
      </c>
    </row>
    <row r="2271" spans="1:9" s="71" customFormat="1" ht="16.5" hidden="1" customHeight="1" outlineLevel="1" x14ac:dyDescent="0.25">
      <c r="A2271" s="74">
        <v>1511</v>
      </c>
      <c r="B2271" s="45" t="s">
        <v>664</v>
      </c>
      <c r="C2271" s="60" t="s">
        <v>1903</v>
      </c>
      <c r="D2271" s="60"/>
      <c r="E2271" s="74">
        <v>2022</v>
      </c>
      <c r="F2271" s="74" t="s">
        <v>489</v>
      </c>
      <c r="G2271" s="61">
        <v>1</v>
      </c>
      <c r="H2271" s="45">
        <v>14</v>
      </c>
      <c r="I2271" s="74">
        <v>29.015250000000002</v>
      </c>
    </row>
    <row r="2272" spans="1:9" s="71" customFormat="1" ht="16.5" hidden="1" customHeight="1" outlineLevel="1" x14ac:dyDescent="0.25">
      <c r="A2272" s="74">
        <v>1510</v>
      </c>
      <c r="B2272" s="45" t="s">
        <v>664</v>
      </c>
      <c r="C2272" s="60" t="s">
        <v>1904</v>
      </c>
      <c r="D2272" s="60"/>
      <c r="E2272" s="74">
        <v>2022</v>
      </c>
      <c r="F2272" s="74" t="s">
        <v>489</v>
      </c>
      <c r="G2272" s="61">
        <v>1</v>
      </c>
      <c r="H2272" s="45">
        <v>14</v>
      </c>
      <c r="I2272" s="74">
        <v>29.015250000000002</v>
      </c>
    </row>
    <row r="2273" spans="1:9" s="71" customFormat="1" ht="16.5" hidden="1" customHeight="1" outlineLevel="1" x14ac:dyDescent="0.25">
      <c r="A2273" s="74">
        <v>1512</v>
      </c>
      <c r="B2273" s="45" t="s">
        <v>664</v>
      </c>
      <c r="C2273" s="60" t="s">
        <v>1905</v>
      </c>
      <c r="D2273" s="60"/>
      <c r="E2273" s="74">
        <v>2022</v>
      </c>
      <c r="F2273" s="74" t="s">
        <v>489</v>
      </c>
      <c r="G2273" s="61">
        <v>1</v>
      </c>
      <c r="H2273" s="45">
        <v>14</v>
      </c>
      <c r="I2273" s="74">
        <v>29.015219999999999</v>
      </c>
    </row>
    <row r="2274" spans="1:9" s="71" customFormat="1" ht="16.5" hidden="1" customHeight="1" outlineLevel="1" x14ac:dyDescent="0.25">
      <c r="A2274" s="74">
        <v>1485</v>
      </c>
      <c r="B2274" s="45" t="s">
        <v>664</v>
      </c>
      <c r="C2274" s="60" t="s">
        <v>1906</v>
      </c>
      <c r="D2274" s="60"/>
      <c r="E2274" s="74">
        <v>2022</v>
      </c>
      <c r="F2274" s="74" t="s">
        <v>489</v>
      </c>
      <c r="G2274" s="61">
        <v>1</v>
      </c>
      <c r="H2274" s="45">
        <v>14</v>
      </c>
      <c r="I2274" s="74">
        <v>36.839280000000002</v>
      </c>
    </row>
    <row r="2275" spans="1:9" s="71" customFormat="1" ht="16.5" hidden="1" customHeight="1" outlineLevel="1" x14ac:dyDescent="0.25">
      <c r="A2275" s="74">
        <v>1626</v>
      </c>
      <c r="B2275" s="45" t="s">
        <v>664</v>
      </c>
      <c r="C2275" s="60" t="s">
        <v>1907</v>
      </c>
      <c r="D2275" s="60"/>
      <c r="E2275" s="74">
        <v>2022</v>
      </c>
      <c r="F2275" s="74" t="s">
        <v>489</v>
      </c>
      <c r="G2275" s="61">
        <v>1</v>
      </c>
      <c r="H2275" s="45">
        <v>10</v>
      </c>
      <c r="I2275" s="74">
        <v>20.923310000000001</v>
      </c>
    </row>
    <row r="2276" spans="1:9" s="71" customFormat="1" ht="16.5" hidden="1" customHeight="1" outlineLevel="1" x14ac:dyDescent="0.25">
      <c r="A2276" s="74">
        <v>1622</v>
      </c>
      <c r="B2276" s="45" t="s">
        <v>664</v>
      </c>
      <c r="C2276" s="60" t="s">
        <v>1908</v>
      </c>
      <c r="D2276" s="60"/>
      <c r="E2276" s="74">
        <v>2022</v>
      </c>
      <c r="F2276" s="74" t="s">
        <v>489</v>
      </c>
      <c r="G2276" s="61">
        <v>1</v>
      </c>
      <c r="H2276" s="45">
        <v>15</v>
      </c>
      <c r="I2276" s="74">
        <v>20.190079999999998</v>
      </c>
    </row>
    <row r="2277" spans="1:9" s="71" customFormat="1" ht="16.5" hidden="1" customHeight="1" outlineLevel="1" x14ac:dyDescent="0.25">
      <c r="A2277" s="74">
        <v>1620</v>
      </c>
      <c r="B2277" s="45" t="s">
        <v>664</v>
      </c>
      <c r="C2277" s="60" t="s">
        <v>1909</v>
      </c>
      <c r="D2277" s="60"/>
      <c r="E2277" s="74">
        <v>2022</v>
      </c>
      <c r="F2277" s="74" t="s">
        <v>489</v>
      </c>
      <c r="G2277" s="61">
        <v>1</v>
      </c>
      <c r="H2277" s="45">
        <v>10</v>
      </c>
      <c r="I2277" s="74">
        <v>20.587530000000001</v>
      </c>
    </row>
    <row r="2278" spans="1:9" s="71" customFormat="1" ht="16.5" hidden="1" customHeight="1" outlineLevel="1" x14ac:dyDescent="0.25">
      <c r="A2278" s="74">
        <v>1625</v>
      </c>
      <c r="B2278" s="45" t="s">
        <v>664</v>
      </c>
      <c r="C2278" s="60" t="s">
        <v>1910</v>
      </c>
      <c r="D2278" s="60"/>
      <c r="E2278" s="74">
        <v>2022</v>
      </c>
      <c r="F2278" s="74" t="s">
        <v>489</v>
      </c>
      <c r="G2278" s="61">
        <v>1</v>
      </c>
      <c r="H2278" s="45">
        <v>10</v>
      </c>
      <c r="I2278" s="74">
        <v>20.158169999999998</v>
      </c>
    </row>
    <row r="2279" spans="1:9" s="71" customFormat="1" ht="16.5" hidden="1" customHeight="1" outlineLevel="1" x14ac:dyDescent="0.25">
      <c r="A2279" s="74">
        <v>1619</v>
      </c>
      <c r="B2279" s="45" t="s">
        <v>664</v>
      </c>
      <c r="C2279" s="60" t="s">
        <v>1911</v>
      </c>
      <c r="D2279" s="60"/>
      <c r="E2279" s="74">
        <v>2022</v>
      </c>
      <c r="F2279" s="74" t="s">
        <v>489</v>
      </c>
      <c r="G2279" s="61">
        <v>1</v>
      </c>
      <c r="H2279" s="45">
        <v>15</v>
      </c>
      <c r="I2279" s="74">
        <v>20.587530000000001</v>
      </c>
    </row>
    <row r="2280" spans="1:9" s="71" customFormat="1" ht="16.5" hidden="1" customHeight="1" outlineLevel="1" x14ac:dyDescent="0.25">
      <c r="A2280" s="74">
        <v>1623</v>
      </c>
      <c r="B2280" s="45" t="s">
        <v>664</v>
      </c>
      <c r="C2280" s="60" t="s">
        <v>1912</v>
      </c>
      <c r="D2280" s="60"/>
      <c r="E2280" s="74">
        <v>2022</v>
      </c>
      <c r="F2280" s="74" t="s">
        <v>489</v>
      </c>
      <c r="G2280" s="61">
        <v>1</v>
      </c>
      <c r="H2280" s="45">
        <v>10</v>
      </c>
      <c r="I2280" s="74">
        <v>20.19012</v>
      </c>
    </row>
    <row r="2281" spans="1:9" s="71" customFormat="1" ht="16.5" hidden="1" customHeight="1" outlineLevel="1" x14ac:dyDescent="0.25">
      <c r="A2281" s="74">
        <v>1618</v>
      </c>
      <c r="B2281" s="45" t="s">
        <v>664</v>
      </c>
      <c r="C2281" s="60" t="s">
        <v>1913</v>
      </c>
      <c r="D2281" s="60"/>
      <c r="E2281" s="74">
        <v>2022</v>
      </c>
      <c r="F2281" s="74" t="s">
        <v>489</v>
      </c>
      <c r="G2281" s="61">
        <v>1</v>
      </c>
      <c r="H2281" s="45">
        <v>15</v>
      </c>
      <c r="I2281" s="74">
        <v>20.587579999999999</v>
      </c>
    </row>
    <row r="2282" spans="1:9" s="71" customFormat="1" ht="16.5" hidden="1" customHeight="1" outlineLevel="1" x14ac:dyDescent="0.25">
      <c r="A2282" s="74">
        <v>1617</v>
      </c>
      <c r="B2282" s="45" t="s">
        <v>664</v>
      </c>
      <c r="C2282" s="60" t="s">
        <v>1914</v>
      </c>
      <c r="D2282" s="60"/>
      <c r="E2282" s="74">
        <v>2022</v>
      </c>
      <c r="F2282" s="74" t="s">
        <v>489</v>
      </c>
      <c r="G2282" s="61">
        <v>1</v>
      </c>
      <c r="H2282" s="45">
        <v>15</v>
      </c>
      <c r="I2282" s="74">
        <v>20.587579999999999</v>
      </c>
    </row>
    <row r="2283" spans="1:9" s="71" customFormat="1" ht="16.5" hidden="1" customHeight="1" outlineLevel="1" x14ac:dyDescent="0.25">
      <c r="A2283" s="74">
        <v>1410</v>
      </c>
      <c r="B2283" s="45" t="s">
        <v>664</v>
      </c>
      <c r="C2283" s="60" t="s">
        <v>1915</v>
      </c>
      <c r="D2283" s="60"/>
      <c r="E2283" s="74">
        <v>2022</v>
      </c>
      <c r="F2283" s="74" t="s">
        <v>489</v>
      </c>
      <c r="G2283" s="61">
        <v>1</v>
      </c>
      <c r="H2283" s="45">
        <v>5</v>
      </c>
      <c r="I2283" s="74">
        <v>53.881999999999998</v>
      </c>
    </row>
    <row r="2284" spans="1:9" s="71" customFormat="1" ht="16.5" hidden="1" customHeight="1" outlineLevel="1" x14ac:dyDescent="0.25">
      <c r="A2284" s="74">
        <v>1353</v>
      </c>
      <c r="B2284" s="45" t="s">
        <v>664</v>
      </c>
      <c r="C2284" s="60" t="s">
        <v>1916</v>
      </c>
      <c r="D2284" s="60"/>
      <c r="E2284" s="74">
        <v>2022</v>
      </c>
      <c r="F2284" s="74" t="s">
        <v>489</v>
      </c>
      <c r="G2284" s="61">
        <v>1</v>
      </c>
      <c r="H2284" s="45">
        <v>10</v>
      </c>
      <c r="I2284" s="74">
        <v>26.2971</v>
      </c>
    </row>
    <row r="2285" spans="1:9" s="71" customFormat="1" ht="16.5" hidden="1" customHeight="1" outlineLevel="1" x14ac:dyDescent="0.25">
      <c r="A2285" s="74">
        <v>1091</v>
      </c>
      <c r="B2285" s="45" t="s">
        <v>664</v>
      </c>
      <c r="C2285" s="60" t="s">
        <v>1917</v>
      </c>
      <c r="D2285" s="60"/>
      <c r="E2285" s="74">
        <v>2022</v>
      </c>
      <c r="F2285" s="74" t="s">
        <v>489</v>
      </c>
      <c r="G2285" s="61">
        <v>1</v>
      </c>
      <c r="H2285" s="45">
        <v>15</v>
      </c>
      <c r="I2285" s="74">
        <v>34.563160000000003</v>
      </c>
    </row>
    <row r="2286" spans="1:9" s="71" customFormat="1" ht="16.5" hidden="1" customHeight="1" outlineLevel="1" x14ac:dyDescent="0.25">
      <c r="A2286" s="74">
        <v>1437</v>
      </c>
      <c r="B2286" s="45" t="s">
        <v>664</v>
      </c>
      <c r="C2286" s="60" t="s">
        <v>1918</v>
      </c>
      <c r="D2286" s="60"/>
      <c r="E2286" s="74">
        <v>2022</v>
      </c>
      <c r="F2286" s="74" t="s">
        <v>489</v>
      </c>
      <c r="G2286" s="61">
        <v>1</v>
      </c>
      <c r="H2286" s="45">
        <v>10</v>
      </c>
      <c r="I2286" s="74">
        <v>26.615690000000001</v>
      </c>
    </row>
    <row r="2287" spans="1:9" s="71" customFormat="1" ht="16.5" hidden="1" customHeight="1" outlineLevel="1" x14ac:dyDescent="0.25">
      <c r="A2287" s="74">
        <v>1120</v>
      </c>
      <c r="B2287" s="45" t="s">
        <v>664</v>
      </c>
      <c r="C2287" s="60" t="s">
        <v>1919</v>
      </c>
      <c r="D2287" s="60"/>
      <c r="E2287" s="74">
        <v>2022</v>
      </c>
      <c r="F2287" s="74" t="s">
        <v>489</v>
      </c>
      <c r="G2287" s="61">
        <v>1</v>
      </c>
      <c r="H2287" s="45">
        <v>15</v>
      </c>
      <c r="I2287" s="74">
        <v>35.29101</v>
      </c>
    </row>
    <row r="2288" spans="1:9" s="71" customFormat="1" ht="16.5" hidden="1" customHeight="1" outlineLevel="1" x14ac:dyDescent="0.25">
      <c r="A2288" s="74">
        <v>1076</v>
      </c>
      <c r="B2288" s="45" t="s">
        <v>664</v>
      </c>
      <c r="C2288" s="60" t="s">
        <v>1920</v>
      </c>
      <c r="D2288" s="60"/>
      <c r="E2288" s="74">
        <v>2022</v>
      </c>
      <c r="F2288" s="74" t="s">
        <v>489</v>
      </c>
      <c r="G2288" s="61">
        <v>1</v>
      </c>
      <c r="H2288" s="45">
        <v>10.79</v>
      </c>
      <c r="I2288" s="74">
        <v>34.417389999999997</v>
      </c>
    </row>
    <row r="2289" spans="1:9" s="71" customFormat="1" ht="16.5" hidden="1" customHeight="1" outlineLevel="1" x14ac:dyDescent="0.25">
      <c r="A2289" s="74">
        <v>1119</v>
      </c>
      <c r="B2289" s="45" t="s">
        <v>664</v>
      </c>
      <c r="C2289" s="60" t="s">
        <v>1921</v>
      </c>
      <c r="D2289" s="60"/>
      <c r="E2289" s="74">
        <v>2022</v>
      </c>
      <c r="F2289" s="74" t="s">
        <v>489</v>
      </c>
      <c r="G2289" s="61">
        <v>1</v>
      </c>
      <c r="H2289" s="45">
        <v>10</v>
      </c>
      <c r="I2289" s="74">
        <v>34.524479999999997</v>
      </c>
    </row>
    <row r="2290" spans="1:9" s="71" customFormat="1" ht="16.5" hidden="1" customHeight="1" outlineLevel="1" x14ac:dyDescent="0.25">
      <c r="A2290" s="74">
        <v>1457</v>
      </c>
      <c r="B2290" s="45" t="s">
        <v>664</v>
      </c>
      <c r="C2290" s="60" t="s">
        <v>1922</v>
      </c>
      <c r="D2290" s="60"/>
      <c r="E2290" s="74">
        <v>2022</v>
      </c>
      <c r="F2290" s="74" t="s">
        <v>489</v>
      </c>
      <c r="G2290" s="61">
        <v>1</v>
      </c>
      <c r="H2290" s="45">
        <v>10</v>
      </c>
      <c r="I2290" s="74">
        <v>25.540939999999999</v>
      </c>
    </row>
    <row r="2291" spans="1:9" s="71" customFormat="1" ht="16.5" hidden="1" customHeight="1" outlineLevel="1" x14ac:dyDescent="0.25">
      <c r="A2291" s="74">
        <v>1192</v>
      </c>
      <c r="B2291" s="45" t="s">
        <v>664</v>
      </c>
      <c r="C2291" s="60" t="s">
        <v>1923</v>
      </c>
      <c r="D2291" s="60"/>
      <c r="E2291" s="74">
        <v>2022</v>
      </c>
      <c r="F2291" s="74" t="s">
        <v>489</v>
      </c>
      <c r="G2291" s="61">
        <v>1</v>
      </c>
      <c r="H2291" s="45">
        <v>15</v>
      </c>
      <c r="I2291" s="74">
        <v>32.142670000000003</v>
      </c>
    </row>
    <row r="2292" spans="1:9" s="71" customFormat="1" ht="16.5" hidden="1" customHeight="1" outlineLevel="1" x14ac:dyDescent="0.25">
      <c r="A2292" s="74">
        <v>1289</v>
      </c>
      <c r="B2292" s="45" t="s">
        <v>664</v>
      </c>
      <c r="C2292" s="60" t="s">
        <v>1924</v>
      </c>
      <c r="D2292" s="60"/>
      <c r="E2292" s="74">
        <v>2022</v>
      </c>
      <c r="F2292" s="74" t="s">
        <v>489</v>
      </c>
      <c r="G2292" s="61">
        <v>1</v>
      </c>
      <c r="H2292" s="45">
        <v>11.68</v>
      </c>
      <c r="I2292" s="74">
        <v>25.702279999999998</v>
      </c>
    </row>
    <row r="2293" spans="1:9" s="71" customFormat="1" ht="16.5" hidden="1" customHeight="1" outlineLevel="1" x14ac:dyDescent="0.25">
      <c r="A2293" s="74">
        <v>1641</v>
      </c>
      <c r="B2293" s="45" t="s">
        <v>664</v>
      </c>
      <c r="C2293" s="60" t="s">
        <v>1925</v>
      </c>
      <c r="D2293" s="60"/>
      <c r="E2293" s="74">
        <v>2022</v>
      </c>
      <c r="F2293" s="74" t="s">
        <v>489</v>
      </c>
      <c r="G2293" s="61">
        <v>1</v>
      </c>
      <c r="H2293" s="45">
        <v>10</v>
      </c>
      <c r="I2293" s="74">
        <v>21.734159999999999</v>
      </c>
    </row>
    <row r="2294" spans="1:9" s="71" customFormat="1" ht="16.5" hidden="1" customHeight="1" outlineLevel="1" x14ac:dyDescent="0.25">
      <c r="A2294" s="74">
        <v>1642</v>
      </c>
      <c r="B2294" s="45" t="s">
        <v>664</v>
      </c>
      <c r="C2294" s="60" t="s">
        <v>1926</v>
      </c>
      <c r="D2294" s="60"/>
      <c r="E2294" s="74">
        <v>2022</v>
      </c>
      <c r="F2294" s="74" t="s">
        <v>489</v>
      </c>
      <c r="G2294" s="61">
        <v>1</v>
      </c>
      <c r="H2294" s="45">
        <v>10</v>
      </c>
      <c r="I2294" s="74">
        <v>20.861640000000001</v>
      </c>
    </row>
    <row r="2295" spans="1:9" s="71" customFormat="1" ht="16.5" hidden="1" customHeight="1" outlineLevel="1" x14ac:dyDescent="0.25">
      <c r="A2295" s="74">
        <v>1644</v>
      </c>
      <c r="B2295" s="45" t="s">
        <v>664</v>
      </c>
      <c r="C2295" s="60" t="s">
        <v>1927</v>
      </c>
      <c r="D2295" s="60"/>
      <c r="E2295" s="74">
        <v>2022</v>
      </c>
      <c r="F2295" s="74" t="s">
        <v>489</v>
      </c>
      <c r="G2295" s="61">
        <v>1</v>
      </c>
      <c r="H2295" s="45">
        <v>10</v>
      </c>
      <c r="I2295" s="74">
        <v>20.861609999999999</v>
      </c>
    </row>
    <row r="2296" spans="1:9" s="71" customFormat="1" ht="16.5" hidden="1" customHeight="1" outlineLevel="1" x14ac:dyDescent="0.25">
      <c r="A2296" s="74">
        <v>1643</v>
      </c>
      <c r="B2296" s="45" t="s">
        <v>664</v>
      </c>
      <c r="C2296" s="60" t="s">
        <v>1928</v>
      </c>
      <c r="D2296" s="60"/>
      <c r="E2296" s="74">
        <v>2022</v>
      </c>
      <c r="F2296" s="74" t="s">
        <v>489</v>
      </c>
      <c r="G2296" s="61">
        <v>1</v>
      </c>
      <c r="H2296" s="45">
        <v>10</v>
      </c>
      <c r="I2296" s="74">
        <v>20.861319999999999</v>
      </c>
    </row>
    <row r="2297" spans="1:9" s="71" customFormat="1" ht="16.5" hidden="1" customHeight="1" outlineLevel="1" x14ac:dyDescent="0.25">
      <c r="A2297" s="74">
        <v>1634</v>
      </c>
      <c r="B2297" s="45" t="s">
        <v>664</v>
      </c>
      <c r="C2297" s="60" t="s">
        <v>1929</v>
      </c>
      <c r="D2297" s="60"/>
      <c r="E2297" s="74">
        <v>2022</v>
      </c>
      <c r="F2297" s="74" t="s">
        <v>489</v>
      </c>
      <c r="G2297" s="61">
        <v>1</v>
      </c>
      <c r="H2297" s="45">
        <v>15</v>
      </c>
      <c r="I2297" s="74">
        <v>20.151540000000001</v>
      </c>
    </row>
    <row r="2298" spans="1:9" s="71" customFormat="1" ht="16.5" hidden="1" customHeight="1" outlineLevel="1" x14ac:dyDescent="0.25">
      <c r="A2298" s="74">
        <v>1559</v>
      </c>
      <c r="B2298" s="45" t="s">
        <v>664</v>
      </c>
      <c r="C2298" s="60" t="s">
        <v>1930</v>
      </c>
      <c r="D2298" s="60"/>
      <c r="E2298" s="74">
        <v>2022</v>
      </c>
      <c r="F2298" s="74" t="s">
        <v>489</v>
      </c>
      <c r="G2298" s="61">
        <v>1</v>
      </c>
      <c r="H2298" s="45">
        <v>11</v>
      </c>
      <c r="I2298" s="74">
        <v>28.317489999999999</v>
      </c>
    </row>
    <row r="2299" spans="1:9" s="71" customFormat="1" ht="16.5" hidden="1" customHeight="1" outlineLevel="1" x14ac:dyDescent="0.25">
      <c r="A2299" s="74">
        <v>1560</v>
      </c>
      <c r="B2299" s="45" t="s">
        <v>664</v>
      </c>
      <c r="C2299" s="60" t="s">
        <v>1931</v>
      </c>
      <c r="D2299" s="60"/>
      <c r="E2299" s="74">
        <v>2022</v>
      </c>
      <c r="F2299" s="74" t="s">
        <v>489</v>
      </c>
      <c r="G2299" s="61">
        <v>1</v>
      </c>
      <c r="H2299" s="45">
        <v>10</v>
      </c>
      <c r="I2299" s="74">
        <v>29.830819999999999</v>
      </c>
    </row>
    <row r="2300" spans="1:9" s="71" customFormat="1" ht="16.5" hidden="1" customHeight="1" outlineLevel="1" x14ac:dyDescent="0.25">
      <c r="A2300" s="74">
        <v>1635</v>
      </c>
      <c r="B2300" s="45" t="s">
        <v>664</v>
      </c>
      <c r="C2300" s="60" t="s">
        <v>1932</v>
      </c>
      <c r="D2300" s="60"/>
      <c r="E2300" s="74">
        <v>2022</v>
      </c>
      <c r="F2300" s="74" t="s">
        <v>489</v>
      </c>
      <c r="G2300" s="61">
        <v>1</v>
      </c>
      <c r="H2300" s="45">
        <v>10</v>
      </c>
      <c r="I2300" s="74">
        <v>20.337399999999999</v>
      </c>
    </row>
    <row r="2301" spans="1:9" s="71" customFormat="1" ht="16.5" hidden="1" customHeight="1" outlineLevel="1" x14ac:dyDescent="0.25">
      <c r="A2301" s="74">
        <v>1636</v>
      </c>
      <c r="B2301" s="45" t="s">
        <v>664</v>
      </c>
      <c r="C2301" s="60" t="s">
        <v>1933</v>
      </c>
      <c r="D2301" s="60"/>
      <c r="E2301" s="74">
        <v>2022</v>
      </c>
      <c r="F2301" s="74" t="s">
        <v>489</v>
      </c>
      <c r="G2301" s="61">
        <v>1</v>
      </c>
      <c r="H2301" s="45">
        <v>10</v>
      </c>
      <c r="I2301" s="74">
        <v>20.208839999999999</v>
      </c>
    </row>
    <row r="2302" spans="1:9" s="71" customFormat="1" ht="16.5" hidden="1" customHeight="1" outlineLevel="1" x14ac:dyDescent="0.25">
      <c r="A2302" s="74">
        <v>1639</v>
      </c>
      <c r="B2302" s="45" t="s">
        <v>664</v>
      </c>
      <c r="C2302" s="60" t="s">
        <v>1934</v>
      </c>
      <c r="D2302" s="60"/>
      <c r="E2302" s="74">
        <v>2022</v>
      </c>
      <c r="F2302" s="74" t="s">
        <v>489</v>
      </c>
      <c r="G2302" s="61">
        <v>1</v>
      </c>
      <c r="H2302" s="45">
        <v>4.5</v>
      </c>
      <c r="I2302" s="74">
        <v>20.208819999999999</v>
      </c>
    </row>
    <row r="2303" spans="1:9" s="71" customFormat="1" ht="16.5" hidden="1" customHeight="1" outlineLevel="1" x14ac:dyDescent="0.25">
      <c r="A2303" s="74">
        <v>1637</v>
      </c>
      <c r="B2303" s="45" t="s">
        <v>664</v>
      </c>
      <c r="C2303" s="60" t="s">
        <v>1935</v>
      </c>
      <c r="D2303" s="60"/>
      <c r="E2303" s="74">
        <v>2022</v>
      </c>
      <c r="F2303" s="74" t="s">
        <v>489</v>
      </c>
      <c r="G2303" s="61">
        <v>1</v>
      </c>
      <c r="H2303" s="45">
        <v>13.5</v>
      </c>
      <c r="I2303" s="74">
        <v>20.336449999999999</v>
      </c>
    </row>
    <row r="2304" spans="1:9" s="71" customFormat="1" ht="16.5" hidden="1" customHeight="1" outlineLevel="1" x14ac:dyDescent="0.25">
      <c r="A2304" s="74">
        <v>1596</v>
      </c>
      <c r="B2304" s="45" t="s">
        <v>664</v>
      </c>
      <c r="C2304" s="60" t="s">
        <v>1936</v>
      </c>
      <c r="D2304" s="60"/>
      <c r="E2304" s="74">
        <v>2022</v>
      </c>
      <c r="F2304" s="74" t="s">
        <v>489</v>
      </c>
      <c r="G2304" s="61">
        <v>1</v>
      </c>
      <c r="H2304" s="45">
        <v>10</v>
      </c>
      <c r="I2304" s="74">
        <v>20.69511</v>
      </c>
    </row>
    <row r="2305" spans="1:9" s="71" customFormat="1" ht="16.5" hidden="1" customHeight="1" outlineLevel="1" x14ac:dyDescent="0.25">
      <c r="A2305" s="74">
        <v>1638</v>
      </c>
      <c r="B2305" s="45" t="s">
        <v>664</v>
      </c>
      <c r="C2305" s="60" t="s">
        <v>1937</v>
      </c>
      <c r="D2305" s="60"/>
      <c r="E2305" s="74">
        <v>2022</v>
      </c>
      <c r="F2305" s="74" t="s">
        <v>489</v>
      </c>
      <c r="G2305" s="61">
        <v>1</v>
      </c>
      <c r="H2305" s="45">
        <v>10</v>
      </c>
      <c r="I2305" s="74">
        <v>20.015930000000001</v>
      </c>
    </row>
    <row r="2306" spans="1:9" s="71" customFormat="1" ht="16.5" hidden="1" customHeight="1" outlineLevel="1" x14ac:dyDescent="0.25">
      <c r="A2306" s="74">
        <v>1640</v>
      </c>
      <c r="B2306" s="45" t="s">
        <v>664</v>
      </c>
      <c r="C2306" s="60" t="s">
        <v>1938</v>
      </c>
      <c r="D2306" s="60"/>
      <c r="E2306" s="74">
        <v>2022</v>
      </c>
      <c r="F2306" s="74" t="s">
        <v>489</v>
      </c>
      <c r="G2306" s="61">
        <v>1</v>
      </c>
      <c r="H2306" s="45">
        <v>10</v>
      </c>
      <c r="I2306" s="74">
        <v>20.337340000000001</v>
      </c>
    </row>
    <row r="2307" spans="1:9" s="71" customFormat="1" ht="16.5" hidden="1" customHeight="1" outlineLevel="1" x14ac:dyDescent="0.25">
      <c r="A2307" s="74">
        <v>1615</v>
      </c>
      <c r="B2307" s="45" t="s">
        <v>664</v>
      </c>
      <c r="C2307" s="60" t="s">
        <v>1939</v>
      </c>
      <c r="D2307" s="60"/>
      <c r="E2307" s="74">
        <v>2022</v>
      </c>
      <c r="F2307" s="74" t="s">
        <v>489</v>
      </c>
      <c r="G2307" s="61">
        <v>1</v>
      </c>
      <c r="H2307" s="45">
        <v>10</v>
      </c>
      <c r="I2307" s="74">
        <v>21.12482</v>
      </c>
    </row>
    <row r="2308" spans="1:9" s="71" customFormat="1" ht="16.5" hidden="1" customHeight="1" outlineLevel="1" x14ac:dyDescent="0.25">
      <c r="A2308" s="74">
        <v>1613</v>
      </c>
      <c r="B2308" s="45" t="s">
        <v>664</v>
      </c>
      <c r="C2308" s="60" t="s">
        <v>1940</v>
      </c>
      <c r="D2308" s="60"/>
      <c r="E2308" s="74">
        <v>2022</v>
      </c>
      <c r="F2308" s="74" t="s">
        <v>489</v>
      </c>
      <c r="G2308" s="61">
        <v>1</v>
      </c>
      <c r="H2308" s="45">
        <v>10</v>
      </c>
      <c r="I2308" s="74">
        <v>21.12481</v>
      </c>
    </row>
    <row r="2309" spans="1:9" s="71" customFormat="1" ht="16.5" hidden="1" customHeight="1" outlineLevel="1" x14ac:dyDescent="0.25">
      <c r="A2309" s="74">
        <v>1575</v>
      </c>
      <c r="B2309" s="45" t="s">
        <v>664</v>
      </c>
      <c r="C2309" s="60" t="s">
        <v>1941</v>
      </c>
      <c r="D2309" s="60"/>
      <c r="E2309" s="74">
        <v>2022</v>
      </c>
      <c r="F2309" s="74" t="s">
        <v>489</v>
      </c>
      <c r="G2309" s="61">
        <v>1</v>
      </c>
      <c r="H2309" s="45">
        <v>10</v>
      </c>
      <c r="I2309" s="74">
        <v>29.487079999999999</v>
      </c>
    </row>
    <row r="2310" spans="1:9" s="71" customFormat="1" ht="16.5" hidden="1" customHeight="1" outlineLevel="1" x14ac:dyDescent="0.25">
      <c r="A2310" s="74">
        <v>1550</v>
      </c>
      <c r="B2310" s="45" t="s">
        <v>664</v>
      </c>
      <c r="C2310" s="60" t="s">
        <v>1942</v>
      </c>
      <c r="D2310" s="60"/>
      <c r="E2310" s="74">
        <v>2022</v>
      </c>
      <c r="F2310" s="74" t="s">
        <v>489</v>
      </c>
      <c r="G2310" s="61">
        <v>1</v>
      </c>
      <c r="H2310" s="45">
        <v>12</v>
      </c>
      <c r="I2310" s="74">
        <v>29.54571</v>
      </c>
    </row>
    <row r="2311" spans="1:9" s="71" customFormat="1" ht="16.5" hidden="1" customHeight="1" outlineLevel="1" x14ac:dyDescent="0.25">
      <c r="A2311" s="74">
        <v>1498</v>
      </c>
      <c r="B2311" s="45" t="s">
        <v>664</v>
      </c>
      <c r="C2311" s="60" t="s">
        <v>1943</v>
      </c>
      <c r="D2311" s="60"/>
      <c r="E2311" s="74">
        <v>2022</v>
      </c>
      <c r="F2311" s="74" t="s">
        <v>489</v>
      </c>
      <c r="G2311" s="61">
        <v>1</v>
      </c>
      <c r="H2311" s="45">
        <v>10</v>
      </c>
      <c r="I2311" s="74">
        <v>28.922560000000001</v>
      </c>
    </row>
    <row r="2312" spans="1:9" s="71" customFormat="1" ht="16.5" hidden="1" customHeight="1" outlineLevel="1" x14ac:dyDescent="0.25">
      <c r="A2312" s="74">
        <v>1614</v>
      </c>
      <c r="B2312" s="45" t="s">
        <v>664</v>
      </c>
      <c r="C2312" s="60" t="s">
        <v>1944</v>
      </c>
      <c r="D2312" s="60"/>
      <c r="E2312" s="74">
        <v>2022</v>
      </c>
      <c r="F2312" s="74" t="s">
        <v>489</v>
      </c>
      <c r="G2312" s="61">
        <v>1</v>
      </c>
      <c r="H2312" s="45">
        <v>10</v>
      </c>
      <c r="I2312" s="74">
        <v>21.190799999999999</v>
      </c>
    </row>
    <row r="2313" spans="1:9" s="71" customFormat="1" ht="16.5" hidden="1" customHeight="1" outlineLevel="1" x14ac:dyDescent="0.25">
      <c r="A2313" s="74">
        <v>1319</v>
      </c>
      <c r="B2313" s="45" t="s">
        <v>664</v>
      </c>
      <c r="C2313" s="60" t="s">
        <v>1945</v>
      </c>
      <c r="D2313" s="60"/>
      <c r="E2313" s="74">
        <v>2022</v>
      </c>
      <c r="F2313" s="74" t="s">
        <v>489</v>
      </c>
      <c r="G2313" s="61">
        <v>1</v>
      </c>
      <c r="H2313" s="45">
        <v>10</v>
      </c>
      <c r="I2313" s="74">
        <v>29.63109</v>
      </c>
    </row>
    <row r="2314" spans="1:9" s="71" customFormat="1" ht="16.5" hidden="1" customHeight="1" outlineLevel="1" x14ac:dyDescent="0.25">
      <c r="A2314" s="74">
        <v>1325</v>
      </c>
      <c r="B2314" s="45" t="s">
        <v>664</v>
      </c>
      <c r="C2314" s="60" t="s">
        <v>1946</v>
      </c>
      <c r="D2314" s="60"/>
      <c r="E2314" s="74">
        <v>2022</v>
      </c>
      <c r="F2314" s="74" t="s">
        <v>489</v>
      </c>
      <c r="G2314" s="61">
        <v>1</v>
      </c>
      <c r="H2314" s="45">
        <v>11.5</v>
      </c>
      <c r="I2314" s="74">
        <v>30.42014</v>
      </c>
    </row>
    <row r="2315" spans="1:9" s="71" customFormat="1" ht="16.5" hidden="1" customHeight="1" outlineLevel="1" x14ac:dyDescent="0.25">
      <c r="A2315" s="74">
        <v>1671</v>
      </c>
      <c r="B2315" s="45" t="s">
        <v>664</v>
      </c>
      <c r="C2315" s="60" t="s">
        <v>1947</v>
      </c>
      <c r="D2315" s="60"/>
      <c r="E2315" s="74">
        <v>2022</v>
      </c>
      <c r="F2315" s="74" t="s">
        <v>489</v>
      </c>
      <c r="G2315" s="61">
        <v>1</v>
      </c>
      <c r="H2315" s="45">
        <v>15</v>
      </c>
      <c r="I2315" s="74">
        <v>21.483689999999999</v>
      </c>
    </row>
    <row r="2316" spans="1:9" s="71" customFormat="1" ht="16.5" hidden="1" customHeight="1" outlineLevel="1" x14ac:dyDescent="0.25">
      <c r="A2316" s="74">
        <v>1672</v>
      </c>
      <c r="B2316" s="45" t="s">
        <v>664</v>
      </c>
      <c r="C2316" s="60" t="s">
        <v>1948</v>
      </c>
      <c r="D2316" s="60"/>
      <c r="E2316" s="74">
        <v>2022</v>
      </c>
      <c r="F2316" s="74" t="s">
        <v>489</v>
      </c>
      <c r="G2316" s="61">
        <v>1</v>
      </c>
      <c r="H2316" s="45">
        <v>15</v>
      </c>
      <c r="I2316" s="74">
        <v>21.233460000000001</v>
      </c>
    </row>
    <row r="2317" spans="1:9" s="71" customFormat="1" ht="16.5" hidden="1" customHeight="1" outlineLevel="1" x14ac:dyDescent="0.25">
      <c r="A2317" s="74">
        <v>1673</v>
      </c>
      <c r="B2317" s="45" t="s">
        <v>664</v>
      </c>
      <c r="C2317" s="60" t="s">
        <v>1949</v>
      </c>
      <c r="D2317" s="60"/>
      <c r="E2317" s="74">
        <v>2022</v>
      </c>
      <c r="F2317" s="74" t="s">
        <v>489</v>
      </c>
      <c r="G2317" s="61">
        <v>1</v>
      </c>
      <c r="H2317" s="45">
        <v>15</v>
      </c>
      <c r="I2317" s="74">
        <v>21.10247</v>
      </c>
    </row>
    <row r="2318" spans="1:9" s="71" customFormat="1" ht="16.5" hidden="1" customHeight="1" outlineLevel="1" x14ac:dyDescent="0.25">
      <c r="A2318" s="74">
        <v>1541</v>
      </c>
      <c r="B2318" s="45" t="s">
        <v>664</v>
      </c>
      <c r="C2318" s="60" t="s">
        <v>1950</v>
      </c>
      <c r="D2318" s="60"/>
      <c r="E2318" s="74">
        <v>2022</v>
      </c>
      <c r="F2318" s="74" t="s">
        <v>489</v>
      </c>
      <c r="G2318" s="61">
        <v>1</v>
      </c>
      <c r="H2318" s="45">
        <v>15</v>
      </c>
      <c r="I2318" s="74">
        <v>27.186509999999998</v>
      </c>
    </row>
    <row r="2319" spans="1:9" s="71" customFormat="1" ht="16.5" hidden="1" customHeight="1" outlineLevel="1" x14ac:dyDescent="0.25">
      <c r="A2319" s="74">
        <v>1670</v>
      </c>
      <c r="B2319" s="45" t="s">
        <v>664</v>
      </c>
      <c r="C2319" s="60" t="s">
        <v>1951</v>
      </c>
      <c r="D2319" s="60"/>
      <c r="E2319" s="74">
        <v>2022</v>
      </c>
      <c r="F2319" s="74" t="s">
        <v>489</v>
      </c>
      <c r="G2319" s="61">
        <v>1</v>
      </c>
      <c r="H2319" s="45">
        <v>15</v>
      </c>
      <c r="I2319" s="74">
        <v>21.645320000000002</v>
      </c>
    </row>
    <row r="2320" spans="1:9" s="71" customFormat="1" ht="16.5" hidden="1" customHeight="1" outlineLevel="1" x14ac:dyDescent="0.25">
      <c r="A2320" s="74">
        <v>1185</v>
      </c>
      <c r="B2320" s="45" t="s">
        <v>664</v>
      </c>
      <c r="C2320" s="60" t="s">
        <v>1952</v>
      </c>
      <c r="D2320" s="60"/>
      <c r="E2320" s="74">
        <v>2022</v>
      </c>
      <c r="F2320" s="74" t="s">
        <v>489</v>
      </c>
      <c r="G2320" s="61">
        <v>1</v>
      </c>
      <c r="H2320" s="45">
        <v>15</v>
      </c>
      <c r="I2320" s="74">
        <v>25.963450000000002</v>
      </c>
    </row>
    <row r="2321" spans="1:9" s="71" customFormat="1" ht="16.5" hidden="1" customHeight="1" outlineLevel="1" x14ac:dyDescent="0.25">
      <c r="A2321" s="74">
        <v>1683</v>
      </c>
      <c r="B2321" s="45" t="s">
        <v>664</v>
      </c>
      <c r="C2321" s="60" t="s">
        <v>1953</v>
      </c>
      <c r="D2321" s="60"/>
      <c r="E2321" s="74">
        <v>2022</v>
      </c>
      <c r="F2321" s="74" t="s">
        <v>489</v>
      </c>
      <c r="G2321" s="61">
        <v>1</v>
      </c>
      <c r="H2321" s="45">
        <v>15</v>
      </c>
      <c r="I2321" s="74">
        <v>21.986609999999999</v>
      </c>
    </row>
    <row r="2322" spans="1:9" s="71" customFormat="1" ht="16.5" hidden="1" customHeight="1" outlineLevel="1" x14ac:dyDescent="0.25">
      <c r="A2322" s="74">
        <v>1681</v>
      </c>
      <c r="B2322" s="45" t="s">
        <v>664</v>
      </c>
      <c r="C2322" s="60" t="s">
        <v>1954</v>
      </c>
      <c r="D2322" s="60"/>
      <c r="E2322" s="74">
        <v>2022</v>
      </c>
      <c r="F2322" s="74" t="s">
        <v>489</v>
      </c>
      <c r="G2322" s="61">
        <v>1</v>
      </c>
      <c r="H2322" s="45">
        <v>15</v>
      </c>
      <c r="I2322" s="74">
        <v>20.721609999999998</v>
      </c>
    </row>
    <row r="2323" spans="1:9" s="71" customFormat="1" ht="16.5" hidden="1" customHeight="1" outlineLevel="1" x14ac:dyDescent="0.25">
      <c r="A2323" s="74">
        <v>1682</v>
      </c>
      <c r="B2323" s="45" t="s">
        <v>664</v>
      </c>
      <c r="C2323" s="60" t="s">
        <v>1955</v>
      </c>
      <c r="D2323" s="60"/>
      <c r="E2323" s="74">
        <v>2022</v>
      </c>
      <c r="F2323" s="74" t="s">
        <v>489</v>
      </c>
      <c r="G2323" s="61">
        <v>1</v>
      </c>
      <c r="H2323" s="45">
        <v>15</v>
      </c>
      <c r="I2323" s="74">
        <v>19.475529999999999</v>
      </c>
    </row>
    <row r="2324" spans="1:9" s="71" customFormat="1" ht="16.5" hidden="1" customHeight="1" outlineLevel="1" x14ac:dyDescent="0.25">
      <c r="A2324" s="74">
        <v>1298</v>
      </c>
      <c r="B2324" s="45" t="s">
        <v>664</v>
      </c>
      <c r="C2324" s="60" t="s">
        <v>1956</v>
      </c>
      <c r="D2324" s="60"/>
      <c r="E2324" s="74">
        <v>2022</v>
      </c>
      <c r="F2324" s="74" t="s">
        <v>489</v>
      </c>
      <c r="G2324" s="61">
        <v>1</v>
      </c>
      <c r="H2324" s="45">
        <v>14.8</v>
      </c>
      <c r="I2324" s="74">
        <v>25.83239</v>
      </c>
    </row>
    <row r="2325" spans="1:9" s="71" customFormat="1" ht="16.5" hidden="1" customHeight="1" outlineLevel="1" x14ac:dyDescent="0.25">
      <c r="A2325" s="74">
        <v>1689</v>
      </c>
      <c r="B2325" s="45" t="s">
        <v>664</v>
      </c>
      <c r="C2325" s="60" t="s">
        <v>1957</v>
      </c>
      <c r="D2325" s="60"/>
      <c r="E2325" s="74">
        <v>2022</v>
      </c>
      <c r="F2325" s="74" t="s">
        <v>489</v>
      </c>
      <c r="G2325" s="61">
        <v>1</v>
      </c>
      <c r="H2325" s="45">
        <v>10</v>
      </c>
      <c r="I2325" s="74">
        <v>19.890170000000001</v>
      </c>
    </row>
    <row r="2326" spans="1:9" s="71" customFormat="1" ht="16.5" hidden="1" customHeight="1" outlineLevel="1" x14ac:dyDescent="0.25">
      <c r="A2326" s="74">
        <v>1530</v>
      </c>
      <c r="B2326" s="45" t="s">
        <v>664</v>
      </c>
      <c r="C2326" s="60" t="s">
        <v>1958</v>
      </c>
      <c r="D2326" s="60"/>
      <c r="E2326" s="74">
        <v>2022</v>
      </c>
      <c r="F2326" s="74" t="s">
        <v>489</v>
      </c>
      <c r="G2326" s="61">
        <v>1</v>
      </c>
      <c r="H2326" s="45">
        <v>12</v>
      </c>
      <c r="I2326" s="74">
        <v>26.234400000000001</v>
      </c>
    </row>
    <row r="2327" spans="1:9" s="71" customFormat="1" ht="16.5" hidden="1" customHeight="1" outlineLevel="1" x14ac:dyDescent="0.25">
      <c r="A2327" s="74">
        <v>1690</v>
      </c>
      <c r="B2327" s="45" t="s">
        <v>664</v>
      </c>
      <c r="C2327" s="60" t="s">
        <v>1959</v>
      </c>
      <c r="D2327" s="60"/>
      <c r="E2327" s="74">
        <v>2022</v>
      </c>
      <c r="F2327" s="74" t="s">
        <v>489</v>
      </c>
      <c r="G2327" s="61">
        <v>1</v>
      </c>
      <c r="H2327" s="45">
        <v>12</v>
      </c>
      <c r="I2327" s="74">
        <v>19.903870000000001</v>
      </c>
    </row>
    <row r="2328" spans="1:9" s="71" customFormat="1" ht="16.5" hidden="1" customHeight="1" outlineLevel="1" x14ac:dyDescent="0.25">
      <c r="A2328" s="74">
        <v>1496</v>
      </c>
      <c r="B2328" s="45" t="s">
        <v>664</v>
      </c>
      <c r="C2328" s="60" t="s">
        <v>1960</v>
      </c>
      <c r="D2328" s="60"/>
      <c r="E2328" s="74">
        <v>2022</v>
      </c>
      <c r="F2328" s="74" t="s">
        <v>489</v>
      </c>
      <c r="G2328" s="61">
        <v>1</v>
      </c>
      <c r="H2328" s="45">
        <v>15</v>
      </c>
      <c r="I2328" s="74">
        <v>27.299669999999999</v>
      </c>
    </row>
    <row r="2329" spans="1:9" s="71" customFormat="1" ht="16.5" hidden="1" customHeight="1" outlineLevel="1" x14ac:dyDescent="0.25">
      <c r="A2329" s="74">
        <v>1705</v>
      </c>
      <c r="B2329" s="45" t="s">
        <v>664</v>
      </c>
      <c r="C2329" s="60" t="s">
        <v>1961</v>
      </c>
      <c r="D2329" s="60"/>
      <c r="E2329" s="74">
        <v>2022</v>
      </c>
      <c r="F2329" s="74" t="s">
        <v>489</v>
      </c>
      <c r="G2329" s="61">
        <v>1</v>
      </c>
      <c r="H2329" s="45">
        <v>15</v>
      </c>
      <c r="I2329" s="74">
        <v>20.50919</v>
      </c>
    </row>
    <row r="2330" spans="1:9" s="71" customFormat="1" ht="16.5" hidden="1" customHeight="1" outlineLevel="1" x14ac:dyDescent="0.25">
      <c r="A2330" s="74">
        <v>1707</v>
      </c>
      <c r="B2330" s="45" t="s">
        <v>664</v>
      </c>
      <c r="C2330" s="60" t="s">
        <v>1962</v>
      </c>
      <c r="D2330" s="60"/>
      <c r="E2330" s="74">
        <v>2022</v>
      </c>
      <c r="F2330" s="74" t="s">
        <v>489</v>
      </c>
      <c r="G2330" s="61">
        <v>1</v>
      </c>
      <c r="H2330" s="45">
        <v>10</v>
      </c>
      <c r="I2330" s="74">
        <v>20.904240000000001</v>
      </c>
    </row>
    <row r="2331" spans="1:9" s="71" customFormat="1" ht="16.5" hidden="1" customHeight="1" outlineLevel="1" x14ac:dyDescent="0.25">
      <c r="A2331" s="74">
        <v>1709</v>
      </c>
      <c r="B2331" s="45" t="s">
        <v>664</v>
      </c>
      <c r="C2331" s="60" t="s">
        <v>1963</v>
      </c>
      <c r="D2331" s="60"/>
      <c r="E2331" s="74">
        <v>2022</v>
      </c>
      <c r="F2331" s="74" t="s">
        <v>489</v>
      </c>
      <c r="G2331" s="61">
        <v>1</v>
      </c>
      <c r="H2331" s="45">
        <v>13</v>
      </c>
      <c r="I2331" s="74">
        <v>20.553899999999999</v>
      </c>
    </row>
    <row r="2332" spans="1:9" s="71" customFormat="1" ht="16.5" hidden="1" customHeight="1" outlineLevel="1" x14ac:dyDescent="0.25">
      <c r="A2332" s="74">
        <v>1100</v>
      </c>
      <c r="B2332" s="45" t="s">
        <v>664</v>
      </c>
      <c r="C2332" s="60" t="s">
        <v>1964</v>
      </c>
      <c r="D2332" s="60"/>
      <c r="E2332" s="74">
        <v>2022</v>
      </c>
      <c r="F2332" s="74" t="s">
        <v>489</v>
      </c>
      <c r="G2332" s="61">
        <v>1</v>
      </c>
      <c r="H2332" s="45">
        <v>10</v>
      </c>
      <c r="I2332" s="74">
        <v>35.061709999999998</v>
      </c>
    </row>
    <row r="2333" spans="1:9" s="71" customFormat="1" ht="16.5" hidden="1" customHeight="1" outlineLevel="1" x14ac:dyDescent="0.25">
      <c r="A2333" s="74">
        <v>1257</v>
      </c>
      <c r="B2333" s="45" t="s">
        <v>664</v>
      </c>
      <c r="C2333" s="60" t="s">
        <v>1965</v>
      </c>
      <c r="D2333" s="60"/>
      <c r="E2333" s="74">
        <v>2022</v>
      </c>
      <c r="F2333" s="74" t="s">
        <v>489</v>
      </c>
      <c r="G2333" s="61">
        <v>1</v>
      </c>
      <c r="H2333" s="45">
        <v>15</v>
      </c>
      <c r="I2333" s="74">
        <v>29.501200000000001</v>
      </c>
    </row>
    <row r="2334" spans="1:9" s="71" customFormat="1" ht="16.5" hidden="1" customHeight="1" outlineLevel="1" x14ac:dyDescent="0.25">
      <c r="A2334" s="74">
        <v>1258</v>
      </c>
      <c r="B2334" s="45" t="s">
        <v>664</v>
      </c>
      <c r="C2334" s="60" t="s">
        <v>1966</v>
      </c>
      <c r="D2334" s="60"/>
      <c r="E2334" s="74">
        <v>2022</v>
      </c>
      <c r="F2334" s="74" t="s">
        <v>489</v>
      </c>
      <c r="G2334" s="61">
        <v>1</v>
      </c>
      <c r="H2334" s="45">
        <v>5</v>
      </c>
      <c r="I2334" s="74">
        <v>26.593620000000001</v>
      </c>
    </row>
    <row r="2335" spans="1:9" s="71" customFormat="1" ht="16.5" hidden="1" customHeight="1" outlineLevel="1" x14ac:dyDescent="0.25">
      <c r="A2335" s="74">
        <v>1278</v>
      </c>
      <c r="B2335" s="45" t="s">
        <v>664</v>
      </c>
      <c r="C2335" s="60" t="s">
        <v>1967</v>
      </c>
      <c r="D2335" s="60"/>
      <c r="E2335" s="74">
        <v>2022</v>
      </c>
      <c r="F2335" s="74" t="s">
        <v>489</v>
      </c>
      <c r="G2335" s="61">
        <v>1</v>
      </c>
      <c r="H2335" s="45">
        <v>15</v>
      </c>
      <c r="I2335" s="74">
        <v>28.355229999999999</v>
      </c>
    </row>
    <row r="2336" spans="1:9" s="71" customFormat="1" ht="16.5" hidden="1" customHeight="1" outlineLevel="1" x14ac:dyDescent="0.25">
      <c r="A2336" s="74">
        <v>1340</v>
      </c>
      <c r="B2336" s="45" t="s">
        <v>664</v>
      </c>
      <c r="C2336" s="60" t="s">
        <v>1968</v>
      </c>
      <c r="D2336" s="60"/>
      <c r="E2336" s="74">
        <v>2022</v>
      </c>
      <c r="F2336" s="74" t="s">
        <v>489</v>
      </c>
      <c r="G2336" s="61">
        <v>1</v>
      </c>
      <c r="H2336" s="45">
        <v>15</v>
      </c>
      <c r="I2336" s="74">
        <v>27.216280000000001</v>
      </c>
    </row>
    <row r="2337" spans="1:9" s="71" customFormat="1" ht="16.5" hidden="1" customHeight="1" outlineLevel="1" x14ac:dyDescent="0.25">
      <c r="A2337" s="74">
        <v>1355</v>
      </c>
      <c r="B2337" s="45" t="s">
        <v>664</v>
      </c>
      <c r="C2337" s="60" t="s">
        <v>1969</v>
      </c>
      <c r="D2337" s="60"/>
      <c r="E2337" s="74">
        <v>2022</v>
      </c>
      <c r="F2337" s="74" t="s">
        <v>489</v>
      </c>
      <c r="G2337" s="61">
        <v>1</v>
      </c>
      <c r="H2337" s="45">
        <v>36.450000000000003</v>
      </c>
      <c r="I2337" s="74">
        <v>27.109559999999998</v>
      </c>
    </row>
    <row r="2338" spans="1:9" s="71" customFormat="1" ht="16.5" hidden="1" customHeight="1" outlineLevel="1" x14ac:dyDescent="0.25">
      <c r="A2338" s="74">
        <v>1415</v>
      </c>
      <c r="B2338" s="45" t="s">
        <v>664</v>
      </c>
      <c r="C2338" s="60" t="s">
        <v>1970</v>
      </c>
      <c r="D2338" s="60"/>
      <c r="E2338" s="74">
        <v>2022</v>
      </c>
      <c r="F2338" s="74" t="s">
        <v>489</v>
      </c>
      <c r="G2338" s="61">
        <v>1</v>
      </c>
      <c r="H2338" s="45">
        <v>15</v>
      </c>
      <c r="I2338" s="74">
        <v>27.49531</v>
      </c>
    </row>
    <row r="2339" spans="1:9" s="71" customFormat="1" ht="16.5" hidden="1" customHeight="1" outlineLevel="1" x14ac:dyDescent="0.25">
      <c r="A2339" s="74">
        <v>1419</v>
      </c>
      <c r="B2339" s="45" t="s">
        <v>664</v>
      </c>
      <c r="C2339" s="60" t="s">
        <v>1971</v>
      </c>
      <c r="D2339" s="60"/>
      <c r="E2339" s="74">
        <v>2022</v>
      </c>
      <c r="F2339" s="74" t="s">
        <v>489</v>
      </c>
      <c r="G2339" s="61">
        <v>1</v>
      </c>
      <c r="H2339" s="45">
        <v>15</v>
      </c>
      <c r="I2339" s="74">
        <v>25.665479999999999</v>
      </c>
    </row>
    <row r="2340" spans="1:9" s="71" customFormat="1" ht="16.5" hidden="1" customHeight="1" outlineLevel="1" x14ac:dyDescent="0.25">
      <c r="A2340" s="74">
        <v>1497</v>
      </c>
      <c r="B2340" s="45" t="s">
        <v>664</v>
      </c>
      <c r="C2340" s="60" t="s">
        <v>1972</v>
      </c>
      <c r="D2340" s="60"/>
      <c r="E2340" s="74">
        <v>2022</v>
      </c>
      <c r="F2340" s="74" t="s">
        <v>489</v>
      </c>
      <c r="G2340" s="61">
        <v>1</v>
      </c>
      <c r="H2340" s="45">
        <v>15</v>
      </c>
      <c r="I2340" s="74">
        <v>27.315380000000001</v>
      </c>
    </row>
    <row r="2341" spans="1:9" s="71" customFormat="1" ht="16.5" hidden="1" customHeight="1" outlineLevel="1" x14ac:dyDescent="0.25">
      <c r="A2341" s="74">
        <v>1494</v>
      </c>
      <c r="B2341" s="45" t="s">
        <v>664</v>
      </c>
      <c r="C2341" s="60" t="s">
        <v>1973</v>
      </c>
      <c r="D2341" s="60"/>
      <c r="E2341" s="74">
        <v>2022</v>
      </c>
      <c r="F2341" s="74" t="s">
        <v>489</v>
      </c>
      <c r="G2341" s="61">
        <v>1</v>
      </c>
      <c r="H2341" s="45">
        <v>15</v>
      </c>
      <c r="I2341" s="74">
        <v>27.249890000000001</v>
      </c>
    </row>
    <row r="2342" spans="1:9" s="71" customFormat="1" ht="16.5" hidden="1" customHeight="1" outlineLevel="1" x14ac:dyDescent="0.25">
      <c r="A2342" s="74">
        <v>1703</v>
      </c>
      <c r="B2342" s="45" t="s">
        <v>664</v>
      </c>
      <c r="C2342" s="60" t="s">
        <v>1974</v>
      </c>
      <c r="D2342" s="60"/>
      <c r="E2342" s="74">
        <v>2022</v>
      </c>
      <c r="F2342" s="74" t="s">
        <v>489</v>
      </c>
      <c r="G2342" s="61">
        <v>1</v>
      </c>
      <c r="H2342" s="45">
        <v>14.8</v>
      </c>
      <c r="I2342" s="74">
        <v>20.48678</v>
      </c>
    </row>
    <row r="2343" spans="1:9" s="71" customFormat="1" ht="16.5" hidden="1" customHeight="1" outlineLevel="1" x14ac:dyDescent="0.25">
      <c r="A2343" s="74">
        <v>1702</v>
      </c>
      <c r="B2343" s="45" t="s">
        <v>664</v>
      </c>
      <c r="C2343" s="60" t="s">
        <v>1975</v>
      </c>
      <c r="D2343" s="60"/>
      <c r="E2343" s="74">
        <v>2022</v>
      </c>
      <c r="F2343" s="74" t="s">
        <v>489</v>
      </c>
      <c r="G2343" s="61">
        <v>1</v>
      </c>
      <c r="H2343" s="45">
        <v>15</v>
      </c>
      <c r="I2343" s="74">
        <v>20.509170000000001</v>
      </c>
    </row>
    <row r="2344" spans="1:9" s="71" customFormat="1" ht="16.5" hidden="1" customHeight="1" outlineLevel="1" x14ac:dyDescent="0.25">
      <c r="A2344" s="74">
        <v>1609</v>
      </c>
      <c r="B2344" s="45" t="s">
        <v>664</v>
      </c>
      <c r="C2344" s="60" t="s">
        <v>1976</v>
      </c>
      <c r="D2344" s="60"/>
      <c r="E2344" s="74">
        <v>2022</v>
      </c>
      <c r="F2344" s="74" t="s">
        <v>489</v>
      </c>
      <c r="G2344" s="61">
        <v>1</v>
      </c>
      <c r="H2344" s="45">
        <v>71</v>
      </c>
      <c r="I2344" s="74">
        <v>62.396479999999997</v>
      </c>
    </row>
    <row r="2345" spans="1:9" s="71" customFormat="1" ht="16.5" hidden="1" customHeight="1" outlineLevel="1" x14ac:dyDescent="0.25">
      <c r="A2345" s="74">
        <v>1624</v>
      </c>
      <c r="B2345" s="45" t="s">
        <v>664</v>
      </c>
      <c r="C2345" s="60" t="s">
        <v>1977</v>
      </c>
      <c r="D2345" s="60"/>
      <c r="E2345" s="74">
        <v>2022</v>
      </c>
      <c r="F2345" s="74" t="s">
        <v>489</v>
      </c>
      <c r="G2345" s="61">
        <v>1</v>
      </c>
      <c r="H2345" s="45">
        <v>15</v>
      </c>
      <c r="I2345" s="74">
        <v>21.391870000000001</v>
      </c>
    </row>
    <row r="2346" spans="1:9" s="71" customFormat="1" ht="16.5" hidden="1" customHeight="1" outlineLevel="1" x14ac:dyDescent="0.25">
      <c r="A2346" s="74">
        <v>1697</v>
      </c>
      <c r="B2346" s="45" t="s">
        <v>664</v>
      </c>
      <c r="C2346" s="60" t="s">
        <v>1978</v>
      </c>
      <c r="D2346" s="60"/>
      <c r="E2346" s="74">
        <v>2022</v>
      </c>
      <c r="F2346" s="74" t="s">
        <v>489</v>
      </c>
      <c r="G2346" s="61">
        <v>1</v>
      </c>
      <c r="H2346" s="45">
        <v>11</v>
      </c>
      <c r="I2346" s="74">
        <v>20.13729</v>
      </c>
    </row>
    <row r="2347" spans="1:9" s="71" customFormat="1" ht="16.5" hidden="1" customHeight="1" outlineLevel="1" x14ac:dyDescent="0.25">
      <c r="A2347" s="74">
        <v>1677</v>
      </c>
      <c r="B2347" s="45" t="s">
        <v>664</v>
      </c>
      <c r="C2347" s="60" t="s">
        <v>1979</v>
      </c>
      <c r="D2347" s="60"/>
      <c r="E2347" s="74">
        <v>2022</v>
      </c>
      <c r="F2347" s="74" t="s">
        <v>489</v>
      </c>
      <c r="G2347" s="61">
        <v>1</v>
      </c>
      <c r="H2347" s="45">
        <v>15</v>
      </c>
      <c r="I2347" s="74">
        <v>21.961279999999999</v>
      </c>
    </row>
    <row r="2348" spans="1:9" s="71" customFormat="1" ht="16.5" hidden="1" customHeight="1" outlineLevel="1" x14ac:dyDescent="0.25">
      <c r="A2348" s="74">
        <v>1675</v>
      </c>
      <c r="B2348" s="45" t="s">
        <v>664</v>
      </c>
      <c r="C2348" s="60" t="s">
        <v>1980</v>
      </c>
      <c r="D2348" s="60"/>
      <c r="E2348" s="74">
        <v>2022</v>
      </c>
      <c r="F2348" s="74" t="s">
        <v>489</v>
      </c>
      <c r="G2348" s="61">
        <v>1</v>
      </c>
      <c r="H2348" s="45">
        <v>15</v>
      </c>
      <c r="I2348" s="74">
        <v>22.147880000000001</v>
      </c>
    </row>
    <row r="2349" spans="1:9" s="71" customFormat="1" ht="16.5" hidden="1" customHeight="1" outlineLevel="1" x14ac:dyDescent="0.25">
      <c r="A2349" s="74">
        <v>1470</v>
      </c>
      <c r="B2349" s="45" t="s">
        <v>664</v>
      </c>
      <c r="C2349" s="60" t="s">
        <v>1981</v>
      </c>
      <c r="D2349" s="60"/>
      <c r="E2349" s="74">
        <v>2022</v>
      </c>
      <c r="F2349" s="74" t="s">
        <v>489</v>
      </c>
      <c r="G2349" s="61">
        <v>1</v>
      </c>
      <c r="H2349" s="45">
        <v>10</v>
      </c>
      <c r="I2349" s="74">
        <v>26.091909999999999</v>
      </c>
    </row>
    <row r="2350" spans="1:9" s="71" customFormat="1" ht="16.5" hidden="1" customHeight="1" outlineLevel="1" x14ac:dyDescent="0.25">
      <c r="A2350" s="74">
        <v>1447</v>
      </c>
      <c r="B2350" s="45" t="s">
        <v>664</v>
      </c>
      <c r="C2350" s="60" t="s">
        <v>1982</v>
      </c>
      <c r="D2350" s="60"/>
      <c r="E2350" s="74">
        <v>2022</v>
      </c>
      <c r="F2350" s="74" t="s">
        <v>489</v>
      </c>
      <c r="G2350" s="61">
        <v>1</v>
      </c>
      <c r="H2350" s="45">
        <v>15</v>
      </c>
      <c r="I2350" s="74">
        <v>27.098769999999998</v>
      </c>
    </row>
    <row r="2351" spans="1:9" s="71" customFormat="1" ht="16.5" hidden="1" customHeight="1" outlineLevel="1" x14ac:dyDescent="0.25">
      <c r="A2351" s="74">
        <v>1716</v>
      </c>
      <c r="B2351" s="45" t="s">
        <v>664</v>
      </c>
      <c r="C2351" s="60" t="s">
        <v>1983</v>
      </c>
      <c r="D2351" s="60"/>
      <c r="E2351" s="74">
        <v>2022</v>
      </c>
      <c r="F2351" s="74" t="s">
        <v>489</v>
      </c>
      <c r="G2351" s="61">
        <v>1</v>
      </c>
      <c r="H2351" s="45">
        <v>15</v>
      </c>
      <c r="I2351" s="74">
        <v>20.41048</v>
      </c>
    </row>
    <row r="2352" spans="1:9" s="71" customFormat="1" ht="16.5" hidden="1" customHeight="1" outlineLevel="1" x14ac:dyDescent="0.25">
      <c r="A2352" s="74">
        <v>1630</v>
      </c>
      <c r="B2352" s="45" t="s">
        <v>664</v>
      </c>
      <c r="C2352" s="60" t="s">
        <v>1984</v>
      </c>
      <c r="D2352" s="60"/>
      <c r="E2352" s="74">
        <v>2022</v>
      </c>
      <c r="F2352" s="74" t="s">
        <v>489</v>
      </c>
      <c r="G2352" s="61">
        <v>1</v>
      </c>
      <c r="H2352" s="45">
        <v>10</v>
      </c>
      <c r="I2352" s="74">
        <v>20.86525</v>
      </c>
    </row>
    <row r="2353" spans="1:9" s="71" customFormat="1" ht="16.5" hidden="1" customHeight="1" outlineLevel="1" x14ac:dyDescent="0.25">
      <c r="A2353" s="74">
        <v>1501</v>
      </c>
      <c r="B2353" s="45" t="s">
        <v>664</v>
      </c>
      <c r="C2353" s="60" t="s">
        <v>1985</v>
      </c>
      <c r="D2353" s="60"/>
      <c r="E2353" s="74">
        <v>2022</v>
      </c>
      <c r="F2353" s="74" t="s">
        <v>489</v>
      </c>
      <c r="G2353" s="61">
        <v>1</v>
      </c>
      <c r="H2353" s="45">
        <v>12</v>
      </c>
      <c r="I2353" s="74">
        <v>38.836379999999998</v>
      </c>
    </row>
    <row r="2354" spans="1:9" s="71" customFormat="1" ht="16.5" hidden="1" customHeight="1" outlineLevel="1" x14ac:dyDescent="0.25">
      <c r="A2354" s="74">
        <v>1592</v>
      </c>
      <c r="B2354" s="45" t="s">
        <v>664</v>
      </c>
      <c r="C2354" s="60" t="s">
        <v>547</v>
      </c>
      <c r="D2354" s="60"/>
      <c r="E2354" s="74">
        <v>2022</v>
      </c>
      <c r="F2354" s="74" t="s">
        <v>489</v>
      </c>
      <c r="G2354" s="61">
        <v>1</v>
      </c>
      <c r="H2354" s="45">
        <v>30</v>
      </c>
      <c r="I2354" s="74">
        <v>22.807079999999999</v>
      </c>
    </row>
    <row r="2355" spans="1:9" s="71" customFormat="1" ht="16.5" hidden="1" customHeight="1" outlineLevel="1" x14ac:dyDescent="0.25">
      <c r="A2355" s="74">
        <v>1374</v>
      </c>
      <c r="B2355" s="45" t="s">
        <v>664</v>
      </c>
      <c r="C2355" s="60" t="s">
        <v>1986</v>
      </c>
      <c r="D2355" s="60"/>
      <c r="E2355" s="74">
        <v>2022</v>
      </c>
      <c r="F2355" s="74" t="s">
        <v>489</v>
      </c>
      <c r="G2355" s="61">
        <v>1</v>
      </c>
      <c r="H2355" s="45">
        <v>15</v>
      </c>
      <c r="I2355" s="74">
        <v>32.611870000000003</v>
      </c>
    </row>
    <row r="2356" spans="1:9" s="71" customFormat="1" ht="16.5" hidden="1" customHeight="1" outlineLevel="1" x14ac:dyDescent="0.25">
      <c r="A2356" s="74">
        <v>1196</v>
      </c>
      <c r="B2356" s="45" t="s">
        <v>664</v>
      </c>
      <c r="C2356" s="60" t="s">
        <v>1987</v>
      </c>
      <c r="D2356" s="60"/>
      <c r="E2356" s="74">
        <v>2022</v>
      </c>
      <c r="F2356" s="74" t="s">
        <v>489</v>
      </c>
      <c r="G2356" s="61">
        <v>1</v>
      </c>
      <c r="H2356" s="45">
        <v>15</v>
      </c>
      <c r="I2356" s="74">
        <v>44.449509999999997</v>
      </c>
    </row>
    <row r="2357" spans="1:9" s="71" customFormat="1" ht="16.5" hidden="1" customHeight="1" outlineLevel="1" x14ac:dyDescent="0.25">
      <c r="A2357" s="74">
        <v>1590</v>
      </c>
      <c r="B2357" s="45" t="s">
        <v>664</v>
      </c>
      <c r="C2357" s="60" t="s">
        <v>1988</v>
      </c>
      <c r="D2357" s="60"/>
      <c r="E2357" s="74">
        <v>2022</v>
      </c>
      <c r="F2357" s="74" t="s">
        <v>489</v>
      </c>
      <c r="G2357" s="61">
        <v>1</v>
      </c>
      <c r="H2357" s="45">
        <v>30</v>
      </c>
      <c r="I2357" s="74">
        <v>40.30303</v>
      </c>
    </row>
    <row r="2358" spans="1:9" s="71" customFormat="1" ht="16.5" hidden="1" customHeight="1" outlineLevel="1" x14ac:dyDescent="0.25">
      <c r="A2358" s="74">
        <v>1150</v>
      </c>
      <c r="B2358" s="45" t="s">
        <v>664</v>
      </c>
      <c r="C2358" s="60" t="s">
        <v>1989</v>
      </c>
      <c r="D2358" s="60"/>
      <c r="E2358" s="74">
        <v>2022</v>
      </c>
      <c r="F2358" s="74" t="s">
        <v>489</v>
      </c>
      <c r="G2358" s="61">
        <v>1</v>
      </c>
      <c r="H2358" s="45">
        <v>15</v>
      </c>
      <c r="I2358" s="74">
        <v>36.52122</v>
      </c>
    </row>
    <row r="2359" spans="1:9" s="71" customFormat="1" ht="16.5" hidden="1" customHeight="1" outlineLevel="1" x14ac:dyDescent="0.25">
      <c r="A2359" s="74">
        <v>1591</v>
      </c>
      <c r="B2359" s="45" t="s">
        <v>664</v>
      </c>
      <c r="C2359" s="60" t="s">
        <v>548</v>
      </c>
      <c r="D2359" s="60"/>
      <c r="E2359" s="74">
        <v>2022</v>
      </c>
      <c r="F2359" s="74" t="s">
        <v>489</v>
      </c>
      <c r="G2359" s="61">
        <v>1</v>
      </c>
      <c r="H2359" s="45">
        <v>25</v>
      </c>
      <c r="I2359" s="74">
        <v>38.581510000000002</v>
      </c>
    </row>
    <row r="2360" spans="1:9" s="71" customFormat="1" ht="16.5" hidden="1" customHeight="1" outlineLevel="1" x14ac:dyDescent="0.25">
      <c r="A2360" s="74">
        <v>1589</v>
      </c>
      <c r="B2360" s="45" t="s">
        <v>664</v>
      </c>
      <c r="C2360" s="60" t="s">
        <v>1990</v>
      </c>
      <c r="D2360" s="60"/>
      <c r="E2360" s="74">
        <v>2022</v>
      </c>
      <c r="F2360" s="74" t="s">
        <v>489</v>
      </c>
      <c r="G2360" s="61">
        <v>1</v>
      </c>
      <c r="H2360" s="45">
        <v>100.6</v>
      </c>
      <c r="I2360" s="74">
        <v>42.331180000000003</v>
      </c>
    </row>
    <row r="2361" spans="1:9" s="71" customFormat="1" ht="16.5" hidden="1" customHeight="1" outlineLevel="1" x14ac:dyDescent="0.25">
      <c r="A2361" s="74">
        <v>1162</v>
      </c>
      <c r="B2361" s="45" t="s">
        <v>664</v>
      </c>
      <c r="C2361" s="60" t="s">
        <v>1991</v>
      </c>
      <c r="D2361" s="60"/>
      <c r="E2361" s="74">
        <v>2022</v>
      </c>
      <c r="F2361" s="74" t="s">
        <v>489</v>
      </c>
      <c r="G2361" s="61">
        <v>1</v>
      </c>
      <c r="H2361" s="45">
        <v>15</v>
      </c>
      <c r="I2361" s="74">
        <v>47.104309999999998</v>
      </c>
    </row>
    <row r="2362" spans="1:9" s="71" customFormat="1" ht="16.5" hidden="1" customHeight="1" outlineLevel="1" x14ac:dyDescent="0.25">
      <c r="A2362" s="74">
        <v>1700</v>
      </c>
      <c r="B2362" s="45" t="s">
        <v>664</v>
      </c>
      <c r="C2362" s="60" t="s">
        <v>1992</v>
      </c>
      <c r="D2362" s="60"/>
      <c r="E2362" s="74">
        <v>2022</v>
      </c>
      <c r="F2362" s="74" t="s">
        <v>489</v>
      </c>
      <c r="G2362" s="61">
        <v>1</v>
      </c>
      <c r="H2362" s="45">
        <v>15</v>
      </c>
      <c r="I2362" s="74">
        <v>20.086320000000001</v>
      </c>
    </row>
    <row r="2363" spans="1:9" s="71" customFormat="1" ht="16.5" hidden="1" customHeight="1" outlineLevel="1" x14ac:dyDescent="0.25">
      <c r="A2363" s="74">
        <v>1688</v>
      </c>
      <c r="B2363" s="45" t="s">
        <v>664</v>
      </c>
      <c r="C2363" s="60" t="s">
        <v>1993</v>
      </c>
      <c r="D2363" s="60"/>
      <c r="E2363" s="74">
        <v>2022</v>
      </c>
      <c r="F2363" s="74" t="s">
        <v>489</v>
      </c>
      <c r="G2363" s="61">
        <v>1</v>
      </c>
      <c r="H2363" s="45">
        <v>14.8</v>
      </c>
      <c r="I2363" s="74">
        <v>20.25977</v>
      </c>
    </row>
    <row r="2364" spans="1:9" s="71" customFormat="1" ht="16.5" hidden="1" customHeight="1" outlineLevel="1" x14ac:dyDescent="0.25">
      <c r="A2364" s="74">
        <v>1691</v>
      </c>
      <c r="B2364" s="45" t="s">
        <v>664</v>
      </c>
      <c r="C2364" s="60" t="s">
        <v>1994</v>
      </c>
      <c r="D2364" s="60"/>
      <c r="E2364" s="74">
        <v>2022</v>
      </c>
      <c r="F2364" s="74" t="s">
        <v>489</v>
      </c>
      <c r="G2364" s="61">
        <v>1</v>
      </c>
      <c r="H2364" s="45">
        <v>10</v>
      </c>
      <c r="I2364" s="74">
        <v>20.092510000000001</v>
      </c>
    </row>
    <row r="2365" spans="1:9" s="71" customFormat="1" ht="16.5" hidden="1" customHeight="1" outlineLevel="1" x14ac:dyDescent="0.25">
      <c r="A2365" s="74">
        <v>1713</v>
      </c>
      <c r="B2365" s="45" t="s">
        <v>664</v>
      </c>
      <c r="C2365" s="60" t="s">
        <v>1995</v>
      </c>
      <c r="D2365" s="60"/>
      <c r="E2365" s="74">
        <v>2022</v>
      </c>
      <c r="F2365" s="74" t="s">
        <v>489</v>
      </c>
      <c r="G2365" s="61">
        <v>1</v>
      </c>
      <c r="H2365" s="45">
        <v>15</v>
      </c>
      <c r="I2365" s="74">
        <v>21.11138</v>
      </c>
    </row>
    <row r="2366" spans="1:9" s="71" customFormat="1" ht="16.5" hidden="1" customHeight="1" outlineLevel="1" x14ac:dyDescent="0.25">
      <c r="A2366" s="74">
        <v>1335</v>
      </c>
      <c r="B2366" s="45" t="s">
        <v>664</v>
      </c>
      <c r="C2366" s="60" t="s">
        <v>1996</v>
      </c>
      <c r="D2366" s="60"/>
      <c r="E2366" s="74">
        <v>2022</v>
      </c>
      <c r="F2366" s="74" t="s">
        <v>489</v>
      </c>
      <c r="G2366" s="61">
        <v>1</v>
      </c>
      <c r="H2366" s="45">
        <v>15</v>
      </c>
      <c r="I2366" s="74">
        <v>72.431610000000006</v>
      </c>
    </row>
    <row r="2367" spans="1:9" s="71" customFormat="1" ht="16.5" hidden="1" customHeight="1" outlineLevel="1" x14ac:dyDescent="0.25">
      <c r="A2367" s="74">
        <v>1519</v>
      </c>
      <c r="B2367" s="45" t="s">
        <v>664</v>
      </c>
      <c r="C2367" s="60" t="s">
        <v>1997</v>
      </c>
      <c r="D2367" s="60"/>
      <c r="E2367" s="74">
        <v>2022</v>
      </c>
      <c r="F2367" s="74" t="s">
        <v>489</v>
      </c>
      <c r="G2367" s="61">
        <v>1</v>
      </c>
      <c r="H2367" s="45">
        <v>15</v>
      </c>
      <c r="I2367" s="74">
        <v>66.889690000000002</v>
      </c>
    </row>
    <row r="2368" spans="1:9" s="71" customFormat="1" ht="16.5" hidden="1" customHeight="1" outlineLevel="1" x14ac:dyDescent="0.25">
      <c r="A2368" s="74">
        <v>1110</v>
      </c>
      <c r="B2368" s="45" t="s">
        <v>664</v>
      </c>
      <c r="C2368" s="60" t="s">
        <v>1998</v>
      </c>
      <c r="D2368" s="60"/>
      <c r="E2368" s="74">
        <v>2022</v>
      </c>
      <c r="F2368" s="74" t="s">
        <v>489</v>
      </c>
      <c r="G2368" s="61">
        <v>1</v>
      </c>
      <c r="H2368" s="45">
        <v>15</v>
      </c>
      <c r="I2368" s="74">
        <v>39.9176</v>
      </c>
    </row>
    <row r="2369" spans="1:9" s="71" customFormat="1" ht="16.5" hidden="1" customHeight="1" outlineLevel="1" x14ac:dyDescent="0.25">
      <c r="A2369" s="74">
        <v>1104</v>
      </c>
      <c r="B2369" s="45" t="s">
        <v>664</v>
      </c>
      <c r="C2369" s="60" t="s">
        <v>1999</v>
      </c>
      <c r="D2369" s="60"/>
      <c r="E2369" s="74">
        <v>2022</v>
      </c>
      <c r="F2369" s="74" t="s">
        <v>489</v>
      </c>
      <c r="G2369" s="61">
        <v>1</v>
      </c>
      <c r="H2369" s="45">
        <v>10</v>
      </c>
      <c r="I2369" s="74">
        <v>51.30518</v>
      </c>
    </row>
    <row r="2370" spans="1:9" s="71" customFormat="1" ht="16.5" hidden="1" customHeight="1" outlineLevel="1" x14ac:dyDescent="0.25">
      <c r="A2370" s="74">
        <v>1469</v>
      </c>
      <c r="B2370" s="45" t="s">
        <v>664</v>
      </c>
      <c r="C2370" s="60" t="s">
        <v>2000</v>
      </c>
      <c r="D2370" s="60"/>
      <c r="E2370" s="74">
        <v>2022</v>
      </c>
      <c r="F2370" s="74" t="s">
        <v>489</v>
      </c>
      <c r="G2370" s="61">
        <v>1</v>
      </c>
      <c r="H2370" s="45">
        <v>15</v>
      </c>
      <c r="I2370" s="74">
        <v>86.523330000000001</v>
      </c>
    </row>
    <row r="2371" spans="1:9" s="71" customFormat="1" ht="16.5" hidden="1" customHeight="1" outlineLevel="1" x14ac:dyDescent="0.25">
      <c r="A2371" s="74">
        <v>1434</v>
      </c>
      <c r="B2371" s="45" t="s">
        <v>664</v>
      </c>
      <c r="C2371" s="60" t="s">
        <v>549</v>
      </c>
      <c r="D2371" s="60"/>
      <c r="E2371" s="74">
        <v>2022</v>
      </c>
      <c r="F2371" s="74" t="s">
        <v>489</v>
      </c>
      <c r="G2371" s="61">
        <v>1</v>
      </c>
      <c r="H2371" s="45">
        <v>25</v>
      </c>
      <c r="I2371" s="74">
        <v>48.64781</v>
      </c>
    </row>
    <row r="2372" spans="1:9" s="71" customFormat="1" ht="16.5" hidden="1" customHeight="1" outlineLevel="1" x14ac:dyDescent="0.25">
      <c r="A2372" s="74">
        <v>1050</v>
      </c>
      <c r="B2372" s="45" t="s">
        <v>664</v>
      </c>
      <c r="C2372" s="60" t="s">
        <v>2001</v>
      </c>
      <c r="D2372" s="60"/>
      <c r="E2372" s="74">
        <v>2022</v>
      </c>
      <c r="F2372" s="74" t="s">
        <v>489</v>
      </c>
      <c r="G2372" s="61">
        <v>1</v>
      </c>
      <c r="H2372" s="45">
        <v>15</v>
      </c>
      <c r="I2372" s="74">
        <v>47.849449999999997</v>
      </c>
    </row>
    <row r="2373" spans="1:9" s="71" customFormat="1" ht="16.5" hidden="1" customHeight="1" outlineLevel="1" x14ac:dyDescent="0.25">
      <c r="A2373" s="74">
        <v>1490</v>
      </c>
      <c r="B2373" s="45" t="s">
        <v>664</v>
      </c>
      <c r="C2373" s="60" t="s">
        <v>2002</v>
      </c>
      <c r="D2373" s="60"/>
      <c r="E2373" s="74">
        <v>2022</v>
      </c>
      <c r="F2373" s="74" t="s">
        <v>489</v>
      </c>
      <c r="G2373" s="61">
        <v>1</v>
      </c>
      <c r="H2373" s="45">
        <v>80</v>
      </c>
      <c r="I2373" s="74">
        <v>80.945989999999995</v>
      </c>
    </row>
    <row r="2374" spans="1:9" s="71" customFormat="1" ht="16.5" hidden="1" customHeight="1" outlineLevel="1" x14ac:dyDescent="0.25">
      <c r="A2374" s="74">
        <v>1520</v>
      </c>
      <c r="B2374" s="45" t="s">
        <v>664</v>
      </c>
      <c r="C2374" s="60" t="s">
        <v>606</v>
      </c>
      <c r="D2374" s="60"/>
      <c r="E2374" s="74">
        <v>2022</v>
      </c>
      <c r="F2374" s="74" t="s">
        <v>489</v>
      </c>
      <c r="G2374" s="61">
        <v>1</v>
      </c>
      <c r="H2374" s="45">
        <v>50</v>
      </c>
      <c r="I2374" s="74">
        <v>40.565359999999998</v>
      </c>
    </row>
    <row r="2375" spans="1:9" s="71" customFormat="1" ht="16.5" hidden="1" customHeight="1" outlineLevel="1" x14ac:dyDescent="0.25">
      <c r="A2375" s="74">
        <v>1329</v>
      </c>
      <c r="B2375" s="45" t="s">
        <v>664</v>
      </c>
      <c r="C2375" s="60" t="s">
        <v>2003</v>
      </c>
      <c r="D2375" s="60"/>
      <c r="E2375" s="74">
        <v>2022</v>
      </c>
      <c r="F2375" s="74" t="s">
        <v>489</v>
      </c>
      <c r="G2375" s="61">
        <v>1</v>
      </c>
      <c r="H2375" s="45">
        <v>15</v>
      </c>
      <c r="I2375" s="74">
        <v>55.910319999999999</v>
      </c>
    </row>
    <row r="2376" spans="1:9" s="71" customFormat="1" ht="16.5" hidden="1" customHeight="1" outlineLevel="1" x14ac:dyDescent="0.25">
      <c r="A2376" s="74">
        <v>1143</v>
      </c>
      <c r="B2376" s="45" t="s">
        <v>664</v>
      </c>
      <c r="C2376" s="60" t="s">
        <v>2004</v>
      </c>
      <c r="D2376" s="60"/>
      <c r="E2376" s="74">
        <v>2022</v>
      </c>
      <c r="F2376" s="74" t="s">
        <v>489</v>
      </c>
      <c r="G2376" s="61">
        <v>1</v>
      </c>
      <c r="H2376" s="45">
        <v>15</v>
      </c>
      <c r="I2376" s="74">
        <v>29.025110000000002</v>
      </c>
    </row>
    <row r="2377" spans="1:9" s="71" customFormat="1" ht="16.5" hidden="1" customHeight="1" outlineLevel="1" x14ac:dyDescent="0.25">
      <c r="A2377" s="74">
        <v>1303</v>
      </c>
      <c r="B2377" s="45" t="s">
        <v>664</v>
      </c>
      <c r="C2377" s="60" t="s">
        <v>2005</v>
      </c>
      <c r="D2377" s="60"/>
      <c r="E2377" s="74">
        <v>2022</v>
      </c>
      <c r="F2377" s="74" t="s">
        <v>489</v>
      </c>
      <c r="G2377" s="61">
        <v>1</v>
      </c>
      <c r="H2377" s="45">
        <v>15</v>
      </c>
      <c r="I2377" s="74">
        <v>26.06983</v>
      </c>
    </row>
    <row r="2378" spans="1:9" s="71" customFormat="1" ht="16.5" hidden="1" customHeight="1" outlineLevel="1" x14ac:dyDescent="0.25">
      <c r="A2378" s="74">
        <v>1267</v>
      </c>
      <c r="B2378" s="45" t="s">
        <v>664</v>
      </c>
      <c r="C2378" s="60" t="s">
        <v>2006</v>
      </c>
      <c r="D2378" s="60"/>
      <c r="E2378" s="74">
        <v>2022</v>
      </c>
      <c r="F2378" s="74" t="s">
        <v>489</v>
      </c>
      <c r="G2378" s="61">
        <v>1</v>
      </c>
      <c r="H2378" s="45">
        <v>15</v>
      </c>
      <c r="I2378" s="74">
        <v>29.173719999999999</v>
      </c>
    </row>
    <row r="2379" spans="1:9" s="71" customFormat="1" ht="16.5" hidden="1" customHeight="1" outlineLevel="1" x14ac:dyDescent="0.25">
      <c r="A2379" s="74">
        <v>1266</v>
      </c>
      <c r="B2379" s="45" t="s">
        <v>664</v>
      </c>
      <c r="C2379" s="60" t="s">
        <v>2007</v>
      </c>
      <c r="D2379" s="60"/>
      <c r="E2379" s="74">
        <v>2022</v>
      </c>
      <c r="F2379" s="74" t="s">
        <v>489</v>
      </c>
      <c r="G2379" s="61">
        <v>1</v>
      </c>
      <c r="H2379" s="45">
        <v>15</v>
      </c>
      <c r="I2379" s="74">
        <v>29.1737</v>
      </c>
    </row>
    <row r="2380" spans="1:9" s="71" customFormat="1" ht="16.5" hidden="1" customHeight="1" outlineLevel="1" x14ac:dyDescent="0.25">
      <c r="A2380" s="74">
        <v>1748</v>
      </c>
      <c r="B2380" s="45" t="s">
        <v>664</v>
      </c>
      <c r="C2380" s="60" t="s">
        <v>2008</v>
      </c>
      <c r="D2380" s="60"/>
      <c r="E2380" s="74">
        <v>2022</v>
      </c>
      <c r="F2380" s="74" t="s">
        <v>489</v>
      </c>
      <c r="G2380" s="61">
        <v>1</v>
      </c>
      <c r="H2380" s="45">
        <v>15</v>
      </c>
      <c r="I2380" s="74">
        <v>21.274419999999999</v>
      </c>
    </row>
    <row r="2381" spans="1:9" s="71" customFormat="1" ht="16.5" hidden="1" customHeight="1" outlineLevel="1" x14ac:dyDescent="0.25">
      <c r="A2381" s="74">
        <v>1751</v>
      </c>
      <c r="B2381" s="45" t="s">
        <v>664</v>
      </c>
      <c r="C2381" s="60" t="s">
        <v>2009</v>
      </c>
      <c r="D2381" s="60"/>
      <c r="E2381" s="74">
        <v>2022</v>
      </c>
      <c r="F2381" s="74" t="s">
        <v>489</v>
      </c>
      <c r="G2381" s="61">
        <v>1</v>
      </c>
      <c r="H2381" s="45">
        <v>10</v>
      </c>
      <c r="I2381" s="74">
        <v>21.46724</v>
      </c>
    </row>
    <row r="2382" spans="1:9" s="71" customFormat="1" ht="16.5" hidden="1" customHeight="1" outlineLevel="1" x14ac:dyDescent="0.25">
      <c r="A2382" s="74">
        <v>1752</v>
      </c>
      <c r="B2382" s="45" t="s">
        <v>664</v>
      </c>
      <c r="C2382" s="60" t="s">
        <v>2010</v>
      </c>
      <c r="D2382" s="60"/>
      <c r="E2382" s="74">
        <v>2022</v>
      </c>
      <c r="F2382" s="74" t="s">
        <v>489</v>
      </c>
      <c r="G2382" s="61">
        <v>1</v>
      </c>
      <c r="H2382" s="45">
        <v>15</v>
      </c>
      <c r="I2382" s="74">
        <v>21.27441</v>
      </c>
    </row>
    <row r="2383" spans="1:9" s="71" customFormat="1" ht="16.5" hidden="1" customHeight="1" outlineLevel="1" x14ac:dyDescent="0.25">
      <c r="A2383" s="74">
        <v>1086</v>
      </c>
      <c r="B2383" s="45" t="s">
        <v>664</v>
      </c>
      <c r="C2383" s="60" t="s">
        <v>2011</v>
      </c>
      <c r="D2383" s="60"/>
      <c r="E2383" s="74">
        <v>2022</v>
      </c>
      <c r="F2383" s="74" t="s">
        <v>489</v>
      </c>
      <c r="G2383" s="61">
        <v>1</v>
      </c>
      <c r="H2383" s="45">
        <v>15</v>
      </c>
      <c r="I2383" s="74">
        <v>36.86936</v>
      </c>
    </row>
    <row r="2384" spans="1:9" s="71" customFormat="1" ht="16.5" hidden="1" customHeight="1" outlineLevel="1" x14ac:dyDescent="0.25">
      <c r="A2384" s="74">
        <v>1753</v>
      </c>
      <c r="B2384" s="45" t="s">
        <v>664</v>
      </c>
      <c r="C2384" s="60" t="s">
        <v>2012</v>
      </c>
      <c r="D2384" s="60"/>
      <c r="E2384" s="74">
        <v>2022</v>
      </c>
      <c r="F2384" s="74" t="s">
        <v>489</v>
      </c>
      <c r="G2384" s="61">
        <v>1</v>
      </c>
      <c r="H2384" s="45">
        <v>12</v>
      </c>
      <c r="I2384" s="74">
        <v>21.27441</v>
      </c>
    </row>
    <row r="2385" spans="1:9" s="71" customFormat="1" ht="16.5" hidden="1" customHeight="1" outlineLevel="1" x14ac:dyDescent="0.25">
      <c r="A2385" s="74">
        <v>1754</v>
      </c>
      <c r="B2385" s="45" t="s">
        <v>664</v>
      </c>
      <c r="C2385" s="60" t="s">
        <v>2013</v>
      </c>
      <c r="D2385" s="60"/>
      <c r="E2385" s="74">
        <v>2022</v>
      </c>
      <c r="F2385" s="74" t="s">
        <v>489</v>
      </c>
      <c r="G2385" s="61">
        <v>1</v>
      </c>
      <c r="H2385" s="45">
        <v>15</v>
      </c>
      <c r="I2385" s="74">
        <v>21.27441</v>
      </c>
    </row>
    <row r="2386" spans="1:9" s="71" customFormat="1" ht="16.5" hidden="1" customHeight="1" outlineLevel="1" x14ac:dyDescent="0.25">
      <c r="A2386" s="74">
        <v>1755</v>
      </c>
      <c r="B2386" s="45" t="s">
        <v>664</v>
      </c>
      <c r="C2386" s="60" t="s">
        <v>2014</v>
      </c>
      <c r="D2386" s="60"/>
      <c r="E2386" s="74">
        <v>2022</v>
      </c>
      <c r="F2386" s="74" t="s">
        <v>489</v>
      </c>
      <c r="G2386" s="61">
        <v>1</v>
      </c>
      <c r="H2386" s="45">
        <v>10</v>
      </c>
      <c r="I2386" s="74">
        <v>21.27441</v>
      </c>
    </row>
    <row r="2387" spans="1:9" s="71" customFormat="1" ht="16.5" hidden="1" customHeight="1" outlineLevel="1" x14ac:dyDescent="0.25">
      <c r="A2387" s="74">
        <v>1756</v>
      </c>
      <c r="B2387" s="45" t="s">
        <v>664</v>
      </c>
      <c r="C2387" s="60" t="s">
        <v>2015</v>
      </c>
      <c r="D2387" s="60"/>
      <c r="E2387" s="74">
        <v>2022</v>
      </c>
      <c r="F2387" s="74" t="s">
        <v>489</v>
      </c>
      <c r="G2387" s="61">
        <v>1</v>
      </c>
      <c r="H2387" s="45">
        <v>10</v>
      </c>
      <c r="I2387" s="74">
        <v>21.27441</v>
      </c>
    </row>
    <row r="2388" spans="1:9" s="71" customFormat="1" ht="16.5" hidden="1" customHeight="1" outlineLevel="1" x14ac:dyDescent="0.25">
      <c r="A2388" s="74">
        <v>1757</v>
      </c>
      <c r="B2388" s="45" t="s">
        <v>664</v>
      </c>
      <c r="C2388" s="60" t="s">
        <v>2016</v>
      </c>
      <c r="D2388" s="60"/>
      <c r="E2388" s="74">
        <v>2022</v>
      </c>
      <c r="F2388" s="74" t="s">
        <v>489</v>
      </c>
      <c r="G2388" s="61">
        <v>1</v>
      </c>
      <c r="H2388" s="45">
        <v>10</v>
      </c>
      <c r="I2388" s="74">
        <v>22.63495</v>
      </c>
    </row>
    <row r="2389" spans="1:9" s="71" customFormat="1" ht="16.5" hidden="1" customHeight="1" outlineLevel="1" x14ac:dyDescent="0.25">
      <c r="A2389" s="74">
        <v>1309</v>
      </c>
      <c r="B2389" s="45" t="s">
        <v>664</v>
      </c>
      <c r="C2389" s="60" t="s">
        <v>2017</v>
      </c>
      <c r="D2389" s="60"/>
      <c r="E2389" s="74">
        <v>2022</v>
      </c>
      <c r="F2389" s="74" t="s">
        <v>489</v>
      </c>
      <c r="G2389" s="61">
        <v>1</v>
      </c>
      <c r="H2389" s="45">
        <v>10</v>
      </c>
      <c r="I2389" s="74">
        <v>74.227339999999998</v>
      </c>
    </row>
    <row r="2390" spans="1:9" s="71" customFormat="1" ht="16.5" hidden="1" customHeight="1" outlineLevel="1" x14ac:dyDescent="0.25">
      <c r="A2390" s="74">
        <v>1170</v>
      </c>
      <c r="B2390" s="45" t="s">
        <v>664</v>
      </c>
      <c r="C2390" s="60" t="s">
        <v>2018</v>
      </c>
      <c r="D2390" s="60"/>
      <c r="E2390" s="74">
        <v>2022</v>
      </c>
      <c r="F2390" s="74" t="s">
        <v>489</v>
      </c>
      <c r="G2390" s="61">
        <v>1</v>
      </c>
      <c r="H2390" s="45">
        <v>15</v>
      </c>
      <c r="I2390" s="74">
        <v>68.544229999999999</v>
      </c>
    </row>
    <row r="2391" spans="1:9" s="71" customFormat="1" ht="16.5" hidden="1" customHeight="1" outlineLevel="1" x14ac:dyDescent="0.25">
      <c r="A2391" s="74">
        <v>1397</v>
      </c>
      <c r="B2391" s="45" t="s">
        <v>664</v>
      </c>
      <c r="C2391" s="60" t="s">
        <v>2019</v>
      </c>
      <c r="D2391" s="60"/>
      <c r="E2391" s="74">
        <v>2022</v>
      </c>
      <c r="F2391" s="74" t="s">
        <v>489</v>
      </c>
      <c r="G2391" s="61">
        <v>1</v>
      </c>
      <c r="H2391" s="45">
        <v>15</v>
      </c>
      <c r="I2391" s="74">
        <v>67.901709999999994</v>
      </c>
    </row>
    <row r="2392" spans="1:9" s="71" customFormat="1" ht="16.5" hidden="1" customHeight="1" outlineLevel="1" x14ac:dyDescent="0.25">
      <c r="A2392" s="74">
        <v>1450</v>
      </c>
      <c r="B2392" s="45" t="s">
        <v>664</v>
      </c>
      <c r="C2392" s="60" t="s">
        <v>2020</v>
      </c>
      <c r="D2392" s="60"/>
      <c r="E2392" s="74">
        <v>2022</v>
      </c>
      <c r="F2392" s="74" t="s">
        <v>489</v>
      </c>
      <c r="G2392" s="61">
        <v>1</v>
      </c>
      <c r="H2392" s="45">
        <v>15</v>
      </c>
      <c r="I2392" s="74">
        <v>51.050849999999997</v>
      </c>
    </row>
    <row r="2393" spans="1:9" s="71" customFormat="1" ht="16.5" hidden="1" customHeight="1" outlineLevel="1" x14ac:dyDescent="0.25">
      <c r="A2393" s="74">
        <v>1242</v>
      </c>
      <c r="B2393" s="45" t="s">
        <v>664</v>
      </c>
      <c r="C2393" s="60" t="s">
        <v>2021</v>
      </c>
      <c r="D2393" s="60"/>
      <c r="E2393" s="74">
        <v>2022</v>
      </c>
      <c r="F2393" s="74" t="s">
        <v>489</v>
      </c>
      <c r="G2393" s="61">
        <v>1</v>
      </c>
      <c r="H2393" s="45">
        <v>15</v>
      </c>
      <c r="I2393" s="74">
        <v>70.093699999999998</v>
      </c>
    </row>
    <row r="2394" spans="1:9" s="71" customFormat="1" ht="16.5" hidden="1" customHeight="1" outlineLevel="1" x14ac:dyDescent="0.25">
      <c r="A2394" s="74">
        <v>1093</v>
      </c>
      <c r="B2394" s="45" t="s">
        <v>664</v>
      </c>
      <c r="C2394" s="60" t="s">
        <v>2022</v>
      </c>
      <c r="D2394" s="60"/>
      <c r="E2394" s="74">
        <v>2022</v>
      </c>
      <c r="F2394" s="74" t="s">
        <v>489</v>
      </c>
      <c r="G2394" s="61">
        <v>1</v>
      </c>
      <c r="H2394" s="45">
        <v>10</v>
      </c>
      <c r="I2394" s="74">
        <v>47.30574</v>
      </c>
    </row>
    <row r="2395" spans="1:9" s="71" customFormat="1" ht="16.5" hidden="1" customHeight="1" outlineLevel="1" x14ac:dyDescent="0.25">
      <c r="A2395" s="74">
        <v>1095</v>
      </c>
      <c r="B2395" s="45" t="s">
        <v>664</v>
      </c>
      <c r="C2395" s="60" t="s">
        <v>2023</v>
      </c>
      <c r="D2395" s="60"/>
      <c r="E2395" s="74">
        <v>2022</v>
      </c>
      <c r="F2395" s="74" t="s">
        <v>489</v>
      </c>
      <c r="G2395" s="61">
        <v>1</v>
      </c>
      <c r="H2395" s="45">
        <v>15</v>
      </c>
      <c r="I2395" s="74">
        <v>50.169440000000002</v>
      </c>
    </row>
    <row r="2396" spans="1:9" s="71" customFormat="1" ht="16.5" hidden="1" customHeight="1" outlineLevel="1" x14ac:dyDescent="0.25">
      <c r="A2396" s="74">
        <v>1449</v>
      </c>
      <c r="B2396" s="45" t="s">
        <v>664</v>
      </c>
      <c r="C2396" s="60" t="s">
        <v>2024</v>
      </c>
      <c r="D2396" s="60"/>
      <c r="E2396" s="74">
        <v>2022</v>
      </c>
      <c r="F2396" s="74" t="s">
        <v>489</v>
      </c>
      <c r="G2396" s="61">
        <v>1</v>
      </c>
      <c r="H2396" s="45">
        <v>14</v>
      </c>
      <c r="I2396" s="74">
        <v>64.346289999999996</v>
      </c>
    </row>
    <row r="2397" spans="1:9" s="71" customFormat="1" ht="16.5" hidden="1" customHeight="1" outlineLevel="1" x14ac:dyDescent="0.25">
      <c r="A2397" s="74">
        <v>1139</v>
      </c>
      <c r="B2397" s="45" t="s">
        <v>664</v>
      </c>
      <c r="C2397" s="60" t="s">
        <v>2025</v>
      </c>
      <c r="D2397" s="60"/>
      <c r="E2397" s="74">
        <v>2022</v>
      </c>
      <c r="F2397" s="74" t="s">
        <v>489</v>
      </c>
      <c r="G2397" s="61">
        <v>1</v>
      </c>
      <c r="H2397" s="45">
        <v>10</v>
      </c>
      <c r="I2397" s="74">
        <v>64.929599999999994</v>
      </c>
    </row>
    <row r="2398" spans="1:9" s="71" customFormat="1" ht="16.5" hidden="1" customHeight="1" outlineLevel="1" x14ac:dyDescent="0.25">
      <c r="A2398" s="74">
        <v>1128</v>
      </c>
      <c r="B2398" s="45" t="s">
        <v>664</v>
      </c>
      <c r="C2398" s="60" t="s">
        <v>2026</v>
      </c>
      <c r="D2398" s="60"/>
      <c r="E2398" s="74">
        <v>2022</v>
      </c>
      <c r="F2398" s="74" t="s">
        <v>489</v>
      </c>
      <c r="G2398" s="61">
        <v>1</v>
      </c>
      <c r="H2398" s="45">
        <v>15</v>
      </c>
      <c r="I2398" s="74">
        <v>46.614730000000002</v>
      </c>
    </row>
    <row r="2399" spans="1:9" s="71" customFormat="1" ht="16.5" hidden="1" customHeight="1" outlineLevel="1" x14ac:dyDescent="0.25">
      <c r="A2399" s="74">
        <v>1722</v>
      </c>
      <c r="B2399" s="45" t="s">
        <v>664</v>
      </c>
      <c r="C2399" s="60" t="s">
        <v>2027</v>
      </c>
      <c r="D2399" s="60"/>
      <c r="E2399" s="74">
        <v>2022</v>
      </c>
      <c r="F2399" s="74" t="s">
        <v>489</v>
      </c>
      <c r="G2399" s="61">
        <v>1</v>
      </c>
      <c r="H2399" s="45">
        <v>10</v>
      </c>
      <c r="I2399" s="74">
        <v>18.413450000000001</v>
      </c>
    </row>
    <row r="2400" spans="1:9" s="71" customFormat="1" ht="16.5" hidden="1" customHeight="1" outlineLevel="1" x14ac:dyDescent="0.25">
      <c r="A2400" s="74">
        <v>1646</v>
      </c>
      <c r="B2400" s="45" t="s">
        <v>664</v>
      </c>
      <c r="C2400" s="60" t="s">
        <v>2028</v>
      </c>
      <c r="D2400" s="60"/>
      <c r="E2400" s="74">
        <v>2022</v>
      </c>
      <c r="F2400" s="74" t="s">
        <v>489</v>
      </c>
      <c r="G2400" s="61">
        <v>1</v>
      </c>
      <c r="H2400" s="45">
        <v>15</v>
      </c>
      <c r="I2400" s="74">
        <v>20.26483</v>
      </c>
    </row>
    <row r="2401" spans="1:9" s="71" customFormat="1" ht="16.5" hidden="1" customHeight="1" outlineLevel="1" x14ac:dyDescent="0.25">
      <c r="A2401" s="74">
        <v>1648</v>
      </c>
      <c r="B2401" s="45" t="s">
        <v>664</v>
      </c>
      <c r="C2401" s="60" t="s">
        <v>2029</v>
      </c>
      <c r="D2401" s="60"/>
      <c r="E2401" s="74">
        <v>2022</v>
      </c>
      <c r="F2401" s="74" t="s">
        <v>489</v>
      </c>
      <c r="G2401" s="61">
        <v>1</v>
      </c>
      <c r="H2401" s="45">
        <v>10</v>
      </c>
      <c r="I2401" s="74">
        <v>20.26483</v>
      </c>
    </row>
    <row r="2402" spans="1:9" s="71" customFormat="1" ht="16.5" hidden="1" customHeight="1" outlineLevel="1" x14ac:dyDescent="0.25">
      <c r="A2402" s="74">
        <v>1732</v>
      </c>
      <c r="B2402" s="45" t="s">
        <v>664</v>
      </c>
      <c r="C2402" s="60" t="s">
        <v>2030</v>
      </c>
      <c r="D2402" s="60"/>
      <c r="E2402" s="74">
        <v>2022</v>
      </c>
      <c r="F2402" s="74" t="s">
        <v>489</v>
      </c>
      <c r="G2402" s="61">
        <v>1</v>
      </c>
      <c r="H2402" s="45">
        <v>10</v>
      </c>
      <c r="I2402" s="74">
        <v>38.099080000000001</v>
      </c>
    </row>
    <row r="2403" spans="1:9" s="71" customFormat="1" ht="16.5" hidden="1" customHeight="1" outlineLevel="1" x14ac:dyDescent="0.25">
      <c r="A2403" s="74">
        <v>1645</v>
      </c>
      <c r="B2403" s="45" t="s">
        <v>664</v>
      </c>
      <c r="C2403" s="60" t="s">
        <v>2031</v>
      </c>
      <c r="D2403" s="60"/>
      <c r="E2403" s="74">
        <v>2022</v>
      </c>
      <c r="F2403" s="74" t="s">
        <v>489</v>
      </c>
      <c r="G2403" s="61">
        <v>1</v>
      </c>
      <c r="H2403" s="45">
        <v>15</v>
      </c>
      <c r="I2403" s="74">
        <v>21.615970000000001</v>
      </c>
    </row>
    <row r="2404" spans="1:9" s="71" customFormat="1" ht="16.5" hidden="1" customHeight="1" outlineLevel="1" x14ac:dyDescent="0.25">
      <c r="A2404" s="74">
        <v>1733</v>
      </c>
      <c r="B2404" s="45" t="s">
        <v>664</v>
      </c>
      <c r="C2404" s="60" t="s">
        <v>2032</v>
      </c>
      <c r="D2404" s="60"/>
      <c r="E2404" s="74">
        <v>2022</v>
      </c>
      <c r="F2404" s="74" t="s">
        <v>489</v>
      </c>
      <c r="G2404" s="61">
        <v>1</v>
      </c>
      <c r="H2404" s="45">
        <v>13.5</v>
      </c>
      <c r="I2404" s="74">
        <v>37.945799999999998</v>
      </c>
    </row>
    <row r="2405" spans="1:9" s="71" customFormat="1" ht="16.5" hidden="1" customHeight="1" outlineLevel="1" x14ac:dyDescent="0.25">
      <c r="A2405" s="74">
        <v>1699</v>
      </c>
      <c r="B2405" s="45" t="s">
        <v>664</v>
      </c>
      <c r="C2405" s="60" t="s">
        <v>2033</v>
      </c>
      <c r="D2405" s="60"/>
      <c r="E2405" s="74">
        <v>2022</v>
      </c>
      <c r="F2405" s="74" t="s">
        <v>489</v>
      </c>
      <c r="G2405" s="61">
        <v>1</v>
      </c>
      <c r="H2405" s="45">
        <v>13.5</v>
      </c>
      <c r="I2405" s="74">
        <v>19.87799</v>
      </c>
    </row>
    <row r="2406" spans="1:9" s="71" customFormat="1" ht="16.5" hidden="1" customHeight="1" outlineLevel="1" x14ac:dyDescent="0.25">
      <c r="A2406" s="74">
        <v>1693</v>
      </c>
      <c r="B2406" s="45" t="s">
        <v>664</v>
      </c>
      <c r="C2406" s="60" t="s">
        <v>2034</v>
      </c>
      <c r="D2406" s="60"/>
      <c r="E2406" s="74">
        <v>2022</v>
      </c>
      <c r="F2406" s="74" t="s">
        <v>489</v>
      </c>
      <c r="G2406" s="61">
        <v>1</v>
      </c>
      <c r="H2406" s="45">
        <v>10</v>
      </c>
      <c r="I2406" s="74">
        <v>19.334009999999999</v>
      </c>
    </row>
    <row r="2407" spans="1:9" s="71" customFormat="1" ht="16.5" hidden="1" customHeight="1" outlineLevel="1" x14ac:dyDescent="0.25">
      <c r="A2407" s="74">
        <v>1679</v>
      </c>
      <c r="B2407" s="45" t="s">
        <v>664</v>
      </c>
      <c r="C2407" s="60" t="s">
        <v>2035</v>
      </c>
      <c r="D2407" s="60"/>
      <c r="E2407" s="74">
        <v>2022</v>
      </c>
      <c r="F2407" s="74" t="s">
        <v>489</v>
      </c>
      <c r="G2407" s="61">
        <v>1</v>
      </c>
      <c r="H2407" s="45">
        <v>15</v>
      </c>
      <c r="I2407" s="74">
        <v>20.90635</v>
      </c>
    </row>
    <row r="2408" spans="1:9" s="71" customFormat="1" ht="16.5" hidden="1" customHeight="1" outlineLevel="1" x14ac:dyDescent="0.25">
      <c r="A2408" s="74">
        <v>1715</v>
      </c>
      <c r="B2408" s="45" t="s">
        <v>664</v>
      </c>
      <c r="C2408" s="60" t="s">
        <v>2036</v>
      </c>
      <c r="D2408" s="60"/>
      <c r="E2408" s="74">
        <v>2022</v>
      </c>
      <c r="F2408" s="74" t="s">
        <v>489</v>
      </c>
      <c r="G2408" s="61">
        <v>1</v>
      </c>
      <c r="H2408" s="45">
        <v>10</v>
      </c>
      <c r="I2408" s="74">
        <v>20.804849999999998</v>
      </c>
    </row>
    <row r="2409" spans="1:9" s="71" customFormat="1" ht="16.5" hidden="1" customHeight="1" outlineLevel="1" x14ac:dyDescent="0.25">
      <c r="A2409" s="74">
        <v>1678</v>
      </c>
      <c r="B2409" s="45" t="s">
        <v>664</v>
      </c>
      <c r="C2409" s="60" t="s">
        <v>2037</v>
      </c>
      <c r="D2409" s="60"/>
      <c r="E2409" s="74">
        <v>2022</v>
      </c>
      <c r="F2409" s="74" t="s">
        <v>489</v>
      </c>
      <c r="G2409" s="61">
        <v>1</v>
      </c>
      <c r="H2409" s="45">
        <v>10</v>
      </c>
      <c r="I2409" s="74">
        <v>21.62838</v>
      </c>
    </row>
    <row r="2410" spans="1:9" s="71" customFormat="1" ht="16.5" hidden="1" customHeight="1" outlineLevel="1" x14ac:dyDescent="0.25">
      <c r="A2410" s="74">
        <v>1727</v>
      </c>
      <c r="B2410" s="45" t="s">
        <v>664</v>
      </c>
      <c r="C2410" s="60" t="s">
        <v>2038</v>
      </c>
      <c r="D2410" s="60"/>
      <c r="E2410" s="74">
        <v>2022</v>
      </c>
      <c r="F2410" s="74" t="s">
        <v>489</v>
      </c>
      <c r="G2410" s="61">
        <v>1</v>
      </c>
      <c r="H2410" s="45">
        <v>14.5</v>
      </c>
      <c r="I2410" s="74">
        <v>22.475660000000001</v>
      </c>
    </row>
    <row r="2411" spans="1:9" s="71" customFormat="1" ht="16.5" hidden="1" customHeight="1" outlineLevel="1" x14ac:dyDescent="0.25">
      <c r="A2411" s="74">
        <v>1726</v>
      </c>
      <c r="B2411" s="45" t="s">
        <v>664</v>
      </c>
      <c r="C2411" s="60" t="s">
        <v>2039</v>
      </c>
      <c r="D2411" s="60"/>
      <c r="E2411" s="74">
        <v>2022</v>
      </c>
      <c r="F2411" s="74" t="s">
        <v>489</v>
      </c>
      <c r="G2411" s="61">
        <v>1</v>
      </c>
      <c r="H2411" s="45">
        <v>14.5</v>
      </c>
      <c r="I2411" s="74">
        <v>22.467469999999999</v>
      </c>
    </row>
    <row r="2412" spans="1:9" s="71" customFormat="1" ht="16.5" hidden="1" customHeight="1" outlineLevel="1" x14ac:dyDescent="0.25">
      <c r="A2412" s="74">
        <v>1725</v>
      </c>
      <c r="B2412" s="45" t="s">
        <v>664</v>
      </c>
      <c r="C2412" s="60" t="s">
        <v>2040</v>
      </c>
      <c r="D2412" s="60"/>
      <c r="E2412" s="74">
        <v>2022</v>
      </c>
      <c r="F2412" s="74" t="s">
        <v>489</v>
      </c>
      <c r="G2412" s="61">
        <v>1</v>
      </c>
      <c r="H2412" s="45">
        <v>13.8</v>
      </c>
      <c r="I2412" s="74">
        <v>22.005680000000002</v>
      </c>
    </row>
    <row r="2413" spans="1:9" s="71" customFormat="1" ht="16.5" hidden="1" customHeight="1" outlineLevel="1" x14ac:dyDescent="0.25">
      <c r="A2413" s="74">
        <v>1730</v>
      </c>
      <c r="B2413" s="45" t="s">
        <v>664</v>
      </c>
      <c r="C2413" s="60" t="s">
        <v>2041</v>
      </c>
      <c r="D2413" s="60"/>
      <c r="E2413" s="74">
        <v>2022</v>
      </c>
      <c r="F2413" s="74" t="s">
        <v>489</v>
      </c>
      <c r="G2413" s="61">
        <v>1</v>
      </c>
      <c r="H2413" s="45">
        <v>7.5</v>
      </c>
      <c r="I2413" s="74">
        <v>40.187330000000003</v>
      </c>
    </row>
    <row r="2414" spans="1:9" s="71" customFormat="1" ht="16.5" hidden="1" customHeight="1" outlineLevel="1" x14ac:dyDescent="0.25">
      <c r="A2414" s="74">
        <v>1724</v>
      </c>
      <c r="B2414" s="45" t="s">
        <v>664</v>
      </c>
      <c r="C2414" s="60" t="s">
        <v>2042</v>
      </c>
      <c r="D2414" s="60"/>
      <c r="E2414" s="74">
        <v>2022</v>
      </c>
      <c r="F2414" s="74" t="s">
        <v>489</v>
      </c>
      <c r="G2414" s="61">
        <v>1</v>
      </c>
      <c r="H2414" s="45">
        <v>7.5</v>
      </c>
      <c r="I2414" s="74">
        <v>22.03762</v>
      </c>
    </row>
    <row r="2415" spans="1:9" s="71" customFormat="1" ht="16.5" hidden="1" customHeight="1" outlineLevel="1" x14ac:dyDescent="0.25">
      <c r="A2415" s="74">
        <v>1729</v>
      </c>
      <c r="B2415" s="45" t="s">
        <v>664</v>
      </c>
      <c r="C2415" s="60" t="s">
        <v>2043</v>
      </c>
      <c r="D2415" s="60"/>
      <c r="E2415" s="74">
        <v>2022</v>
      </c>
      <c r="F2415" s="74" t="s">
        <v>489</v>
      </c>
      <c r="G2415" s="61">
        <v>1</v>
      </c>
      <c r="H2415" s="45">
        <v>15</v>
      </c>
      <c r="I2415" s="74">
        <v>40.186109999999999</v>
      </c>
    </row>
    <row r="2416" spans="1:9" s="71" customFormat="1" ht="16.5" hidden="1" customHeight="1" outlineLevel="1" x14ac:dyDescent="0.25">
      <c r="A2416" s="74">
        <v>1666</v>
      </c>
      <c r="B2416" s="45" t="s">
        <v>664</v>
      </c>
      <c r="C2416" s="60" t="s">
        <v>2044</v>
      </c>
      <c r="D2416" s="60"/>
      <c r="E2416" s="74">
        <v>2022</v>
      </c>
      <c r="F2416" s="74" t="s">
        <v>489</v>
      </c>
      <c r="G2416" s="61">
        <v>1</v>
      </c>
      <c r="H2416" s="45">
        <v>15</v>
      </c>
      <c r="I2416" s="74">
        <v>23.151309999999999</v>
      </c>
    </row>
    <row r="2417" spans="1:9" s="71" customFormat="1" ht="16.5" hidden="1" customHeight="1" outlineLevel="1" x14ac:dyDescent="0.25">
      <c r="A2417" s="74">
        <v>1583</v>
      </c>
      <c r="B2417" s="45" t="s">
        <v>664</v>
      </c>
      <c r="C2417" s="60" t="s">
        <v>2045</v>
      </c>
      <c r="D2417" s="60"/>
      <c r="E2417" s="74">
        <v>2022</v>
      </c>
      <c r="F2417" s="74" t="s">
        <v>489</v>
      </c>
      <c r="G2417" s="61">
        <v>1</v>
      </c>
      <c r="H2417" s="45">
        <v>15</v>
      </c>
      <c r="I2417" s="74">
        <v>27.56466</v>
      </c>
    </row>
    <row r="2418" spans="1:9" s="71" customFormat="1" ht="16.5" hidden="1" customHeight="1" outlineLevel="1" x14ac:dyDescent="0.25">
      <c r="A2418" s="74">
        <v>1734</v>
      </c>
      <c r="B2418" s="45" t="s">
        <v>664</v>
      </c>
      <c r="C2418" s="60" t="s">
        <v>2046</v>
      </c>
      <c r="D2418" s="60"/>
      <c r="E2418" s="74">
        <v>2022</v>
      </c>
      <c r="F2418" s="74" t="s">
        <v>489</v>
      </c>
      <c r="G2418" s="61">
        <v>1</v>
      </c>
      <c r="H2418" s="45">
        <v>10</v>
      </c>
      <c r="I2418" s="74">
        <v>20.456869999999999</v>
      </c>
    </row>
    <row r="2419" spans="1:9" s="71" customFormat="1" ht="16.5" hidden="1" customHeight="1" outlineLevel="1" x14ac:dyDescent="0.25">
      <c r="A2419" s="74">
        <v>1183</v>
      </c>
      <c r="B2419" s="45" t="s">
        <v>664</v>
      </c>
      <c r="C2419" s="60" t="s">
        <v>2047</v>
      </c>
      <c r="D2419" s="60"/>
      <c r="E2419" s="74">
        <v>2022</v>
      </c>
      <c r="F2419" s="74" t="s">
        <v>489</v>
      </c>
      <c r="G2419" s="61">
        <v>2</v>
      </c>
      <c r="H2419" s="45">
        <v>30</v>
      </c>
      <c r="I2419" s="74">
        <v>66.840879999999999</v>
      </c>
    </row>
    <row r="2420" spans="1:9" s="71" customFormat="1" ht="16.5" hidden="1" customHeight="1" outlineLevel="1" x14ac:dyDescent="0.25">
      <c r="A2420" s="74">
        <v>1746</v>
      </c>
      <c r="B2420" s="45" t="s">
        <v>664</v>
      </c>
      <c r="C2420" s="60" t="s">
        <v>2048</v>
      </c>
      <c r="D2420" s="60"/>
      <c r="E2420" s="74">
        <v>2022</v>
      </c>
      <c r="F2420" s="74" t="s">
        <v>489</v>
      </c>
      <c r="G2420" s="61">
        <v>1</v>
      </c>
      <c r="H2420" s="45">
        <v>10</v>
      </c>
      <c r="I2420" s="74">
        <v>22.110209999999999</v>
      </c>
    </row>
    <row r="2421" spans="1:9" s="71" customFormat="1" ht="16.5" hidden="1" customHeight="1" outlineLevel="1" x14ac:dyDescent="0.25">
      <c r="A2421" s="74">
        <v>1468</v>
      </c>
      <c r="B2421" s="45" t="s">
        <v>664</v>
      </c>
      <c r="C2421" s="60" t="s">
        <v>2049</v>
      </c>
      <c r="D2421" s="60"/>
      <c r="E2421" s="74">
        <v>2022</v>
      </c>
      <c r="F2421" s="74" t="s">
        <v>489</v>
      </c>
      <c r="G2421" s="61">
        <v>1</v>
      </c>
      <c r="H2421" s="45">
        <v>10</v>
      </c>
      <c r="I2421" s="74">
        <v>76.311890000000005</v>
      </c>
    </row>
    <row r="2422" spans="1:9" s="71" customFormat="1" ht="16.5" hidden="1" customHeight="1" outlineLevel="1" x14ac:dyDescent="0.25">
      <c r="A2422" s="74">
        <v>1719</v>
      </c>
      <c r="B2422" s="45" t="s">
        <v>664</v>
      </c>
      <c r="C2422" s="60" t="s">
        <v>2050</v>
      </c>
      <c r="D2422" s="60"/>
      <c r="E2422" s="74">
        <v>2022</v>
      </c>
      <c r="F2422" s="74" t="s">
        <v>489</v>
      </c>
      <c r="G2422" s="61">
        <v>1</v>
      </c>
      <c r="H2422" s="45">
        <v>10</v>
      </c>
      <c r="I2422" s="74">
        <v>82.205789999999993</v>
      </c>
    </row>
    <row r="2423" spans="1:9" s="71" customFormat="1" ht="16.5" hidden="1" customHeight="1" outlineLevel="1" x14ac:dyDescent="0.25">
      <c r="A2423" s="74">
        <v>1229</v>
      </c>
      <c r="B2423" s="45" t="s">
        <v>664</v>
      </c>
      <c r="C2423" s="60" t="s">
        <v>2051</v>
      </c>
      <c r="D2423" s="60"/>
      <c r="E2423" s="74">
        <v>2022</v>
      </c>
      <c r="F2423" s="74" t="s">
        <v>489</v>
      </c>
      <c r="G2423" s="61">
        <v>1</v>
      </c>
      <c r="H2423" s="45">
        <v>15</v>
      </c>
      <c r="I2423" s="74">
        <v>39.868499999999997</v>
      </c>
    </row>
    <row r="2424" spans="1:9" s="71" customFormat="1" ht="16.5" hidden="1" customHeight="1" outlineLevel="1" x14ac:dyDescent="0.25">
      <c r="A2424" s="74">
        <v>1320</v>
      </c>
      <c r="B2424" s="45" t="s">
        <v>664</v>
      </c>
      <c r="C2424" s="60" t="s">
        <v>2052</v>
      </c>
      <c r="D2424" s="60"/>
      <c r="E2424" s="74">
        <v>2022</v>
      </c>
      <c r="F2424" s="74" t="s">
        <v>489</v>
      </c>
      <c r="G2424" s="61">
        <v>1</v>
      </c>
      <c r="H2424" s="45">
        <v>15</v>
      </c>
      <c r="I2424" s="74">
        <v>46.248759999999997</v>
      </c>
    </row>
    <row r="2425" spans="1:9" s="71" customFormat="1" ht="16.5" hidden="1" customHeight="1" outlineLevel="1" x14ac:dyDescent="0.25">
      <c r="A2425" s="74">
        <v>1664</v>
      </c>
      <c r="B2425" s="45" t="s">
        <v>664</v>
      </c>
      <c r="C2425" s="60" t="s">
        <v>2053</v>
      </c>
      <c r="D2425" s="60"/>
      <c r="E2425" s="74">
        <v>2022</v>
      </c>
      <c r="F2425" s="74" t="s">
        <v>489</v>
      </c>
      <c r="G2425" s="61">
        <v>1</v>
      </c>
      <c r="H2425" s="45">
        <v>15</v>
      </c>
      <c r="I2425" s="74">
        <v>84.366579999999999</v>
      </c>
    </row>
    <row r="2426" spans="1:9" s="71" customFormat="1" ht="16.5" hidden="1" customHeight="1" outlineLevel="1" x14ac:dyDescent="0.25">
      <c r="A2426" s="74">
        <v>1057</v>
      </c>
      <c r="B2426" s="45" t="s">
        <v>664</v>
      </c>
      <c r="C2426" s="60" t="s">
        <v>2054</v>
      </c>
      <c r="D2426" s="60"/>
      <c r="E2426" s="74">
        <v>2022</v>
      </c>
      <c r="F2426" s="74" t="s">
        <v>489</v>
      </c>
      <c r="G2426" s="61">
        <v>1</v>
      </c>
      <c r="H2426" s="45">
        <v>15</v>
      </c>
      <c r="I2426" s="74">
        <v>36.524709999999999</v>
      </c>
    </row>
    <row r="2427" spans="1:9" s="71" customFormat="1" ht="16.5" hidden="1" customHeight="1" outlineLevel="1" x14ac:dyDescent="0.25">
      <c r="A2427" s="74">
        <v>1132</v>
      </c>
      <c r="B2427" s="45" t="s">
        <v>664</v>
      </c>
      <c r="C2427" s="60" t="s">
        <v>2055</v>
      </c>
      <c r="D2427" s="60"/>
      <c r="E2427" s="74">
        <v>2022</v>
      </c>
      <c r="F2427" s="74" t="s">
        <v>489</v>
      </c>
      <c r="G2427" s="61">
        <v>1</v>
      </c>
      <c r="H2427" s="45">
        <v>15</v>
      </c>
      <c r="I2427" s="74">
        <v>57.55742</v>
      </c>
    </row>
    <row r="2428" spans="1:9" s="71" customFormat="1" ht="16.5" hidden="1" customHeight="1" outlineLevel="1" x14ac:dyDescent="0.25">
      <c r="A2428" s="74">
        <v>1075</v>
      </c>
      <c r="B2428" s="45" t="s">
        <v>664</v>
      </c>
      <c r="C2428" s="60" t="s">
        <v>2056</v>
      </c>
      <c r="D2428" s="60"/>
      <c r="E2428" s="74">
        <v>2022</v>
      </c>
      <c r="F2428" s="74" t="s">
        <v>489</v>
      </c>
      <c r="G2428" s="61">
        <v>1</v>
      </c>
      <c r="H2428" s="45">
        <v>15</v>
      </c>
      <c r="I2428" s="74">
        <v>39.853230000000003</v>
      </c>
    </row>
    <row r="2429" spans="1:9" s="71" customFormat="1" ht="16.5" hidden="1" customHeight="1" outlineLevel="1" x14ac:dyDescent="0.25">
      <c r="A2429" s="74">
        <v>1491</v>
      </c>
      <c r="B2429" s="45" t="s">
        <v>664</v>
      </c>
      <c r="C2429" s="60" t="s">
        <v>2057</v>
      </c>
      <c r="D2429" s="60"/>
      <c r="E2429" s="74">
        <v>2022</v>
      </c>
      <c r="F2429" s="74" t="s">
        <v>489</v>
      </c>
      <c r="G2429" s="61">
        <v>1</v>
      </c>
      <c r="H2429" s="45">
        <v>15</v>
      </c>
      <c r="I2429" s="74">
        <v>48.802100000000003</v>
      </c>
    </row>
    <row r="2430" spans="1:9" s="71" customFormat="1" ht="16.5" hidden="1" customHeight="1" outlineLevel="1" x14ac:dyDescent="0.25">
      <c r="A2430" s="74">
        <v>1263</v>
      </c>
      <c r="B2430" s="45" t="s">
        <v>664</v>
      </c>
      <c r="C2430" s="60" t="s">
        <v>2058</v>
      </c>
      <c r="D2430" s="60"/>
      <c r="E2430" s="74">
        <v>2022</v>
      </c>
      <c r="F2430" s="74" t="s">
        <v>489</v>
      </c>
      <c r="G2430" s="61">
        <v>1</v>
      </c>
      <c r="H2430" s="45">
        <v>15</v>
      </c>
      <c r="I2430" s="74">
        <v>56.780209999999997</v>
      </c>
    </row>
    <row r="2431" spans="1:9" s="71" customFormat="1" ht="16.5" hidden="1" customHeight="1" outlineLevel="1" x14ac:dyDescent="0.25">
      <c r="A2431" s="74">
        <v>1720</v>
      </c>
      <c r="B2431" s="45" t="s">
        <v>664</v>
      </c>
      <c r="C2431" s="60" t="s">
        <v>136</v>
      </c>
      <c r="D2431" s="60"/>
      <c r="E2431" s="74">
        <v>2022</v>
      </c>
      <c r="F2431" s="74" t="s">
        <v>489</v>
      </c>
      <c r="G2431" s="61">
        <v>1</v>
      </c>
      <c r="H2431" s="45">
        <v>11.5</v>
      </c>
      <c r="I2431" s="74">
        <v>65.696730000000002</v>
      </c>
    </row>
    <row r="2432" spans="1:9" s="71" customFormat="1" ht="16.5" hidden="1" customHeight="1" outlineLevel="1" x14ac:dyDescent="0.25">
      <c r="A2432" s="74">
        <v>1738</v>
      </c>
      <c r="B2432" s="45" t="s">
        <v>664</v>
      </c>
      <c r="C2432" s="60" t="s">
        <v>2059</v>
      </c>
      <c r="D2432" s="60"/>
      <c r="E2432" s="74">
        <v>2022</v>
      </c>
      <c r="F2432" s="74" t="s">
        <v>489</v>
      </c>
      <c r="G2432" s="61">
        <v>1</v>
      </c>
      <c r="H2432" s="45">
        <v>15</v>
      </c>
      <c r="I2432" s="74">
        <v>20.840900000000001</v>
      </c>
    </row>
    <row r="2433" spans="1:9" s="71" customFormat="1" ht="16.5" hidden="1" customHeight="1" outlineLevel="1" x14ac:dyDescent="0.25">
      <c r="A2433" s="74">
        <v>1088</v>
      </c>
      <c r="B2433" s="45" t="s">
        <v>664</v>
      </c>
      <c r="C2433" s="60" t="s">
        <v>2060</v>
      </c>
      <c r="D2433" s="60"/>
      <c r="E2433" s="74">
        <v>2022</v>
      </c>
      <c r="F2433" s="74" t="s">
        <v>489</v>
      </c>
      <c r="G2433" s="61">
        <v>1</v>
      </c>
      <c r="H2433" s="45">
        <v>7.5</v>
      </c>
      <c r="I2433" s="74">
        <v>34.350090000000002</v>
      </c>
    </row>
    <row r="2434" spans="1:9" s="71" customFormat="1" ht="16.5" hidden="1" customHeight="1" outlineLevel="1" x14ac:dyDescent="0.25">
      <c r="A2434" s="74">
        <v>1182</v>
      </c>
      <c r="B2434" s="45" t="s">
        <v>664</v>
      </c>
      <c r="C2434" s="60" t="s">
        <v>2061</v>
      </c>
      <c r="D2434" s="60"/>
      <c r="E2434" s="74">
        <v>2022</v>
      </c>
      <c r="F2434" s="74" t="s">
        <v>489</v>
      </c>
      <c r="G2434" s="61">
        <v>1</v>
      </c>
      <c r="H2434" s="45">
        <v>7.5</v>
      </c>
      <c r="I2434" s="74">
        <v>25.870930000000001</v>
      </c>
    </row>
    <row r="2435" spans="1:9" s="71" customFormat="1" ht="16.5" hidden="1" customHeight="1" outlineLevel="1" x14ac:dyDescent="0.25">
      <c r="A2435" s="74">
        <v>1736</v>
      </c>
      <c r="B2435" s="45" t="s">
        <v>664</v>
      </c>
      <c r="C2435" s="60" t="s">
        <v>2062</v>
      </c>
      <c r="D2435" s="60"/>
      <c r="E2435" s="74">
        <v>2022</v>
      </c>
      <c r="F2435" s="74" t="s">
        <v>489</v>
      </c>
      <c r="G2435" s="61">
        <v>1</v>
      </c>
      <c r="H2435" s="45">
        <v>15</v>
      </c>
      <c r="I2435" s="74">
        <v>20.297630000000002</v>
      </c>
    </row>
    <row r="2436" spans="1:9" s="71" customFormat="1" ht="16.5" hidden="1" customHeight="1" outlineLevel="1" x14ac:dyDescent="0.25">
      <c r="A2436" s="74">
        <v>1477</v>
      </c>
      <c r="B2436" s="45" t="s">
        <v>664</v>
      </c>
      <c r="C2436" s="60" t="s">
        <v>2063</v>
      </c>
      <c r="D2436" s="60"/>
      <c r="E2436" s="74">
        <v>2022</v>
      </c>
      <c r="F2436" s="74" t="s">
        <v>489</v>
      </c>
      <c r="G2436" s="61">
        <v>1</v>
      </c>
      <c r="H2436" s="45">
        <v>10</v>
      </c>
      <c r="I2436" s="74">
        <v>26.655180000000001</v>
      </c>
    </row>
    <row r="2437" spans="1:9" s="71" customFormat="1" ht="16.5" hidden="1" customHeight="1" outlineLevel="1" x14ac:dyDescent="0.25">
      <c r="A2437" s="74">
        <v>1742</v>
      </c>
      <c r="B2437" s="45" t="s">
        <v>664</v>
      </c>
      <c r="C2437" s="60" t="s">
        <v>2064</v>
      </c>
      <c r="D2437" s="60"/>
      <c r="E2437" s="74">
        <v>2022</v>
      </c>
      <c r="F2437" s="74" t="s">
        <v>489</v>
      </c>
      <c r="G2437" s="61">
        <v>1</v>
      </c>
      <c r="H2437" s="45">
        <v>15</v>
      </c>
      <c r="I2437" s="74">
        <v>20.381309999999999</v>
      </c>
    </row>
    <row r="2438" spans="1:9" s="71" customFormat="1" ht="16.5" hidden="1" customHeight="1" outlineLevel="1" x14ac:dyDescent="0.25">
      <c r="A2438" s="74">
        <v>1743</v>
      </c>
      <c r="B2438" s="45" t="s">
        <v>664</v>
      </c>
      <c r="C2438" s="60" t="s">
        <v>2065</v>
      </c>
      <c r="D2438" s="60"/>
      <c r="E2438" s="74">
        <v>2022</v>
      </c>
      <c r="F2438" s="74" t="s">
        <v>489</v>
      </c>
      <c r="G2438" s="61">
        <v>1</v>
      </c>
      <c r="H2438" s="45">
        <v>10</v>
      </c>
      <c r="I2438" s="74">
        <v>21.259340000000002</v>
      </c>
    </row>
    <row r="2439" spans="1:9" s="71" customFormat="1" ht="16.5" hidden="1" customHeight="1" outlineLevel="1" x14ac:dyDescent="0.25">
      <c r="A2439" s="74">
        <v>1745</v>
      </c>
      <c r="B2439" s="45" t="s">
        <v>664</v>
      </c>
      <c r="C2439" s="60" t="s">
        <v>2066</v>
      </c>
      <c r="D2439" s="60"/>
      <c r="E2439" s="74">
        <v>2022</v>
      </c>
      <c r="F2439" s="74" t="s">
        <v>489</v>
      </c>
      <c r="G2439" s="61">
        <v>1</v>
      </c>
      <c r="H2439" s="45">
        <v>10</v>
      </c>
      <c r="I2439" s="74">
        <v>21.595549999999999</v>
      </c>
    </row>
    <row r="2440" spans="1:9" s="71" customFormat="1" ht="16.5" hidden="1" customHeight="1" outlineLevel="1" x14ac:dyDescent="0.25">
      <c r="A2440" s="74">
        <v>1740</v>
      </c>
      <c r="B2440" s="45" t="s">
        <v>664</v>
      </c>
      <c r="C2440" s="60" t="s">
        <v>2067</v>
      </c>
      <c r="D2440" s="60"/>
      <c r="E2440" s="74">
        <v>2022</v>
      </c>
      <c r="F2440" s="74" t="s">
        <v>489</v>
      </c>
      <c r="G2440" s="61">
        <v>1</v>
      </c>
      <c r="H2440" s="45">
        <v>15</v>
      </c>
      <c r="I2440" s="74">
        <v>22.117270000000001</v>
      </c>
    </row>
    <row r="2441" spans="1:9" s="71" customFormat="1" ht="16.5" hidden="1" customHeight="1" outlineLevel="1" x14ac:dyDescent="0.25">
      <c r="A2441" s="74">
        <v>1739</v>
      </c>
      <c r="B2441" s="45" t="s">
        <v>664</v>
      </c>
      <c r="C2441" s="60" t="s">
        <v>2068</v>
      </c>
      <c r="D2441" s="60"/>
      <c r="E2441" s="74">
        <v>2022</v>
      </c>
      <c r="F2441" s="74" t="s">
        <v>489</v>
      </c>
      <c r="G2441" s="61">
        <v>1</v>
      </c>
      <c r="H2441" s="45">
        <v>15</v>
      </c>
      <c r="I2441" s="74">
        <v>20.372240000000001</v>
      </c>
    </row>
    <row r="2442" spans="1:9" s="71" customFormat="1" ht="16.5" hidden="1" customHeight="1" outlineLevel="1" x14ac:dyDescent="0.25">
      <c r="A2442" s="74">
        <v>1744</v>
      </c>
      <c r="B2442" s="45" t="s">
        <v>664</v>
      </c>
      <c r="C2442" s="60" t="s">
        <v>2069</v>
      </c>
      <c r="D2442" s="60"/>
      <c r="E2442" s="74">
        <v>2022</v>
      </c>
      <c r="F2442" s="74" t="s">
        <v>489</v>
      </c>
      <c r="G2442" s="61">
        <v>1</v>
      </c>
      <c r="H2442" s="45">
        <v>10</v>
      </c>
      <c r="I2442" s="74">
        <v>20.974820000000001</v>
      </c>
    </row>
    <row r="2443" spans="1:9" s="71" customFormat="1" ht="16.5" hidden="1" customHeight="1" outlineLevel="1" x14ac:dyDescent="0.25">
      <c r="A2443" s="74">
        <v>1741</v>
      </c>
      <c r="B2443" s="45" t="s">
        <v>664</v>
      </c>
      <c r="C2443" s="60" t="s">
        <v>2070</v>
      </c>
      <c r="D2443" s="60"/>
      <c r="E2443" s="74">
        <v>2022</v>
      </c>
      <c r="F2443" s="74" t="s">
        <v>489</v>
      </c>
      <c r="G2443" s="61">
        <v>1</v>
      </c>
      <c r="H2443" s="45">
        <v>11</v>
      </c>
      <c r="I2443" s="74">
        <v>20.950620000000001</v>
      </c>
    </row>
    <row r="2444" spans="1:9" s="71" customFormat="1" ht="16.5" hidden="1" customHeight="1" outlineLevel="1" x14ac:dyDescent="0.25">
      <c r="A2444" s="74">
        <v>1735</v>
      </c>
      <c r="B2444" s="45" t="s">
        <v>664</v>
      </c>
      <c r="C2444" s="60" t="s">
        <v>2071</v>
      </c>
      <c r="D2444" s="60"/>
      <c r="E2444" s="74">
        <v>2022</v>
      </c>
      <c r="F2444" s="74" t="s">
        <v>489</v>
      </c>
      <c r="G2444" s="61">
        <v>1</v>
      </c>
      <c r="H2444" s="45">
        <v>15</v>
      </c>
      <c r="I2444" s="74">
        <v>20.99973</v>
      </c>
    </row>
    <row r="2445" spans="1:9" s="71" customFormat="1" ht="16.5" hidden="1" customHeight="1" outlineLevel="1" x14ac:dyDescent="0.25">
      <c r="A2445" s="74">
        <v>1737</v>
      </c>
      <c r="B2445" s="45" t="s">
        <v>664</v>
      </c>
      <c r="C2445" s="60" t="s">
        <v>2072</v>
      </c>
      <c r="D2445" s="60"/>
      <c r="E2445" s="74">
        <v>2022</v>
      </c>
      <c r="F2445" s="74" t="s">
        <v>489</v>
      </c>
      <c r="G2445" s="61">
        <v>1</v>
      </c>
      <c r="H2445" s="45">
        <v>10</v>
      </c>
      <c r="I2445" s="74">
        <v>21.400739999999999</v>
      </c>
    </row>
    <row r="2446" spans="1:9" s="71" customFormat="1" ht="16.5" hidden="1" customHeight="1" outlineLevel="1" x14ac:dyDescent="0.25">
      <c r="A2446" s="74">
        <v>1317</v>
      </c>
      <c r="B2446" s="45" t="s">
        <v>664</v>
      </c>
      <c r="C2446" s="60" t="s">
        <v>2073</v>
      </c>
      <c r="D2446" s="60"/>
      <c r="E2446" s="74">
        <v>2022</v>
      </c>
      <c r="F2446" s="74" t="s">
        <v>489</v>
      </c>
      <c r="G2446" s="61">
        <v>1</v>
      </c>
      <c r="H2446" s="45">
        <v>11.5</v>
      </c>
      <c r="I2446" s="74">
        <v>35.730620000000002</v>
      </c>
    </row>
    <row r="2447" spans="1:9" s="71" customFormat="1" ht="16.5" hidden="1" customHeight="1" outlineLevel="1" x14ac:dyDescent="0.25">
      <c r="A2447" s="74">
        <v>1366</v>
      </c>
      <c r="B2447" s="45" t="s">
        <v>664</v>
      </c>
      <c r="C2447" s="60" t="s">
        <v>2074</v>
      </c>
      <c r="D2447" s="60"/>
      <c r="E2447" s="74">
        <v>2022</v>
      </c>
      <c r="F2447" s="74" t="s">
        <v>489</v>
      </c>
      <c r="G2447" s="61">
        <v>1</v>
      </c>
      <c r="H2447" s="45">
        <v>12</v>
      </c>
      <c r="I2447" s="74">
        <v>44.294640000000001</v>
      </c>
    </row>
    <row r="2448" spans="1:9" s="71" customFormat="1" ht="16.5" hidden="1" customHeight="1" outlineLevel="1" x14ac:dyDescent="0.25">
      <c r="A2448" s="74">
        <v>1665</v>
      </c>
      <c r="B2448" s="45" t="s">
        <v>664</v>
      </c>
      <c r="C2448" s="60" t="s">
        <v>2075</v>
      </c>
      <c r="D2448" s="60"/>
      <c r="E2448" s="74">
        <v>2022</v>
      </c>
      <c r="F2448" s="74" t="s">
        <v>489</v>
      </c>
      <c r="G2448" s="61">
        <v>1</v>
      </c>
      <c r="H2448" s="45">
        <v>10</v>
      </c>
      <c r="I2448" s="74">
        <v>79.265370000000004</v>
      </c>
    </row>
    <row r="2449" spans="1:9" s="71" customFormat="1" ht="16.5" hidden="1" customHeight="1" outlineLevel="1" x14ac:dyDescent="0.25">
      <c r="A2449" s="74">
        <v>1782</v>
      </c>
      <c r="B2449" s="45" t="s">
        <v>664</v>
      </c>
      <c r="C2449" s="60" t="s">
        <v>2076</v>
      </c>
      <c r="D2449" s="60"/>
      <c r="E2449" s="74">
        <v>2022</v>
      </c>
      <c r="F2449" s="74" t="s">
        <v>489</v>
      </c>
      <c r="G2449" s="61">
        <v>1</v>
      </c>
      <c r="H2449" s="45">
        <v>10</v>
      </c>
      <c r="I2449" s="74">
        <v>37.76437</v>
      </c>
    </row>
    <row r="2450" spans="1:9" s="71" customFormat="1" ht="16.5" hidden="1" customHeight="1" outlineLevel="1" x14ac:dyDescent="0.25">
      <c r="A2450" s="74">
        <v>1778</v>
      </c>
      <c r="B2450" s="45" t="s">
        <v>664</v>
      </c>
      <c r="C2450" s="60" t="s">
        <v>2077</v>
      </c>
      <c r="D2450" s="60"/>
      <c r="E2450" s="74">
        <v>2022</v>
      </c>
      <c r="F2450" s="74" t="s">
        <v>489</v>
      </c>
      <c r="G2450" s="61">
        <v>1</v>
      </c>
      <c r="H2450" s="45">
        <v>15</v>
      </c>
      <c r="I2450" s="74">
        <v>38.218150000000001</v>
      </c>
    </row>
    <row r="2451" spans="1:9" s="71" customFormat="1" ht="16.5" hidden="1" customHeight="1" outlineLevel="1" x14ac:dyDescent="0.25">
      <c r="A2451" s="74">
        <v>1776</v>
      </c>
      <c r="B2451" s="45" t="s">
        <v>664</v>
      </c>
      <c r="C2451" s="60" t="s">
        <v>2078</v>
      </c>
      <c r="D2451" s="60"/>
      <c r="E2451" s="74">
        <v>2022</v>
      </c>
      <c r="F2451" s="74" t="s">
        <v>489</v>
      </c>
      <c r="G2451" s="61">
        <v>1</v>
      </c>
      <c r="H2451" s="45">
        <v>15</v>
      </c>
      <c r="I2451" s="74">
        <v>37.81617</v>
      </c>
    </row>
    <row r="2452" spans="1:9" s="71" customFormat="1" ht="16.5" hidden="1" customHeight="1" outlineLevel="1" x14ac:dyDescent="0.25">
      <c r="A2452" s="74">
        <v>1789</v>
      </c>
      <c r="B2452" s="45" t="s">
        <v>664</v>
      </c>
      <c r="C2452" s="60" t="s">
        <v>2079</v>
      </c>
      <c r="D2452" s="60"/>
      <c r="E2452" s="74">
        <v>2022</v>
      </c>
      <c r="F2452" s="74" t="s">
        <v>489</v>
      </c>
      <c r="G2452" s="61">
        <v>1</v>
      </c>
      <c r="H2452" s="45">
        <v>15</v>
      </c>
      <c r="I2452" s="74">
        <v>37.640729999999998</v>
      </c>
    </row>
    <row r="2453" spans="1:9" s="71" customFormat="1" ht="16.5" hidden="1" customHeight="1" outlineLevel="1" x14ac:dyDescent="0.25">
      <c r="A2453" s="74">
        <v>1791</v>
      </c>
      <c r="B2453" s="45" t="s">
        <v>664</v>
      </c>
      <c r="C2453" s="60" t="s">
        <v>2080</v>
      </c>
      <c r="D2453" s="60"/>
      <c r="E2453" s="74">
        <v>2022</v>
      </c>
      <c r="F2453" s="74" t="s">
        <v>489</v>
      </c>
      <c r="G2453" s="61">
        <v>1</v>
      </c>
      <c r="H2453" s="45">
        <v>10</v>
      </c>
      <c r="I2453" s="74">
        <v>37.650010000000002</v>
      </c>
    </row>
    <row r="2454" spans="1:9" s="71" customFormat="1" ht="16.5" hidden="1" customHeight="1" outlineLevel="1" x14ac:dyDescent="0.25">
      <c r="A2454" s="74">
        <v>1775</v>
      </c>
      <c r="B2454" s="45" t="s">
        <v>664</v>
      </c>
      <c r="C2454" s="60" t="s">
        <v>2081</v>
      </c>
      <c r="D2454" s="60"/>
      <c r="E2454" s="74">
        <v>2022</v>
      </c>
      <c r="F2454" s="74" t="s">
        <v>489</v>
      </c>
      <c r="G2454" s="61">
        <v>1</v>
      </c>
      <c r="H2454" s="45">
        <v>15</v>
      </c>
      <c r="I2454" s="74">
        <v>20.45778</v>
      </c>
    </row>
    <row r="2455" spans="1:9" s="71" customFormat="1" ht="16.5" hidden="1" customHeight="1" outlineLevel="1" x14ac:dyDescent="0.25">
      <c r="A2455" s="74">
        <v>1790</v>
      </c>
      <c r="B2455" s="45" t="s">
        <v>664</v>
      </c>
      <c r="C2455" s="60" t="s">
        <v>2082</v>
      </c>
      <c r="D2455" s="60"/>
      <c r="E2455" s="74">
        <v>2022</v>
      </c>
      <c r="F2455" s="74" t="s">
        <v>489</v>
      </c>
      <c r="G2455" s="61">
        <v>1</v>
      </c>
      <c r="H2455" s="45">
        <v>10</v>
      </c>
      <c r="I2455" s="74">
        <v>40.176090000000002</v>
      </c>
    </row>
    <row r="2456" spans="1:9" s="71" customFormat="1" ht="16.5" hidden="1" customHeight="1" outlineLevel="1" x14ac:dyDescent="0.25">
      <c r="A2456" s="74">
        <v>1774</v>
      </c>
      <c r="B2456" s="45" t="s">
        <v>664</v>
      </c>
      <c r="C2456" s="60" t="s">
        <v>2083</v>
      </c>
      <c r="D2456" s="60"/>
      <c r="E2456" s="74">
        <v>2022</v>
      </c>
      <c r="F2456" s="74" t="s">
        <v>489</v>
      </c>
      <c r="G2456" s="61">
        <v>1</v>
      </c>
      <c r="H2456" s="45">
        <v>10</v>
      </c>
      <c r="I2456" s="74">
        <v>38.228209999999997</v>
      </c>
    </row>
    <row r="2457" spans="1:9" s="71" customFormat="1" ht="16.5" hidden="1" customHeight="1" outlineLevel="1" x14ac:dyDescent="0.25">
      <c r="A2457" s="74">
        <v>1780</v>
      </c>
      <c r="B2457" s="45" t="s">
        <v>664</v>
      </c>
      <c r="C2457" s="60" t="s">
        <v>2084</v>
      </c>
      <c r="D2457" s="60"/>
      <c r="E2457" s="74">
        <v>2022</v>
      </c>
      <c r="F2457" s="74" t="s">
        <v>489</v>
      </c>
      <c r="G2457" s="61">
        <v>1</v>
      </c>
      <c r="H2457" s="45">
        <v>9</v>
      </c>
      <c r="I2457" s="74">
        <v>37.671570000000003</v>
      </c>
    </row>
    <row r="2458" spans="1:9" s="71" customFormat="1" ht="16.5" hidden="1" customHeight="1" outlineLevel="1" x14ac:dyDescent="0.25">
      <c r="A2458" s="74">
        <v>1786</v>
      </c>
      <c r="B2458" s="45" t="s">
        <v>664</v>
      </c>
      <c r="C2458" s="60" t="s">
        <v>2085</v>
      </c>
      <c r="D2458" s="60"/>
      <c r="E2458" s="74">
        <v>2022</v>
      </c>
      <c r="F2458" s="74" t="s">
        <v>489</v>
      </c>
      <c r="G2458" s="61">
        <v>1</v>
      </c>
      <c r="H2458" s="45">
        <v>15</v>
      </c>
      <c r="I2458" s="74">
        <v>37.76435</v>
      </c>
    </row>
    <row r="2459" spans="1:9" s="71" customFormat="1" ht="16.5" hidden="1" customHeight="1" outlineLevel="1" x14ac:dyDescent="0.25">
      <c r="A2459" s="74">
        <v>1787</v>
      </c>
      <c r="B2459" s="45" t="s">
        <v>664</v>
      </c>
      <c r="C2459" s="60" t="s">
        <v>2086</v>
      </c>
      <c r="D2459" s="60"/>
      <c r="E2459" s="74">
        <v>2022</v>
      </c>
      <c r="F2459" s="74" t="s">
        <v>489</v>
      </c>
      <c r="G2459" s="61">
        <v>1</v>
      </c>
      <c r="H2459" s="45">
        <v>15</v>
      </c>
      <c r="I2459" s="74">
        <v>37.76437</v>
      </c>
    </row>
    <row r="2460" spans="1:9" s="71" customFormat="1" ht="16.5" hidden="1" customHeight="1" outlineLevel="1" x14ac:dyDescent="0.25">
      <c r="A2460" s="74">
        <v>1783</v>
      </c>
      <c r="B2460" s="45" t="s">
        <v>664</v>
      </c>
      <c r="C2460" s="60" t="s">
        <v>2087</v>
      </c>
      <c r="D2460" s="60"/>
      <c r="E2460" s="74">
        <v>2022</v>
      </c>
      <c r="F2460" s="74" t="s">
        <v>489</v>
      </c>
      <c r="G2460" s="61">
        <v>1</v>
      </c>
      <c r="H2460" s="45">
        <v>15</v>
      </c>
      <c r="I2460" s="74">
        <v>37.717979999999997</v>
      </c>
    </row>
    <row r="2461" spans="1:9" s="71" customFormat="1" ht="16.5" hidden="1" customHeight="1" outlineLevel="1" x14ac:dyDescent="0.25">
      <c r="A2461" s="74">
        <v>1784</v>
      </c>
      <c r="B2461" s="45" t="s">
        <v>664</v>
      </c>
      <c r="C2461" s="60" t="s">
        <v>2088</v>
      </c>
      <c r="D2461" s="60"/>
      <c r="E2461" s="74">
        <v>2022</v>
      </c>
      <c r="F2461" s="74" t="s">
        <v>489</v>
      </c>
      <c r="G2461" s="61">
        <v>1</v>
      </c>
      <c r="H2461" s="45">
        <v>15</v>
      </c>
      <c r="I2461" s="74">
        <v>19.947649999999999</v>
      </c>
    </row>
    <row r="2462" spans="1:9" s="71" customFormat="1" ht="16.5" hidden="1" customHeight="1" outlineLevel="1" x14ac:dyDescent="0.25">
      <c r="A2462" s="74">
        <v>1572</v>
      </c>
      <c r="B2462" s="45" t="s">
        <v>664</v>
      </c>
      <c r="C2462" s="60" t="s">
        <v>2089</v>
      </c>
      <c r="D2462" s="60"/>
      <c r="E2462" s="74">
        <v>2022</v>
      </c>
      <c r="F2462" s="74" t="s">
        <v>489</v>
      </c>
      <c r="G2462" s="61">
        <v>1</v>
      </c>
      <c r="H2462" s="45">
        <v>30</v>
      </c>
      <c r="I2462" s="74">
        <v>43.944899999999997</v>
      </c>
    </row>
    <row r="2463" spans="1:9" s="71" customFormat="1" ht="16.5" hidden="1" customHeight="1" outlineLevel="1" x14ac:dyDescent="0.25">
      <c r="A2463" s="74">
        <v>1570</v>
      </c>
      <c r="B2463" s="45" t="s">
        <v>664</v>
      </c>
      <c r="C2463" s="60" t="s">
        <v>2090</v>
      </c>
      <c r="D2463" s="60"/>
      <c r="E2463" s="74">
        <v>2022</v>
      </c>
      <c r="F2463" s="74" t="s">
        <v>489</v>
      </c>
      <c r="G2463" s="61">
        <v>1</v>
      </c>
      <c r="H2463" s="45">
        <v>15</v>
      </c>
      <c r="I2463" s="74">
        <v>27.048290000000001</v>
      </c>
    </row>
    <row r="2464" spans="1:9" s="71" customFormat="1" ht="16.5" hidden="1" customHeight="1" outlineLevel="1" x14ac:dyDescent="0.25">
      <c r="A2464" s="74">
        <v>1527</v>
      </c>
      <c r="B2464" s="45" t="s">
        <v>664</v>
      </c>
      <c r="C2464" s="60" t="s">
        <v>2091</v>
      </c>
      <c r="D2464" s="60"/>
      <c r="E2464" s="74">
        <v>2022</v>
      </c>
      <c r="F2464" s="74" t="s">
        <v>489</v>
      </c>
      <c r="G2464" s="61">
        <v>1</v>
      </c>
      <c r="H2464" s="45">
        <v>15</v>
      </c>
      <c r="I2464" s="74">
        <v>27.074200000000001</v>
      </c>
    </row>
    <row r="2465" spans="1:9" s="71" customFormat="1" ht="16.5" hidden="1" customHeight="1" outlineLevel="1" x14ac:dyDescent="0.25">
      <c r="A2465" s="74">
        <v>1136</v>
      </c>
      <c r="B2465" s="45" t="s">
        <v>664</v>
      </c>
      <c r="C2465" s="60" t="s">
        <v>2092</v>
      </c>
      <c r="D2465" s="60"/>
      <c r="E2465" s="74">
        <v>2022</v>
      </c>
      <c r="F2465" s="74" t="s">
        <v>489</v>
      </c>
      <c r="G2465" s="61">
        <v>1</v>
      </c>
      <c r="H2465" s="45">
        <v>15</v>
      </c>
      <c r="I2465" s="74">
        <v>44.777329999999999</v>
      </c>
    </row>
    <row r="2466" spans="1:9" s="71" customFormat="1" ht="16.5" hidden="1" customHeight="1" outlineLevel="1" x14ac:dyDescent="0.25">
      <c r="A2466" s="74">
        <v>1180</v>
      </c>
      <c r="B2466" s="45" t="s">
        <v>664</v>
      </c>
      <c r="C2466" s="60" t="s">
        <v>2093</v>
      </c>
      <c r="D2466" s="60"/>
      <c r="E2466" s="74">
        <v>2022</v>
      </c>
      <c r="F2466" s="74" t="s">
        <v>489</v>
      </c>
      <c r="G2466" s="61">
        <v>2</v>
      </c>
      <c r="H2466" s="45">
        <v>30</v>
      </c>
      <c r="I2466" s="74">
        <v>47.541179999999997</v>
      </c>
    </row>
    <row r="2467" spans="1:9" s="71" customFormat="1" ht="16.5" hidden="1" customHeight="1" outlineLevel="1" x14ac:dyDescent="0.25">
      <c r="A2467" s="74">
        <v>1272</v>
      </c>
      <c r="B2467" s="45" t="s">
        <v>664</v>
      </c>
      <c r="C2467" s="60" t="s">
        <v>2094</v>
      </c>
      <c r="D2467" s="60"/>
      <c r="E2467" s="74">
        <v>2022</v>
      </c>
      <c r="F2467" s="74" t="s">
        <v>489</v>
      </c>
      <c r="G2467" s="61">
        <v>1</v>
      </c>
      <c r="H2467" s="45">
        <v>15</v>
      </c>
      <c r="I2467" s="74">
        <v>26.936800000000002</v>
      </c>
    </row>
    <row r="2468" spans="1:9" s="71" customFormat="1" ht="16.5" hidden="1" customHeight="1" outlineLevel="1" x14ac:dyDescent="0.25">
      <c r="A2468" s="74">
        <v>1474</v>
      </c>
      <c r="B2468" s="45" t="s">
        <v>664</v>
      </c>
      <c r="C2468" s="60" t="s">
        <v>2095</v>
      </c>
      <c r="D2468" s="60"/>
      <c r="E2468" s="74">
        <v>2022</v>
      </c>
      <c r="F2468" s="74" t="s">
        <v>489</v>
      </c>
      <c r="G2468" s="61">
        <v>1</v>
      </c>
      <c r="H2468" s="45">
        <v>15</v>
      </c>
      <c r="I2468" s="74">
        <v>29.796779999999998</v>
      </c>
    </row>
    <row r="2469" spans="1:9" s="71" customFormat="1" ht="16.5" hidden="1" customHeight="1" outlineLevel="1" x14ac:dyDescent="0.25">
      <c r="A2469" s="74">
        <v>1777</v>
      </c>
      <c r="B2469" s="45" t="s">
        <v>664</v>
      </c>
      <c r="C2469" s="60" t="s">
        <v>2096</v>
      </c>
      <c r="D2469" s="60"/>
      <c r="E2469" s="74">
        <v>2022</v>
      </c>
      <c r="F2469" s="74" t="s">
        <v>489</v>
      </c>
      <c r="G2469" s="61">
        <v>1</v>
      </c>
      <c r="H2469" s="45">
        <v>15</v>
      </c>
      <c r="I2469" s="74">
        <v>37.816160000000004</v>
      </c>
    </row>
    <row r="2470" spans="1:9" s="71" customFormat="1" ht="16.5" hidden="1" customHeight="1" outlineLevel="1" x14ac:dyDescent="0.25">
      <c r="A2470" s="74">
        <v>1781</v>
      </c>
      <c r="B2470" s="45" t="s">
        <v>664</v>
      </c>
      <c r="C2470" s="60" t="s">
        <v>2097</v>
      </c>
      <c r="D2470" s="60"/>
      <c r="E2470" s="74">
        <v>2022</v>
      </c>
      <c r="F2470" s="74" t="s">
        <v>489</v>
      </c>
      <c r="G2470" s="61">
        <v>1</v>
      </c>
      <c r="H2470" s="45">
        <v>15</v>
      </c>
      <c r="I2470" s="74">
        <v>37.877989999999997</v>
      </c>
    </row>
    <row r="2471" spans="1:9" s="71" customFormat="1" ht="16.5" hidden="1" customHeight="1" outlineLevel="1" x14ac:dyDescent="0.25">
      <c r="A2471" s="74">
        <v>1124</v>
      </c>
      <c r="B2471" s="45" t="s">
        <v>664</v>
      </c>
      <c r="C2471" s="60" t="s">
        <v>2098</v>
      </c>
      <c r="D2471" s="60"/>
      <c r="E2471" s="74">
        <v>2022</v>
      </c>
      <c r="F2471" s="74" t="s">
        <v>489</v>
      </c>
      <c r="G2471" s="61">
        <v>1</v>
      </c>
      <c r="H2471" s="45">
        <v>15</v>
      </c>
      <c r="I2471" s="74">
        <v>49.598140000000001</v>
      </c>
    </row>
    <row r="2472" spans="1:9" s="71" customFormat="1" ht="16.5" hidden="1" customHeight="1" outlineLevel="1" x14ac:dyDescent="0.25">
      <c r="A2472" s="74">
        <v>1232</v>
      </c>
      <c r="B2472" s="45" t="s">
        <v>664</v>
      </c>
      <c r="C2472" s="60" t="s">
        <v>2099</v>
      </c>
      <c r="D2472" s="60"/>
      <c r="E2472" s="74">
        <v>2022</v>
      </c>
      <c r="F2472" s="74" t="s">
        <v>489</v>
      </c>
      <c r="G2472" s="61">
        <v>1</v>
      </c>
      <c r="H2472" s="45">
        <v>15</v>
      </c>
      <c r="I2472" s="74">
        <v>55.975839999999998</v>
      </c>
    </row>
    <row r="2473" spans="1:9" s="71" customFormat="1" ht="16.5" hidden="1" customHeight="1" outlineLevel="1" x14ac:dyDescent="0.25">
      <c r="A2473" s="74">
        <v>1731</v>
      </c>
      <c r="B2473" s="45" t="s">
        <v>664</v>
      </c>
      <c r="C2473" s="60" t="s">
        <v>2100</v>
      </c>
      <c r="D2473" s="60"/>
      <c r="E2473" s="74">
        <v>2022</v>
      </c>
      <c r="F2473" s="74" t="s">
        <v>489</v>
      </c>
      <c r="G2473" s="61">
        <v>1</v>
      </c>
      <c r="H2473" s="45">
        <v>5</v>
      </c>
      <c r="I2473" s="74">
        <v>12.13636</v>
      </c>
    </row>
    <row r="2474" spans="1:9" s="71" customFormat="1" ht="16.5" hidden="1" customHeight="1" outlineLevel="1" x14ac:dyDescent="0.25">
      <c r="A2474" s="74">
        <v>1647</v>
      </c>
      <c r="B2474" s="45" t="s">
        <v>664</v>
      </c>
      <c r="C2474" s="60" t="s">
        <v>2101</v>
      </c>
      <c r="D2474" s="60"/>
      <c r="E2474" s="74">
        <v>2022</v>
      </c>
      <c r="F2474" s="74" t="s">
        <v>489</v>
      </c>
      <c r="G2474" s="61">
        <v>1</v>
      </c>
      <c r="H2474" s="45">
        <v>10</v>
      </c>
      <c r="I2474" s="74">
        <v>20.734690000000001</v>
      </c>
    </row>
    <row r="2475" spans="1:9" s="71" customFormat="1" ht="16.5" hidden="1" customHeight="1" outlineLevel="1" x14ac:dyDescent="0.25">
      <c r="A2475" s="74">
        <v>1721</v>
      </c>
      <c r="B2475" s="45" t="s">
        <v>664</v>
      </c>
      <c r="C2475" s="60" t="s">
        <v>2102</v>
      </c>
      <c r="D2475" s="60"/>
      <c r="E2475" s="74">
        <v>2022</v>
      </c>
      <c r="F2475" s="74" t="s">
        <v>489</v>
      </c>
      <c r="G2475" s="61">
        <v>1</v>
      </c>
      <c r="H2475" s="45">
        <v>15</v>
      </c>
      <c r="I2475" s="74">
        <v>18.89282</v>
      </c>
    </row>
    <row r="2476" spans="1:9" s="71" customFormat="1" ht="16.5" hidden="1" customHeight="1" outlineLevel="1" x14ac:dyDescent="0.25">
      <c r="A2476" s="74">
        <v>1723</v>
      </c>
      <c r="B2476" s="45" t="s">
        <v>664</v>
      </c>
      <c r="C2476" s="60" t="s">
        <v>2103</v>
      </c>
      <c r="D2476" s="60"/>
      <c r="E2476" s="74">
        <v>2022</v>
      </c>
      <c r="F2476" s="74" t="s">
        <v>489</v>
      </c>
      <c r="G2476" s="61">
        <v>1</v>
      </c>
      <c r="H2476" s="45">
        <v>15</v>
      </c>
      <c r="I2476" s="74">
        <v>37.011879999999998</v>
      </c>
    </row>
    <row r="2477" spans="1:9" s="71" customFormat="1" ht="16.5" hidden="1" customHeight="1" outlineLevel="1" x14ac:dyDescent="0.25">
      <c r="A2477" s="74">
        <v>1758</v>
      </c>
      <c r="B2477" s="45" t="s">
        <v>664</v>
      </c>
      <c r="C2477" s="60" t="s">
        <v>2104</v>
      </c>
      <c r="D2477" s="60"/>
      <c r="E2477" s="74">
        <v>2022</v>
      </c>
      <c r="F2477" s="74" t="s">
        <v>489</v>
      </c>
      <c r="G2477" s="61">
        <v>1</v>
      </c>
      <c r="H2477" s="45">
        <v>10</v>
      </c>
      <c r="I2477" s="74">
        <v>37.853990000000003</v>
      </c>
    </row>
    <row r="2478" spans="1:9" s="71" customFormat="1" ht="16.5" hidden="1" customHeight="1" outlineLevel="1" x14ac:dyDescent="0.25">
      <c r="A2478" s="74">
        <v>1667</v>
      </c>
      <c r="B2478" s="45" t="s">
        <v>664</v>
      </c>
      <c r="C2478" s="60" t="s">
        <v>2105</v>
      </c>
      <c r="D2478" s="60"/>
      <c r="E2478" s="74">
        <v>2022</v>
      </c>
      <c r="F2478" s="74" t="s">
        <v>489</v>
      </c>
      <c r="G2478" s="61">
        <v>1</v>
      </c>
      <c r="H2478" s="45">
        <v>15</v>
      </c>
      <c r="I2478" s="74">
        <v>23.590250000000001</v>
      </c>
    </row>
    <row r="2479" spans="1:9" s="71" customFormat="1" ht="16.5" hidden="1" customHeight="1" outlineLevel="1" x14ac:dyDescent="0.25">
      <c r="A2479" s="74">
        <v>1762</v>
      </c>
      <c r="B2479" s="45" t="s">
        <v>664</v>
      </c>
      <c r="C2479" s="60" t="s">
        <v>2106</v>
      </c>
      <c r="D2479" s="60"/>
      <c r="E2479" s="74">
        <v>2022</v>
      </c>
      <c r="F2479" s="74" t="s">
        <v>489</v>
      </c>
      <c r="G2479" s="61">
        <v>1</v>
      </c>
      <c r="H2479" s="45">
        <v>30</v>
      </c>
      <c r="I2479" s="74">
        <v>39.692369999999997</v>
      </c>
    </row>
    <row r="2480" spans="1:9" s="71" customFormat="1" ht="16.5" hidden="1" customHeight="1" outlineLevel="1" x14ac:dyDescent="0.25">
      <c r="A2480" s="74">
        <v>1351</v>
      </c>
      <c r="B2480" s="45" t="s">
        <v>664</v>
      </c>
      <c r="C2480" s="60" t="s">
        <v>2107</v>
      </c>
      <c r="D2480" s="60"/>
      <c r="E2480" s="74">
        <v>2022</v>
      </c>
      <c r="F2480" s="74" t="s">
        <v>489</v>
      </c>
      <c r="G2480" s="61">
        <v>1</v>
      </c>
      <c r="H2480" s="45">
        <v>15</v>
      </c>
      <c r="I2480" s="74">
        <v>46.994250000000001</v>
      </c>
    </row>
    <row r="2481" spans="1:9" s="71" customFormat="1" ht="16.5" hidden="1" customHeight="1" outlineLevel="1" x14ac:dyDescent="0.25">
      <c r="A2481" s="74">
        <v>1045</v>
      </c>
      <c r="B2481" s="45" t="s">
        <v>664</v>
      </c>
      <c r="C2481" s="60" t="s">
        <v>2108</v>
      </c>
      <c r="D2481" s="60"/>
      <c r="E2481" s="74">
        <v>2022</v>
      </c>
      <c r="F2481" s="74" t="s">
        <v>489</v>
      </c>
      <c r="G2481" s="61">
        <v>1</v>
      </c>
      <c r="H2481" s="45">
        <v>15</v>
      </c>
      <c r="I2481" s="74">
        <v>53.549520000000001</v>
      </c>
    </row>
    <row r="2482" spans="1:9" s="71" customFormat="1" ht="16.5" hidden="1" customHeight="1" outlineLevel="1" x14ac:dyDescent="0.25">
      <c r="A2482" s="74">
        <v>1106</v>
      </c>
      <c r="B2482" s="45" t="s">
        <v>664</v>
      </c>
      <c r="C2482" s="60" t="s">
        <v>2109</v>
      </c>
      <c r="D2482" s="60"/>
      <c r="E2482" s="74">
        <v>2022</v>
      </c>
      <c r="F2482" s="74" t="s">
        <v>489</v>
      </c>
      <c r="G2482" s="61">
        <v>1</v>
      </c>
      <c r="H2482" s="45">
        <v>15</v>
      </c>
      <c r="I2482" s="74">
        <v>34.299669999999999</v>
      </c>
    </row>
    <row r="2483" spans="1:9" s="71" customFormat="1" ht="16.5" hidden="1" customHeight="1" outlineLevel="1" x14ac:dyDescent="0.25">
      <c r="A2483" s="74">
        <v>1385</v>
      </c>
      <c r="B2483" s="45" t="s">
        <v>664</v>
      </c>
      <c r="C2483" s="60" t="s">
        <v>2110</v>
      </c>
      <c r="D2483" s="60"/>
      <c r="E2483" s="74">
        <v>2022</v>
      </c>
      <c r="F2483" s="74" t="s">
        <v>489</v>
      </c>
      <c r="G2483" s="61">
        <v>1</v>
      </c>
      <c r="H2483" s="45">
        <v>15</v>
      </c>
      <c r="I2483" s="74">
        <v>60.506920000000001</v>
      </c>
    </row>
    <row r="2484" spans="1:9" s="71" customFormat="1" ht="16.5" hidden="1" customHeight="1" outlineLevel="1" x14ac:dyDescent="0.25">
      <c r="A2484" s="74">
        <v>1163</v>
      </c>
      <c r="B2484" s="45" t="s">
        <v>664</v>
      </c>
      <c r="C2484" s="60" t="s">
        <v>2111</v>
      </c>
      <c r="D2484" s="60"/>
      <c r="E2484" s="74">
        <v>2022</v>
      </c>
      <c r="F2484" s="74" t="s">
        <v>489</v>
      </c>
      <c r="G2484" s="61">
        <v>1</v>
      </c>
      <c r="H2484" s="45">
        <v>15</v>
      </c>
      <c r="I2484" s="74">
        <v>44.706240000000001</v>
      </c>
    </row>
    <row r="2485" spans="1:9" s="71" customFormat="1" ht="16.5" hidden="1" customHeight="1" outlineLevel="1" x14ac:dyDescent="0.25">
      <c r="A2485" s="74">
        <v>1198</v>
      </c>
      <c r="B2485" s="45" t="s">
        <v>664</v>
      </c>
      <c r="C2485" s="60" t="s">
        <v>2112</v>
      </c>
      <c r="D2485" s="60"/>
      <c r="E2485" s="74">
        <v>2022</v>
      </c>
      <c r="F2485" s="74" t="s">
        <v>489</v>
      </c>
      <c r="G2485" s="61">
        <v>1</v>
      </c>
      <c r="H2485" s="45">
        <v>10</v>
      </c>
      <c r="I2485" s="74">
        <v>65.718249999999998</v>
      </c>
    </row>
    <row r="2486" spans="1:9" s="71" customFormat="1" ht="16.5" hidden="1" customHeight="1" outlineLevel="1" x14ac:dyDescent="0.25">
      <c r="A2486" s="74">
        <v>1264</v>
      </c>
      <c r="B2486" s="45" t="s">
        <v>664</v>
      </c>
      <c r="C2486" s="60" t="s">
        <v>2113</v>
      </c>
      <c r="D2486" s="60"/>
      <c r="E2486" s="74">
        <v>2022</v>
      </c>
      <c r="F2486" s="74" t="s">
        <v>489</v>
      </c>
      <c r="G2486" s="61">
        <v>1</v>
      </c>
      <c r="H2486" s="45">
        <v>15</v>
      </c>
      <c r="I2486" s="74">
        <v>71.71002</v>
      </c>
    </row>
    <row r="2487" spans="1:9" s="71" customFormat="1" ht="16.5" hidden="1" customHeight="1" outlineLevel="1" x14ac:dyDescent="0.25">
      <c r="A2487" s="74">
        <v>1046</v>
      </c>
      <c r="B2487" s="45" t="s">
        <v>664</v>
      </c>
      <c r="C2487" s="60" t="s">
        <v>2114</v>
      </c>
      <c r="D2487" s="60"/>
      <c r="E2487" s="74">
        <v>2022</v>
      </c>
      <c r="F2487" s="74" t="s">
        <v>489</v>
      </c>
      <c r="G2487" s="61">
        <v>1</v>
      </c>
      <c r="H2487" s="45">
        <v>0.5</v>
      </c>
      <c r="I2487" s="74">
        <v>50.828560000000003</v>
      </c>
    </row>
    <row r="2488" spans="1:9" s="71" customFormat="1" ht="16.5" hidden="1" customHeight="1" outlineLevel="1" x14ac:dyDescent="0.25">
      <c r="A2488" s="74">
        <v>1759</v>
      </c>
      <c r="B2488" s="45" t="s">
        <v>664</v>
      </c>
      <c r="C2488" s="60" t="s">
        <v>2115</v>
      </c>
      <c r="D2488" s="60"/>
      <c r="E2488" s="74">
        <v>2022</v>
      </c>
      <c r="F2488" s="74" t="s">
        <v>489</v>
      </c>
      <c r="G2488" s="61">
        <v>1</v>
      </c>
      <c r="H2488" s="45">
        <v>10</v>
      </c>
      <c r="I2488" s="74">
        <v>19.77468</v>
      </c>
    </row>
    <row r="2489" spans="1:9" s="71" customFormat="1" ht="16.5" hidden="1" customHeight="1" outlineLevel="1" x14ac:dyDescent="0.25">
      <c r="A2489" s="74">
        <v>1760</v>
      </c>
      <c r="B2489" s="45" t="s">
        <v>664</v>
      </c>
      <c r="C2489" s="60" t="s">
        <v>2116</v>
      </c>
      <c r="D2489" s="60"/>
      <c r="E2489" s="74">
        <v>2022</v>
      </c>
      <c r="F2489" s="74" t="s">
        <v>489</v>
      </c>
      <c r="G2489" s="61">
        <v>1</v>
      </c>
      <c r="H2489" s="45">
        <v>10</v>
      </c>
      <c r="I2489" s="74">
        <v>19.95609</v>
      </c>
    </row>
    <row r="2490" spans="1:9" s="71" customFormat="1" ht="16.5" hidden="1" customHeight="1" outlineLevel="1" x14ac:dyDescent="0.25">
      <c r="A2490" s="74">
        <v>1772</v>
      </c>
      <c r="B2490" s="45" t="s">
        <v>664</v>
      </c>
      <c r="C2490" s="60" t="s">
        <v>2117</v>
      </c>
      <c r="D2490" s="60"/>
      <c r="E2490" s="74">
        <v>2022</v>
      </c>
      <c r="F2490" s="74" t="s">
        <v>489</v>
      </c>
      <c r="G2490" s="61">
        <v>1</v>
      </c>
      <c r="H2490" s="45">
        <v>15</v>
      </c>
      <c r="I2490" s="74">
        <v>38.492100000000001</v>
      </c>
    </row>
    <row r="2491" spans="1:9" s="71" customFormat="1" ht="16.5" hidden="1" customHeight="1" outlineLevel="1" x14ac:dyDescent="0.25">
      <c r="A2491" s="74">
        <v>1773</v>
      </c>
      <c r="B2491" s="45" t="s">
        <v>664</v>
      </c>
      <c r="C2491" s="60" t="s">
        <v>2118</v>
      </c>
      <c r="D2491" s="60"/>
      <c r="E2491" s="74">
        <v>2022</v>
      </c>
      <c r="F2491" s="74" t="s">
        <v>489</v>
      </c>
      <c r="G2491" s="61">
        <v>1</v>
      </c>
      <c r="H2491" s="45">
        <v>10</v>
      </c>
      <c r="I2491" s="74">
        <v>38.287239999999997</v>
      </c>
    </row>
    <row r="2492" spans="1:9" s="71" customFormat="1" ht="16.5" hidden="1" customHeight="1" outlineLevel="1" x14ac:dyDescent="0.25">
      <c r="A2492" s="74">
        <v>1747</v>
      </c>
      <c r="B2492" s="45" t="s">
        <v>664</v>
      </c>
      <c r="C2492" s="60" t="s">
        <v>2119</v>
      </c>
      <c r="D2492" s="60"/>
      <c r="E2492" s="74">
        <v>2022</v>
      </c>
      <c r="F2492" s="74" t="s">
        <v>489</v>
      </c>
      <c r="G2492" s="61">
        <v>1</v>
      </c>
      <c r="H2492" s="45">
        <v>15</v>
      </c>
      <c r="I2492" s="74">
        <v>22.51708</v>
      </c>
    </row>
    <row r="2493" spans="1:9" s="71" customFormat="1" ht="16.5" hidden="1" customHeight="1" outlineLevel="1" x14ac:dyDescent="0.25">
      <c r="A2493" s="74">
        <v>1280</v>
      </c>
      <c r="B2493" s="45" t="s">
        <v>664</v>
      </c>
      <c r="C2493" s="60" t="s">
        <v>2120</v>
      </c>
      <c r="D2493" s="60"/>
      <c r="E2493" s="74">
        <v>2022</v>
      </c>
      <c r="F2493" s="74" t="s">
        <v>489</v>
      </c>
      <c r="G2493" s="61">
        <v>1</v>
      </c>
      <c r="H2493" s="45">
        <v>1.5</v>
      </c>
      <c r="I2493" s="74">
        <v>45.670850000000002</v>
      </c>
    </row>
    <row r="2494" spans="1:9" s="71" customFormat="1" ht="16.5" hidden="1" customHeight="1" outlineLevel="1" x14ac:dyDescent="0.25">
      <c r="A2494" s="74">
        <v>1770</v>
      </c>
      <c r="B2494" s="45" t="s">
        <v>664</v>
      </c>
      <c r="C2494" s="60" t="s">
        <v>2121</v>
      </c>
      <c r="D2494" s="60"/>
      <c r="E2494" s="74">
        <v>2022</v>
      </c>
      <c r="F2494" s="74" t="s">
        <v>489</v>
      </c>
      <c r="G2494" s="61">
        <v>1</v>
      </c>
      <c r="H2494" s="45">
        <v>7</v>
      </c>
      <c r="I2494" s="74">
        <v>38.03763</v>
      </c>
    </row>
    <row r="2495" spans="1:9" s="71" customFormat="1" ht="16.5" hidden="1" customHeight="1" outlineLevel="1" x14ac:dyDescent="0.25">
      <c r="A2495" s="74">
        <v>1771</v>
      </c>
      <c r="B2495" s="45" t="s">
        <v>664</v>
      </c>
      <c r="C2495" s="60" t="s">
        <v>2122</v>
      </c>
      <c r="D2495" s="60"/>
      <c r="E2495" s="74">
        <v>2022</v>
      </c>
      <c r="F2495" s="74" t="s">
        <v>489</v>
      </c>
      <c r="G2495" s="61">
        <v>1</v>
      </c>
      <c r="H2495" s="45">
        <v>8</v>
      </c>
      <c r="I2495" s="74">
        <v>38.10859</v>
      </c>
    </row>
    <row r="2496" spans="1:9" s="71" customFormat="1" ht="16.5" hidden="1" customHeight="1" outlineLevel="1" x14ac:dyDescent="0.25">
      <c r="A2496" s="74">
        <v>1764</v>
      </c>
      <c r="B2496" s="45" t="s">
        <v>664</v>
      </c>
      <c r="C2496" s="60" t="s">
        <v>2123</v>
      </c>
      <c r="D2496" s="60"/>
      <c r="E2496" s="74">
        <v>2022</v>
      </c>
      <c r="F2496" s="74" t="s">
        <v>489</v>
      </c>
      <c r="G2496" s="61">
        <v>1</v>
      </c>
      <c r="H2496" s="45">
        <v>6</v>
      </c>
      <c r="I2496" s="74">
        <v>36.777290000000001</v>
      </c>
    </row>
    <row r="2497" spans="1:9" s="71" customFormat="1" ht="16.5" hidden="1" customHeight="1" outlineLevel="1" x14ac:dyDescent="0.25">
      <c r="A2497" s="74">
        <v>1763</v>
      </c>
      <c r="B2497" s="45" t="s">
        <v>664</v>
      </c>
      <c r="C2497" s="60" t="s">
        <v>2124</v>
      </c>
      <c r="D2497" s="60"/>
      <c r="E2497" s="74">
        <v>2022</v>
      </c>
      <c r="F2497" s="74" t="s">
        <v>489</v>
      </c>
      <c r="G2497" s="61">
        <v>1</v>
      </c>
      <c r="H2497" s="45">
        <v>14.5</v>
      </c>
      <c r="I2497" s="74">
        <v>36.481870000000001</v>
      </c>
    </row>
    <row r="2498" spans="1:9" s="71" customFormat="1" ht="16.5" hidden="1" customHeight="1" outlineLevel="1" x14ac:dyDescent="0.25">
      <c r="A2498" s="74">
        <v>1766</v>
      </c>
      <c r="B2498" s="45" t="s">
        <v>664</v>
      </c>
      <c r="C2498" s="60" t="s">
        <v>2125</v>
      </c>
      <c r="D2498" s="60"/>
      <c r="E2498" s="74">
        <v>2022</v>
      </c>
      <c r="F2498" s="74" t="s">
        <v>489</v>
      </c>
      <c r="G2498" s="61">
        <v>1</v>
      </c>
      <c r="H2498" s="45">
        <v>13</v>
      </c>
      <c r="I2498" s="74">
        <v>39.495809999999999</v>
      </c>
    </row>
    <row r="2499" spans="1:9" s="71" customFormat="1" ht="16.5" hidden="1" customHeight="1" outlineLevel="1" x14ac:dyDescent="0.25">
      <c r="A2499" s="74">
        <v>1765</v>
      </c>
      <c r="B2499" s="45" t="s">
        <v>664</v>
      </c>
      <c r="C2499" s="60" t="s">
        <v>2126</v>
      </c>
      <c r="D2499" s="60"/>
      <c r="E2499" s="74">
        <v>2022</v>
      </c>
      <c r="F2499" s="74" t="s">
        <v>489</v>
      </c>
      <c r="G2499" s="61">
        <v>1</v>
      </c>
      <c r="H2499" s="45">
        <v>13</v>
      </c>
      <c r="I2499" s="74">
        <v>38.76484</v>
      </c>
    </row>
    <row r="2500" spans="1:9" s="71" customFormat="1" ht="16.5" hidden="1" customHeight="1" outlineLevel="1" x14ac:dyDescent="0.25">
      <c r="A2500" s="74">
        <v>1357</v>
      </c>
      <c r="B2500" s="45" t="s">
        <v>664</v>
      </c>
      <c r="C2500" s="60" t="s">
        <v>2127</v>
      </c>
      <c r="D2500" s="60"/>
      <c r="E2500" s="74">
        <v>2022</v>
      </c>
      <c r="F2500" s="74" t="s">
        <v>489</v>
      </c>
      <c r="G2500" s="61">
        <v>1</v>
      </c>
      <c r="H2500" s="45">
        <v>15</v>
      </c>
      <c r="I2500" s="74">
        <v>47.785469999999997</v>
      </c>
    </row>
    <row r="2501" spans="1:9" s="71" customFormat="1" ht="16.5" hidden="1" customHeight="1" outlineLevel="1" x14ac:dyDescent="0.25">
      <c r="A2501" s="74">
        <v>1345</v>
      </c>
      <c r="B2501" s="45" t="s">
        <v>664</v>
      </c>
      <c r="C2501" s="60" t="s">
        <v>2128</v>
      </c>
      <c r="D2501" s="60"/>
      <c r="E2501" s="74">
        <v>2022</v>
      </c>
      <c r="F2501" s="74" t="s">
        <v>489</v>
      </c>
      <c r="G2501" s="61">
        <v>1</v>
      </c>
      <c r="H2501" s="45">
        <v>10</v>
      </c>
      <c r="I2501" s="74">
        <v>37.127319999999997</v>
      </c>
    </row>
    <row r="2502" spans="1:9" s="71" customFormat="1" ht="16.5" hidden="1" customHeight="1" outlineLevel="1" x14ac:dyDescent="0.25">
      <c r="A2502" s="74">
        <v>1323</v>
      </c>
      <c r="B2502" s="45" t="s">
        <v>664</v>
      </c>
      <c r="C2502" s="60" t="s">
        <v>2129</v>
      </c>
      <c r="D2502" s="60"/>
      <c r="E2502" s="74">
        <v>2022</v>
      </c>
      <c r="F2502" s="74" t="s">
        <v>489</v>
      </c>
      <c r="G2502" s="61">
        <v>1</v>
      </c>
      <c r="H2502" s="45">
        <v>10</v>
      </c>
      <c r="I2502" s="74">
        <v>50.44706</v>
      </c>
    </row>
    <row r="2503" spans="1:9" s="71" customFormat="1" ht="16.5" hidden="1" customHeight="1" outlineLevel="1" x14ac:dyDescent="0.25">
      <c r="A2503" s="74">
        <v>1048</v>
      </c>
      <c r="B2503" s="45" t="s">
        <v>664</v>
      </c>
      <c r="C2503" s="60" t="s">
        <v>2130</v>
      </c>
      <c r="D2503" s="60"/>
      <c r="E2503" s="74">
        <v>2022</v>
      </c>
      <c r="F2503" s="74" t="s">
        <v>489</v>
      </c>
      <c r="G2503" s="61">
        <v>1</v>
      </c>
      <c r="H2503" s="45">
        <v>10</v>
      </c>
      <c r="I2503" s="74">
        <v>50.38353</v>
      </c>
    </row>
    <row r="2504" spans="1:9" s="71" customFormat="1" ht="16.5" hidden="1" customHeight="1" outlineLevel="1" x14ac:dyDescent="0.25">
      <c r="A2504" s="74">
        <v>1181</v>
      </c>
      <c r="B2504" s="45" t="s">
        <v>664</v>
      </c>
      <c r="C2504" s="60" t="s">
        <v>2131</v>
      </c>
      <c r="D2504" s="60"/>
      <c r="E2504" s="74">
        <v>2022</v>
      </c>
      <c r="F2504" s="74" t="s">
        <v>489</v>
      </c>
      <c r="G2504" s="61">
        <v>1</v>
      </c>
      <c r="H2504" s="45">
        <v>11.5</v>
      </c>
      <c r="I2504" s="74">
        <v>46.348019999999998</v>
      </c>
    </row>
    <row r="2505" spans="1:9" s="71" customFormat="1" ht="16.5" hidden="1" customHeight="1" outlineLevel="1" x14ac:dyDescent="0.25">
      <c r="A2505" s="74">
        <v>1174</v>
      </c>
      <c r="B2505" s="45" t="s">
        <v>664</v>
      </c>
      <c r="C2505" s="60" t="s">
        <v>2132</v>
      </c>
      <c r="D2505" s="60"/>
      <c r="E2505" s="74">
        <v>2022</v>
      </c>
      <c r="F2505" s="74" t="s">
        <v>489</v>
      </c>
      <c r="G2505" s="61">
        <v>1</v>
      </c>
      <c r="H2505" s="45">
        <v>15</v>
      </c>
      <c r="I2505" s="74">
        <v>25.054829999999999</v>
      </c>
    </row>
    <row r="2506" spans="1:9" s="71" customFormat="1" ht="16.5" hidden="1" customHeight="1" outlineLevel="1" x14ac:dyDescent="0.25">
      <c r="A2506" s="74">
        <v>1212</v>
      </c>
      <c r="B2506" s="45" t="s">
        <v>664</v>
      </c>
      <c r="C2506" s="60" t="s">
        <v>2133</v>
      </c>
      <c r="D2506" s="60"/>
      <c r="E2506" s="74">
        <v>2022</v>
      </c>
      <c r="F2506" s="74" t="s">
        <v>489</v>
      </c>
      <c r="G2506" s="61">
        <v>1</v>
      </c>
      <c r="H2506" s="45">
        <v>15</v>
      </c>
      <c r="I2506" s="74">
        <v>31.65944</v>
      </c>
    </row>
    <row r="2507" spans="1:9" s="71" customFormat="1" ht="16.5" hidden="1" customHeight="1" outlineLevel="1" x14ac:dyDescent="0.25">
      <c r="A2507" s="74">
        <v>1153</v>
      </c>
      <c r="B2507" s="45" t="s">
        <v>664</v>
      </c>
      <c r="C2507" s="60" t="s">
        <v>2134</v>
      </c>
      <c r="D2507" s="60"/>
      <c r="E2507" s="74">
        <v>2022</v>
      </c>
      <c r="F2507" s="74" t="s">
        <v>489</v>
      </c>
      <c r="G2507" s="61">
        <v>1</v>
      </c>
      <c r="H2507" s="45">
        <v>15</v>
      </c>
      <c r="I2507" s="74">
        <v>37.831609999999998</v>
      </c>
    </row>
    <row r="2508" spans="1:9" s="71" customFormat="1" ht="16.5" hidden="1" customHeight="1" outlineLevel="1" x14ac:dyDescent="0.25">
      <c r="A2508" s="74">
        <v>1224</v>
      </c>
      <c r="B2508" s="45" t="s">
        <v>664</v>
      </c>
      <c r="C2508" s="60" t="s">
        <v>2135</v>
      </c>
      <c r="D2508" s="60"/>
      <c r="E2508" s="74">
        <v>2022</v>
      </c>
      <c r="F2508" s="74" t="s">
        <v>489</v>
      </c>
      <c r="G2508" s="61">
        <v>1</v>
      </c>
      <c r="H2508" s="45">
        <v>15</v>
      </c>
      <c r="I2508" s="74">
        <v>40.605870000000003</v>
      </c>
    </row>
    <row r="2509" spans="1:9" s="71" customFormat="1" ht="16.5" hidden="1" customHeight="1" outlineLevel="1" x14ac:dyDescent="0.25">
      <c r="A2509" s="74">
        <v>1240</v>
      </c>
      <c r="B2509" s="45" t="s">
        <v>664</v>
      </c>
      <c r="C2509" s="60" t="s">
        <v>2136</v>
      </c>
      <c r="D2509" s="60"/>
      <c r="E2509" s="74">
        <v>2022</v>
      </c>
      <c r="F2509" s="74" t="s">
        <v>489</v>
      </c>
      <c r="G2509" s="61">
        <v>1</v>
      </c>
      <c r="H2509" s="45">
        <v>15</v>
      </c>
      <c r="I2509" s="74">
        <v>36.350589999999997</v>
      </c>
    </row>
    <row r="2510" spans="1:9" s="71" customFormat="1" ht="16.5" hidden="1" customHeight="1" outlineLevel="1" x14ac:dyDescent="0.25">
      <c r="A2510" s="74">
        <v>1633</v>
      </c>
      <c r="B2510" s="45" t="s">
        <v>664</v>
      </c>
      <c r="C2510" s="60" t="s">
        <v>2137</v>
      </c>
      <c r="D2510" s="60"/>
      <c r="E2510" s="74">
        <v>2022</v>
      </c>
      <c r="F2510" s="74" t="s">
        <v>489</v>
      </c>
      <c r="G2510" s="61">
        <v>1</v>
      </c>
      <c r="H2510" s="45">
        <v>15</v>
      </c>
      <c r="I2510" s="74">
        <v>79.206659999999999</v>
      </c>
    </row>
    <row r="2511" spans="1:9" s="71" customFormat="1" ht="16.5" hidden="1" customHeight="1" outlineLevel="1" x14ac:dyDescent="0.25">
      <c r="A2511" s="74">
        <v>1077</v>
      </c>
      <c r="B2511" s="45" t="s">
        <v>664</v>
      </c>
      <c r="C2511" s="60" t="s">
        <v>2138</v>
      </c>
      <c r="D2511" s="60"/>
      <c r="E2511" s="74">
        <v>2022</v>
      </c>
      <c r="F2511" s="74" t="s">
        <v>489</v>
      </c>
      <c r="G2511" s="61">
        <v>1</v>
      </c>
      <c r="H2511" s="45">
        <v>10</v>
      </c>
      <c r="I2511" s="74">
        <v>40.653419999999997</v>
      </c>
    </row>
    <row r="2512" spans="1:9" s="71" customFormat="1" ht="16.5" hidden="1" customHeight="1" outlineLevel="1" x14ac:dyDescent="0.25">
      <c r="A2512" s="74">
        <v>1326</v>
      </c>
      <c r="B2512" s="45" t="s">
        <v>664</v>
      </c>
      <c r="C2512" s="60" t="s">
        <v>2139</v>
      </c>
      <c r="D2512" s="60"/>
      <c r="E2512" s="74">
        <v>2022</v>
      </c>
      <c r="F2512" s="74" t="s">
        <v>489</v>
      </c>
      <c r="G2512" s="61">
        <v>1</v>
      </c>
      <c r="H2512" s="45">
        <v>15</v>
      </c>
      <c r="I2512" s="74">
        <v>52.097029999999997</v>
      </c>
    </row>
    <row r="2513" spans="1:9" s="71" customFormat="1" ht="16.5" hidden="1" customHeight="1" outlineLevel="1" x14ac:dyDescent="0.25">
      <c r="A2513" s="74">
        <v>1349</v>
      </c>
      <c r="B2513" s="45" t="s">
        <v>664</v>
      </c>
      <c r="C2513" s="60" t="s">
        <v>2140</v>
      </c>
      <c r="D2513" s="60"/>
      <c r="E2513" s="74">
        <v>2022</v>
      </c>
      <c r="F2513" s="74" t="s">
        <v>489</v>
      </c>
      <c r="G2513" s="61">
        <v>1</v>
      </c>
      <c r="H2513" s="45">
        <v>15</v>
      </c>
      <c r="I2513" s="74">
        <v>49.063969999999998</v>
      </c>
    </row>
    <row r="2514" spans="1:9" s="71" customFormat="1" ht="16.5" hidden="1" customHeight="1" outlineLevel="1" x14ac:dyDescent="0.25">
      <c r="A2514" s="74">
        <v>1802</v>
      </c>
      <c r="B2514" s="45" t="s">
        <v>664</v>
      </c>
      <c r="C2514" s="60" t="s">
        <v>2141</v>
      </c>
      <c r="D2514" s="60"/>
      <c r="E2514" s="74">
        <v>2022</v>
      </c>
      <c r="F2514" s="74" t="s">
        <v>489</v>
      </c>
      <c r="G2514" s="61">
        <v>1</v>
      </c>
      <c r="H2514" s="45">
        <v>15</v>
      </c>
      <c r="I2514" s="74">
        <v>19.495450000000002</v>
      </c>
    </row>
    <row r="2515" spans="1:9" s="71" customFormat="1" ht="16.5" hidden="1" customHeight="1" outlineLevel="1" x14ac:dyDescent="0.25">
      <c r="A2515" s="74">
        <v>1803</v>
      </c>
      <c r="B2515" s="45" t="s">
        <v>664</v>
      </c>
      <c r="C2515" s="60" t="s">
        <v>2142</v>
      </c>
      <c r="D2515" s="60"/>
      <c r="E2515" s="74">
        <v>2022</v>
      </c>
      <c r="F2515" s="74" t="s">
        <v>489</v>
      </c>
      <c r="G2515" s="61">
        <v>1</v>
      </c>
      <c r="H2515" s="45">
        <v>15</v>
      </c>
      <c r="I2515" s="74">
        <v>19.860610000000001</v>
      </c>
    </row>
    <row r="2516" spans="1:9" s="71" customFormat="1" ht="16.5" hidden="1" customHeight="1" outlineLevel="1" x14ac:dyDescent="0.25">
      <c r="A2516" s="74">
        <v>1804</v>
      </c>
      <c r="B2516" s="45" t="s">
        <v>664</v>
      </c>
      <c r="C2516" s="60" t="s">
        <v>2143</v>
      </c>
      <c r="D2516" s="60"/>
      <c r="E2516" s="74">
        <v>2022</v>
      </c>
      <c r="F2516" s="74" t="s">
        <v>489</v>
      </c>
      <c r="G2516" s="61">
        <v>1</v>
      </c>
      <c r="H2516" s="45">
        <v>12.5</v>
      </c>
      <c r="I2516" s="74">
        <v>21.16142</v>
      </c>
    </row>
    <row r="2517" spans="1:9" s="71" customFormat="1" ht="16.5" hidden="1" customHeight="1" outlineLevel="1" x14ac:dyDescent="0.25">
      <c r="A2517" s="74">
        <v>1805</v>
      </c>
      <c r="B2517" s="45" t="s">
        <v>664</v>
      </c>
      <c r="C2517" s="60" t="s">
        <v>2144</v>
      </c>
      <c r="D2517" s="60"/>
      <c r="E2517" s="74">
        <v>2022</v>
      </c>
      <c r="F2517" s="74" t="s">
        <v>489</v>
      </c>
      <c r="G2517" s="61">
        <v>1</v>
      </c>
      <c r="H2517" s="45">
        <v>15</v>
      </c>
      <c r="I2517" s="74">
        <v>21.16142</v>
      </c>
    </row>
    <row r="2518" spans="1:9" s="71" customFormat="1" ht="16.5" hidden="1" customHeight="1" outlineLevel="1" x14ac:dyDescent="0.25">
      <c r="A2518" s="74">
        <v>1417</v>
      </c>
      <c r="B2518" s="45" t="s">
        <v>664</v>
      </c>
      <c r="C2518" s="60" t="s">
        <v>2145</v>
      </c>
      <c r="D2518" s="60"/>
      <c r="E2518" s="74">
        <v>2022</v>
      </c>
      <c r="F2518" s="74" t="s">
        <v>489</v>
      </c>
      <c r="G2518" s="61">
        <v>1</v>
      </c>
      <c r="H2518" s="45">
        <v>15</v>
      </c>
      <c r="I2518" s="74">
        <v>43.4968</v>
      </c>
    </row>
    <row r="2519" spans="1:9" s="71" customFormat="1" ht="16.5" hidden="1" customHeight="1" outlineLevel="1" x14ac:dyDescent="0.25">
      <c r="A2519" s="74">
        <v>1807</v>
      </c>
      <c r="B2519" s="45" t="s">
        <v>664</v>
      </c>
      <c r="C2519" s="60" t="s">
        <v>2146</v>
      </c>
      <c r="D2519" s="60"/>
      <c r="E2519" s="74">
        <v>2022</v>
      </c>
      <c r="F2519" s="74" t="s">
        <v>489</v>
      </c>
      <c r="G2519" s="61">
        <v>1</v>
      </c>
      <c r="H2519" s="45">
        <v>10</v>
      </c>
      <c r="I2519" s="74">
        <v>20.333069999999999</v>
      </c>
    </row>
    <row r="2520" spans="1:9" s="71" customFormat="1" ht="16.5" hidden="1" customHeight="1" outlineLevel="1" x14ac:dyDescent="0.25">
      <c r="A2520" s="74">
        <v>1808</v>
      </c>
      <c r="B2520" s="45" t="s">
        <v>664</v>
      </c>
      <c r="C2520" s="60" t="s">
        <v>2147</v>
      </c>
      <c r="D2520" s="60"/>
      <c r="E2520" s="74">
        <v>2022</v>
      </c>
      <c r="F2520" s="74" t="s">
        <v>489</v>
      </c>
      <c r="G2520" s="61">
        <v>1</v>
      </c>
      <c r="H2520" s="45">
        <v>15</v>
      </c>
      <c r="I2520" s="74">
        <v>20.333069999999999</v>
      </c>
    </row>
    <row r="2521" spans="1:9" s="71" customFormat="1" ht="16.5" hidden="1" customHeight="1" outlineLevel="1" x14ac:dyDescent="0.25">
      <c r="A2521" s="74">
        <v>1811</v>
      </c>
      <c r="B2521" s="45" t="s">
        <v>664</v>
      </c>
      <c r="C2521" s="60" t="s">
        <v>2148</v>
      </c>
      <c r="D2521" s="60"/>
      <c r="E2521" s="74">
        <v>2022</v>
      </c>
      <c r="F2521" s="74" t="s">
        <v>489</v>
      </c>
      <c r="G2521" s="61">
        <v>1</v>
      </c>
      <c r="H2521" s="45">
        <v>5</v>
      </c>
      <c r="I2521" s="74">
        <v>20.311150000000001</v>
      </c>
    </row>
    <row r="2522" spans="1:9" s="71" customFormat="1" ht="16.5" hidden="1" customHeight="1" outlineLevel="1" x14ac:dyDescent="0.25">
      <c r="A2522" s="74">
        <v>1812</v>
      </c>
      <c r="B2522" s="45" t="s">
        <v>664</v>
      </c>
      <c r="C2522" s="60" t="s">
        <v>2149</v>
      </c>
      <c r="D2522" s="60"/>
      <c r="E2522" s="74">
        <v>2022</v>
      </c>
      <c r="F2522" s="74" t="s">
        <v>489</v>
      </c>
      <c r="G2522" s="61">
        <v>1</v>
      </c>
      <c r="H2522" s="45">
        <v>10</v>
      </c>
      <c r="I2522" s="74">
        <v>20.311150000000001</v>
      </c>
    </row>
    <row r="2523" spans="1:9" s="71" customFormat="1" ht="16.5" hidden="1" customHeight="1" outlineLevel="1" x14ac:dyDescent="0.25">
      <c r="A2523" s="74">
        <v>1810</v>
      </c>
      <c r="B2523" s="45" t="s">
        <v>664</v>
      </c>
      <c r="C2523" s="60" t="s">
        <v>2150</v>
      </c>
      <c r="D2523" s="60"/>
      <c r="E2523" s="74">
        <v>2022</v>
      </c>
      <c r="F2523" s="74" t="s">
        <v>489</v>
      </c>
      <c r="G2523" s="61">
        <v>1</v>
      </c>
      <c r="H2523" s="45">
        <v>15</v>
      </c>
      <c r="I2523" s="74">
        <v>20.311150000000001</v>
      </c>
    </row>
    <row r="2524" spans="1:9" s="71" customFormat="1" ht="16.5" hidden="1" customHeight="1" outlineLevel="1" x14ac:dyDescent="0.25">
      <c r="A2524" s="74">
        <v>1354</v>
      </c>
      <c r="B2524" s="45" t="s">
        <v>664</v>
      </c>
      <c r="C2524" s="60" t="s">
        <v>2151</v>
      </c>
      <c r="D2524" s="60"/>
      <c r="E2524" s="74">
        <v>2022</v>
      </c>
      <c r="F2524" s="74" t="s">
        <v>489</v>
      </c>
      <c r="G2524" s="61">
        <v>1</v>
      </c>
      <c r="H2524" s="45">
        <v>15</v>
      </c>
      <c r="I2524" s="74">
        <v>27.022300000000001</v>
      </c>
    </row>
    <row r="2525" spans="1:9" s="71" customFormat="1" ht="16.5" hidden="1" customHeight="1" outlineLevel="1" x14ac:dyDescent="0.25">
      <c r="A2525" s="74">
        <v>1375</v>
      </c>
      <c r="B2525" s="45" t="s">
        <v>664</v>
      </c>
      <c r="C2525" s="60" t="s">
        <v>2152</v>
      </c>
      <c r="D2525" s="60"/>
      <c r="E2525" s="74">
        <v>2022</v>
      </c>
      <c r="F2525" s="74" t="s">
        <v>489</v>
      </c>
      <c r="G2525" s="61">
        <v>1</v>
      </c>
      <c r="H2525" s="45">
        <v>15</v>
      </c>
      <c r="I2525" s="74">
        <v>29.615210000000001</v>
      </c>
    </row>
    <row r="2526" spans="1:9" s="71" customFormat="1" ht="16.5" hidden="1" customHeight="1" outlineLevel="1" x14ac:dyDescent="0.25">
      <c r="A2526" s="74">
        <v>1268</v>
      </c>
      <c r="B2526" s="45" t="s">
        <v>664</v>
      </c>
      <c r="C2526" s="60" t="s">
        <v>2153</v>
      </c>
      <c r="D2526" s="60"/>
      <c r="E2526" s="74">
        <v>2022</v>
      </c>
      <c r="F2526" s="74" t="s">
        <v>489</v>
      </c>
      <c r="G2526" s="61">
        <v>1</v>
      </c>
      <c r="H2526" s="45">
        <v>15</v>
      </c>
      <c r="I2526" s="74">
        <v>25.882200000000001</v>
      </c>
    </row>
    <row r="2527" spans="1:9" s="71" customFormat="1" ht="16.5" hidden="1" customHeight="1" outlineLevel="1" x14ac:dyDescent="0.25">
      <c r="A2527" s="74">
        <v>1085</v>
      </c>
      <c r="B2527" s="45" t="s">
        <v>664</v>
      </c>
      <c r="C2527" s="60" t="s">
        <v>2154</v>
      </c>
      <c r="D2527" s="60"/>
      <c r="E2527" s="74">
        <v>2022</v>
      </c>
      <c r="F2527" s="74" t="s">
        <v>489</v>
      </c>
      <c r="G2527" s="61">
        <v>1</v>
      </c>
      <c r="H2527" s="45">
        <v>15</v>
      </c>
      <c r="I2527" s="74">
        <v>28.272410000000001</v>
      </c>
    </row>
    <row r="2528" spans="1:9" s="71" customFormat="1" ht="16.5" hidden="1" customHeight="1" outlineLevel="1" x14ac:dyDescent="0.25">
      <c r="A2528" s="74">
        <v>1386</v>
      </c>
      <c r="B2528" s="45" t="s">
        <v>664</v>
      </c>
      <c r="C2528" s="60" t="s">
        <v>2155</v>
      </c>
      <c r="D2528" s="60"/>
      <c r="E2528" s="74">
        <v>2022</v>
      </c>
      <c r="F2528" s="74" t="s">
        <v>489</v>
      </c>
      <c r="G2528" s="61">
        <v>1</v>
      </c>
      <c r="H2528" s="45">
        <v>15</v>
      </c>
      <c r="I2528" s="74">
        <v>45.971069999999997</v>
      </c>
    </row>
    <row r="2529" spans="1:9" s="71" customFormat="1" ht="16.5" hidden="1" customHeight="1" outlineLevel="1" x14ac:dyDescent="0.25">
      <c r="A2529" s="74">
        <v>1482</v>
      </c>
      <c r="B2529" s="45" t="s">
        <v>664</v>
      </c>
      <c r="C2529" s="60" t="s">
        <v>2156</v>
      </c>
      <c r="D2529" s="60"/>
      <c r="E2529" s="74">
        <v>2022</v>
      </c>
      <c r="F2529" s="74" t="s">
        <v>489</v>
      </c>
      <c r="G2529" s="61">
        <v>1</v>
      </c>
      <c r="H2529" s="45">
        <v>10</v>
      </c>
      <c r="I2529" s="74">
        <v>58.35642</v>
      </c>
    </row>
    <row r="2530" spans="1:9" s="71" customFormat="1" ht="16.5" hidden="1" customHeight="1" outlineLevel="1" x14ac:dyDescent="0.25">
      <c r="A2530" s="74">
        <v>1509</v>
      </c>
      <c r="B2530" s="45" t="s">
        <v>664</v>
      </c>
      <c r="C2530" s="60" t="s">
        <v>2157</v>
      </c>
      <c r="D2530" s="60"/>
      <c r="E2530" s="74">
        <v>2022</v>
      </c>
      <c r="F2530" s="74" t="s">
        <v>489</v>
      </c>
      <c r="G2530" s="61">
        <v>1</v>
      </c>
      <c r="H2530" s="45">
        <v>15</v>
      </c>
      <c r="I2530" s="74">
        <v>35.291589999999999</v>
      </c>
    </row>
    <row r="2531" spans="1:9" s="71" customFormat="1" ht="16.5" hidden="1" customHeight="1" outlineLevel="1" x14ac:dyDescent="0.25">
      <c r="A2531" s="74">
        <v>1588</v>
      </c>
      <c r="B2531" s="45" t="s">
        <v>664</v>
      </c>
      <c r="C2531" s="60" t="s">
        <v>2158</v>
      </c>
      <c r="D2531" s="60"/>
      <c r="E2531" s="74">
        <v>2022</v>
      </c>
      <c r="F2531" s="74" t="s">
        <v>489</v>
      </c>
      <c r="G2531" s="61">
        <v>1</v>
      </c>
      <c r="H2531" s="45">
        <v>15</v>
      </c>
      <c r="I2531" s="74">
        <v>52.671889999999998</v>
      </c>
    </row>
    <row r="2532" spans="1:9" s="71" customFormat="1" ht="16.5" hidden="1" customHeight="1" outlineLevel="1" x14ac:dyDescent="0.25">
      <c r="A2532" s="74">
        <v>1607</v>
      </c>
      <c r="B2532" s="45" t="s">
        <v>664</v>
      </c>
      <c r="C2532" s="60" t="s">
        <v>2159</v>
      </c>
      <c r="D2532" s="60"/>
      <c r="E2532" s="74">
        <v>2022</v>
      </c>
      <c r="F2532" s="74" t="s">
        <v>489</v>
      </c>
      <c r="G2532" s="61">
        <v>1</v>
      </c>
      <c r="H2532" s="45">
        <v>15</v>
      </c>
      <c r="I2532" s="74">
        <v>52.189030000000002</v>
      </c>
    </row>
    <row r="2533" spans="1:9" s="71" customFormat="1" ht="16.5" hidden="1" customHeight="1" outlineLevel="1" x14ac:dyDescent="0.25">
      <c r="A2533" s="74">
        <v>1576</v>
      </c>
      <c r="B2533" s="45" t="s">
        <v>664</v>
      </c>
      <c r="C2533" s="60" t="s">
        <v>2160</v>
      </c>
      <c r="D2533" s="60"/>
      <c r="E2533" s="74">
        <v>2022</v>
      </c>
      <c r="F2533" s="74" t="s">
        <v>489</v>
      </c>
      <c r="G2533" s="61">
        <v>1</v>
      </c>
      <c r="H2533" s="45">
        <v>15</v>
      </c>
      <c r="I2533" s="74">
        <v>39.171219999999998</v>
      </c>
    </row>
    <row r="2534" spans="1:9" s="71" customFormat="1" ht="16.5" hidden="1" customHeight="1" outlineLevel="1" x14ac:dyDescent="0.25">
      <c r="A2534" s="74">
        <v>1578</v>
      </c>
      <c r="B2534" s="45" t="s">
        <v>664</v>
      </c>
      <c r="C2534" s="60" t="s">
        <v>2161</v>
      </c>
      <c r="D2534" s="60"/>
      <c r="E2534" s="74">
        <v>2022</v>
      </c>
      <c r="F2534" s="74" t="s">
        <v>489</v>
      </c>
      <c r="G2534" s="61">
        <v>1</v>
      </c>
      <c r="H2534" s="45">
        <v>70</v>
      </c>
      <c r="I2534" s="74">
        <v>49.122480000000003</v>
      </c>
    </row>
    <row r="2535" spans="1:9" s="71" customFormat="1" ht="16.5" hidden="1" customHeight="1" outlineLevel="1" x14ac:dyDescent="0.25">
      <c r="A2535" s="74">
        <v>1577</v>
      </c>
      <c r="B2535" s="45" t="s">
        <v>664</v>
      </c>
      <c r="C2535" s="60" t="s">
        <v>2162</v>
      </c>
      <c r="D2535" s="60"/>
      <c r="E2535" s="74">
        <v>2022</v>
      </c>
      <c r="F2535" s="74" t="s">
        <v>489</v>
      </c>
      <c r="G2535" s="61">
        <v>1</v>
      </c>
      <c r="H2535" s="45">
        <v>7.5</v>
      </c>
      <c r="I2535" s="74">
        <v>56.397120000000001</v>
      </c>
    </row>
    <row r="2536" spans="1:9" s="71" customFormat="1" ht="16.5" hidden="1" customHeight="1" outlineLevel="1" x14ac:dyDescent="0.25">
      <c r="A2536" s="74">
        <v>1398</v>
      </c>
      <c r="B2536" s="45" t="s">
        <v>664</v>
      </c>
      <c r="C2536" s="60" t="s">
        <v>2163</v>
      </c>
      <c r="D2536" s="60"/>
      <c r="E2536" s="74">
        <v>2022</v>
      </c>
      <c r="F2536" s="74" t="s">
        <v>489</v>
      </c>
      <c r="G2536" s="61">
        <v>1</v>
      </c>
      <c r="H2536" s="45">
        <v>15</v>
      </c>
      <c r="I2536" s="74">
        <v>37.387880000000003</v>
      </c>
    </row>
    <row r="2537" spans="1:9" s="71" customFormat="1" ht="16.5" hidden="1" customHeight="1" outlineLevel="1" x14ac:dyDescent="0.25">
      <c r="A2537" s="74">
        <v>1199</v>
      </c>
      <c r="B2537" s="45" t="s">
        <v>664</v>
      </c>
      <c r="C2537" s="60" t="s">
        <v>2164</v>
      </c>
      <c r="D2537" s="60"/>
      <c r="E2537" s="74">
        <v>2022</v>
      </c>
      <c r="F2537" s="74" t="s">
        <v>489</v>
      </c>
      <c r="G2537" s="61">
        <v>1</v>
      </c>
      <c r="H2537" s="45">
        <v>15</v>
      </c>
      <c r="I2537" s="74">
        <v>58.009950000000003</v>
      </c>
    </row>
    <row r="2538" spans="1:9" s="71" customFormat="1" ht="16.5" hidden="1" customHeight="1" outlineLevel="1" x14ac:dyDescent="0.25">
      <c r="A2538" s="74">
        <v>1508</v>
      </c>
      <c r="B2538" s="45" t="s">
        <v>664</v>
      </c>
      <c r="C2538" s="60" t="s">
        <v>2165</v>
      </c>
      <c r="D2538" s="60"/>
      <c r="E2538" s="74">
        <v>2022</v>
      </c>
      <c r="F2538" s="74" t="s">
        <v>489</v>
      </c>
      <c r="G2538" s="61">
        <v>1</v>
      </c>
      <c r="H2538" s="45">
        <v>15</v>
      </c>
      <c r="I2538" s="74">
        <v>58.226889999999997</v>
      </c>
    </row>
    <row r="2539" spans="1:9" s="71" customFormat="1" ht="16.5" hidden="1" customHeight="1" outlineLevel="1" x14ac:dyDescent="0.25">
      <c r="A2539" s="74">
        <v>1127</v>
      </c>
      <c r="B2539" s="45" t="s">
        <v>664</v>
      </c>
      <c r="C2539" s="60" t="s">
        <v>2166</v>
      </c>
      <c r="D2539" s="60"/>
      <c r="E2539" s="74">
        <v>2022</v>
      </c>
      <c r="F2539" s="74" t="s">
        <v>489</v>
      </c>
      <c r="G2539" s="61">
        <v>1</v>
      </c>
      <c r="H2539" s="45">
        <v>15</v>
      </c>
      <c r="I2539" s="74">
        <v>43.304130000000001</v>
      </c>
    </row>
    <row r="2540" spans="1:9" s="71" customFormat="1" ht="16.5" hidden="1" customHeight="1" outlineLevel="1" x14ac:dyDescent="0.25">
      <c r="A2540" s="74">
        <v>1794</v>
      </c>
      <c r="B2540" s="45" t="s">
        <v>664</v>
      </c>
      <c r="C2540" s="60" t="s">
        <v>2167</v>
      </c>
      <c r="D2540" s="60"/>
      <c r="E2540" s="74">
        <v>2022</v>
      </c>
      <c r="F2540" s="74" t="s">
        <v>489</v>
      </c>
      <c r="G2540" s="61">
        <v>1</v>
      </c>
      <c r="H2540" s="45">
        <v>10</v>
      </c>
      <c r="I2540" s="74">
        <v>37.667470000000002</v>
      </c>
    </row>
    <row r="2541" spans="1:9" s="71" customFormat="1" ht="16.5" hidden="1" customHeight="1" outlineLevel="1" x14ac:dyDescent="0.25">
      <c r="A2541" s="74">
        <v>1526</v>
      </c>
      <c r="B2541" s="45" t="s">
        <v>664</v>
      </c>
      <c r="C2541" s="60" t="s">
        <v>2168</v>
      </c>
      <c r="D2541" s="60"/>
      <c r="E2541" s="74">
        <v>2022</v>
      </c>
      <c r="F2541" s="74" t="s">
        <v>489</v>
      </c>
      <c r="G2541" s="61">
        <v>1</v>
      </c>
      <c r="H2541" s="45">
        <v>15</v>
      </c>
      <c r="I2541" s="74">
        <v>43.950600000000001</v>
      </c>
    </row>
    <row r="2542" spans="1:9" s="71" customFormat="1" ht="16.5" hidden="1" customHeight="1" outlineLevel="1" x14ac:dyDescent="0.25">
      <c r="A2542" s="74">
        <v>1714</v>
      </c>
      <c r="B2542" s="45" t="s">
        <v>664</v>
      </c>
      <c r="C2542" s="60" t="s">
        <v>2169</v>
      </c>
      <c r="D2542" s="60"/>
      <c r="E2542" s="74">
        <v>2022</v>
      </c>
      <c r="F2542" s="74" t="s">
        <v>489</v>
      </c>
      <c r="G2542" s="61">
        <v>1</v>
      </c>
      <c r="H2542" s="45">
        <v>5</v>
      </c>
      <c r="I2542" s="74">
        <v>22.473520000000001</v>
      </c>
    </row>
    <row r="2543" spans="1:9" s="71" customFormat="1" ht="16.5" hidden="1" customHeight="1" outlineLevel="1" x14ac:dyDescent="0.25">
      <c r="A2543" s="74">
        <v>1147</v>
      </c>
      <c r="B2543" s="45" t="s">
        <v>664</v>
      </c>
      <c r="C2543" s="60" t="s">
        <v>2170</v>
      </c>
      <c r="D2543" s="60"/>
      <c r="E2543" s="74">
        <v>2022</v>
      </c>
      <c r="F2543" s="74" t="s">
        <v>489</v>
      </c>
      <c r="G2543" s="61">
        <v>1</v>
      </c>
      <c r="H2543" s="45">
        <v>15</v>
      </c>
      <c r="I2543" s="74">
        <v>43.881630000000001</v>
      </c>
    </row>
    <row r="2544" spans="1:9" s="71" customFormat="1" ht="16.5" hidden="1" customHeight="1" outlineLevel="1" x14ac:dyDescent="0.25">
      <c r="A2544" s="74">
        <v>1049</v>
      </c>
      <c r="B2544" s="45" t="s">
        <v>664</v>
      </c>
      <c r="C2544" s="60" t="s">
        <v>2171</v>
      </c>
      <c r="D2544" s="60"/>
      <c r="E2544" s="74">
        <v>2022</v>
      </c>
      <c r="F2544" s="74" t="s">
        <v>489</v>
      </c>
      <c r="G2544" s="61">
        <v>1</v>
      </c>
      <c r="H2544" s="45">
        <v>15</v>
      </c>
      <c r="I2544" s="74">
        <v>40.174639999999997</v>
      </c>
    </row>
    <row r="2545" spans="1:9" s="71" customFormat="1" ht="16.5" hidden="1" customHeight="1" outlineLevel="1" x14ac:dyDescent="0.25">
      <c r="A2545" s="74">
        <v>1430</v>
      </c>
      <c r="B2545" s="45" t="s">
        <v>664</v>
      </c>
      <c r="C2545" s="60" t="s">
        <v>2172</v>
      </c>
      <c r="D2545" s="60"/>
      <c r="E2545" s="74">
        <v>2022</v>
      </c>
      <c r="F2545" s="74" t="s">
        <v>489</v>
      </c>
      <c r="G2545" s="61">
        <v>1</v>
      </c>
      <c r="H2545" s="45">
        <v>15</v>
      </c>
      <c r="I2545" s="74">
        <v>27.14612</v>
      </c>
    </row>
    <row r="2546" spans="1:9" s="71" customFormat="1" ht="16.5" hidden="1" customHeight="1" outlineLevel="1" x14ac:dyDescent="0.25">
      <c r="A2546" s="74">
        <v>1279</v>
      </c>
      <c r="B2546" s="45" t="s">
        <v>664</v>
      </c>
      <c r="C2546" s="60" t="s">
        <v>2173</v>
      </c>
      <c r="D2546" s="60"/>
      <c r="E2546" s="74">
        <v>2022</v>
      </c>
      <c r="F2546" s="74" t="s">
        <v>489</v>
      </c>
      <c r="G2546" s="61">
        <v>1</v>
      </c>
      <c r="H2546" s="45">
        <v>10</v>
      </c>
      <c r="I2546" s="74">
        <v>28.35267</v>
      </c>
    </row>
    <row r="2547" spans="1:9" s="71" customFormat="1" ht="16.5" hidden="1" customHeight="1" outlineLevel="1" x14ac:dyDescent="0.25">
      <c r="A2547" s="74">
        <v>1333</v>
      </c>
      <c r="B2547" s="45" t="s">
        <v>664</v>
      </c>
      <c r="C2547" s="60" t="s">
        <v>2174</v>
      </c>
      <c r="D2547" s="60"/>
      <c r="E2547" s="74">
        <v>2022</v>
      </c>
      <c r="F2547" s="74" t="s">
        <v>489</v>
      </c>
      <c r="G2547" s="61">
        <v>1</v>
      </c>
      <c r="H2547" s="45">
        <v>11</v>
      </c>
      <c r="I2547" s="74">
        <v>44.414149999999999</v>
      </c>
    </row>
    <row r="2548" spans="1:9" s="71" customFormat="1" ht="16.5" hidden="1" customHeight="1" outlineLevel="1" x14ac:dyDescent="0.25">
      <c r="A2548" s="74">
        <v>1282</v>
      </c>
      <c r="B2548" s="45" t="s">
        <v>664</v>
      </c>
      <c r="C2548" s="60" t="s">
        <v>2175</v>
      </c>
      <c r="D2548" s="60"/>
      <c r="E2548" s="74">
        <v>2022</v>
      </c>
      <c r="F2548" s="74" t="s">
        <v>489</v>
      </c>
      <c r="G2548" s="61">
        <v>1</v>
      </c>
      <c r="H2548" s="45">
        <v>15</v>
      </c>
      <c r="I2548" s="74">
        <v>44.60595</v>
      </c>
    </row>
    <row r="2549" spans="1:9" s="71" customFormat="1" ht="16.5" hidden="1" customHeight="1" outlineLevel="1" x14ac:dyDescent="0.25">
      <c r="A2549" s="74">
        <v>1062</v>
      </c>
      <c r="B2549" s="45" t="s">
        <v>664</v>
      </c>
      <c r="C2549" s="60" t="s">
        <v>2176</v>
      </c>
      <c r="D2549" s="60"/>
      <c r="E2549" s="74">
        <v>2022</v>
      </c>
      <c r="F2549" s="74" t="s">
        <v>489</v>
      </c>
      <c r="G2549" s="61">
        <v>1</v>
      </c>
      <c r="H2549" s="45">
        <v>5</v>
      </c>
      <c r="I2549" s="74">
        <v>57.436309999999999</v>
      </c>
    </row>
    <row r="2550" spans="1:9" s="71" customFormat="1" ht="16.5" hidden="1" customHeight="1" outlineLevel="1" x14ac:dyDescent="0.25">
      <c r="A2550" s="74">
        <v>1561</v>
      </c>
      <c r="B2550" s="45" t="s">
        <v>664</v>
      </c>
      <c r="C2550" s="60" t="s">
        <v>2177</v>
      </c>
      <c r="D2550" s="60"/>
      <c r="E2550" s="74">
        <v>2022</v>
      </c>
      <c r="F2550" s="74" t="s">
        <v>489</v>
      </c>
      <c r="G2550" s="61">
        <v>1</v>
      </c>
      <c r="H2550" s="45">
        <v>50</v>
      </c>
      <c r="I2550" s="74">
        <v>49.349429999999998</v>
      </c>
    </row>
    <row r="2551" spans="1:9" s="71" customFormat="1" ht="16.5" hidden="1" customHeight="1" outlineLevel="1" x14ac:dyDescent="0.25">
      <c r="A2551" s="74">
        <v>1668</v>
      </c>
      <c r="B2551" s="45" t="s">
        <v>664</v>
      </c>
      <c r="C2551" s="60" t="s">
        <v>2178</v>
      </c>
      <c r="D2551" s="60"/>
      <c r="E2551" s="74">
        <v>2022</v>
      </c>
      <c r="F2551" s="74" t="s">
        <v>489</v>
      </c>
      <c r="G2551" s="61">
        <v>1</v>
      </c>
      <c r="H2551" s="45">
        <v>15</v>
      </c>
      <c r="I2551" s="74">
        <v>22.50311</v>
      </c>
    </row>
    <row r="2552" spans="1:9" s="71" customFormat="1" ht="16.5" hidden="1" customHeight="1" outlineLevel="1" x14ac:dyDescent="0.25">
      <c r="A2552" s="74">
        <v>1761</v>
      </c>
      <c r="B2552" s="45" t="s">
        <v>664</v>
      </c>
      <c r="C2552" s="60" t="s">
        <v>2179</v>
      </c>
      <c r="D2552" s="60"/>
      <c r="E2552" s="74">
        <v>2022</v>
      </c>
      <c r="F2552" s="74" t="s">
        <v>489</v>
      </c>
      <c r="G2552" s="61">
        <v>1</v>
      </c>
      <c r="H2552" s="45">
        <v>2</v>
      </c>
      <c r="I2552" s="74">
        <v>40.701230000000002</v>
      </c>
    </row>
    <row r="2553" spans="1:9" s="71" customFormat="1" ht="16.5" hidden="1" customHeight="1" outlineLevel="1" x14ac:dyDescent="0.25">
      <c r="A2553" s="74">
        <v>1565</v>
      </c>
      <c r="B2553" s="45" t="s">
        <v>664</v>
      </c>
      <c r="C2553" s="60" t="s">
        <v>2180</v>
      </c>
      <c r="D2553" s="60"/>
      <c r="E2553" s="74">
        <v>2022</v>
      </c>
      <c r="F2553" s="74" t="s">
        <v>489</v>
      </c>
      <c r="G2553" s="61">
        <v>1</v>
      </c>
      <c r="H2553" s="45">
        <v>11</v>
      </c>
      <c r="I2553" s="74">
        <v>45.766640000000002</v>
      </c>
    </row>
    <row r="2554" spans="1:9" s="71" customFormat="1" ht="16.5" hidden="1" customHeight="1" outlineLevel="1" x14ac:dyDescent="0.25">
      <c r="A2554" s="74">
        <v>1277</v>
      </c>
      <c r="B2554" s="45" t="s">
        <v>664</v>
      </c>
      <c r="C2554" s="60" t="s">
        <v>2181</v>
      </c>
      <c r="D2554" s="60"/>
      <c r="E2554" s="74">
        <v>2022</v>
      </c>
      <c r="F2554" s="74" t="s">
        <v>489</v>
      </c>
      <c r="G2554" s="61">
        <v>1</v>
      </c>
      <c r="H2554" s="45">
        <v>10</v>
      </c>
      <c r="I2554" s="74">
        <v>43.394190000000002</v>
      </c>
    </row>
    <row r="2555" spans="1:9" s="71" customFormat="1" ht="16.5" hidden="1" customHeight="1" outlineLevel="1" x14ac:dyDescent="0.25">
      <c r="A2555" s="74">
        <v>1818</v>
      </c>
      <c r="B2555" s="45" t="s">
        <v>664</v>
      </c>
      <c r="C2555" s="60" t="s">
        <v>2182</v>
      </c>
      <c r="D2555" s="60"/>
      <c r="E2555" s="74">
        <v>2022</v>
      </c>
      <c r="F2555" s="74" t="s">
        <v>489</v>
      </c>
      <c r="G2555" s="61">
        <v>1</v>
      </c>
      <c r="H2555" s="45">
        <v>10</v>
      </c>
      <c r="I2555" s="74">
        <v>22.84834</v>
      </c>
    </row>
    <row r="2556" spans="1:9" s="71" customFormat="1" ht="16.5" hidden="1" customHeight="1" outlineLevel="1" x14ac:dyDescent="0.25">
      <c r="A2556" s="74">
        <v>1819</v>
      </c>
      <c r="B2556" s="45" t="s">
        <v>664</v>
      </c>
      <c r="C2556" s="60" t="s">
        <v>2183</v>
      </c>
      <c r="D2556" s="60"/>
      <c r="E2556" s="74">
        <v>2022</v>
      </c>
      <c r="F2556" s="74" t="s">
        <v>489</v>
      </c>
      <c r="G2556" s="61">
        <v>1</v>
      </c>
      <c r="H2556" s="45">
        <v>13</v>
      </c>
      <c r="I2556" s="74">
        <v>40.710619999999999</v>
      </c>
    </row>
    <row r="2557" spans="1:9" s="71" customFormat="1" ht="16.5" hidden="1" customHeight="1" outlineLevel="1" x14ac:dyDescent="0.25">
      <c r="A2557" s="74">
        <v>1581</v>
      </c>
      <c r="B2557" s="45" t="s">
        <v>664</v>
      </c>
      <c r="C2557" s="60" t="s">
        <v>2184</v>
      </c>
      <c r="D2557" s="60"/>
      <c r="E2557" s="74">
        <v>2022</v>
      </c>
      <c r="F2557" s="74" t="s">
        <v>489</v>
      </c>
      <c r="G2557" s="61">
        <v>1</v>
      </c>
      <c r="H2557" s="45">
        <v>15</v>
      </c>
      <c r="I2557" s="74">
        <v>26.938189999999999</v>
      </c>
    </row>
    <row r="2558" spans="1:9" s="71" customFormat="1" ht="16.5" hidden="1" customHeight="1" outlineLevel="1" x14ac:dyDescent="0.25">
      <c r="A2558" s="74">
        <v>1606</v>
      </c>
      <c r="B2558" s="45" t="s">
        <v>664</v>
      </c>
      <c r="C2558" s="60" t="s">
        <v>2185</v>
      </c>
      <c r="D2558" s="60"/>
      <c r="E2558" s="74">
        <v>2022</v>
      </c>
      <c r="F2558" s="74" t="s">
        <v>489</v>
      </c>
      <c r="G2558" s="61">
        <v>1</v>
      </c>
      <c r="H2558" s="45">
        <v>15</v>
      </c>
      <c r="I2558" s="74">
        <v>26.232790000000001</v>
      </c>
    </row>
    <row r="2559" spans="1:9" s="71" customFormat="1" ht="16.5" hidden="1" customHeight="1" outlineLevel="1" x14ac:dyDescent="0.25">
      <c r="A2559" s="74">
        <v>1718</v>
      </c>
      <c r="B2559" s="45" t="s">
        <v>664</v>
      </c>
      <c r="C2559" s="60" t="s">
        <v>2186</v>
      </c>
      <c r="D2559" s="60"/>
      <c r="E2559" s="74">
        <v>2022</v>
      </c>
      <c r="F2559" s="74" t="s">
        <v>489</v>
      </c>
      <c r="G2559" s="61">
        <v>1</v>
      </c>
      <c r="H2559" s="45">
        <v>7.5</v>
      </c>
      <c r="I2559" s="74">
        <v>22.300080000000001</v>
      </c>
    </row>
    <row r="2560" spans="1:9" s="71" customFormat="1" ht="16.5" hidden="1" customHeight="1" outlineLevel="1" x14ac:dyDescent="0.25">
      <c r="A2560" s="74">
        <v>1611</v>
      </c>
      <c r="B2560" s="45" t="s">
        <v>664</v>
      </c>
      <c r="C2560" s="60" t="s">
        <v>2187</v>
      </c>
      <c r="D2560" s="60"/>
      <c r="E2560" s="74">
        <v>2022</v>
      </c>
      <c r="F2560" s="74" t="s">
        <v>489</v>
      </c>
      <c r="G2560" s="61">
        <v>1</v>
      </c>
      <c r="H2560" s="45">
        <v>15</v>
      </c>
      <c r="I2560" s="74">
        <v>28.116569999999999</v>
      </c>
    </row>
    <row r="2561" spans="1:9" s="71" customFormat="1" ht="16.5" hidden="1" customHeight="1" outlineLevel="1" x14ac:dyDescent="0.25">
      <c r="A2561" s="74">
        <v>1579</v>
      </c>
      <c r="B2561" s="45" t="s">
        <v>664</v>
      </c>
      <c r="C2561" s="60" t="s">
        <v>2188</v>
      </c>
      <c r="D2561" s="60"/>
      <c r="E2561" s="74">
        <v>2022</v>
      </c>
      <c r="F2561" s="74" t="s">
        <v>489</v>
      </c>
      <c r="G2561" s="61">
        <v>1</v>
      </c>
      <c r="H2561" s="45">
        <v>15</v>
      </c>
      <c r="I2561" s="74">
        <v>24.205749999999998</v>
      </c>
    </row>
    <row r="2562" spans="1:9" s="71" customFormat="1" ht="16.5" hidden="1" customHeight="1" outlineLevel="1" x14ac:dyDescent="0.25">
      <c r="A2562" s="74">
        <v>1612</v>
      </c>
      <c r="B2562" s="45" t="s">
        <v>664</v>
      </c>
      <c r="C2562" s="60" t="s">
        <v>2189</v>
      </c>
      <c r="D2562" s="60"/>
      <c r="E2562" s="74">
        <v>2022</v>
      </c>
      <c r="F2562" s="74" t="s">
        <v>489</v>
      </c>
      <c r="G2562" s="61">
        <v>1</v>
      </c>
      <c r="H2562" s="45">
        <v>10</v>
      </c>
      <c r="I2562" s="74">
        <v>47.694049999999997</v>
      </c>
    </row>
    <row r="2563" spans="1:9" s="71" customFormat="1" ht="16.5" hidden="1" customHeight="1" outlineLevel="1" x14ac:dyDescent="0.25">
      <c r="A2563" s="74">
        <v>1610</v>
      </c>
      <c r="B2563" s="45" t="s">
        <v>664</v>
      </c>
      <c r="C2563" s="60" t="s">
        <v>2190</v>
      </c>
      <c r="D2563" s="60"/>
      <c r="E2563" s="74">
        <v>2022</v>
      </c>
      <c r="F2563" s="74" t="s">
        <v>489</v>
      </c>
      <c r="G2563" s="61">
        <v>1</v>
      </c>
      <c r="H2563" s="45">
        <v>15</v>
      </c>
      <c r="I2563" s="74">
        <v>23.990410000000001</v>
      </c>
    </row>
    <row r="2564" spans="1:9" s="71" customFormat="1" ht="16.5" hidden="1" customHeight="1" outlineLevel="1" x14ac:dyDescent="0.25">
      <c r="A2564" s="74">
        <v>1562</v>
      </c>
      <c r="B2564" s="45" t="s">
        <v>664</v>
      </c>
      <c r="C2564" s="60" t="s">
        <v>2191</v>
      </c>
      <c r="D2564" s="60"/>
      <c r="E2564" s="74">
        <v>2022</v>
      </c>
      <c r="F2564" s="74" t="s">
        <v>489</v>
      </c>
      <c r="G2564" s="61">
        <v>1</v>
      </c>
      <c r="H2564" s="45">
        <v>11</v>
      </c>
      <c r="I2564" s="74">
        <v>47.962159999999997</v>
      </c>
    </row>
    <row r="2565" spans="1:9" s="71" customFormat="1" ht="16.5" hidden="1" customHeight="1" outlineLevel="1" x14ac:dyDescent="0.25">
      <c r="A2565" s="74">
        <v>1554</v>
      </c>
      <c r="B2565" s="45" t="s">
        <v>664</v>
      </c>
      <c r="C2565" s="60" t="s">
        <v>2192</v>
      </c>
      <c r="D2565" s="60"/>
      <c r="E2565" s="74">
        <v>2022</v>
      </c>
      <c r="F2565" s="74" t="s">
        <v>489</v>
      </c>
      <c r="G2565" s="61">
        <v>1</v>
      </c>
      <c r="H2565" s="45">
        <v>11</v>
      </c>
      <c r="I2565" s="74">
        <v>48.560920000000003</v>
      </c>
    </row>
    <row r="2566" spans="1:9" s="71" customFormat="1" ht="16.5" hidden="1" customHeight="1" outlineLevel="1" x14ac:dyDescent="0.25">
      <c r="A2566" s="74">
        <v>1820</v>
      </c>
      <c r="B2566" s="45" t="s">
        <v>664</v>
      </c>
      <c r="C2566" s="60" t="s">
        <v>2193</v>
      </c>
      <c r="D2566" s="60"/>
      <c r="E2566" s="74">
        <v>2022</v>
      </c>
      <c r="F2566" s="74" t="s">
        <v>489</v>
      </c>
      <c r="G2566" s="61">
        <v>1</v>
      </c>
      <c r="H2566" s="45">
        <v>10</v>
      </c>
      <c r="I2566" s="74">
        <v>39.786650000000002</v>
      </c>
    </row>
    <row r="2567" spans="1:9" s="71" customFormat="1" ht="16.5" hidden="1" customHeight="1" outlineLevel="1" x14ac:dyDescent="0.25">
      <c r="A2567" s="74">
        <v>1821</v>
      </c>
      <c r="B2567" s="45" t="s">
        <v>664</v>
      </c>
      <c r="C2567" s="60" t="s">
        <v>2194</v>
      </c>
      <c r="D2567" s="60"/>
      <c r="E2567" s="74">
        <v>2022</v>
      </c>
      <c r="F2567" s="74" t="s">
        <v>489</v>
      </c>
      <c r="G2567" s="61">
        <v>1</v>
      </c>
      <c r="H2567" s="45">
        <v>9.5</v>
      </c>
      <c r="I2567" s="74">
        <v>39.59478</v>
      </c>
    </row>
    <row r="2568" spans="1:9" s="71" customFormat="1" ht="16.5" hidden="1" customHeight="1" outlineLevel="1" x14ac:dyDescent="0.25">
      <c r="A2568" s="74">
        <v>1495</v>
      </c>
      <c r="B2568" s="45" t="s">
        <v>664</v>
      </c>
      <c r="C2568" s="60" t="s">
        <v>2195</v>
      </c>
      <c r="D2568" s="60"/>
      <c r="E2568" s="74">
        <v>2022</v>
      </c>
      <c r="F2568" s="74" t="s">
        <v>489</v>
      </c>
      <c r="G2568" s="61">
        <v>1</v>
      </c>
      <c r="H2568" s="45">
        <v>9.5</v>
      </c>
      <c r="I2568" s="74">
        <v>47.759900000000002</v>
      </c>
    </row>
    <row r="2569" spans="1:9" s="71" customFormat="1" ht="16.5" hidden="1" customHeight="1" outlineLevel="1" x14ac:dyDescent="0.25">
      <c r="A2569" s="74">
        <v>1608</v>
      </c>
      <c r="B2569" s="45" t="s">
        <v>664</v>
      </c>
      <c r="C2569" s="60" t="s">
        <v>2196</v>
      </c>
      <c r="D2569" s="60"/>
      <c r="E2569" s="74">
        <v>2022</v>
      </c>
      <c r="F2569" s="74" t="s">
        <v>489</v>
      </c>
      <c r="G2569" s="61">
        <v>1</v>
      </c>
      <c r="H2569" s="45">
        <v>75</v>
      </c>
      <c r="I2569" s="74">
        <v>62.887169999999998</v>
      </c>
    </row>
    <row r="2570" spans="1:9" s="71" customFormat="1" ht="16.5" hidden="1" customHeight="1" outlineLevel="1" x14ac:dyDescent="0.25">
      <c r="A2570" s="74">
        <v>1043</v>
      </c>
      <c r="B2570" s="45" t="s">
        <v>664</v>
      </c>
      <c r="C2570" s="60" t="s">
        <v>2197</v>
      </c>
      <c r="D2570" s="60"/>
      <c r="E2570" s="74">
        <v>2022</v>
      </c>
      <c r="F2570" s="74" t="s">
        <v>489</v>
      </c>
      <c r="G2570" s="61">
        <v>1</v>
      </c>
      <c r="H2570" s="45">
        <v>15</v>
      </c>
      <c r="I2570" s="74">
        <v>37.546930000000003</v>
      </c>
    </row>
    <row r="2571" spans="1:9" s="71" customFormat="1" ht="16.5" hidden="1" customHeight="1" outlineLevel="1" x14ac:dyDescent="0.25">
      <c r="A2571" s="74">
        <v>1797</v>
      </c>
      <c r="B2571" s="45" t="s">
        <v>664</v>
      </c>
      <c r="C2571" s="60" t="s">
        <v>2198</v>
      </c>
      <c r="D2571" s="60"/>
      <c r="E2571" s="74">
        <v>2022</v>
      </c>
      <c r="F2571" s="74" t="s">
        <v>489</v>
      </c>
      <c r="G2571" s="61">
        <v>1</v>
      </c>
      <c r="H2571" s="45">
        <v>15</v>
      </c>
      <c r="I2571" s="74">
        <v>38.980930000000001</v>
      </c>
    </row>
    <row r="2572" spans="1:9" s="71" customFormat="1" ht="16.5" hidden="1" customHeight="1" outlineLevel="1" x14ac:dyDescent="0.25">
      <c r="A2572" s="74">
        <v>1796</v>
      </c>
      <c r="B2572" s="45" t="s">
        <v>664</v>
      </c>
      <c r="C2572" s="60" t="s">
        <v>2199</v>
      </c>
      <c r="D2572" s="60"/>
      <c r="E2572" s="74">
        <v>2022</v>
      </c>
      <c r="F2572" s="74" t="s">
        <v>489</v>
      </c>
      <c r="G2572" s="61">
        <v>1</v>
      </c>
      <c r="H2572" s="45">
        <v>50</v>
      </c>
      <c r="I2572" s="74">
        <v>36.406640000000003</v>
      </c>
    </row>
    <row r="2573" spans="1:9" s="71" customFormat="1" ht="16.5" hidden="1" customHeight="1" outlineLevel="1" x14ac:dyDescent="0.25">
      <c r="A2573" s="74">
        <v>1799</v>
      </c>
      <c r="B2573" s="45" t="s">
        <v>664</v>
      </c>
      <c r="C2573" s="60" t="s">
        <v>2200</v>
      </c>
      <c r="D2573" s="60"/>
      <c r="E2573" s="74">
        <v>2022</v>
      </c>
      <c r="F2573" s="74" t="s">
        <v>489</v>
      </c>
      <c r="G2573" s="61">
        <v>1</v>
      </c>
      <c r="H2573" s="45">
        <v>12</v>
      </c>
      <c r="I2573" s="74">
        <v>38.414819999999999</v>
      </c>
    </row>
    <row r="2574" spans="1:9" s="71" customFormat="1" ht="16.5" hidden="1" customHeight="1" outlineLevel="1" x14ac:dyDescent="0.25">
      <c r="A2574" s="74">
        <v>1800</v>
      </c>
      <c r="B2574" s="45" t="s">
        <v>664</v>
      </c>
      <c r="C2574" s="60" t="s">
        <v>2201</v>
      </c>
      <c r="D2574" s="60"/>
      <c r="E2574" s="74">
        <v>2022</v>
      </c>
      <c r="F2574" s="74" t="s">
        <v>489</v>
      </c>
      <c r="G2574" s="61">
        <v>1</v>
      </c>
      <c r="H2574" s="45">
        <v>12</v>
      </c>
      <c r="I2574" s="74">
        <v>40.875959999999999</v>
      </c>
    </row>
    <row r="2575" spans="1:9" s="71" customFormat="1" ht="16.5" hidden="1" customHeight="1" outlineLevel="1" x14ac:dyDescent="0.25">
      <c r="A2575" s="74">
        <v>1801</v>
      </c>
      <c r="B2575" s="45" t="s">
        <v>664</v>
      </c>
      <c r="C2575" s="60" t="s">
        <v>2202</v>
      </c>
      <c r="D2575" s="60"/>
      <c r="E2575" s="74">
        <v>2022</v>
      </c>
      <c r="F2575" s="74" t="s">
        <v>489</v>
      </c>
      <c r="G2575" s="61">
        <v>1</v>
      </c>
      <c r="H2575" s="45">
        <v>10</v>
      </c>
      <c r="I2575" s="74">
        <v>38.286940000000001</v>
      </c>
    </row>
    <row r="2576" spans="1:9" s="71" customFormat="1" ht="16.5" hidden="1" customHeight="1" outlineLevel="1" x14ac:dyDescent="0.25">
      <c r="A2576" s="74">
        <v>1795</v>
      </c>
      <c r="B2576" s="45" t="s">
        <v>664</v>
      </c>
      <c r="C2576" s="60" t="s">
        <v>2203</v>
      </c>
      <c r="D2576" s="60"/>
      <c r="E2576" s="74">
        <v>2022</v>
      </c>
      <c r="F2576" s="74" t="s">
        <v>489</v>
      </c>
      <c r="G2576" s="61">
        <v>1</v>
      </c>
      <c r="H2576" s="45">
        <v>11.5</v>
      </c>
      <c r="I2576" s="74">
        <v>40.647919999999999</v>
      </c>
    </row>
    <row r="2577" spans="1:9" s="71" customFormat="1" ht="16.5" hidden="1" customHeight="1" outlineLevel="1" x14ac:dyDescent="0.25">
      <c r="A2577" s="74">
        <v>1189</v>
      </c>
      <c r="B2577" s="45" t="s">
        <v>664</v>
      </c>
      <c r="C2577" s="60" t="s">
        <v>2204</v>
      </c>
      <c r="D2577" s="60"/>
      <c r="E2577" s="74">
        <v>2022</v>
      </c>
      <c r="F2577" s="74" t="s">
        <v>489</v>
      </c>
      <c r="G2577" s="61">
        <v>1</v>
      </c>
      <c r="H2577" s="45">
        <v>11.5</v>
      </c>
      <c r="I2577" s="74">
        <v>49.993400000000001</v>
      </c>
    </row>
    <row r="2578" spans="1:9" s="71" customFormat="1" ht="16.5" hidden="1" customHeight="1" outlineLevel="1" x14ac:dyDescent="0.25">
      <c r="A2578" s="74">
        <v>1356</v>
      </c>
      <c r="B2578" s="45" t="s">
        <v>664</v>
      </c>
      <c r="C2578" s="60" t="s">
        <v>2205</v>
      </c>
      <c r="D2578" s="60"/>
      <c r="E2578" s="74">
        <v>2022</v>
      </c>
      <c r="F2578" s="74" t="s">
        <v>489</v>
      </c>
      <c r="G2578" s="61">
        <v>1</v>
      </c>
      <c r="H2578" s="45">
        <v>9.5</v>
      </c>
      <c r="I2578" s="74">
        <v>41.61168</v>
      </c>
    </row>
    <row r="2579" spans="1:9" s="71" customFormat="1" ht="16.5" hidden="1" customHeight="1" outlineLevel="1" x14ac:dyDescent="0.25">
      <c r="A2579" s="74">
        <v>1580</v>
      </c>
      <c r="B2579" s="45" t="s">
        <v>664</v>
      </c>
      <c r="C2579" s="60" t="s">
        <v>2206</v>
      </c>
      <c r="D2579" s="60"/>
      <c r="E2579" s="74">
        <v>2022</v>
      </c>
      <c r="F2579" s="74" t="s">
        <v>489</v>
      </c>
      <c r="G2579" s="61">
        <v>1</v>
      </c>
      <c r="H2579" s="45">
        <v>15</v>
      </c>
      <c r="I2579" s="74">
        <v>45.779389999999999</v>
      </c>
    </row>
    <row r="2580" spans="1:9" s="71" customFormat="1" ht="16.5" hidden="1" customHeight="1" outlineLevel="1" x14ac:dyDescent="0.25">
      <c r="A2580" s="74">
        <v>1816</v>
      </c>
      <c r="B2580" s="45" t="s">
        <v>664</v>
      </c>
      <c r="C2580" s="60" t="s">
        <v>2207</v>
      </c>
      <c r="D2580" s="60"/>
      <c r="E2580" s="74">
        <v>2022</v>
      </c>
      <c r="F2580" s="74" t="s">
        <v>489</v>
      </c>
      <c r="G2580" s="61">
        <v>1</v>
      </c>
      <c r="H2580" s="45">
        <v>15</v>
      </c>
      <c r="I2580" s="74">
        <v>43.163409999999999</v>
      </c>
    </row>
    <row r="2581" spans="1:9" s="71" customFormat="1" ht="16.5" hidden="1" customHeight="1" outlineLevel="1" x14ac:dyDescent="0.25">
      <c r="A2581" s="74">
        <v>1815</v>
      </c>
      <c r="B2581" s="45" t="s">
        <v>664</v>
      </c>
      <c r="C2581" s="60" t="s">
        <v>2208</v>
      </c>
      <c r="D2581" s="60"/>
      <c r="E2581" s="74">
        <v>2022</v>
      </c>
      <c r="F2581" s="74" t="s">
        <v>489</v>
      </c>
      <c r="G2581" s="61">
        <v>1</v>
      </c>
      <c r="H2581" s="45">
        <v>12</v>
      </c>
      <c r="I2581" s="74">
        <v>38.44258</v>
      </c>
    </row>
    <row r="2582" spans="1:9" s="71" customFormat="1" ht="16.5" hidden="1" customHeight="1" outlineLevel="1" x14ac:dyDescent="0.25">
      <c r="A2582" s="74">
        <v>634</v>
      </c>
      <c r="B2582" s="45" t="s">
        <v>664</v>
      </c>
      <c r="C2582" s="60" t="s">
        <v>2209</v>
      </c>
      <c r="D2582" s="60"/>
      <c r="E2582" s="74">
        <v>2022</v>
      </c>
      <c r="F2582" s="74" t="s">
        <v>489</v>
      </c>
      <c r="G2582" s="61">
        <v>1</v>
      </c>
      <c r="H2582" s="45">
        <v>15</v>
      </c>
      <c r="I2582" s="74">
        <v>31.843610000000002</v>
      </c>
    </row>
    <row r="2583" spans="1:9" s="71" customFormat="1" ht="16.5" hidden="1" customHeight="1" outlineLevel="1" x14ac:dyDescent="0.25">
      <c r="A2583" s="74">
        <v>507</v>
      </c>
      <c r="B2583" s="45" t="s">
        <v>664</v>
      </c>
      <c r="C2583" s="60" t="s">
        <v>2210</v>
      </c>
      <c r="D2583" s="60"/>
      <c r="E2583" s="74">
        <v>2022</v>
      </c>
      <c r="F2583" s="74" t="s">
        <v>489</v>
      </c>
      <c r="G2583" s="61">
        <v>1</v>
      </c>
      <c r="H2583" s="45">
        <v>25</v>
      </c>
      <c r="I2583" s="74">
        <v>31.5</v>
      </c>
    </row>
    <row r="2584" spans="1:9" s="71" customFormat="1" ht="16.5" hidden="1" customHeight="1" outlineLevel="1" x14ac:dyDescent="0.25">
      <c r="A2584" s="74">
        <v>483</v>
      </c>
      <c r="B2584" s="45" t="s">
        <v>664</v>
      </c>
      <c r="C2584" s="60" t="s">
        <v>2211</v>
      </c>
      <c r="D2584" s="60"/>
      <c r="E2584" s="74">
        <v>2022</v>
      </c>
      <c r="F2584" s="74" t="s">
        <v>489</v>
      </c>
      <c r="G2584" s="61">
        <v>1</v>
      </c>
      <c r="H2584" s="45">
        <v>15</v>
      </c>
      <c r="I2584" s="74">
        <v>25.23142</v>
      </c>
    </row>
    <row r="2585" spans="1:9" s="71" customFormat="1" ht="16.5" hidden="1" customHeight="1" outlineLevel="1" x14ac:dyDescent="0.25">
      <c r="A2585" s="74">
        <v>494</v>
      </c>
      <c r="B2585" s="45" t="s">
        <v>664</v>
      </c>
      <c r="C2585" s="60" t="s">
        <v>2212</v>
      </c>
      <c r="D2585" s="60"/>
      <c r="E2585" s="74">
        <v>2022</v>
      </c>
      <c r="F2585" s="74" t="s">
        <v>489</v>
      </c>
      <c r="G2585" s="61">
        <v>1</v>
      </c>
      <c r="H2585" s="45">
        <v>15</v>
      </c>
      <c r="I2585" s="74">
        <v>25.633800000000001</v>
      </c>
    </row>
    <row r="2586" spans="1:9" s="71" customFormat="1" ht="16.5" hidden="1" customHeight="1" outlineLevel="1" x14ac:dyDescent="0.25">
      <c r="A2586" s="74">
        <v>495</v>
      </c>
      <c r="B2586" s="45" t="s">
        <v>664</v>
      </c>
      <c r="C2586" s="60" t="s">
        <v>2213</v>
      </c>
      <c r="D2586" s="60"/>
      <c r="E2586" s="74">
        <v>2022</v>
      </c>
      <c r="F2586" s="74" t="s">
        <v>489</v>
      </c>
      <c r="G2586" s="61">
        <v>2</v>
      </c>
      <c r="H2586" s="45">
        <v>48</v>
      </c>
      <c r="I2586" s="74">
        <v>40.257680000000001</v>
      </c>
    </row>
    <row r="2587" spans="1:9" s="71" customFormat="1" ht="16.5" hidden="1" customHeight="1" outlineLevel="1" x14ac:dyDescent="0.25">
      <c r="A2587" s="74">
        <v>764</v>
      </c>
      <c r="B2587" s="45" t="s">
        <v>664</v>
      </c>
      <c r="C2587" s="60" t="s">
        <v>2214</v>
      </c>
      <c r="D2587" s="60"/>
      <c r="E2587" s="74">
        <v>2022</v>
      </c>
      <c r="F2587" s="74" t="s">
        <v>489</v>
      </c>
      <c r="G2587" s="61">
        <v>1</v>
      </c>
      <c r="H2587" s="45">
        <v>14</v>
      </c>
      <c r="I2587" s="74">
        <v>27.521470000000001</v>
      </c>
    </row>
    <row r="2588" spans="1:9" s="71" customFormat="1" ht="16.5" hidden="1" customHeight="1" outlineLevel="1" x14ac:dyDescent="0.25">
      <c r="A2588" s="74">
        <v>765</v>
      </c>
      <c r="B2588" s="45" t="s">
        <v>664</v>
      </c>
      <c r="C2588" s="60" t="s">
        <v>2215</v>
      </c>
      <c r="D2588" s="60"/>
      <c r="E2588" s="74">
        <v>2022</v>
      </c>
      <c r="F2588" s="74" t="s">
        <v>489</v>
      </c>
      <c r="G2588" s="61">
        <v>1</v>
      </c>
      <c r="H2588" s="45">
        <v>14</v>
      </c>
      <c r="I2588" s="74">
        <v>28.615739999999999</v>
      </c>
    </row>
    <row r="2589" spans="1:9" s="71" customFormat="1" ht="16.5" hidden="1" customHeight="1" outlineLevel="1" x14ac:dyDescent="0.25">
      <c r="A2589" s="74">
        <v>771</v>
      </c>
      <c r="B2589" s="45" t="s">
        <v>664</v>
      </c>
      <c r="C2589" s="60" t="s">
        <v>2216</v>
      </c>
      <c r="D2589" s="60"/>
      <c r="E2589" s="74">
        <v>2022</v>
      </c>
      <c r="F2589" s="74" t="s">
        <v>489</v>
      </c>
      <c r="G2589" s="61">
        <v>1</v>
      </c>
      <c r="H2589" s="45">
        <v>14</v>
      </c>
      <c r="I2589" s="74">
        <v>26.95065</v>
      </c>
    </row>
    <row r="2590" spans="1:9" s="71" customFormat="1" ht="16.5" hidden="1" customHeight="1" outlineLevel="1" x14ac:dyDescent="0.25">
      <c r="A2590" s="74">
        <v>770</v>
      </c>
      <c r="B2590" s="45" t="s">
        <v>664</v>
      </c>
      <c r="C2590" s="60" t="s">
        <v>2217</v>
      </c>
      <c r="D2590" s="60"/>
      <c r="E2590" s="74">
        <v>2022</v>
      </c>
      <c r="F2590" s="74" t="s">
        <v>489</v>
      </c>
      <c r="G2590" s="61">
        <v>1</v>
      </c>
      <c r="H2590" s="45">
        <v>14</v>
      </c>
      <c r="I2590" s="74">
        <v>28.596800000000002</v>
      </c>
    </row>
    <row r="2591" spans="1:9" s="71" customFormat="1" ht="16.5" hidden="1" customHeight="1" outlineLevel="1" x14ac:dyDescent="0.25">
      <c r="A2591" s="74">
        <v>769</v>
      </c>
      <c r="B2591" s="45" t="s">
        <v>664</v>
      </c>
      <c r="C2591" s="60" t="s">
        <v>2218</v>
      </c>
      <c r="D2591" s="60"/>
      <c r="E2591" s="74">
        <v>2022</v>
      </c>
      <c r="F2591" s="74" t="s">
        <v>489</v>
      </c>
      <c r="G2591" s="61">
        <v>1</v>
      </c>
      <c r="H2591" s="45">
        <v>14</v>
      </c>
      <c r="I2591" s="74">
        <v>29.471039999999999</v>
      </c>
    </row>
    <row r="2592" spans="1:9" s="71" customFormat="1" ht="16.5" hidden="1" customHeight="1" outlineLevel="1" x14ac:dyDescent="0.25">
      <c r="A2592" s="74">
        <v>768</v>
      </c>
      <c r="B2592" s="45" t="s">
        <v>664</v>
      </c>
      <c r="C2592" s="60" t="s">
        <v>2219</v>
      </c>
      <c r="D2592" s="60"/>
      <c r="E2592" s="74">
        <v>2022</v>
      </c>
      <c r="F2592" s="74" t="s">
        <v>489</v>
      </c>
      <c r="G2592" s="61">
        <v>1</v>
      </c>
      <c r="H2592" s="45">
        <v>14</v>
      </c>
      <c r="I2592" s="74">
        <v>26.456019999999999</v>
      </c>
    </row>
    <row r="2593" spans="1:9" s="71" customFormat="1" ht="16.5" hidden="1" customHeight="1" outlineLevel="1" x14ac:dyDescent="0.25">
      <c r="A2593" s="74">
        <v>767</v>
      </c>
      <c r="B2593" s="45" t="s">
        <v>664</v>
      </c>
      <c r="C2593" s="60" t="s">
        <v>2220</v>
      </c>
      <c r="D2593" s="60"/>
      <c r="E2593" s="74">
        <v>2022</v>
      </c>
      <c r="F2593" s="74" t="s">
        <v>489</v>
      </c>
      <c r="G2593" s="61">
        <v>1</v>
      </c>
      <c r="H2593" s="45">
        <v>14</v>
      </c>
      <c r="I2593" s="74">
        <v>26.772069999999999</v>
      </c>
    </row>
    <row r="2594" spans="1:9" s="71" customFormat="1" ht="16.5" hidden="1" customHeight="1" outlineLevel="1" x14ac:dyDescent="0.25">
      <c r="A2594" s="74">
        <v>766</v>
      </c>
      <c r="B2594" s="45" t="s">
        <v>664</v>
      </c>
      <c r="C2594" s="60" t="s">
        <v>2221</v>
      </c>
      <c r="D2594" s="60"/>
      <c r="E2594" s="74">
        <v>2022</v>
      </c>
      <c r="F2594" s="74" t="s">
        <v>489</v>
      </c>
      <c r="G2594" s="61">
        <v>1</v>
      </c>
      <c r="H2594" s="45">
        <v>14</v>
      </c>
      <c r="I2594" s="74">
        <v>26.757480000000001</v>
      </c>
    </row>
    <row r="2595" spans="1:9" s="71" customFormat="1" ht="16.5" hidden="1" customHeight="1" outlineLevel="1" x14ac:dyDescent="0.25">
      <c r="A2595" s="74">
        <v>763</v>
      </c>
      <c r="B2595" s="45" t="s">
        <v>664</v>
      </c>
      <c r="C2595" s="60" t="s">
        <v>2222</v>
      </c>
      <c r="D2595" s="60"/>
      <c r="E2595" s="74">
        <v>2022</v>
      </c>
      <c r="F2595" s="74" t="s">
        <v>489</v>
      </c>
      <c r="G2595" s="61">
        <v>1</v>
      </c>
      <c r="H2595" s="45">
        <v>14</v>
      </c>
      <c r="I2595" s="74">
        <v>27.236190000000001</v>
      </c>
    </row>
    <row r="2596" spans="1:9" s="71" customFormat="1" ht="16.5" hidden="1" customHeight="1" outlineLevel="1" x14ac:dyDescent="0.25">
      <c r="A2596" s="74">
        <v>527</v>
      </c>
      <c r="B2596" s="45" t="s">
        <v>664</v>
      </c>
      <c r="C2596" s="60" t="s">
        <v>2223</v>
      </c>
      <c r="D2596" s="60"/>
      <c r="E2596" s="74">
        <v>2022</v>
      </c>
      <c r="F2596" s="74" t="s">
        <v>489</v>
      </c>
      <c r="G2596" s="61">
        <v>1</v>
      </c>
      <c r="H2596" s="45">
        <v>15</v>
      </c>
      <c r="I2596" s="74">
        <v>31.620819999999998</v>
      </c>
    </row>
    <row r="2597" spans="1:9" s="71" customFormat="1" ht="16.5" hidden="1" customHeight="1" outlineLevel="1" x14ac:dyDescent="0.25">
      <c r="A2597" s="74">
        <v>528</v>
      </c>
      <c r="B2597" s="45" t="s">
        <v>664</v>
      </c>
      <c r="C2597" s="60" t="s">
        <v>2224</v>
      </c>
      <c r="D2597" s="60"/>
      <c r="E2597" s="74">
        <v>2022</v>
      </c>
      <c r="F2597" s="74" t="s">
        <v>489</v>
      </c>
      <c r="G2597" s="61">
        <v>1</v>
      </c>
      <c r="H2597" s="45">
        <v>25</v>
      </c>
      <c r="I2597" s="74">
        <v>69.056449999999998</v>
      </c>
    </row>
    <row r="2598" spans="1:9" s="71" customFormat="1" ht="16.5" hidden="1" customHeight="1" outlineLevel="1" x14ac:dyDescent="0.25">
      <c r="A2598" s="74">
        <v>806</v>
      </c>
      <c r="B2598" s="45" t="s">
        <v>664</v>
      </c>
      <c r="C2598" s="60" t="s">
        <v>2225</v>
      </c>
      <c r="D2598" s="60"/>
      <c r="E2598" s="74">
        <v>2022</v>
      </c>
      <c r="F2598" s="74" t="s">
        <v>489</v>
      </c>
      <c r="G2598" s="61">
        <v>1</v>
      </c>
      <c r="H2598" s="45">
        <v>10</v>
      </c>
      <c r="I2598" s="74">
        <v>27.42567</v>
      </c>
    </row>
    <row r="2599" spans="1:9" s="71" customFormat="1" ht="16.5" hidden="1" customHeight="1" outlineLevel="1" x14ac:dyDescent="0.25">
      <c r="A2599" s="74">
        <v>772</v>
      </c>
      <c r="B2599" s="45" t="s">
        <v>664</v>
      </c>
      <c r="C2599" s="60" t="s">
        <v>2226</v>
      </c>
      <c r="D2599" s="60"/>
      <c r="E2599" s="74">
        <v>2022</v>
      </c>
      <c r="F2599" s="74" t="s">
        <v>489</v>
      </c>
      <c r="G2599" s="61">
        <v>1</v>
      </c>
      <c r="H2599" s="45">
        <v>14</v>
      </c>
      <c r="I2599" s="74">
        <v>25.252179999999999</v>
      </c>
    </row>
    <row r="2600" spans="1:9" s="71" customFormat="1" ht="16.5" hidden="1" customHeight="1" outlineLevel="1" x14ac:dyDescent="0.25">
      <c r="A2600" s="74">
        <v>748</v>
      </c>
      <c r="B2600" s="45" t="s">
        <v>664</v>
      </c>
      <c r="C2600" s="60" t="s">
        <v>2227</v>
      </c>
      <c r="D2600" s="60"/>
      <c r="E2600" s="74">
        <v>2022</v>
      </c>
      <c r="F2600" s="74" t="s">
        <v>489</v>
      </c>
      <c r="G2600" s="61">
        <v>1</v>
      </c>
      <c r="H2600" s="45">
        <v>14.3</v>
      </c>
      <c r="I2600" s="74">
        <v>26.936299999999999</v>
      </c>
    </row>
    <row r="2601" spans="1:9" s="71" customFormat="1" ht="16.5" hidden="1" customHeight="1" outlineLevel="1" x14ac:dyDescent="0.25">
      <c r="A2601" s="74">
        <v>716</v>
      </c>
      <c r="B2601" s="45" t="s">
        <v>664</v>
      </c>
      <c r="C2601" s="60" t="s">
        <v>2228</v>
      </c>
      <c r="D2601" s="60"/>
      <c r="E2601" s="74">
        <v>2022</v>
      </c>
      <c r="F2601" s="74" t="s">
        <v>489</v>
      </c>
      <c r="G2601" s="61">
        <v>1</v>
      </c>
      <c r="H2601" s="45">
        <v>10</v>
      </c>
      <c r="I2601" s="74">
        <v>26.125689999999999</v>
      </c>
    </row>
    <row r="2602" spans="1:9" s="71" customFormat="1" ht="16.5" hidden="1" customHeight="1" outlineLevel="1" x14ac:dyDescent="0.25">
      <c r="A2602" s="74">
        <v>650</v>
      </c>
      <c r="B2602" s="45" t="s">
        <v>664</v>
      </c>
      <c r="C2602" s="60" t="s">
        <v>2229</v>
      </c>
      <c r="D2602" s="60"/>
      <c r="E2602" s="74">
        <v>2022</v>
      </c>
      <c r="F2602" s="74" t="s">
        <v>489</v>
      </c>
      <c r="G2602" s="61">
        <v>1</v>
      </c>
      <c r="H2602" s="45">
        <v>15</v>
      </c>
      <c r="I2602" s="74">
        <v>25.740200000000002</v>
      </c>
    </row>
    <row r="2603" spans="1:9" s="71" customFormat="1" ht="16.5" hidden="1" customHeight="1" outlineLevel="1" x14ac:dyDescent="0.25">
      <c r="A2603" s="74">
        <v>721</v>
      </c>
      <c r="B2603" s="45" t="s">
        <v>664</v>
      </c>
      <c r="C2603" s="60" t="s">
        <v>2230</v>
      </c>
      <c r="D2603" s="60"/>
      <c r="E2603" s="74">
        <v>2022</v>
      </c>
      <c r="F2603" s="74" t="s">
        <v>489</v>
      </c>
      <c r="G2603" s="61">
        <v>1</v>
      </c>
      <c r="H2603" s="45">
        <v>13</v>
      </c>
      <c r="I2603" s="74">
        <v>25.25506</v>
      </c>
    </row>
    <row r="2604" spans="1:9" s="71" customFormat="1" ht="16.5" hidden="1" customHeight="1" outlineLevel="1" x14ac:dyDescent="0.25">
      <c r="A2604" s="74">
        <v>513</v>
      </c>
      <c r="B2604" s="45" t="s">
        <v>664</v>
      </c>
      <c r="C2604" s="60" t="s">
        <v>2231</v>
      </c>
      <c r="D2604" s="60"/>
      <c r="E2604" s="74">
        <v>2022</v>
      </c>
      <c r="F2604" s="74" t="s">
        <v>489</v>
      </c>
      <c r="G2604" s="61">
        <v>1</v>
      </c>
      <c r="H2604" s="45">
        <v>15</v>
      </c>
      <c r="I2604" s="74">
        <v>30.104410000000001</v>
      </c>
    </row>
    <row r="2605" spans="1:9" s="71" customFormat="1" ht="16.5" hidden="1" customHeight="1" outlineLevel="1" x14ac:dyDescent="0.25">
      <c r="A2605" s="74">
        <v>484</v>
      </c>
      <c r="B2605" s="45" t="s">
        <v>664</v>
      </c>
      <c r="C2605" s="60" t="s">
        <v>2232</v>
      </c>
      <c r="D2605" s="60"/>
      <c r="E2605" s="74">
        <v>2022</v>
      </c>
      <c r="F2605" s="74" t="s">
        <v>489</v>
      </c>
      <c r="G2605" s="61">
        <v>1</v>
      </c>
      <c r="H2605" s="45">
        <v>15</v>
      </c>
      <c r="I2605" s="74">
        <v>27.527000000000001</v>
      </c>
    </row>
    <row r="2606" spans="1:9" s="71" customFormat="1" ht="16.5" hidden="1" customHeight="1" outlineLevel="1" x14ac:dyDescent="0.25">
      <c r="A2606" s="74">
        <v>681</v>
      </c>
      <c r="B2606" s="45" t="s">
        <v>664</v>
      </c>
      <c r="C2606" s="60" t="s">
        <v>2233</v>
      </c>
      <c r="D2606" s="60"/>
      <c r="E2606" s="74">
        <v>2022</v>
      </c>
      <c r="F2606" s="74" t="s">
        <v>489</v>
      </c>
      <c r="G2606" s="61">
        <v>1</v>
      </c>
      <c r="H2606" s="45">
        <v>10</v>
      </c>
      <c r="I2606" s="74">
        <v>28.975840000000002</v>
      </c>
    </row>
    <row r="2607" spans="1:9" s="71" customFormat="1" ht="16.5" hidden="1" customHeight="1" outlineLevel="1" x14ac:dyDescent="0.25">
      <c r="A2607" s="74">
        <v>689</v>
      </c>
      <c r="B2607" s="45" t="s">
        <v>664</v>
      </c>
      <c r="C2607" s="60" t="s">
        <v>2234</v>
      </c>
      <c r="D2607" s="60"/>
      <c r="E2607" s="74">
        <v>2022</v>
      </c>
      <c r="F2607" s="74" t="s">
        <v>489</v>
      </c>
      <c r="G2607" s="61">
        <v>1</v>
      </c>
      <c r="H2607" s="45">
        <v>9</v>
      </c>
      <c r="I2607" s="74">
        <v>24.622150000000001</v>
      </c>
    </row>
    <row r="2608" spans="1:9" s="71" customFormat="1" ht="16.5" hidden="1" customHeight="1" outlineLevel="1" x14ac:dyDescent="0.25">
      <c r="A2608" s="74">
        <v>647</v>
      </c>
      <c r="B2608" s="45" t="s">
        <v>664</v>
      </c>
      <c r="C2608" s="60" t="s">
        <v>2235</v>
      </c>
      <c r="D2608" s="60"/>
      <c r="E2608" s="74">
        <v>2022</v>
      </c>
      <c r="F2608" s="74" t="s">
        <v>489</v>
      </c>
      <c r="G2608" s="61">
        <v>1</v>
      </c>
      <c r="H2608" s="45">
        <v>15</v>
      </c>
      <c r="I2608" s="74">
        <v>29.644130000000001</v>
      </c>
    </row>
    <row r="2609" spans="1:9" s="71" customFormat="1" ht="16.5" hidden="1" customHeight="1" outlineLevel="1" x14ac:dyDescent="0.25">
      <c r="A2609" s="74">
        <v>667</v>
      </c>
      <c r="B2609" s="45" t="s">
        <v>664</v>
      </c>
      <c r="C2609" s="60" t="s">
        <v>2236</v>
      </c>
      <c r="D2609" s="60"/>
      <c r="E2609" s="74">
        <v>2022</v>
      </c>
      <c r="F2609" s="74" t="s">
        <v>489</v>
      </c>
      <c r="G2609" s="61">
        <v>1</v>
      </c>
      <c r="H2609" s="45">
        <v>9</v>
      </c>
      <c r="I2609" s="74">
        <v>23.084710000000001</v>
      </c>
    </row>
    <row r="2610" spans="1:9" s="71" customFormat="1" ht="16.5" hidden="1" customHeight="1" outlineLevel="1" x14ac:dyDescent="0.25">
      <c r="A2610" s="74">
        <v>604</v>
      </c>
      <c r="B2610" s="45" t="s">
        <v>664</v>
      </c>
      <c r="C2610" s="60" t="s">
        <v>2237</v>
      </c>
      <c r="D2610" s="60"/>
      <c r="E2610" s="74">
        <v>2022</v>
      </c>
      <c r="F2610" s="74" t="s">
        <v>489</v>
      </c>
      <c r="G2610" s="61">
        <v>1</v>
      </c>
      <c r="H2610" s="45">
        <v>15</v>
      </c>
      <c r="I2610" s="74">
        <v>26.399750000000001</v>
      </c>
    </row>
    <row r="2611" spans="1:9" s="71" customFormat="1" ht="16.5" hidden="1" customHeight="1" outlineLevel="1" x14ac:dyDescent="0.25">
      <c r="A2611" s="74">
        <v>697</v>
      </c>
      <c r="B2611" s="45" t="s">
        <v>664</v>
      </c>
      <c r="C2611" s="60" t="s">
        <v>2238</v>
      </c>
      <c r="D2611" s="60"/>
      <c r="E2611" s="74">
        <v>2022</v>
      </c>
      <c r="F2611" s="74" t="s">
        <v>489</v>
      </c>
      <c r="G2611" s="61">
        <v>1</v>
      </c>
      <c r="H2611" s="45">
        <v>9</v>
      </c>
      <c r="I2611" s="74">
        <v>25.818239999999999</v>
      </c>
    </row>
    <row r="2612" spans="1:9" s="71" customFormat="1" ht="16.5" hidden="1" customHeight="1" outlineLevel="1" x14ac:dyDescent="0.25">
      <c r="A2612" s="74">
        <v>546</v>
      </c>
      <c r="B2612" s="45" t="s">
        <v>664</v>
      </c>
      <c r="C2612" s="60" t="s">
        <v>2239</v>
      </c>
      <c r="D2612" s="60"/>
      <c r="E2612" s="74">
        <v>2022</v>
      </c>
      <c r="F2612" s="74" t="s">
        <v>489</v>
      </c>
      <c r="G2612" s="61">
        <v>3</v>
      </c>
      <c r="H2612" s="45">
        <v>45</v>
      </c>
      <c r="I2612" s="74">
        <v>206.69119000000001</v>
      </c>
    </row>
    <row r="2613" spans="1:9" s="71" customFormat="1" ht="16.5" hidden="1" customHeight="1" outlineLevel="1" x14ac:dyDescent="0.25">
      <c r="A2613" s="74">
        <v>537</v>
      </c>
      <c r="B2613" s="45" t="s">
        <v>664</v>
      </c>
      <c r="C2613" s="60" t="s">
        <v>2240</v>
      </c>
      <c r="D2613" s="60"/>
      <c r="E2613" s="74">
        <v>2022</v>
      </c>
      <c r="F2613" s="74" t="s">
        <v>489</v>
      </c>
      <c r="G2613" s="61">
        <v>1</v>
      </c>
      <c r="H2613" s="45">
        <v>15</v>
      </c>
      <c r="I2613" s="74">
        <v>52.116059999999997</v>
      </c>
    </row>
    <row r="2614" spans="1:9" s="71" customFormat="1" ht="16.5" hidden="1" customHeight="1" outlineLevel="1" x14ac:dyDescent="0.25">
      <c r="A2614" s="74">
        <v>538</v>
      </c>
      <c r="B2614" s="45" t="s">
        <v>664</v>
      </c>
      <c r="C2614" s="60" t="s">
        <v>2241</v>
      </c>
      <c r="D2614" s="60"/>
      <c r="E2614" s="74">
        <v>2022</v>
      </c>
      <c r="F2614" s="74" t="s">
        <v>489</v>
      </c>
      <c r="G2614" s="61">
        <v>1</v>
      </c>
      <c r="H2614" s="45">
        <v>15</v>
      </c>
      <c r="I2614" s="74">
        <v>72.531189999999995</v>
      </c>
    </row>
    <row r="2615" spans="1:9" s="71" customFormat="1" ht="16.5" hidden="1" customHeight="1" outlineLevel="1" x14ac:dyDescent="0.25">
      <c r="A2615" s="74">
        <v>450</v>
      </c>
      <c r="B2615" s="45" t="s">
        <v>664</v>
      </c>
      <c r="C2615" s="60" t="s">
        <v>142</v>
      </c>
      <c r="D2615" s="60"/>
      <c r="E2615" s="74">
        <v>2022</v>
      </c>
      <c r="F2615" s="74" t="s">
        <v>489</v>
      </c>
      <c r="G2615" s="61">
        <v>1</v>
      </c>
      <c r="H2615" s="45">
        <v>150</v>
      </c>
      <c r="I2615" s="74">
        <v>69.529640000000001</v>
      </c>
    </row>
    <row r="2616" spans="1:9" s="71" customFormat="1" ht="16.5" hidden="1" customHeight="1" outlineLevel="1" x14ac:dyDescent="0.25">
      <c r="A2616" s="74">
        <v>549</v>
      </c>
      <c r="B2616" s="45" t="s">
        <v>664</v>
      </c>
      <c r="C2616" s="60" t="s">
        <v>2242</v>
      </c>
      <c r="D2616" s="60"/>
      <c r="E2616" s="74">
        <v>2022</v>
      </c>
      <c r="F2616" s="74" t="s">
        <v>489</v>
      </c>
      <c r="G2616" s="61">
        <v>11</v>
      </c>
      <c r="H2616" s="45">
        <v>165</v>
      </c>
      <c r="I2616" s="74">
        <v>445.95173999999997</v>
      </c>
    </row>
    <row r="2617" spans="1:9" s="71" customFormat="1" ht="16.5" hidden="1" customHeight="1" outlineLevel="1" x14ac:dyDescent="0.25">
      <c r="A2617" s="74">
        <v>548</v>
      </c>
      <c r="B2617" s="45" t="s">
        <v>664</v>
      </c>
      <c r="C2617" s="60" t="s">
        <v>2243</v>
      </c>
      <c r="D2617" s="60"/>
      <c r="E2617" s="74">
        <v>2022</v>
      </c>
      <c r="F2617" s="74" t="s">
        <v>489</v>
      </c>
      <c r="G2617" s="61">
        <v>1</v>
      </c>
      <c r="H2617" s="45">
        <v>15</v>
      </c>
      <c r="I2617" s="74">
        <v>38.406320000000001</v>
      </c>
    </row>
    <row r="2618" spans="1:9" s="71" customFormat="1" ht="16.5" hidden="1" customHeight="1" outlineLevel="1" x14ac:dyDescent="0.25">
      <c r="A2618" s="74">
        <v>540</v>
      </c>
      <c r="B2618" s="45" t="s">
        <v>664</v>
      </c>
      <c r="C2618" s="60" t="s">
        <v>2244</v>
      </c>
      <c r="D2618" s="60"/>
      <c r="E2618" s="74">
        <v>2022</v>
      </c>
      <c r="F2618" s="74" t="s">
        <v>489</v>
      </c>
      <c r="G2618" s="61">
        <v>1</v>
      </c>
      <c r="H2618" s="45">
        <v>15</v>
      </c>
      <c r="I2618" s="74">
        <v>33.771329999999999</v>
      </c>
    </row>
    <row r="2619" spans="1:9" s="71" customFormat="1" ht="16.5" hidden="1" customHeight="1" outlineLevel="1" x14ac:dyDescent="0.25">
      <c r="A2619" s="74">
        <v>539</v>
      </c>
      <c r="B2619" s="45" t="s">
        <v>664</v>
      </c>
      <c r="C2619" s="60" t="s">
        <v>2245</v>
      </c>
      <c r="D2619" s="60"/>
      <c r="E2619" s="74">
        <v>2022</v>
      </c>
      <c r="F2619" s="74" t="s">
        <v>489</v>
      </c>
      <c r="G2619" s="61">
        <v>1</v>
      </c>
      <c r="H2619" s="45">
        <v>15</v>
      </c>
      <c r="I2619" s="74">
        <v>34.220570000000002</v>
      </c>
    </row>
    <row r="2620" spans="1:9" s="71" customFormat="1" ht="16.5" hidden="1" customHeight="1" outlineLevel="1" x14ac:dyDescent="0.25">
      <c r="A2620" s="74">
        <v>541</v>
      </c>
      <c r="B2620" s="45" t="s">
        <v>664</v>
      </c>
      <c r="C2620" s="60" t="s">
        <v>2246</v>
      </c>
      <c r="D2620" s="60"/>
      <c r="E2620" s="74">
        <v>2022</v>
      </c>
      <c r="F2620" s="74" t="s">
        <v>489</v>
      </c>
      <c r="G2620" s="61">
        <v>1</v>
      </c>
      <c r="H2620" s="45">
        <v>15</v>
      </c>
      <c r="I2620" s="74">
        <v>59.176020000000001</v>
      </c>
    </row>
    <row r="2621" spans="1:9" s="71" customFormat="1" ht="16.5" hidden="1" customHeight="1" outlineLevel="1" x14ac:dyDescent="0.25">
      <c r="A2621" s="74">
        <v>543</v>
      </c>
      <c r="B2621" s="45" t="s">
        <v>664</v>
      </c>
      <c r="C2621" s="60" t="s">
        <v>2247</v>
      </c>
      <c r="D2621" s="60"/>
      <c r="E2621" s="74">
        <v>2022</v>
      </c>
      <c r="F2621" s="74" t="s">
        <v>489</v>
      </c>
      <c r="G2621" s="61">
        <v>3</v>
      </c>
      <c r="H2621" s="45">
        <v>45</v>
      </c>
      <c r="I2621" s="74">
        <v>101.33967</v>
      </c>
    </row>
    <row r="2622" spans="1:9" s="71" customFormat="1" ht="16.5" hidden="1" customHeight="1" outlineLevel="1" x14ac:dyDescent="0.25">
      <c r="A2622" s="74">
        <v>542</v>
      </c>
      <c r="B2622" s="45" t="s">
        <v>664</v>
      </c>
      <c r="C2622" s="60" t="s">
        <v>2248</v>
      </c>
      <c r="D2622" s="60"/>
      <c r="E2622" s="74">
        <v>2022</v>
      </c>
      <c r="F2622" s="74" t="s">
        <v>489</v>
      </c>
      <c r="G2622" s="61">
        <v>1</v>
      </c>
      <c r="H2622" s="45">
        <v>15</v>
      </c>
      <c r="I2622" s="74">
        <v>33.461019999999998</v>
      </c>
    </row>
    <row r="2623" spans="1:9" s="71" customFormat="1" ht="16.5" hidden="1" customHeight="1" outlineLevel="1" x14ac:dyDescent="0.25">
      <c r="A2623" s="74">
        <v>547</v>
      </c>
      <c r="B2623" s="45" t="s">
        <v>664</v>
      </c>
      <c r="C2623" s="60" t="s">
        <v>2249</v>
      </c>
      <c r="D2623" s="60"/>
      <c r="E2623" s="74">
        <v>2022</v>
      </c>
      <c r="F2623" s="74" t="s">
        <v>489</v>
      </c>
      <c r="G2623" s="61">
        <v>1</v>
      </c>
      <c r="H2623" s="45">
        <v>15</v>
      </c>
      <c r="I2623" s="74">
        <v>32.747399999999999</v>
      </c>
    </row>
    <row r="2624" spans="1:9" s="71" customFormat="1" ht="16.5" hidden="1" customHeight="1" outlineLevel="1" x14ac:dyDescent="0.25">
      <c r="A2624" s="74">
        <v>544</v>
      </c>
      <c r="B2624" s="45" t="s">
        <v>664</v>
      </c>
      <c r="C2624" s="60" t="s">
        <v>2250</v>
      </c>
      <c r="D2624" s="60"/>
      <c r="E2624" s="74">
        <v>2022</v>
      </c>
      <c r="F2624" s="74" t="s">
        <v>489</v>
      </c>
      <c r="G2624" s="61">
        <v>1</v>
      </c>
      <c r="H2624" s="45">
        <v>15</v>
      </c>
      <c r="I2624" s="74">
        <v>27.635380000000001</v>
      </c>
    </row>
    <row r="2625" spans="1:9" s="71" customFormat="1" ht="16.5" hidden="1" customHeight="1" outlineLevel="1" x14ac:dyDescent="0.25">
      <c r="A2625" s="74">
        <v>534</v>
      </c>
      <c r="B2625" s="45" t="s">
        <v>664</v>
      </c>
      <c r="C2625" s="60" t="s">
        <v>2251</v>
      </c>
      <c r="D2625" s="60"/>
      <c r="E2625" s="74">
        <v>2022</v>
      </c>
      <c r="F2625" s="74" t="s">
        <v>489</v>
      </c>
      <c r="G2625" s="61">
        <v>1</v>
      </c>
      <c r="H2625" s="45">
        <v>15</v>
      </c>
      <c r="I2625" s="74">
        <v>90.555700000000002</v>
      </c>
    </row>
    <row r="2626" spans="1:9" s="71" customFormat="1" ht="16.5" hidden="1" customHeight="1" outlineLevel="1" x14ac:dyDescent="0.25">
      <c r="A2626" s="74">
        <v>535</v>
      </c>
      <c r="B2626" s="45" t="s">
        <v>664</v>
      </c>
      <c r="C2626" s="60" t="s">
        <v>2252</v>
      </c>
      <c r="D2626" s="60"/>
      <c r="E2626" s="74">
        <v>2022</v>
      </c>
      <c r="F2626" s="74" t="s">
        <v>489</v>
      </c>
      <c r="G2626" s="61">
        <v>1</v>
      </c>
      <c r="H2626" s="45">
        <v>15</v>
      </c>
      <c r="I2626" s="74">
        <v>91.960380000000001</v>
      </c>
    </row>
    <row r="2627" spans="1:9" s="71" customFormat="1" ht="16.5" hidden="1" customHeight="1" outlineLevel="1" x14ac:dyDescent="0.25">
      <c r="A2627" s="74">
        <v>533</v>
      </c>
      <c r="B2627" s="45" t="s">
        <v>664</v>
      </c>
      <c r="C2627" s="60" t="s">
        <v>139</v>
      </c>
      <c r="D2627" s="60"/>
      <c r="E2627" s="74">
        <v>2022</v>
      </c>
      <c r="F2627" s="74" t="s">
        <v>489</v>
      </c>
      <c r="G2627" s="61">
        <v>1</v>
      </c>
      <c r="H2627" s="45">
        <v>15</v>
      </c>
      <c r="I2627" s="74">
        <v>60.497369999999997</v>
      </c>
    </row>
    <row r="2628" spans="1:9" s="71" customFormat="1" ht="16.5" hidden="1" customHeight="1" outlineLevel="1" x14ac:dyDescent="0.25">
      <c r="A2628" s="74">
        <v>678</v>
      </c>
      <c r="B2628" s="45" t="s">
        <v>664</v>
      </c>
      <c r="C2628" s="60" t="s">
        <v>2253</v>
      </c>
      <c r="D2628" s="60"/>
      <c r="E2628" s="74">
        <v>2022</v>
      </c>
      <c r="F2628" s="74" t="s">
        <v>489</v>
      </c>
      <c r="G2628" s="61">
        <v>1</v>
      </c>
      <c r="H2628" s="45">
        <v>15</v>
      </c>
      <c r="I2628" s="74">
        <v>24.465009999999999</v>
      </c>
    </row>
    <row r="2629" spans="1:9" s="71" customFormat="1" ht="16.5" hidden="1" customHeight="1" outlineLevel="1" x14ac:dyDescent="0.25">
      <c r="A2629" s="74">
        <v>699</v>
      </c>
      <c r="B2629" s="45" t="s">
        <v>664</v>
      </c>
      <c r="C2629" s="60" t="s">
        <v>2254</v>
      </c>
      <c r="D2629" s="60"/>
      <c r="E2629" s="74">
        <v>2022</v>
      </c>
      <c r="F2629" s="74" t="s">
        <v>489</v>
      </c>
      <c r="G2629" s="61">
        <v>1</v>
      </c>
      <c r="H2629" s="45">
        <v>15</v>
      </c>
      <c r="I2629" s="74">
        <v>23.616520000000001</v>
      </c>
    </row>
    <row r="2630" spans="1:9" s="71" customFormat="1" ht="16.5" hidden="1" customHeight="1" outlineLevel="1" x14ac:dyDescent="0.25">
      <c r="A2630" s="74">
        <v>639</v>
      </c>
      <c r="B2630" s="45" t="s">
        <v>664</v>
      </c>
      <c r="C2630" s="60" t="s">
        <v>2255</v>
      </c>
      <c r="D2630" s="60"/>
      <c r="E2630" s="74">
        <v>2022</v>
      </c>
      <c r="F2630" s="74" t="s">
        <v>489</v>
      </c>
      <c r="G2630" s="61">
        <v>1</v>
      </c>
      <c r="H2630" s="45">
        <v>9</v>
      </c>
      <c r="I2630" s="74">
        <v>28.361732</v>
      </c>
    </row>
    <row r="2631" spans="1:9" s="71" customFormat="1" ht="16.5" hidden="1" customHeight="1" outlineLevel="1" x14ac:dyDescent="0.25">
      <c r="A2631" s="74">
        <v>608</v>
      </c>
      <c r="B2631" s="45" t="s">
        <v>664</v>
      </c>
      <c r="C2631" s="60" t="s">
        <v>2256</v>
      </c>
      <c r="D2631" s="60"/>
      <c r="E2631" s="74">
        <v>2022</v>
      </c>
      <c r="F2631" s="74" t="s">
        <v>489</v>
      </c>
      <c r="G2631" s="61">
        <v>1</v>
      </c>
      <c r="H2631" s="45">
        <v>7</v>
      </c>
      <c r="I2631" s="74">
        <v>28.387969999999999</v>
      </c>
    </row>
    <row r="2632" spans="1:9" s="71" customFormat="1" ht="16.5" hidden="1" customHeight="1" outlineLevel="1" x14ac:dyDescent="0.25">
      <c r="A2632" s="74">
        <v>624</v>
      </c>
      <c r="B2632" s="45" t="s">
        <v>664</v>
      </c>
      <c r="C2632" s="60" t="s">
        <v>2257</v>
      </c>
      <c r="D2632" s="60"/>
      <c r="E2632" s="74">
        <v>2022</v>
      </c>
      <c r="F2632" s="74" t="s">
        <v>489</v>
      </c>
      <c r="G2632" s="61">
        <v>1</v>
      </c>
      <c r="H2632" s="45">
        <v>9</v>
      </c>
      <c r="I2632" s="74">
        <v>29.990629999999999</v>
      </c>
    </row>
    <row r="2633" spans="1:9" s="71" customFormat="1" ht="16.5" hidden="1" customHeight="1" outlineLevel="1" x14ac:dyDescent="0.25">
      <c r="A2633" s="74">
        <v>606</v>
      </c>
      <c r="B2633" s="45" t="s">
        <v>664</v>
      </c>
      <c r="C2633" s="60" t="s">
        <v>2258</v>
      </c>
      <c r="D2633" s="60"/>
      <c r="E2633" s="74">
        <v>2022</v>
      </c>
      <c r="F2633" s="74" t="s">
        <v>489</v>
      </c>
      <c r="G2633" s="61">
        <v>1</v>
      </c>
      <c r="H2633" s="45">
        <v>15</v>
      </c>
      <c r="I2633" s="74">
        <v>31.261330000000001</v>
      </c>
    </row>
    <row r="2634" spans="1:9" s="71" customFormat="1" ht="16.5" hidden="1" customHeight="1" outlineLevel="1" x14ac:dyDescent="0.25">
      <c r="A2634" s="74">
        <v>613</v>
      </c>
      <c r="B2634" s="45" t="s">
        <v>664</v>
      </c>
      <c r="C2634" s="60" t="s">
        <v>2259</v>
      </c>
      <c r="D2634" s="60"/>
      <c r="E2634" s="74">
        <v>2022</v>
      </c>
      <c r="F2634" s="74" t="s">
        <v>489</v>
      </c>
      <c r="G2634" s="61">
        <v>1</v>
      </c>
      <c r="H2634" s="45">
        <v>9</v>
      </c>
      <c r="I2634" s="74">
        <v>29.484220000000001</v>
      </c>
    </row>
    <row r="2635" spans="1:9" s="71" customFormat="1" ht="16.5" hidden="1" customHeight="1" outlineLevel="1" x14ac:dyDescent="0.25">
      <c r="A2635" s="74">
        <v>614</v>
      </c>
      <c r="B2635" s="45" t="s">
        <v>664</v>
      </c>
      <c r="C2635" s="60" t="s">
        <v>2260</v>
      </c>
      <c r="D2635" s="60"/>
      <c r="E2635" s="74">
        <v>2022</v>
      </c>
      <c r="F2635" s="74" t="s">
        <v>489</v>
      </c>
      <c r="G2635" s="61">
        <v>1</v>
      </c>
      <c r="H2635" s="45">
        <v>15</v>
      </c>
      <c r="I2635" s="74">
        <v>29.48423</v>
      </c>
    </row>
    <row r="2636" spans="1:9" s="71" customFormat="1" ht="16.5" hidden="1" customHeight="1" outlineLevel="1" x14ac:dyDescent="0.25">
      <c r="A2636" s="74">
        <v>595</v>
      </c>
      <c r="B2636" s="45" t="s">
        <v>664</v>
      </c>
      <c r="C2636" s="60" t="s">
        <v>2261</v>
      </c>
      <c r="D2636" s="60"/>
      <c r="E2636" s="74">
        <v>2022</v>
      </c>
      <c r="F2636" s="74" t="s">
        <v>489</v>
      </c>
      <c r="G2636" s="61">
        <v>1</v>
      </c>
      <c r="H2636" s="45">
        <v>15</v>
      </c>
      <c r="I2636" s="74">
        <v>26.368649999999999</v>
      </c>
    </row>
    <row r="2637" spans="1:9" s="71" customFormat="1" ht="16.5" hidden="1" customHeight="1" outlineLevel="1" x14ac:dyDescent="0.25">
      <c r="A2637" s="74">
        <v>505</v>
      </c>
      <c r="B2637" s="45" t="s">
        <v>664</v>
      </c>
      <c r="C2637" s="60" t="s">
        <v>2262</v>
      </c>
      <c r="D2637" s="60"/>
      <c r="E2637" s="74">
        <v>2022</v>
      </c>
      <c r="F2637" s="74" t="s">
        <v>489</v>
      </c>
      <c r="G2637" s="61">
        <v>1</v>
      </c>
      <c r="H2637" s="45">
        <v>12</v>
      </c>
      <c r="I2637" s="74">
        <v>30.912649999999999</v>
      </c>
    </row>
    <row r="2638" spans="1:9" s="71" customFormat="1" ht="16.5" hidden="1" customHeight="1" outlineLevel="1" x14ac:dyDescent="0.25">
      <c r="A2638" s="74">
        <v>591</v>
      </c>
      <c r="B2638" s="45" t="s">
        <v>664</v>
      </c>
      <c r="C2638" s="60" t="s">
        <v>2263</v>
      </c>
      <c r="D2638" s="60"/>
      <c r="E2638" s="74">
        <v>2022</v>
      </c>
      <c r="F2638" s="74" t="s">
        <v>489</v>
      </c>
      <c r="G2638" s="61">
        <v>1</v>
      </c>
      <c r="H2638" s="45">
        <v>9</v>
      </c>
      <c r="I2638" s="74">
        <v>24.22345</v>
      </c>
    </row>
    <row r="2639" spans="1:9" s="71" customFormat="1" ht="16.5" hidden="1" customHeight="1" outlineLevel="1" x14ac:dyDescent="0.25">
      <c r="A2639" s="74">
        <v>675</v>
      </c>
      <c r="B2639" s="45" t="s">
        <v>664</v>
      </c>
      <c r="C2639" s="60" t="s">
        <v>2264</v>
      </c>
      <c r="D2639" s="60"/>
      <c r="E2639" s="74">
        <v>2022</v>
      </c>
      <c r="F2639" s="74" t="s">
        <v>489</v>
      </c>
      <c r="G2639" s="61">
        <v>1</v>
      </c>
      <c r="H2639" s="45">
        <v>30</v>
      </c>
      <c r="I2639" s="74">
        <v>28.828060000000001</v>
      </c>
    </row>
    <row r="2640" spans="1:9" s="71" customFormat="1" ht="16.5" hidden="1" customHeight="1" outlineLevel="1" x14ac:dyDescent="0.25">
      <c r="A2640" s="74">
        <v>732</v>
      </c>
      <c r="B2640" s="45" t="s">
        <v>664</v>
      </c>
      <c r="C2640" s="60" t="s">
        <v>2265</v>
      </c>
      <c r="D2640" s="60"/>
      <c r="E2640" s="74">
        <v>2022</v>
      </c>
      <c r="F2640" s="74" t="s">
        <v>489</v>
      </c>
      <c r="G2640" s="61">
        <v>1</v>
      </c>
      <c r="H2640" s="45">
        <v>15</v>
      </c>
      <c r="I2640" s="74">
        <v>30.20091</v>
      </c>
    </row>
    <row r="2641" spans="1:9" s="71" customFormat="1" ht="16.5" hidden="1" customHeight="1" outlineLevel="1" x14ac:dyDescent="0.25">
      <c r="A2641" s="74">
        <v>492</v>
      </c>
      <c r="B2641" s="45" t="s">
        <v>664</v>
      </c>
      <c r="C2641" s="60" t="s">
        <v>2266</v>
      </c>
      <c r="D2641" s="60"/>
      <c r="E2641" s="74">
        <v>2022</v>
      </c>
      <c r="F2641" s="74" t="s">
        <v>489</v>
      </c>
      <c r="G2641" s="61">
        <v>1</v>
      </c>
      <c r="H2641" s="45">
        <v>15</v>
      </c>
      <c r="I2641" s="74">
        <v>29.81616</v>
      </c>
    </row>
    <row r="2642" spans="1:9" s="71" customFormat="1" ht="16.5" hidden="1" customHeight="1" outlineLevel="1" x14ac:dyDescent="0.25">
      <c r="A2642" s="74">
        <v>598</v>
      </c>
      <c r="B2642" s="45" t="s">
        <v>664</v>
      </c>
      <c r="C2642" s="60" t="s">
        <v>2267</v>
      </c>
      <c r="D2642" s="60"/>
      <c r="E2642" s="74">
        <v>2022</v>
      </c>
      <c r="F2642" s="74" t="s">
        <v>489</v>
      </c>
      <c r="G2642" s="61">
        <v>1</v>
      </c>
      <c r="H2642" s="45">
        <v>15</v>
      </c>
      <c r="I2642" s="74">
        <v>24.67071</v>
      </c>
    </row>
    <row r="2643" spans="1:9" s="71" customFormat="1" ht="16.5" hidden="1" customHeight="1" outlineLevel="1" x14ac:dyDescent="0.25">
      <c r="A2643" s="74">
        <v>512</v>
      </c>
      <c r="B2643" s="45" t="s">
        <v>664</v>
      </c>
      <c r="C2643" s="60" t="s">
        <v>2268</v>
      </c>
      <c r="D2643" s="60"/>
      <c r="E2643" s="74">
        <v>2022</v>
      </c>
      <c r="F2643" s="74" t="s">
        <v>489</v>
      </c>
      <c r="G2643" s="61">
        <v>1</v>
      </c>
      <c r="H2643" s="45">
        <v>15</v>
      </c>
      <c r="I2643" s="74">
        <v>34.508330000000001</v>
      </c>
    </row>
    <row r="2644" spans="1:9" s="71" customFormat="1" ht="16.5" hidden="1" customHeight="1" outlineLevel="1" x14ac:dyDescent="0.25">
      <c r="A2644" s="74">
        <v>478</v>
      </c>
      <c r="B2644" s="45" t="s">
        <v>664</v>
      </c>
      <c r="C2644" s="60" t="s">
        <v>2269</v>
      </c>
      <c r="D2644" s="60"/>
      <c r="E2644" s="74">
        <v>2022</v>
      </c>
      <c r="F2644" s="74" t="s">
        <v>489</v>
      </c>
      <c r="G2644" s="61">
        <v>1</v>
      </c>
      <c r="H2644" s="45">
        <v>15</v>
      </c>
      <c r="I2644" s="74">
        <v>25.0227</v>
      </c>
    </row>
    <row r="2645" spans="1:9" s="71" customFormat="1" ht="16.5" hidden="1" customHeight="1" outlineLevel="1" x14ac:dyDescent="0.25">
      <c r="A2645" s="74">
        <v>623</v>
      </c>
      <c r="B2645" s="45" t="s">
        <v>664</v>
      </c>
      <c r="C2645" s="60" t="s">
        <v>2270</v>
      </c>
      <c r="D2645" s="60"/>
      <c r="E2645" s="74">
        <v>2022</v>
      </c>
      <c r="F2645" s="74" t="s">
        <v>489</v>
      </c>
      <c r="G2645" s="61">
        <v>1</v>
      </c>
      <c r="H2645" s="45">
        <v>15</v>
      </c>
      <c r="I2645" s="74">
        <v>29.608540000000001</v>
      </c>
    </row>
    <row r="2646" spans="1:9" s="71" customFormat="1" ht="16.5" hidden="1" customHeight="1" outlineLevel="1" x14ac:dyDescent="0.25">
      <c r="A2646" s="74">
        <v>597</v>
      </c>
      <c r="B2646" s="45" t="s">
        <v>664</v>
      </c>
      <c r="C2646" s="60" t="s">
        <v>2271</v>
      </c>
      <c r="D2646" s="60"/>
      <c r="E2646" s="74">
        <v>2022</v>
      </c>
      <c r="F2646" s="74" t="s">
        <v>489</v>
      </c>
      <c r="G2646" s="61">
        <v>1</v>
      </c>
      <c r="H2646" s="45">
        <v>14</v>
      </c>
      <c r="I2646" s="74">
        <v>24.516069999999999</v>
      </c>
    </row>
    <row r="2647" spans="1:9" s="71" customFormat="1" ht="16.5" hidden="1" customHeight="1" outlineLevel="1" x14ac:dyDescent="0.25">
      <c r="A2647" s="74">
        <v>596</v>
      </c>
      <c r="B2647" s="45" t="s">
        <v>664</v>
      </c>
      <c r="C2647" s="60" t="s">
        <v>2272</v>
      </c>
      <c r="D2647" s="60"/>
      <c r="E2647" s="74">
        <v>2022</v>
      </c>
      <c r="F2647" s="74" t="s">
        <v>489</v>
      </c>
      <c r="G2647" s="61">
        <v>1</v>
      </c>
      <c r="H2647" s="45">
        <v>13.5</v>
      </c>
      <c r="I2647" s="74">
        <v>24.670670000000001</v>
      </c>
    </row>
    <row r="2648" spans="1:9" s="71" customFormat="1" ht="16.5" hidden="1" customHeight="1" outlineLevel="1" x14ac:dyDescent="0.25">
      <c r="A2648" s="74">
        <v>587</v>
      </c>
      <c r="B2648" s="45" t="s">
        <v>664</v>
      </c>
      <c r="C2648" s="60" t="s">
        <v>2273</v>
      </c>
      <c r="D2648" s="60"/>
      <c r="E2648" s="74">
        <v>2022</v>
      </c>
      <c r="F2648" s="74" t="s">
        <v>489</v>
      </c>
      <c r="G2648" s="61">
        <v>1</v>
      </c>
      <c r="H2648" s="45">
        <v>5</v>
      </c>
      <c r="I2648" s="74">
        <v>25.602039999999999</v>
      </c>
    </row>
    <row r="2649" spans="1:9" s="71" customFormat="1" ht="16.5" hidden="1" customHeight="1" outlineLevel="1" x14ac:dyDescent="0.25">
      <c r="A2649" s="74">
        <v>481</v>
      </c>
      <c r="B2649" s="45" t="s">
        <v>664</v>
      </c>
      <c r="C2649" s="60" t="s">
        <v>2274</v>
      </c>
      <c r="D2649" s="60"/>
      <c r="E2649" s="74">
        <v>2022</v>
      </c>
      <c r="F2649" s="74" t="s">
        <v>489</v>
      </c>
      <c r="G2649" s="61">
        <v>1</v>
      </c>
      <c r="H2649" s="45">
        <v>15</v>
      </c>
      <c r="I2649" s="74">
        <v>28.25591</v>
      </c>
    </row>
    <row r="2650" spans="1:9" s="71" customFormat="1" ht="16.5" hidden="1" customHeight="1" outlineLevel="1" x14ac:dyDescent="0.25">
      <c r="A2650" s="74">
        <v>641</v>
      </c>
      <c r="B2650" s="45" t="s">
        <v>664</v>
      </c>
      <c r="C2650" s="60" t="s">
        <v>2275</v>
      </c>
      <c r="D2650" s="60"/>
      <c r="E2650" s="74">
        <v>2022</v>
      </c>
      <c r="F2650" s="74" t="s">
        <v>489</v>
      </c>
      <c r="G2650" s="61">
        <v>1</v>
      </c>
      <c r="H2650" s="45">
        <v>15</v>
      </c>
      <c r="I2650" s="74">
        <v>31.000139999999998</v>
      </c>
    </row>
    <row r="2651" spans="1:9" s="71" customFormat="1" ht="16.5" hidden="1" customHeight="1" outlineLevel="1" x14ac:dyDescent="0.25">
      <c r="A2651" s="74">
        <v>550</v>
      </c>
      <c r="B2651" s="45" t="s">
        <v>664</v>
      </c>
      <c r="C2651" s="60" t="s">
        <v>2276</v>
      </c>
      <c r="D2651" s="60"/>
      <c r="E2651" s="74">
        <v>2022</v>
      </c>
      <c r="F2651" s="74" t="s">
        <v>489</v>
      </c>
      <c r="G2651" s="61">
        <v>1</v>
      </c>
      <c r="H2651" s="45">
        <v>10</v>
      </c>
      <c r="I2651" s="74">
        <v>76.880619999999993</v>
      </c>
    </row>
    <row r="2652" spans="1:9" s="71" customFormat="1" ht="16.5" hidden="1" customHeight="1" outlineLevel="1" x14ac:dyDescent="0.25">
      <c r="A2652" s="74">
        <v>551</v>
      </c>
      <c r="B2652" s="45" t="s">
        <v>664</v>
      </c>
      <c r="C2652" s="60" t="s">
        <v>2277</v>
      </c>
      <c r="D2652" s="60"/>
      <c r="E2652" s="74">
        <v>2022</v>
      </c>
      <c r="F2652" s="74" t="s">
        <v>489</v>
      </c>
      <c r="G2652" s="61">
        <v>1</v>
      </c>
      <c r="H2652" s="45">
        <v>15</v>
      </c>
      <c r="I2652" s="74">
        <v>70.327160000000006</v>
      </c>
    </row>
    <row r="2653" spans="1:9" s="71" customFormat="1" ht="16.5" hidden="1" customHeight="1" outlineLevel="1" x14ac:dyDescent="0.25">
      <c r="A2653" s="74">
        <v>552</v>
      </c>
      <c r="B2653" s="45" t="s">
        <v>664</v>
      </c>
      <c r="C2653" s="60" t="s">
        <v>2278</v>
      </c>
      <c r="D2653" s="60"/>
      <c r="E2653" s="74">
        <v>2022</v>
      </c>
      <c r="F2653" s="74" t="s">
        <v>489</v>
      </c>
      <c r="G2653" s="61">
        <v>1</v>
      </c>
      <c r="H2653" s="45">
        <v>9</v>
      </c>
      <c r="I2653" s="74">
        <v>75.851349999999996</v>
      </c>
    </row>
    <row r="2654" spans="1:9" s="71" customFormat="1" ht="16.5" hidden="1" customHeight="1" outlineLevel="1" x14ac:dyDescent="0.25">
      <c r="A2654" s="74">
        <v>453</v>
      </c>
      <c r="B2654" s="45" t="s">
        <v>664</v>
      </c>
      <c r="C2654" s="60" t="s">
        <v>2279</v>
      </c>
      <c r="D2654" s="60"/>
      <c r="E2654" s="74">
        <v>2022</v>
      </c>
      <c r="F2654" s="74" t="s">
        <v>489</v>
      </c>
      <c r="G2654" s="61">
        <v>2</v>
      </c>
      <c r="H2654" s="45">
        <v>15</v>
      </c>
      <c r="I2654" s="74">
        <v>141.04186000000001</v>
      </c>
    </row>
    <row r="2655" spans="1:9" s="71" customFormat="1" ht="16.5" hidden="1" customHeight="1" outlineLevel="1" x14ac:dyDescent="0.25">
      <c r="A2655" s="74">
        <v>698</v>
      </c>
      <c r="B2655" s="45" t="s">
        <v>664</v>
      </c>
      <c r="C2655" s="60" t="s">
        <v>2280</v>
      </c>
      <c r="D2655" s="60"/>
      <c r="E2655" s="74">
        <v>2022</v>
      </c>
      <c r="F2655" s="74" t="s">
        <v>489</v>
      </c>
      <c r="G2655" s="61">
        <v>1</v>
      </c>
      <c r="H2655" s="45">
        <v>7</v>
      </c>
      <c r="I2655" s="74">
        <v>23.252970000000001</v>
      </c>
    </row>
    <row r="2656" spans="1:9" s="71" customFormat="1" ht="16.5" hidden="1" customHeight="1" outlineLevel="1" x14ac:dyDescent="0.25">
      <c r="A2656" s="74">
        <v>762</v>
      </c>
      <c r="B2656" s="45" t="s">
        <v>664</v>
      </c>
      <c r="C2656" s="60" t="s">
        <v>2281</v>
      </c>
      <c r="D2656" s="60"/>
      <c r="E2656" s="74">
        <v>2022</v>
      </c>
      <c r="F2656" s="74" t="s">
        <v>489</v>
      </c>
      <c r="G2656" s="61">
        <v>1</v>
      </c>
      <c r="H2656" s="45">
        <v>15</v>
      </c>
      <c r="I2656" s="74">
        <v>26.932680000000001</v>
      </c>
    </row>
    <row r="2657" spans="1:9" s="71" customFormat="1" ht="16.5" hidden="1" customHeight="1" outlineLevel="1" x14ac:dyDescent="0.25">
      <c r="A2657" s="74">
        <v>701</v>
      </c>
      <c r="B2657" s="45" t="s">
        <v>664</v>
      </c>
      <c r="C2657" s="60" t="s">
        <v>2282</v>
      </c>
      <c r="D2657" s="60"/>
      <c r="E2657" s="74">
        <v>2022</v>
      </c>
      <c r="F2657" s="74" t="s">
        <v>489</v>
      </c>
      <c r="G2657" s="61">
        <v>1</v>
      </c>
      <c r="H2657" s="45">
        <v>15</v>
      </c>
      <c r="I2657" s="74">
        <v>23.426390000000001</v>
      </c>
    </row>
    <row r="2658" spans="1:9" s="71" customFormat="1" ht="16.5" hidden="1" customHeight="1" outlineLevel="1" x14ac:dyDescent="0.25">
      <c r="A2658" s="74">
        <v>786</v>
      </c>
      <c r="B2658" s="45" t="s">
        <v>664</v>
      </c>
      <c r="C2658" s="60" t="s">
        <v>2283</v>
      </c>
      <c r="D2658" s="60"/>
      <c r="E2658" s="74">
        <v>2022</v>
      </c>
      <c r="F2658" s="74" t="s">
        <v>489</v>
      </c>
      <c r="G2658" s="61">
        <v>1</v>
      </c>
      <c r="H2658" s="45">
        <v>15</v>
      </c>
      <c r="I2658" s="74">
        <v>25.246690000000001</v>
      </c>
    </row>
    <row r="2659" spans="1:9" s="71" customFormat="1" ht="16.5" hidden="1" customHeight="1" outlineLevel="1" x14ac:dyDescent="0.25">
      <c r="A2659" s="74">
        <v>618</v>
      </c>
      <c r="B2659" s="45" t="s">
        <v>664</v>
      </c>
      <c r="C2659" s="60" t="s">
        <v>2284</v>
      </c>
      <c r="D2659" s="60"/>
      <c r="E2659" s="74">
        <v>2022</v>
      </c>
      <c r="F2659" s="74" t="s">
        <v>489</v>
      </c>
      <c r="G2659" s="61">
        <v>1</v>
      </c>
      <c r="H2659" s="45">
        <v>12.5</v>
      </c>
      <c r="I2659" s="74">
        <v>27.052389999999999</v>
      </c>
    </row>
    <row r="2660" spans="1:9" s="71" customFormat="1" ht="16.5" hidden="1" customHeight="1" outlineLevel="1" x14ac:dyDescent="0.25">
      <c r="A2660" s="74">
        <v>744</v>
      </c>
      <c r="B2660" s="45" t="s">
        <v>664</v>
      </c>
      <c r="C2660" s="60" t="s">
        <v>2285</v>
      </c>
      <c r="D2660" s="60"/>
      <c r="E2660" s="74">
        <v>2022</v>
      </c>
      <c r="F2660" s="74" t="s">
        <v>489</v>
      </c>
      <c r="G2660" s="61">
        <v>1</v>
      </c>
      <c r="H2660" s="45">
        <v>15</v>
      </c>
      <c r="I2660" s="74">
        <v>24.990290000000002</v>
      </c>
    </row>
    <row r="2661" spans="1:9" s="71" customFormat="1" ht="16.5" hidden="1" customHeight="1" outlineLevel="1" x14ac:dyDescent="0.25">
      <c r="A2661" s="74">
        <v>745</v>
      </c>
      <c r="B2661" s="45" t="s">
        <v>664</v>
      </c>
      <c r="C2661" s="60" t="s">
        <v>2286</v>
      </c>
      <c r="D2661" s="60"/>
      <c r="E2661" s="74">
        <v>2022</v>
      </c>
      <c r="F2661" s="74" t="s">
        <v>489</v>
      </c>
      <c r="G2661" s="61">
        <v>1</v>
      </c>
      <c r="H2661" s="45">
        <v>5</v>
      </c>
      <c r="I2661" s="74">
        <v>26.65814</v>
      </c>
    </row>
    <row r="2662" spans="1:9" s="71" customFormat="1" ht="16.5" hidden="1" customHeight="1" outlineLevel="1" x14ac:dyDescent="0.25">
      <c r="A2662" s="74">
        <v>714</v>
      </c>
      <c r="B2662" s="45" t="s">
        <v>664</v>
      </c>
      <c r="C2662" s="60" t="s">
        <v>2287</v>
      </c>
      <c r="D2662" s="60"/>
      <c r="E2662" s="74">
        <v>2022</v>
      </c>
      <c r="F2662" s="74" t="s">
        <v>489</v>
      </c>
      <c r="G2662" s="61">
        <v>1</v>
      </c>
      <c r="H2662" s="45">
        <v>13</v>
      </c>
      <c r="I2662" s="74">
        <v>25.936610000000002</v>
      </c>
    </row>
    <row r="2663" spans="1:9" s="71" customFormat="1" ht="16.5" hidden="1" customHeight="1" outlineLevel="1" x14ac:dyDescent="0.25">
      <c r="A2663" s="74">
        <v>746</v>
      </c>
      <c r="B2663" s="45" t="s">
        <v>664</v>
      </c>
      <c r="C2663" s="60" t="s">
        <v>2288</v>
      </c>
      <c r="D2663" s="60"/>
      <c r="E2663" s="74">
        <v>2022</v>
      </c>
      <c r="F2663" s="74" t="s">
        <v>489</v>
      </c>
      <c r="G2663" s="61">
        <v>1</v>
      </c>
      <c r="H2663" s="45">
        <v>9</v>
      </c>
      <c r="I2663" s="74">
        <v>25.01398</v>
      </c>
    </row>
    <row r="2664" spans="1:9" s="71" customFormat="1" ht="16.5" hidden="1" customHeight="1" outlineLevel="1" x14ac:dyDescent="0.25">
      <c r="A2664" s="74">
        <v>661</v>
      </c>
      <c r="B2664" s="45" t="s">
        <v>664</v>
      </c>
      <c r="C2664" s="60" t="s">
        <v>2289</v>
      </c>
      <c r="D2664" s="60"/>
      <c r="E2664" s="74">
        <v>2022</v>
      </c>
      <c r="F2664" s="74" t="s">
        <v>489</v>
      </c>
      <c r="G2664" s="61">
        <v>1</v>
      </c>
      <c r="H2664" s="45">
        <v>15</v>
      </c>
      <c r="I2664" s="74">
        <v>24.526009999999999</v>
      </c>
    </row>
    <row r="2665" spans="1:9" s="71" customFormat="1" ht="16.5" hidden="1" customHeight="1" outlineLevel="1" x14ac:dyDescent="0.25">
      <c r="A2665" s="74">
        <v>660</v>
      </c>
      <c r="B2665" s="45" t="s">
        <v>664</v>
      </c>
      <c r="C2665" s="60" t="s">
        <v>2290</v>
      </c>
      <c r="D2665" s="60"/>
      <c r="E2665" s="74">
        <v>2022</v>
      </c>
      <c r="F2665" s="74" t="s">
        <v>489</v>
      </c>
      <c r="G2665" s="61">
        <v>1</v>
      </c>
      <c r="H2665" s="45">
        <v>9</v>
      </c>
      <c r="I2665" s="74">
        <v>24.699020000000001</v>
      </c>
    </row>
    <row r="2666" spans="1:9" s="71" customFormat="1" ht="16.5" hidden="1" customHeight="1" outlineLevel="1" x14ac:dyDescent="0.25">
      <c r="A2666" s="74">
        <v>720</v>
      </c>
      <c r="B2666" s="45" t="s">
        <v>664</v>
      </c>
      <c r="C2666" s="60" t="s">
        <v>2291</v>
      </c>
      <c r="D2666" s="60"/>
      <c r="E2666" s="74">
        <v>2022</v>
      </c>
      <c r="F2666" s="74" t="s">
        <v>489</v>
      </c>
      <c r="G2666" s="61">
        <v>1</v>
      </c>
      <c r="H2666" s="45">
        <v>15</v>
      </c>
      <c r="I2666" s="74">
        <v>25.12255</v>
      </c>
    </row>
    <row r="2667" spans="1:9" s="71" customFormat="1" ht="16.5" hidden="1" customHeight="1" outlineLevel="1" x14ac:dyDescent="0.25">
      <c r="A2667" s="74">
        <v>801</v>
      </c>
      <c r="B2667" s="45" t="s">
        <v>664</v>
      </c>
      <c r="C2667" s="60" t="s">
        <v>2292</v>
      </c>
      <c r="D2667" s="60"/>
      <c r="E2667" s="74">
        <v>2022</v>
      </c>
      <c r="F2667" s="74" t="s">
        <v>489</v>
      </c>
      <c r="G2667" s="61">
        <v>1</v>
      </c>
      <c r="H2667" s="45">
        <v>14</v>
      </c>
      <c r="I2667" s="74">
        <v>25.1206</v>
      </c>
    </row>
    <row r="2668" spans="1:9" s="71" customFormat="1" ht="16.5" hidden="1" customHeight="1" outlineLevel="1" x14ac:dyDescent="0.25">
      <c r="A2668" s="74">
        <v>686</v>
      </c>
      <c r="B2668" s="45" t="s">
        <v>664</v>
      </c>
      <c r="C2668" s="60" t="s">
        <v>2293</v>
      </c>
      <c r="D2668" s="60"/>
      <c r="E2668" s="74">
        <v>2022</v>
      </c>
      <c r="F2668" s="74" t="s">
        <v>489</v>
      </c>
      <c r="G2668" s="61">
        <v>1</v>
      </c>
      <c r="H2668" s="45">
        <v>14</v>
      </c>
      <c r="I2668" s="74">
        <v>24.84844</v>
      </c>
    </row>
    <row r="2669" spans="1:9" s="71" customFormat="1" ht="16.5" hidden="1" customHeight="1" outlineLevel="1" x14ac:dyDescent="0.25">
      <c r="A2669" s="74">
        <v>665</v>
      </c>
      <c r="B2669" s="45" t="s">
        <v>664</v>
      </c>
      <c r="C2669" s="60" t="s">
        <v>2294</v>
      </c>
      <c r="D2669" s="60"/>
      <c r="E2669" s="74">
        <v>2022</v>
      </c>
      <c r="F2669" s="74" t="s">
        <v>489</v>
      </c>
      <c r="G2669" s="61">
        <v>1</v>
      </c>
      <c r="H2669" s="45">
        <v>12</v>
      </c>
      <c r="I2669" s="74">
        <v>24.699000000000002</v>
      </c>
    </row>
    <row r="2670" spans="1:9" s="71" customFormat="1" ht="16.5" hidden="1" customHeight="1" outlineLevel="1" x14ac:dyDescent="0.25">
      <c r="A2670" s="74">
        <v>775</v>
      </c>
      <c r="B2670" s="45" t="s">
        <v>664</v>
      </c>
      <c r="C2670" s="60" t="s">
        <v>2295</v>
      </c>
      <c r="D2670" s="60"/>
      <c r="E2670" s="74">
        <v>2022</v>
      </c>
      <c r="F2670" s="74" t="s">
        <v>489</v>
      </c>
      <c r="G2670" s="61">
        <v>1</v>
      </c>
      <c r="H2670" s="45">
        <v>12</v>
      </c>
      <c r="I2670" s="74">
        <v>24.981729999999999</v>
      </c>
    </row>
    <row r="2671" spans="1:9" s="71" customFormat="1" ht="16.5" hidden="1" customHeight="1" outlineLevel="1" x14ac:dyDescent="0.25">
      <c r="A2671" s="74">
        <v>717</v>
      </c>
      <c r="B2671" s="45" t="s">
        <v>664</v>
      </c>
      <c r="C2671" s="60" t="s">
        <v>2296</v>
      </c>
      <c r="D2671" s="60"/>
      <c r="E2671" s="74">
        <v>2022</v>
      </c>
      <c r="F2671" s="74" t="s">
        <v>489</v>
      </c>
      <c r="G2671" s="61">
        <v>1</v>
      </c>
      <c r="H2671" s="45">
        <v>15</v>
      </c>
      <c r="I2671" s="74">
        <v>26.283370000000001</v>
      </c>
    </row>
    <row r="2672" spans="1:9" s="71" customFormat="1" ht="16.5" hidden="1" customHeight="1" outlineLevel="1" x14ac:dyDescent="0.25">
      <c r="A2672" s="74">
        <v>615</v>
      </c>
      <c r="B2672" s="45" t="s">
        <v>664</v>
      </c>
      <c r="C2672" s="60" t="s">
        <v>2297</v>
      </c>
      <c r="D2672" s="60"/>
      <c r="E2672" s="74">
        <v>2022</v>
      </c>
      <c r="F2672" s="74" t="s">
        <v>489</v>
      </c>
      <c r="G2672" s="61">
        <v>1</v>
      </c>
      <c r="H2672" s="45">
        <v>9</v>
      </c>
      <c r="I2672" s="74">
        <v>27.040109999999999</v>
      </c>
    </row>
    <row r="2673" spans="1:9" s="71" customFormat="1" ht="16.5" hidden="1" customHeight="1" outlineLevel="1" x14ac:dyDescent="0.25">
      <c r="A2673" s="74">
        <v>690</v>
      </c>
      <c r="B2673" s="45" t="s">
        <v>664</v>
      </c>
      <c r="C2673" s="60" t="s">
        <v>2298</v>
      </c>
      <c r="D2673" s="60"/>
      <c r="E2673" s="74">
        <v>2022</v>
      </c>
      <c r="F2673" s="74" t="s">
        <v>489</v>
      </c>
      <c r="G2673" s="61">
        <v>1</v>
      </c>
      <c r="H2673" s="45">
        <v>15</v>
      </c>
      <c r="I2673" s="74">
        <v>20.040389999999999</v>
      </c>
    </row>
    <row r="2674" spans="1:9" s="71" customFormat="1" ht="16.5" hidden="1" customHeight="1" outlineLevel="1" x14ac:dyDescent="0.25">
      <c r="A2674" s="74">
        <v>658</v>
      </c>
      <c r="B2674" s="45" t="s">
        <v>664</v>
      </c>
      <c r="C2674" s="60" t="s">
        <v>2299</v>
      </c>
      <c r="D2674" s="60"/>
      <c r="E2674" s="74">
        <v>2022</v>
      </c>
      <c r="F2674" s="74" t="s">
        <v>489</v>
      </c>
      <c r="G2674" s="61">
        <v>1</v>
      </c>
      <c r="H2674" s="45">
        <v>15</v>
      </c>
      <c r="I2674" s="74">
        <v>23.113240000000001</v>
      </c>
    </row>
    <row r="2675" spans="1:9" s="71" customFormat="1" ht="16.5" hidden="1" customHeight="1" outlineLevel="1" x14ac:dyDescent="0.25">
      <c r="A2675" s="74">
        <v>685</v>
      </c>
      <c r="B2675" s="45" t="s">
        <v>664</v>
      </c>
      <c r="C2675" s="60" t="s">
        <v>2300</v>
      </c>
      <c r="D2675" s="60"/>
      <c r="E2675" s="74">
        <v>2022</v>
      </c>
      <c r="F2675" s="74" t="s">
        <v>489</v>
      </c>
      <c r="G2675" s="61">
        <v>1</v>
      </c>
      <c r="H2675" s="45">
        <v>9</v>
      </c>
      <c r="I2675" s="74">
        <v>23.44875</v>
      </c>
    </row>
    <row r="2676" spans="1:9" s="71" customFormat="1" ht="16.5" hidden="1" customHeight="1" outlineLevel="1" x14ac:dyDescent="0.25">
      <c r="A2676" s="74">
        <v>820</v>
      </c>
      <c r="B2676" s="45" t="s">
        <v>664</v>
      </c>
      <c r="C2676" s="60" t="s">
        <v>2301</v>
      </c>
      <c r="D2676" s="60"/>
      <c r="E2676" s="74">
        <v>2022</v>
      </c>
      <c r="F2676" s="74" t="s">
        <v>489</v>
      </c>
      <c r="G2676" s="61">
        <v>1</v>
      </c>
      <c r="H2676" s="45">
        <v>15</v>
      </c>
      <c r="I2676" s="74">
        <v>24.889559999999999</v>
      </c>
    </row>
    <row r="2677" spans="1:9" s="71" customFormat="1" ht="16.5" hidden="1" customHeight="1" outlineLevel="1" x14ac:dyDescent="0.25">
      <c r="A2677" s="74">
        <v>688</v>
      </c>
      <c r="B2677" s="45" t="s">
        <v>664</v>
      </c>
      <c r="C2677" s="60" t="s">
        <v>2302</v>
      </c>
      <c r="D2677" s="60"/>
      <c r="E2677" s="74">
        <v>2022</v>
      </c>
      <c r="F2677" s="74" t="s">
        <v>489</v>
      </c>
      <c r="G2677" s="61">
        <v>1</v>
      </c>
      <c r="H2677" s="45">
        <v>15</v>
      </c>
      <c r="I2677" s="74">
        <v>23.11318</v>
      </c>
    </row>
    <row r="2678" spans="1:9" s="71" customFormat="1" ht="16.5" hidden="1" customHeight="1" outlineLevel="1" x14ac:dyDescent="0.25">
      <c r="A2678" s="74">
        <v>691</v>
      </c>
      <c r="B2678" s="45" t="s">
        <v>664</v>
      </c>
      <c r="C2678" s="60" t="s">
        <v>2303</v>
      </c>
      <c r="D2678" s="60"/>
      <c r="E2678" s="74">
        <v>2022</v>
      </c>
      <c r="F2678" s="74" t="s">
        <v>489</v>
      </c>
      <c r="G2678" s="61">
        <v>1</v>
      </c>
      <c r="H2678" s="45">
        <v>13</v>
      </c>
      <c r="I2678" s="74">
        <v>23.113240000000001</v>
      </c>
    </row>
    <row r="2679" spans="1:9" s="71" customFormat="1" ht="16.5" hidden="1" customHeight="1" outlineLevel="1" x14ac:dyDescent="0.25">
      <c r="A2679" s="74">
        <v>677</v>
      </c>
      <c r="B2679" s="45" t="s">
        <v>664</v>
      </c>
      <c r="C2679" s="60" t="s">
        <v>2304</v>
      </c>
      <c r="D2679" s="60"/>
      <c r="E2679" s="74">
        <v>2022</v>
      </c>
      <c r="F2679" s="74" t="s">
        <v>489</v>
      </c>
      <c r="G2679" s="61">
        <v>1</v>
      </c>
      <c r="H2679" s="45">
        <v>15</v>
      </c>
      <c r="I2679" s="74">
        <v>23.113240000000001</v>
      </c>
    </row>
    <row r="2680" spans="1:9" s="71" customFormat="1" ht="16.5" hidden="1" customHeight="1" outlineLevel="1" x14ac:dyDescent="0.25">
      <c r="A2680" s="74">
        <v>693</v>
      </c>
      <c r="B2680" s="45" t="s">
        <v>664</v>
      </c>
      <c r="C2680" s="60" t="s">
        <v>2305</v>
      </c>
      <c r="D2680" s="60"/>
      <c r="E2680" s="74">
        <v>2022</v>
      </c>
      <c r="F2680" s="74" t="s">
        <v>489</v>
      </c>
      <c r="G2680" s="61">
        <v>1</v>
      </c>
      <c r="H2680" s="45">
        <v>15</v>
      </c>
      <c r="I2680" s="74">
        <v>23.113240000000001</v>
      </c>
    </row>
    <row r="2681" spans="1:9" s="71" customFormat="1" ht="16.5" hidden="1" customHeight="1" outlineLevel="1" x14ac:dyDescent="0.25">
      <c r="A2681" s="74">
        <v>671</v>
      </c>
      <c r="B2681" s="45" t="s">
        <v>664</v>
      </c>
      <c r="C2681" s="60" t="s">
        <v>2306</v>
      </c>
      <c r="D2681" s="60"/>
      <c r="E2681" s="74">
        <v>2022</v>
      </c>
      <c r="F2681" s="74" t="s">
        <v>489</v>
      </c>
      <c r="G2681" s="61">
        <v>1</v>
      </c>
      <c r="H2681" s="45">
        <v>15</v>
      </c>
      <c r="I2681" s="74">
        <v>23.113219999999998</v>
      </c>
    </row>
    <row r="2682" spans="1:9" s="71" customFormat="1" ht="16.5" hidden="1" customHeight="1" outlineLevel="1" x14ac:dyDescent="0.25">
      <c r="A2682" s="74">
        <v>635</v>
      </c>
      <c r="B2682" s="45" t="s">
        <v>664</v>
      </c>
      <c r="C2682" s="60" t="s">
        <v>2307</v>
      </c>
      <c r="D2682" s="60"/>
      <c r="E2682" s="74">
        <v>2022</v>
      </c>
      <c r="F2682" s="74" t="s">
        <v>489</v>
      </c>
      <c r="G2682" s="61">
        <v>1</v>
      </c>
      <c r="H2682" s="45">
        <v>9</v>
      </c>
      <c r="I2682" s="74">
        <v>27.005990000000001</v>
      </c>
    </row>
    <row r="2683" spans="1:9" s="71" customFormat="1" ht="16.5" hidden="1" customHeight="1" outlineLevel="1" x14ac:dyDescent="0.25">
      <c r="A2683" s="74">
        <v>692</v>
      </c>
      <c r="B2683" s="45" t="s">
        <v>664</v>
      </c>
      <c r="C2683" s="60" t="s">
        <v>2308</v>
      </c>
      <c r="D2683" s="60"/>
      <c r="E2683" s="74">
        <v>2022</v>
      </c>
      <c r="F2683" s="74" t="s">
        <v>489</v>
      </c>
      <c r="G2683" s="61">
        <v>1</v>
      </c>
      <c r="H2683" s="45">
        <v>15</v>
      </c>
      <c r="I2683" s="74">
        <v>23.113199999999999</v>
      </c>
    </row>
    <row r="2684" spans="1:9" s="71" customFormat="1" ht="16.5" hidden="1" customHeight="1" outlineLevel="1" x14ac:dyDescent="0.25">
      <c r="A2684" s="74">
        <v>636</v>
      </c>
      <c r="B2684" s="45" t="s">
        <v>664</v>
      </c>
      <c r="C2684" s="60" t="s">
        <v>2309</v>
      </c>
      <c r="D2684" s="60"/>
      <c r="E2684" s="74">
        <v>2022</v>
      </c>
      <c r="F2684" s="74" t="s">
        <v>489</v>
      </c>
      <c r="G2684" s="61">
        <v>1</v>
      </c>
      <c r="H2684" s="45">
        <v>15</v>
      </c>
      <c r="I2684" s="74">
        <v>27.45336</v>
      </c>
    </row>
    <row r="2685" spans="1:9" s="71" customFormat="1" ht="16.5" hidden="1" customHeight="1" outlineLevel="1" x14ac:dyDescent="0.25">
      <c r="A2685" s="74">
        <v>594</v>
      </c>
      <c r="B2685" s="45" t="s">
        <v>664</v>
      </c>
      <c r="C2685" s="60" t="s">
        <v>2310</v>
      </c>
      <c r="D2685" s="60"/>
      <c r="E2685" s="74">
        <v>2022</v>
      </c>
      <c r="F2685" s="74" t="s">
        <v>489</v>
      </c>
      <c r="G2685" s="61">
        <v>1</v>
      </c>
      <c r="H2685" s="45">
        <v>15</v>
      </c>
      <c r="I2685" s="74">
        <v>25.655619999999999</v>
      </c>
    </row>
    <row r="2686" spans="1:9" s="71" customFormat="1" ht="16.5" hidden="1" customHeight="1" outlineLevel="1" x14ac:dyDescent="0.25">
      <c r="A2686" s="74">
        <v>687</v>
      </c>
      <c r="B2686" s="45" t="s">
        <v>664</v>
      </c>
      <c r="C2686" s="60" t="s">
        <v>2311</v>
      </c>
      <c r="D2686" s="60"/>
      <c r="E2686" s="74">
        <v>2022</v>
      </c>
      <c r="F2686" s="74" t="s">
        <v>489</v>
      </c>
      <c r="G2686" s="61">
        <v>1</v>
      </c>
      <c r="H2686" s="45">
        <v>9</v>
      </c>
      <c r="I2686" s="74">
        <v>24.231619999999999</v>
      </c>
    </row>
    <row r="2687" spans="1:9" s="71" customFormat="1" ht="16.5" hidden="1" customHeight="1" outlineLevel="1" x14ac:dyDescent="0.25">
      <c r="A2687" s="74">
        <v>626</v>
      </c>
      <c r="B2687" s="45" t="s">
        <v>664</v>
      </c>
      <c r="C2687" s="60" t="s">
        <v>2312</v>
      </c>
      <c r="D2687" s="60"/>
      <c r="E2687" s="74">
        <v>2022</v>
      </c>
      <c r="F2687" s="74" t="s">
        <v>489</v>
      </c>
      <c r="G2687" s="61">
        <v>1</v>
      </c>
      <c r="H2687" s="45">
        <v>15</v>
      </c>
      <c r="I2687" s="74">
        <v>27.32161</v>
      </c>
    </row>
    <row r="2688" spans="1:9" s="71" customFormat="1" ht="16.5" hidden="1" customHeight="1" outlineLevel="1" x14ac:dyDescent="0.25">
      <c r="A2688" s="74">
        <v>676</v>
      </c>
      <c r="B2688" s="45" t="s">
        <v>664</v>
      </c>
      <c r="C2688" s="60" t="s">
        <v>2313</v>
      </c>
      <c r="D2688" s="60"/>
      <c r="E2688" s="74">
        <v>2022</v>
      </c>
      <c r="F2688" s="74" t="s">
        <v>489</v>
      </c>
      <c r="G2688" s="61">
        <v>1</v>
      </c>
      <c r="H2688" s="45">
        <v>15</v>
      </c>
      <c r="I2688" s="74">
        <v>23.113240000000001</v>
      </c>
    </row>
    <row r="2689" spans="1:9" s="71" customFormat="1" ht="16.5" hidden="1" customHeight="1" outlineLevel="1" x14ac:dyDescent="0.25">
      <c r="A2689" s="74">
        <v>659</v>
      </c>
      <c r="B2689" s="45" t="s">
        <v>664</v>
      </c>
      <c r="C2689" s="60" t="s">
        <v>2314</v>
      </c>
      <c r="D2689" s="60"/>
      <c r="E2689" s="74">
        <v>2022</v>
      </c>
      <c r="F2689" s="74" t="s">
        <v>489</v>
      </c>
      <c r="G2689" s="61">
        <v>1</v>
      </c>
      <c r="H2689" s="45">
        <v>9</v>
      </c>
      <c r="I2689" s="74">
        <v>23.44875</v>
      </c>
    </row>
    <row r="2690" spans="1:9" s="71" customFormat="1" ht="16.5" hidden="1" customHeight="1" outlineLevel="1" x14ac:dyDescent="0.25">
      <c r="A2690" s="74">
        <v>652</v>
      </c>
      <c r="B2690" s="45" t="s">
        <v>664</v>
      </c>
      <c r="C2690" s="60" t="s">
        <v>2315</v>
      </c>
      <c r="D2690" s="60"/>
      <c r="E2690" s="74">
        <v>2022</v>
      </c>
      <c r="F2690" s="74" t="s">
        <v>489</v>
      </c>
      <c r="G2690" s="61">
        <v>1</v>
      </c>
      <c r="H2690" s="45">
        <v>15</v>
      </c>
      <c r="I2690" s="74">
        <v>23.11317</v>
      </c>
    </row>
    <row r="2691" spans="1:9" s="71" customFormat="1" ht="16.5" hidden="1" customHeight="1" outlineLevel="1" x14ac:dyDescent="0.25">
      <c r="A2691" s="74">
        <v>631</v>
      </c>
      <c r="B2691" s="45" t="s">
        <v>664</v>
      </c>
      <c r="C2691" s="60" t="s">
        <v>2316</v>
      </c>
      <c r="D2691" s="60"/>
      <c r="E2691" s="74">
        <v>2022</v>
      </c>
      <c r="F2691" s="74" t="s">
        <v>489</v>
      </c>
      <c r="G2691" s="61">
        <v>1</v>
      </c>
      <c r="H2691" s="45">
        <v>5</v>
      </c>
      <c r="I2691" s="74">
        <v>27.273060000000001</v>
      </c>
    </row>
    <row r="2692" spans="1:9" s="71" customFormat="1" ht="16.5" hidden="1" customHeight="1" outlineLevel="1" x14ac:dyDescent="0.25">
      <c r="A2692" s="74">
        <v>644</v>
      </c>
      <c r="B2692" s="45" t="s">
        <v>664</v>
      </c>
      <c r="C2692" s="60" t="s">
        <v>2317</v>
      </c>
      <c r="D2692" s="60"/>
      <c r="E2692" s="74">
        <v>2022</v>
      </c>
      <c r="F2692" s="74" t="s">
        <v>489</v>
      </c>
      <c r="G2692" s="61">
        <v>1</v>
      </c>
      <c r="H2692" s="45">
        <v>15</v>
      </c>
      <c r="I2692" s="74">
        <v>27.128409999999999</v>
      </c>
    </row>
    <row r="2693" spans="1:9" s="71" customFormat="1" ht="16.5" hidden="1" customHeight="1" outlineLevel="1" x14ac:dyDescent="0.25">
      <c r="A2693" s="74">
        <v>632</v>
      </c>
      <c r="B2693" s="45" t="s">
        <v>664</v>
      </c>
      <c r="C2693" s="60" t="s">
        <v>2318</v>
      </c>
      <c r="D2693" s="60"/>
      <c r="E2693" s="74">
        <v>2022</v>
      </c>
      <c r="F2693" s="74" t="s">
        <v>489</v>
      </c>
      <c r="G2693" s="61">
        <v>1</v>
      </c>
      <c r="H2693" s="45">
        <v>9</v>
      </c>
      <c r="I2693" s="74">
        <v>26.937529999999999</v>
      </c>
    </row>
    <row r="2694" spans="1:9" s="71" customFormat="1" ht="16.5" hidden="1" customHeight="1" outlineLevel="1" x14ac:dyDescent="0.25">
      <c r="A2694" s="74">
        <v>679</v>
      </c>
      <c r="B2694" s="45" t="s">
        <v>664</v>
      </c>
      <c r="C2694" s="60" t="s">
        <v>2319</v>
      </c>
      <c r="D2694" s="60"/>
      <c r="E2694" s="74">
        <v>2022</v>
      </c>
      <c r="F2694" s="74" t="s">
        <v>489</v>
      </c>
      <c r="G2694" s="61">
        <v>1</v>
      </c>
      <c r="H2694" s="45">
        <v>15</v>
      </c>
      <c r="I2694" s="74">
        <v>23.113240000000001</v>
      </c>
    </row>
    <row r="2695" spans="1:9" s="71" customFormat="1" ht="16.5" hidden="1" customHeight="1" outlineLevel="1" x14ac:dyDescent="0.25">
      <c r="A2695" s="74">
        <v>643</v>
      </c>
      <c r="B2695" s="45" t="s">
        <v>664</v>
      </c>
      <c r="C2695" s="60" t="s">
        <v>2320</v>
      </c>
      <c r="D2695" s="60"/>
      <c r="E2695" s="74">
        <v>2022</v>
      </c>
      <c r="F2695" s="74" t="s">
        <v>489</v>
      </c>
      <c r="G2695" s="61">
        <v>1</v>
      </c>
      <c r="H2695" s="45">
        <v>15</v>
      </c>
      <c r="I2695" s="74">
        <v>27.20722</v>
      </c>
    </row>
    <row r="2696" spans="1:9" s="71" customFormat="1" ht="16.5" hidden="1" customHeight="1" outlineLevel="1" x14ac:dyDescent="0.25">
      <c r="A2696" s="74">
        <v>680</v>
      </c>
      <c r="B2696" s="45" t="s">
        <v>664</v>
      </c>
      <c r="C2696" s="60" t="s">
        <v>2321</v>
      </c>
      <c r="D2696" s="60"/>
      <c r="E2696" s="74">
        <v>2022</v>
      </c>
      <c r="F2696" s="74" t="s">
        <v>489</v>
      </c>
      <c r="G2696" s="61">
        <v>1</v>
      </c>
      <c r="H2696" s="45">
        <v>15</v>
      </c>
      <c r="I2696" s="74">
        <v>23.113240000000001</v>
      </c>
    </row>
    <row r="2697" spans="1:9" s="71" customFormat="1" ht="16.5" hidden="1" customHeight="1" outlineLevel="1" x14ac:dyDescent="0.25">
      <c r="A2697" s="74">
        <v>662</v>
      </c>
      <c r="B2697" s="45" t="s">
        <v>664</v>
      </c>
      <c r="C2697" s="60" t="s">
        <v>2322</v>
      </c>
      <c r="D2697" s="60"/>
      <c r="E2697" s="74">
        <v>2022</v>
      </c>
      <c r="F2697" s="74" t="s">
        <v>489</v>
      </c>
      <c r="G2697" s="61">
        <v>1</v>
      </c>
      <c r="H2697" s="45">
        <v>9</v>
      </c>
      <c r="I2697" s="74">
        <v>23.560549999999999</v>
      </c>
    </row>
    <row r="2698" spans="1:9" s="71" customFormat="1" ht="16.5" hidden="1" customHeight="1" outlineLevel="1" x14ac:dyDescent="0.25">
      <c r="A2698" s="74">
        <v>640</v>
      </c>
      <c r="B2698" s="45" t="s">
        <v>664</v>
      </c>
      <c r="C2698" s="60" t="s">
        <v>2323</v>
      </c>
      <c r="D2698" s="60"/>
      <c r="E2698" s="74">
        <v>2022</v>
      </c>
      <c r="F2698" s="74" t="s">
        <v>489</v>
      </c>
      <c r="G2698" s="61">
        <v>1</v>
      </c>
      <c r="H2698" s="45">
        <v>9</v>
      </c>
      <c r="I2698" s="74">
        <v>26.795480000000001</v>
      </c>
    </row>
    <row r="2699" spans="1:9" s="71" customFormat="1" ht="16.5" hidden="1" customHeight="1" outlineLevel="1" x14ac:dyDescent="0.25">
      <c r="A2699" s="74">
        <v>796</v>
      </c>
      <c r="B2699" s="45" t="s">
        <v>664</v>
      </c>
      <c r="C2699" s="60" t="s">
        <v>2324</v>
      </c>
      <c r="D2699" s="60"/>
      <c r="E2699" s="74">
        <v>2022</v>
      </c>
      <c r="F2699" s="74" t="s">
        <v>489</v>
      </c>
      <c r="G2699" s="61">
        <v>1</v>
      </c>
      <c r="H2699" s="45">
        <v>10</v>
      </c>
      <c r="I2699" s="74">
        <v>24.880469999999999</v>
      </c>
    </row>
    <row r="2700" spans="1:9" s="71" customFormat="1" ht="16.5" hidden="1" customHeight="1" outlineLevel="1" x14ac:dyDescent="0.25">
      <c r="A2700" s="74">
        <v>799</v>
      </c>
      <c r="B2700" s="45" t="s">
        <v>664</v>
      </c>
      <c r="C2700" s="60" t="s">
        <v>2325</v>
      </c>
      <c r="D2700" s="60"/>
      <c r="E2700" s="74">
        <v>2022</v>
      </c>
      <c r="F2700" s="74" t="s">
        <v>489</v>
      </c>
      <c r="G2700" s="61">
        <v>1</v>
      </c>
      <c r="H2700" s="45">
        <v>9</v>
      </c>
      <c r="I2700" s="74">
        <v>24.99231</v>
      </c>
    </row>
    <row r="2701" spans="1:9" s="71" customFormat="1" ht="16.5" hidden="1" customHeight="1" outlineLevel="1" x14ac:dyDescent="0.25">
      <c r="A2701" s="74">
        <v>798</v>
      </c>
      <c r="B2701" s="45" t="s">
        <v>664</v>
      </c>
      <c r="C2701" s="60" t="s">
        <v>2326</v>
      </c>
      <c r="D2701" s="60"/>
      <c r="E2701" s="74">
        <v>2022</v>
      </c>
      <c r="F2701" s="74" t="s">
        <v>489</v>
      </c>
      <c r="G2701" s="61">
        <v>1</v>
      </c>
      <c r="H2701" s="45">
        <v>10</v>
      </c>
      <c r="I2701" s="74">
        <v>23.94727</v>
      </c>
    </row>
    <row r="2702" spans="1:9" s="71" customFormat="1" ht="16.5" hidden="1" customHeight="1" outlineLevel="1" x14ac:dyDescent="0.25">
      <c r="A2702" s="74">
        <v>610</v>
      </c>
      <c r="B2702" s="45" t="s">
        <v>664</v>
      </c>
      <c r="C2702" s="60" t="s">
        <v>2327</v>
      </c>
      <c r="D2702" s="60"/>
      <c r="E2702" s="74">
        <v>2022</v>
      </c>
      <c r="F2702" s="74" t="s">
        <v>489</v>
      </c>
      <c r="G2702" s="61">
        <v>1</v>
      </c>
      <c r="H2702" s="45">
        <v>15</v>
      </c>
      <c r="I2702" s="74">
        <v>26.270320000000002</v>
      </c>
    </row>
    <row r="2703" spans="1:9" s="71" customFormat="1" ht="16.5" hidden="1" customHeight="1" outlineLevel="1" x14ac:dyDescent="0.25">
      <c r="A2703" s="74">
        <v>619</v>
      </c>
      <c r="B2703" s="45" t="s">
        <v>664</v>
      </c>
      <c r="C2703" s="60" t="s">
        <v>2328</v>
      </c>
      <c r="D2703" s="60"/>
      <c r="E2703" s="74">
        <v>2022</v>
      </c>
      <c r="F2703" s="74" t="s">
        <v>489</v>
      </c>
      <c r="G2703" s="61">
        <v>1</v>
      </c>
      <c r="H2703" s="45">
        <v>15</v>
      </c>
      <c r="I2703" s="74">
        <v>26.668399999999998</v>
      </c>
    </row>
    <row r="2704" spans="1:9" s="71" customFormat="1" ht="16.5" hidden="1" customHeight="1" outlineLevel="1" x14ac:dyDescent="0.25">
      <c r="A2704" s="74">
        <v>620</v>
      </c>
      <c r="B2704" s="45" t="s">
        <v>664</v>
      </c>
      <c r="C2704" s="60" t="s">
        <v>2329</v>
      </c>
      <c r="D2704" s="60"/>
      <c r="E2704" s="74">
        <v>2022</v>
      </c>
      <c r="F2704" s="74" t="s">
        <v>489</v>
      </c>
      <c r="G2704" s="61">
        <v>1</v>
      </c>
      <c r="H2704" s="45">
        <v>15</v>
      </c>
      <c r="I2704" s="74">
        <v>26.58756</v>
      </c>
    </row>
    <row r="2705" spans="1:9" s="71" customFormat="1" ht="16.5" hidden="1" customHeight="1" outlineLevel="1" x14ac:dyDescent="0.25">
      <c r="A2705" s="74">
        <v>725</v>
      </c>
      <c r="B2705" s="45" t="s">
        <v>664</v>
      </c>
      <c r="C2705" s="60" t="s">
        <v>2330</v>
      </c>
      <c r="D2705" s="60"/>
      <c r="E2705" s="74">
        <v>2022</v>
      </c>
      <c r="F2705" s="74" t="s">
        <v>489</v>
      </c>
      <c r="G2705" s="61">
        <v>1</v>
      </c>
      <c r="H2705" s="45">
        <v>15</v>
      </c>
      <c r="I2705" s="74">
        <v>24.9803</v>
      </c>
    </row>
    <row r="2706" spans="1:9" s="71" customFormat="1" ht="16.5" hidden="1" customHeight="1" outlineLevel="1" x14ac:dyDescent="0.25">
      <c r="A2706" s="74">
        <v>625</v>
      </c>
      <c r="B2706" s="45" t="s">
        <v>664</v>
      </c>
      <c r="C2706" s="60" t="s">
        <v>2331</v>
      </c>
      <c r="D2706" s="60"/>
      <c r="E2706" s="74">
        <v>2022</v>
      </c>
      <c r="F2706" s="74" t="s">
        <v>489</v>
      </c>
      <c r="G2706" s="61">
        <v>1</v>
      </c>
      <c r="H2706" s="45">
        <v>15</v>
      </c>
      <c r="I2706" s="74">
        <v>27.832280000000001</v>
      </c>
    </row>
    <row r="2707" spans="1:9" s="71" customFormat="1" ht="16.5" hidden="1" customHeight="1" outlineLevel="1" x14ac:dyDescent="0.25">
      <c r="A2707" s="74">
        <v>779</v>
      </c>
      <c r="B2707" s="45" t="s">
        <v>664</v>
      </c>
      <c r="C2707" s="60" t="s">
        <v>2332</v>
      </c>
      <c r="D2707" s="60"/>
      <c r="E2707" s="74">
        <v>2022</v>
      </c>
      <c r="F2707" s="74" t="s">
        <v>489</v>
      </c>
      <c r="G2707" s="61">
        <v>1</v>
      </c>
      <c r="H2707" s="45">
        <v>9</v>
      </c>
      <c r="I2707" s="74">
        <v>27.39762</v>
      </c>
    </row>
    <row r="2708" spans="1:9" s="71" customFormat="1" ht="16.5" hidden="1" customHeight="1" outlineLevel="1" x14ac:dyDescent="0.25">
      <c r="A2708" s="74">
        <v>718</v>
      </c>
      <c r="B2708" s="45" t="s">
        <v>664</v>
      </c>
      <c r="C2708" s="60" t="s">
        <v>2333</v>
      </c>
      <c r="D2708" s="60"/>
      <c r="E2708" s="74">
        <v>2022</v>
      </c>
      <c r="F2708" s="74" t="s">
        <v>489</v>
      </c>
      <c r="G2708" s="61">
        <v>1</v>
      </c>
      <c r="H2708" s="45">
        <v>15</v>
      </c>
      <c r="I2708" s="74">
        <v>25.70354</v>
      </c>
    </row>
    <row r="2709" spans="1:9" s="71" customFormat="1" ht="16.5" hidden="1" customHeight="1" outlineLevel="1" x14ac:dyDescent="0.25">
      <c r="A2709" s="74">
        <v>757</v>
      </c>
      <c r="B2709" s="45" t="s">
        <v>664</v>
      </c>
      <c r="C2709" s="60" t="s">
        <v>2334</v>
      </c>
      <c r="D2709" s="60"/>
      <c r="E2709" s="74">
        <v>2022</v>
      </c>
      <c r="F2709" s="74" t="s">
        <v>489</v>
      </c>
      <c r="G2709" s="61">
        <v>1</v>
      </c>
      <c r="H2709" s="45">
        <v>15</v>
      </c>
      <c r="I2709" s="74">
        <v>25.119630000000001</v>
      </c>
    </row>
    <row r="2710" spans="1:9" s="71" customFormat="1" ht="16.5" hidden="1" customHeight="1" outlineLevel="1" x14ac:dyDescent="0.25">
      <c r="A2710" s="74">
        <v>599</v>
      </c>
      <c r="B2710" s="45" t="s">
        <v>664</v>
      </c>
      <c r="C2710" s="60" t="s">
        <v>2335</v>
      </c>
      <c r="D2710" s="60"/>
      <c r="E2710" s="74">
        <v>2022</v>
      </c>
      <c r="F2710" s="74" t="s">
        <v>489</v>
      </c>
      <c r="G2710" s="61">
        <v>1</v>
      </c>
      <c r="H2710" s="45">
        <v>14</v>
      </c>
      <c r="I2710" s="74">
        <v>24.21594</v>
      </c>
    </row>
    <row r="2711" spans="1:9" s="71" customFormat="1" ht="16.5" hidden="1" customHeight="1" outlineLevel="1" x14ac:dyDescent="0.25">
      <c r="A2711" s="74">
        <v>753</v>
      </c>
      <c r="B2711" s="45" t="s">
        <v>664</v>
      </c>
      <c r="C2711" s="60" t="s">
        <v>2336</v>
      </c>
      <c r="D2711" s="60"/>
      <c r="E2711" s="74">
        <v>2022</v>
      </c>
      <c r="F2711" s="74" t="s">
        <v>489</v>
      </c>
      <c r="G2711" s="61">
        <v>1</v>
      </c>
      <c r="H2711" s="45">
        <v>15</v>
      </c>
      <c r="I2711" s="74">
        <v>24.947019999999998</v>
      </c>
    </row>
    <row r="2712" spans="1:9" s="71" customFormat="1" ht="16.5" hidden="1" customHeight="1" outlineLevel="1" x14ac:dyDescent="0.25">
      <c r="A2712" s="74">
        <v>815</v>
      </c>
      <c r="B2712" s="45" t="s">
        <v>664</v>
      </c>
      <c r="C2712" s="60" t="s">
        <v>2337</v>
      </c>
      <c r="D2712" s="60"/>
      <c r="E2712" s="74">
        <v>2022</v>
      </c>
      <c r="F2712" s="74" t="s">
        <v>489</v>
      </c>
      <c r="G2712" s="61">
        <v>1</v>
      </c>
      <c r="H2712" s="45">
        <v>15</v>
      </c>
      <c r="I2712" s="74">
        <v>28.35802</v>
      </c>
    </row>
    <row r="2713" spans="1:9" s="71" customFormat="1" ht="16.5" hidden="1" customHeight="1" outlineLevel="1" x14ac:dyDescent="0.25">
      <c r="A2713" s="74">
        <v>794</v>
      </c>
      <c r="B2713" s="45" t="s">
        <v>664</v>
      </c>
      <c r="C2713" s="60" t="s">
        <v>2338</v>
      </c>
      <c r="D2713" s="60"/>
      <c r="E2713" s="74">
        <v>2022</v>
      </c>
      <c r="F2713" s="74" t="s">
        <v>489</v>
      </c>
      <c r="G2713" s="61">
        <v>1</v>
      </c>
      <c r="H2713" s="45">
        <v>15</v>
      </c>
      <c r="I2713" s="74">
        <v>25.053509999999999</v>
      </c>
    </row>
    <row r="2714" spans="1:9" s="71" customFormat="1" ht="16.5" hidden="1" customHeight="1" outlineLevel="1" x14ac:dyDescent="0.25">
      <c r="A2714" s="74">
        <v>810</v>
      </c>
      <c r="B2714" s="45" t="s">
        <v>664</v>
      </c>
      <c r="C2714" s="60" t="s">
        <v>2339</v>
      </c>
      <c r="D2714" s="60"/>
      <c r="E2714" s="74">
        <v>2022</v>
      </c>
      <c r="F2714" s="74" t="s">
        <v>489</v>
      </c>
      <c r="G2714" s="61">
        <v>1</v>
      </c>
      <c r="H2714" s="45">
        <v>15</v>
      </c>
      <c r="I2714" s="74">
        <v>25.241340000000001</v>
      </c>
    </row>
    <row r="2715" spans="1:9" s="71" customFormat="1" ht="16.5" hidden="1" customHeight="1" outlineLevel="1" x14ac:dyDescent="0.25">
      <c r="A2715" s="74">
        <v>616</v>
      </c>
      <c r="B2715" s="45" t="s">
        <v>664</v>
      </c>
      <c r="C2715" s="60" t="s">
        <v>2340</v>
      </c>
      <c r="D2715" s="60"/>
      <c r="E2715" s="74">
        <v>2022</v>
      </c>
      <c r="F2715" s="74" t="s">
        <v>489</v>
      </c>
      <c r="G2715" s="61">
        <v>1</v>
      </c>
      <c r="H2715" s="45">
        <v>15</v>
      </c>
      <c r="I2715" s="74">
        <v>26.137419999999999</v>
      </c>
    </row>
    <row r="2716" spans="1:9" s="71" customFormat="1" ht="16.5" hidden="1" customHeight="1" outlineLevel="1" x14ac:dyDescent="0.25">
      <c r="A2716" s="74">
        <v>617</v>
      </c>
      <c r="B2716" s="45" t="s">
        <v>664</v>
      </c>
      <c r="C2716" s="60" t="s">
        <v>2341</v>
      </c>
      <c r="D2716" s="60"/>
      <c r="E2716" s="74">
        <v>2022</v>
      </c>
      <c r="F2716" s="74" t="s">
        <v>489</v>
      </c>
      <c r="G2716" s="61">
        <v>1</v>
      </c>
      <c r="H2716" s="45">
        <v>15</v>
      </c>
      <c r="I2716" s="74">
        <v>26.399930000000001</v>
      </c>
    </row>
    <row r="2717" spans="1:9" s="71" customFormat="1" ht="16.5" hidden="1" customHeight="1" outlineLevel="1" x14ac:dyDescent="0.25">
      <c r="A2717" s="74">
        <v>628</v>
      </c>
      <c r="B2717" s="45" t="s">
        <v>664</v>
      </c>
      <c r="C2717" s="60" t="s">
        <v>2342</v>
      </c>
      <c r="D2717" s="60"/>
      <c r="E2717" s="74">
        <v>2022</v>
      </c>
      <c r="F2717" s="74" t="s">
        <v>489</v>
      </c>
      <c r="G2717" s="61">
        <v>1</v>
      </c>
      <c r="H2717" s="45">
        <v>9</v>
      </c>
      <c r="I2717" s="74">
        <v>28.019549999999999</v>
      </c>
    </row>
    <row r="2718" spans="1:9" s="71" customFormat="1" ht="16.5" hidden="1" customHeight="1" outlineLevel="1" x14ac:dyDescent="0.25">
      <c r="A2718" s="74">
        <v>715</v>
      </c>
      <c r="B2718" s="45" t="s">
        <v>664</v>
      </c>
      <c r="C2718" s="60" t="s">
        <v>2343</v>
      </c>
      <c r="D2718" s="60"/>
      <c r="E2718" s="74">
        <v>2022</v>
      </c>
      <c r="F2718" s="74" t="s">
        <v>489</v>
      </c>
      <c r="G2718" s="61">
        <v>1</v>
      </c>
      <c r="H2718" s="45">
        <v>14</v>
      </c>
      <c r="I2718" s="74">
        <v>26.000029999999999</v>
      </c>
    </row>
    <row r="2719" spans="1:9" s="71" customFormat="1" ht="16.5" hidden="1" customHeight="1" outlineLevel="1" x14ac:dyDescent="0.25">
      <c r="A2719" s="74">
        <v>760</v>
      </c>
      <c r="B2719" s="45" t="s">
        <v>664</v>
      </c>
      <c r="C2719" s="60" t="s">
        <v>2344</v>
      </c>
      <c r="D2719" s="60"/>
      <c r="E2719" s="74">
        <v>2022</v>
      </c>
      <c r="F2719" s="74" t="s">
        <v>489</v>
      </c>
      <c r="G2719" s="61">
        <v>1</v>
      </c>
      <c r="H2719" s="45">
        <v>15</v>
      </c>
      <c r="I2719" s="74">
        <v>24.947009999999999</v>
      </c>
    </row>
    <row r="2720" spans="1:9" s="71" customFormat="1" ht="16.5" hidden="1" customHeight="1" outlineLevel="1" x14ac:dyDescent="0.25">
      <c r="A2720" s="74">
        <v>589</v>
      </c>
      <c r="B2720" s="45" t="s">
        <v>664</v>
      </c>
      <c r="C2720" s="60" t="s">
        <v>2345</v>
      </c>
      <c r="D2720" s="60"/>
      <c r="E2720" s="74">
        <v>2022</v>
      </c>
      <c r="F2720" s="74" t="s">
        <v>489</v>
      </c>
      <c r="G2720" s="61">
        <v>1</v>
      </c>
      <c r="H2720" s="45">
        <v>15</v>
      </c>
      <c r="I2720" s="74">
        <v>24.225580000000001</v>
      </c>
    </row>
    <row r="2721" spans="1:9" s="71" customFormat="1" ht="16.5" hidden="1" customHeight="1" outlineLevel="1" x14ac:dyDescent="0.25">
      <c r="A2721" s="74">
        <v>593</v>
      </c>
      <c r="B2721" s="45" t="s">
        <v>664</v>
      </c>
      <c r="C2721" s="60" t="s">
        <v>2346</v>
      </c>
      <c r="D2721" s="60"/>
      <c r="E2721" s="74">
        <v>2022</v>
      </c>
      <c r="F2721" s="74" t="s">
        <v>489</v>
      </c>
      <c r="G2721" s="61">
        <v>1</v>
      </c>
      <c r="H2721" s="45">
        <v>13</v>
      </c>
      <c r="I2721" s="74">
        <v>23.912269999999999</v>
      </c>
    </row>
    <row r="2722" spans="1:9" s="71" customFormat="1" ht="16.5" hidden="1" customHeight="1" outlineLevel="1" x14ac:dyDescent="0.25">
      <c r="A2722" s="74">
        <v>609</v>
      </c>
      <c r="B2722" s="45" t="s">
        <v>664</v>
      </c>
      <c r="C2722" s="60" t="s">
        <v>2347</v>
      </c>
      <c r="D2722" s="60"/>
      <c r="E2722" s="74">
        <v>2022</v>
      </c>
      <c r="F2722" s="74" t="s">
        <v>489</v>
      </c>
      <c r="G2722" s="61">
        <v>1</v>
      </c>
      <c r="H2722" s="45">
        <v>15</v>
      </c>
      <c r="I2722" s="74">
        <v>26.39995</v>
      </c>
    </row>
    <row r="2723" spans="1:9" s="71" customFormat="1" ht="16.5" hidden="1" customHeight="1" outlineLevel="1" x14ac:dyDescent="0.25">
      <c r="A2723" s="74">
        <v>723</v>
      </c>
      <c r="B2723" s="45" t="s">
        <v>664</v>
      </c>
      <c r="C2723" s="60" t="s">
        <v>2348</v>
      </c>
      <c r="D2723" s="60"/>
      <c r="E2723" s="74">
        <v>2022</v>
      </c>
      <c r="F2723" s="74" t="s">
        <v>489</v>
      </c>
      <c r="G2723" s="61">
        <v>1</v>
      </c>
      <c r="H2723" s="45">
        <v>15</v>
      </c>
      <c r="I2723" s="74">
        <v>25.102689999999999</v>
      </c>
    </row>
    <row r="2724" spans="1:9" s="71" customFormat="1" ht="16.5" hidden="1" customHeight="1" outlineLevel="1" x14ac:dyDescent="0.25">
      <c r="A2724" s="74">
        <v>812</v>
      </c>
      <c r="B2724" s="45" t="s">
        <v>664</v>
      </c>
      <c r="C2724" s="60" t="s">
        <v>2349</v>
      </c>
      <c r="D2724" s="60"/>
      <c r="E2724" s="74">
        <v>2022</v>
      </c>
      <c r="F2724" s="74" t="s">
        <v>489</v>
      </c>
      <c r="G2724" s="61">
        <v>1</v>
      </c>
      <c r="H2724" s="45">
        <v>14</v>
      </c>
      <c r="I2724" s="74">
        <v>25.24136</v>
      </c>
    </row>
    <row r="2725" spans="1:9" s="71" customFormat="1" ht="16.5" hidden="1" customHeight="1" outlineLevel="1" x14ac:dyDescent="0.25">
      <c r="A2725" s="74">
        <v>863</v>
      </c>
      <c r="B2725" s="45" t="s">
        <v>664</v>
      </c>
      <c r="C2725" s="60" t="s">
        <v>2350</v>
      </c>
      <c r="D2725" s="60"/>
      <c r="E2725" s="74">
        <v>2022</v>
      </c>
      <c r="F2725" s="74" t="s">
        <v>489</v>
      </c>
      <c r="G2725" s="61">
        <v>1</v>
      </c>
      <c r="H2725" s="45">
        <v>15</v>
      </c>
      <c r="I2725" s="74">
        <v>25.830680000000001</v>
      </c>
    </row>
    <row r="2726" spans="1:9" s="71" customFormat="1" ht="16.5" hidden="1" customHeight="1" outlineLevel="1" x14ac:dyDescent="0.25">
      <c r="A2726" s="74">
        <v>511</v>
      </c>
      <c r="B2726" s="45" t="s">
        <v>664</v>
      </c>
      <c r="C2726" s="60" t="s">
        <v>2351</v>
      </c>
      <c r="D2726" s="60"/>
      <c r="E2726" s="74">
        <v>2022</v>
      </c>
      <c r="F2726" s="74" t="s">
        <v>489</v>
      </c>
      <c r="G2726" s="61">
        <v>1</v>
      </c>
      <c r="H2726" s="45">
        <v>15</v>
      </c>
      <c r="I2726" s="74">
        <v>30.327940000000002</v>
      </c>
    </row>
    <row r="2727" spans="1:9" s="71" customFormat="1" ht="16.5" hidden="1" customHeight="1" outlineLevel="1" x14ac:dyDescent="0.25">
      <c r="A2727" s="74">
        <v>491</v>
      </c>
      <c r="B2727" s="45" t="s">
        <v>664</v>
      </c>
      <c r="C2727" s="60" t="s">
        <v>2352</v>
      </c>
      <c r="D2727" s="60"/>
      <c r="E2727" s="74">
        <v>2022</v>
      </c>
      <c r="F2727" s="74" t="s">
        <v>489</v>
      </c>
      <c r="G2727" s="61">
        <v>1</v>
      </c>
      <c r="H2727" s="45">
        <v>15</v>
      </c>
      <c r="I2727" s="74">
        <v>27.26427</v>
      </c>
    </row>
    <row r="2728" spans="1:9" s="71" customFormat="1" ht="16.5" hidden="1" customHeight="1" outlineLevel="1" x14ac:dyDescent="0.25">
      <c r="A2728" s="74">
        <v>489</v>
      </c>
      <c r="B2728" s="45" t="s">
        <v>664</v>
      </c>
      <c r="C2728" s="60" t="s">
        <v>2353</v>
      </c>
      <c r="D2728" s="60"/>
      <c r="E2728" s="74">
        <v>2022</v>
      </c>
      <c r="F2728" s="74" t="s">
        <v>489</v>
      </c>
      <c r="G2728" s="61">
        <v>1</v>
      </c>
      <c r="H2728" s="45">
        <v>15</v>
      </c>
      <c r="I2728" s="74">
        <v>26.463329999999999</v>
      </c>
    </row>
    <row r="2729" spans="1:9" s="71" customFormat="1" ht="16.5" hidden="1" customHeight="1" outlineLevel="1" x14ac:dyDescent="0.25">
      <c r="A2729" s="74">
        <v>669</v>
      </c>
      <c r="B2729" s="45" t="s">
        <v>664</v>
      </c>
      <c r="C2729" s="60" t="s">
        <v>2354</v>
      </c>
      <c r="D2729" s="60"/>
      <c r="E2729" s="74">
        <v>2022</v>
      </c>
      <c r="F2729" s="74" t="s">
        <v>489</v>
      </c>
      <c r="G2729" s="61">
        <v>1</v>
      </c>
      <c r="H2729" s="45">
        <v>15</v>
      </c>
      <c r="I2729" s="74">
        <v>26.084350000000001</v>
      </c>
    </row>
    <row r="2730" spans="1:9" s="71" customFormat="1" ht="16.5" hidden="1" customHeight="1" outlineLevel="1" x14ac:dyDescent="0.25">
      <c r="A2730" s="74">
        <v>588</v>
      </c>
      <c r="B2730" s="45" t="s">
        <v>664</v>
      </c>
      <c r="C2730" s="60" t="s">
        <v>2355</v>
      </c>
      <c r="D2730" s="60"/>
      <c r="E2730" s="74">
        <v>2022</v>
      </c>
      <c r="F2730" s="74" t="s">
        <v>489</v>
      </c>
      <c r="G2730" s="61">
        <v>1</v>
      </c>
      <c r="H2730" s="45">
        <v>30</v>
      </c>
      <c r="I2730" s="74">
        <v>26.718979999999998</v>
      </c>
    </row>
    <row r="2731" spans="1:9" s="71" customFormat="1" ht="16.5" hidden="1" customHeight="1" outlineLevel="1" x14ac:dyDescent="0.25">
      <c r="A2731" s="74">
        <v>510</v>
      </c>
      <c r="B2731" s="45" t="s">
        <v>664</v>
      </c>
      <c r="C2731" s="60" t="s">
        <v>2356</v>
      </c>
      <c r="D2731" s="60"/>
      <c r="E2731" s="74">
        <v>2022</v>
      </c>
      <c r="F2731" s="74" t="s">
        <v>489</v>
      </c>
      <c r="G2731" s="61">
        <v>1</v>
      </c>
      <c r="H2731" s="45">
        <v>15</v>
      </c>
      <c r="I2731" s="74">
        <v>28.24474</v>
      </c>
    </row>
    <row r="2732" spans="1:9" s="71" customFormat="1" ht="16.5" hidden="1" customHeight="1" outlineLevel="1" x14ac:dyDescent="0.25">
      <c r="A2732" s="74">
        <v>510</v>
      </c>
      <c r="B2732" s="45" t="s">
        <v>664</v>
      </c>
      <c r="C2732" s="60" t="s">
        <v>2356</v>
      </c>
      <c r="D2732" s="60"/>
      <c r="E2732" s="74">
        <v>2022</v>
      </c>
      <c r="F2732" s="74" t="s">
        <v>489</v>
      </c>
      <c r="G2732" s="61">
        <v>1</v>
      </c>
      <c r="H2732" s="45">
        <v>15</v>
      </c>
      <c r="I2732" s="74">
        <v>28.24474</v>
      </c>
    </row>
    <row r="2733" spans="1:9" s="71" customFormat="1" ht="16.5" hidden="1" customHeight="1" outlineLevel="1" x14ac:dyDescent="0.25">
      <c r="A2733" s="74">
        <v>517</v>
      </c>
      <c r="B2733" s="45" t="s">
        <v>664</v>
      </c>
      <c r="C2733" s="60" t="s">
        <v>2357</v>
      </c>
      <c r="D2733" s="60"/>
      <c r="E2733" s="74">
        <v>2022</v>
      </c>
      <c r="F2733" s="74" t="s">
        <v>489</v>
      </c>
      <c r="G2733" s="61">
        <v>1</v>
      </c>
      <c r="H2733" s="45">
        <v>15</v>
      </c>
      <c r="I2733" s="74">
        <v>27.925989999999999</v>
      </c>
    </row>
    <row r="2734" spans="1:9" s="71" customFormat="1" ht="16.5" hidden="1" customHeight="1" outlineLevel="1" x14ac:dyDescent="0.25">
      <c r="A2734" s="74">
        <v>485</v>
      </c>
      <c r="B2734" s="45" t="s">
        <v>664</v>
      </c>
      <c r="C2734" s="60" t="s">
        <v>2358</v>
      </c>
      <c r="D2734" s="60"/>
      <c r="E2734" s="74">
        <v>2022</v>
      </c>
      <c r="F2734" s="74" t="s">
        <v>489</v>
      </c>
      <c r="G2734" s="61">
        <v>1</v>
      </c>
      <c r="H2734" s="45">
        <v>15</v>
      </c>
      <c r="I2734" s="74">
        <v>29.096699999999998</v>
      </c>
    </row>
    <row r="2735" spans="1:9" s="71" customFormat="1" ht="16.5" hidden="1" customHeight="1" outlineLevel="1" x14ac:dyDescent="0.25">
      <c r="A2735" s="74">
        <v>554</v>
      </c>
      <c r="B2735" s="45" t="s">
        <v>664</v>
      </c>
      <c r="C2735" s="60" t="s">
        <v>2359</v>
      </c>
      <c r="D2735" s="60"/>
      <c r="E2735" s="74">
        <v>2022</v>
      </c>
      <c r="F2735" s="74" t="s">
        <v>489</v>
      </c>
      <c r="G2735" s="61">
        <v>1</v>
      </c>
      <c r="H2735" s="45">
        <v>15</v>
      </c>
      <c r="I2735" s="74">
        <v>33.940539999999999</v>
      </c>
    </row>
    <row r="2736" spans="1:9" s="71" customFormat="1" ht="16.5" hidden="1" customHeight="1" outlineLevel="1" x14ac:dyDescent="0.25">
      <c r="A2736" s="74">
        <v>522</v>
      </c>
      <c r="B2736" s="45" t="s">
        <v>664</v>
      </c>
      <c r="C2736" s="60" t="s">
        <v>2360</v>
      </c>
      <c r="D2736" s="60"/>
      <c r="E2736" s="74">
        <v>2022</v>
      </c>
      <c r="F2736" s="74" t="s">
        <v>489</v>
      </c>
      <c r="G2736" s="61">
        <v>1</v>
      </c>
      <c r="H2736" s="45">
        <v>15</v>
      </c>
      <c r="I2736" s="74">
        <v>30.961819999999999</v>
      </c>
    </row>
    <row r="2737" spans="1:9" s="71" customFormat="1" ht="16.5" hidden="1" customHeight="1" outlineLevel="1" x14ac:dyDescent="0.25">
      <c r="A2737" s="74">
        <v>524</v>
      </c>
      <c r="B2737" s="45" t="s">
        <v>664</v>
      </c>
      <c r="C2737" s="60" t="s">
        <v>2361</v>
      </c>
      <c r="D2737" s="60"/>
      <c r="E2737" s="74">
        <v>2022</v>
      </c>
      <c r="F2737" s="74" t="s">
        <v>489</v>
      </c>
      <c r="G2737" s="61">
        <v>1</v>
      </c>
      <c r="H2737" s="45">
        <v>15</v>
      </c>
      <c r="I2737" s="74">
        <v>29.61347</v>
      </c>
    </row>
    <row r="2738" spans="1:9" s="71" customFormat="1" ht="16.5" hidden="1" customHeight="1" outlineLevel="1" x14ac:dyDescent="0.25">
      <c r="A2738" s="74">
        <v>869</v>
      </c>
      <c r="B2738" s="45" t="s">
        <v>664</v>
      </c>
      <c r="C2738" s="60" t="s">
        <v>2362</v>
      </c>
      <c r="D2738" s="60"/>
      <c r="E2738" s="74">
        <v>2022</v>
      </c>
      <c r="F2738" s="74" t="s">
        <v>489</v>
      </c>
      <c r="G2738" s="61">
        <v>1</v>
      </c>
      <c r="H2738" s="45">
        <v>9</v>
      </c>
      <c r="I2738" s="74">
        <v>27.824940000000002</v>
      </c>
    </row>
    <row r="2739" spans="1:9" s="71" customFormat="1" ht="16.5" hidden="1" customHeight="1" outlineLevel="1" x14ac:dyDescent="0.25">
      <c r="A2739" s="74">
        <v>656</v>
      </c>
      <c r="B2739" s="45" t="s">
        <v>662</v>
      </c>
      <c r="C2739" s="60" t="s">
        <v>2363</v>
      </c>
      <c r="D2739" s="60"/>
      <c r="E2739" s="74">
        <v>2022</v>
      </c>
      <c r="F2739" s="74" t="s">
        <v>489</v>
      </c>
      <c r="G2739" s="61">
        <v>1</v>
      </c>
      <c r="H2739" s="45">
        <v>15</v>
      </c>
      <c r="I2739" s="74">
        <v>34.346589999999999</v>
      </c>
    </row>
    <row r="2740" spans="1:9" s="71" customFormat="1" ht="16.5" hidden="1" customHeight="1" outlineLevel="1" x14ac:dyDescent="0.25">
      <c r="A2740" s="74">
        <v>776</v>
      </c>
      <c r="B2740" s="45" t="s">
        <v>662</v>
      </c>
      <c r="C2740" s="60" t="s">
        <v>2364</v>
      </c>
      <c r="D2740" s="60"/>
      <c r="E2740" s="74">
        <v>2022</v>
      </c>
      <c r="F2740" s="74" t="s">
        <v>489</v>
      </c>
      <c r="G2740" s="61">
        <v>1</v>
      </c>
      <c r="H2740" s="45">
        <v>15</v>
      </c>
      <c r="I2740" s="74">
        <v>27.973479999999999</v>
      </c>
    </row>
    <row r="2741" spans="1:9" s="71" customFormat="1" ht="16.5" hidden="1" customHeight="1" outlineLevel="1" x14ac:dyDescent="0.25">
      <c r="A2741" s="74">
        <v>730</v>
      </c>
      <c r="B2741" s="45" t="s">
        <v>664</v>
      </c>
      <c r="C2741" s="60" t="s">
        <v>2365</v>
      </c>
      <c r="D2741" s="60"/>
      <c r="E2741" s="74">
        <v>2022</v>
      </c>
      <c r="F2741" s="74" t="s">
        <v>489</v>
      </c>
      <c r="G2741" s="61">
        <v>1</v>
      </c>
      <c r="H2741" s="45">
        <v>15</v>
      </c>
      <c r="I2741" s="74">
        <v>29.119540000000001</v>
      </c>
    </row>
    <row r="2742" spans="1:9" s="71" customFormat="1" ht="16.5" hidden="1" customHeight="1" outlineLevel="1" x14ac:dyDescent="0.25">
      <c r="A2742" s="74">
        <v>603</v>
      </c>
      <c r="B2742" s="45" t="s">
        <v>664</v>
      </c>
      <c r="C2742" s="60" t="s">
        <v>2366</v>
      </c>
      <c r="D2742" s="60"/>
      <c r="E2742" s="74">
        <v>2022</v>
      </c>
      <c r="F2742" s="74" t="s">
        <v>489</v>
      </c>
      <c r="G2742" s="61">
        <v>1</v>
      </c>
      <c r="H2742" s="45">
        <v>15</v>
      </c>
      <c r="I2742" s="74">
        <v>24.922529999999998</v>
      </c>
    </row>
    <row r="2743" spans="1:9" s="71" customFormat="1" ht="16.5" hidden="1" customHeight="1" outlineLevel="1" x14ac:dyDescent="0.25">
      <c r="A2743" s="74">
        <v>684</v>
      </c>
      <c r="B2743" s="45" t="s">
        <v>664</v>
      </c>
      <c r="C2743" s="60" t="s">
        <v>2367</v>
      </c>
      <c r="D2743" s="60"/>
      <c r="E2743" s="74">
        <v>2022</v>
      </c>
      <c r="F2743" s="74" t="s">
        <v>489</v>
      </c>
      <c r="G2743" s="61">
        <v>1</v>
      </c>
      <c r="H2743" s="45">
        <v>15</v>
      </c>
      <c r="I2743" s="74">
        <v>24.28463</v>
      </c>
    </row>
    <row r="2744" spans="1:9" s="71" customFormat="1" ht="16.5" hidden="1" customHeight="1" outlineLevel="1" x14ac:dyDescent="0.25">
      <c r="A2744" s="74">
        <v>602</v>
      </c>
      <c r="B2744" s="45" t="s">
        <v>664</v>
      </c>
      <c r="C2744" s="60" t="s">
        <v>2368</v>
      </c>
      <c r="D2744" s="60"/>
      <c r="E2744" s="74">
        <v>2022</v>
      </c>
      <c r="F2744" s="74" t="s">
        <v>489</v>
      </c>
      <c r="G2744" s="61">
        <v>1</v>
      </c>
      <c r="H2744" s="45">
        <v>15</v>
      </c>
      <c r="I2744" s="74">
        <v>24.55735</v>
      </c>
    </row>
    <row r="2745" spans="1:9" s="71" customFormat="1" ht="16.5" hidden="1" customHeight="1" outlineLevel="1" x14ac:dyDescent="0.25">
      <c r="A2745" s="74">
        <v>807</v>
      </c>
      <c r="B2745" s="45" t="s">
        <v>664</v>
      </c>
      <c r="C2745" s="60" t="s">
        <v>2369</v>
      </c>
      <c r="D2745" s="60"/>
      <c r="E2745" s="74">
        <v>2022</v>
      </c>
      <c r="F2745" s="74" t="s">
        <v>489</v>
      </c>
      <c r="G2745" s="61">
        <v>1</v>
      </c>
      <c r="H2745" s="45">
        <v>15</v>
      </c>
      <c r="I2745" s="74">
        <v>24.671769999999999</v>
      </c>
    </row>
    <row r="2746" spans="1:9" s="71" customFormat="1" ht="16.5" hidden="1" customHeight="1" outlineLevel="1" x14ac:dyDescent="0.25">
      <c r="A2746" s="74">
        <v>743</v>
      </c>
      <c r="B2746" s="45" t="s">
        <v>664</v>
      </c>
      <c r="C2746" s="60" t="s">
        <v>2370</v>
      </c>
      <c r="D2746" s="60"/>
      <c r="E2746" s="74">
        <v>2022</v>
      </c>
      <c r="F2746" s="74" t="s">
        <v>489</v>
      </c>
      <c r="G2746" s="61">
        <v>1</v>
      </c>
      <c r="H2746" s="45">
        <v>10</v>
      </c>
      <c r="I2746" s="74">
        <v>17.353870000000001</v>
      </c>
    </row>
    <row r="2747" spans="1:9" s="71" customFormat="1" ht="16.5" hidden="1" customHeight="1" outlineLevel="1" x14ac:dyDescent="0.25">
      <c r="A2747" s="74">
        <v>740</v>
      </c>
      <c r="B2747" s="45" t="s">
        <v>664</v>
      </c>
      <c r="C2747" s="60" t="s">
        <v>2371</v>
      </c>
      <c r="D2747" s="60"/>
      <c r="E2747" s="74">
        <v>2022</v>
      </c>
      <c r="F2747" s="74" t="s">
        <v>489</v>
      </c>
      <c r="G2747" s="61">
        <v>1</v>
      </c>
      <c r="H2747" s="45">
        <v>15</v>
      </c>
      <c r="I2747" s="74">
        <v>24.675180000000001</v>
      </c>
    </row>
    <row r="2748" spans="1:9" s="71" customFormat="1" ht="16.5" hidden="1" customHeight="1" outlineLevel="1" x14ac:dyDescent="0.25">
      <c r="A2748" s="74">
        <v>731</v>
      </c>
      <c r="B2748" s="45" t="s">
        <v>664</v>
      </c>
      <c r="C2748" s="60" t="s">
        <v>2372</v>
      </c>
      <c r="D2748" s="60"/>
      <c r="E2748" s="74">
        <v>2022</v>
      </c>
      <c r="F2748" s="74" t="s">
        <v>489</v>
      </c>
      <c r="G2748" s="61">
        <v>1</v>
      </c>
      <c r="H2748" s="45">
        <v>15</v>
      </c>
      <c r="I2748" s="74">
        <v>24.552520000000001</v>
      </c>
    </row>
    <row r="2749" spans="1:9" s="71" customFormat="1" ht="16.5" hidden="1" customHeight="1" outlineLevel="1" x14ac:dyDescent="0.25">
      <c r="A2749" s="74">
        <v>777</v>
      </c>
      <c r="B2749" s="45" t="s">
        <v>664</v>
      </c>
      <c r="C2749" s="60" t="s">
        <v>2373</v>
      </c>
      <c r="D2749" s="60"/>
      <c r="E2749" s="74">
        <v>2022</v>
      </c>
      <c r="F2749" s="74" t="s">
        <v>489</v>
      </c>
      <c r="G2749" s="61">
        <v>1</v>
      </c>
      <c r="H2749" s="45">
        <v>9</v>
      </c>
      <c r="I2749" s="74">
        <v>24.569320000000001</v>
      </c>
    </row>
    <row r="2750" spans="1:9" s="71" customFormat="1" ht="16.5" hidden="1" customHeight="1" outlineLevel="1" x14ac:dyDescent="0.25">
      <c r="A2750" s="74">
        <v>759</v>
      </c>
      <c r="B2750" s="45" t="s">
        <v>664</v>
      </c>
      <c r="C2750" s="60" t="s">
        <v>2374</v>
      </c>
      <c r="D2750" s="60"/>
      <c r="E2750" s="74">
        <v>2022</v>
      </c>
      <c r="F2750" s="74" t="s">
        <v>489</v>
      </c>
      <c r="G2750" s="61">
        <v>1</v>
      </c>
      <c r="H2750" s="45">
        <v>15</v>
      </c>
      <c r="I2750" s="74">
        <v>25.12593</v>
      </c>
    </row>
    <row r="2751" spans="1:9" s="71" customFormat="1" ht="16.5" hidden="1" customHeight="1" outlineLevel="1" x14ac:dyDescent="0.25">
      <c r="A2751" s="74">
        <v>645</v>
      </c>
      <c r="B2751" s="45" t="s">
        <v>664</v>
      </c>
      <c r="C2751" s="60" t="s">
        <v>2375</v>
      </c>
      <c r="D2751" s="60"/>
      <c r="E2751" s="74">
        <v>2022</v>
      </c>
      <c r="F2751" s="74" t="s">
        <v>489</v>
      </c>
      <c r="G2751" s="61">
        <v>2</v>
      </c>
      <c r="H2751" s="45">
        <v>30</v>
      </c>
      <c r="I2751" s="74">
        <v>51.931849999999997</v>
      </c>
    </row>
    <row r="2752" spans="1:9" s="71" customFormat="1" ht="16.5" hidden="1" customHeight="1" outlineLevel="1" x14ac:dyDescent="0.25">
      <c r="A2752" s="74">
        <v>741</v>
      </c>
      <c r="B2752" s="45" t="s">
        <v>664</v>
      </c>
      <c r="C2752" s="60" t="s">
        <v>2376</v>
      </c>
      <c r="D2752" s="60"/>
      <c r="E2752" s="74">
        <v>2022</v>
      </c>
      <c r="F2752" s="74" t="s">
        <v>489</v>
      </c>
      <c r="G2752" s="61">
        <v>1</v>
      </c>
      <c r="H2752" s="45">
        <v>9</v>
      </c>
      <c r="I2752" s="74">
        <v>24.569330000000001</v>
      </c>
    </row>
    <row r="2753" spans="1:9" s="71" customFormat="1" ht="16.5" hidden="1" customHeight="1" outlineLevel="1" x14ac:dyDescent="0.25">
      <c r="A2753" s="74">
        <v>842</v>
      </c>
      <c r="B2753" s="45" t="s">
        <v>664</v>
      </c>
      <c r="C2753" s="60" t="s">
        <v>2377</v>
      </c>
      <c r="D2753" s="60"/>
      <c r="E2753" s="74">
        <v>2022</v>
      </c>
      <c r="F2753" s="74" t="s">
        <v>489</v>
      </c>
      <c r="G2753" s="61">
        <v>1</v>
      </c>
      <c r="H2753" s="45">
        <v>10</v>
      </c>
      <c r="I2753" s="74">
        <v>25.446449999999999</v>
      </c>
    </row>
    <row r="2754" spans="1:9" s="71" customFormat="1" ht="16.5" hidden="1" customHeight="1" outlineLevel="1" x14ac:dyDescent="0.25">
      <c r="A2754" s="74">
        <v>739</v>
      </c>
      <c r="B2754" s="45" t="s">
        <v>664</v>
      </c>
      <c r="C2754" s="60" t="s">
        <v>2378</v>
      </c>
      <c r="D2754" s="60"/>
      <c r="E2754" s="74">
        <v>2022</v>
      </c>
      <c r="F2754" s="74" t="s">
        <v>489</v>
      </c>
      <c r="G2754" s="61">
        <v>1</v>
      </c>
      <c r="H2754" s="45">
        <v>9</v>
      </c>
      <c r="I2754" s="74">
        <v>25.394850000000002</v>
      </c>
    </row>
    <row r="2755" spans="1:9" s="71" customFormat="1" ht="16.5" hidden="1" customHeight="1" outlineLevel="1" x14ac:dyDescent="0.25">
      <c r="A2755" s="74">
        <v>751</v>
      </c>
      <c r="B2755" s="45" t="s">
        <v>664</v>
      </c>
      <c r="C2755" s="60" t="s">
        <v>2379</v>
      </c>
      <c r="D2755" s="60"/>
      <c r="E2755" s="74">
        <v>2022</v>
      </c>
      <c r="F2755" s="74" t="s">
        <v>489</v>
      </c>
      <c r="G2755" s="61">
        <v>1</v>
      </c>
      <c r="H2755" s="45">
        <v>15</v>
      </c>
      <c r="I2755" s="74">
        <v>25.93084</v>
      </c>
    </row>
    <row r="2756" spans="1:9" s="71" customFormat="1" ht="16.5" hidden="1" customHeight="1" outlineLevel="1" x14ac:dyDescent="0.25">
      <c r="A2756" s="74">
        <v>781</v>
      </c>
      <c r="B2756" s="45" t="s">
        <v>664</v>
      </c>
      <c r="C2756" s="60" t="s">
        <v>2380</v>
      </c>
      <c r="D2756" s="60"/>
      <c r="E2756" s="74">
        <v>2022</v>
      </c>
      <c r="F2756" s="74" t="s">
        <v>489</v>
      </c>
      <c r="G2756" s="61">
        <v>1</v>
      </c>
      <c r="H2756" s="45">
        <v>9</v>
      </c>
      <c r="I2756" s="74">
        <v>24.569330000000001</v>
      </c>
    </row>
    <row r="2757" spans="1:9" s="71" customFormat="1" ht="16.5" hidden="1" customHeight="1" outlineLevel="1" x14ac:dyDescent="0.25">
      <c r="A2757" s="74">
        <v>729</v>
      </c>
      <c r="B2757" s="45" t="s">
        <v>664</v>
      </c>
      <c r="C2757" s="60" t="s">
        <v>2381</v>
      </c>
      <c r="D2757" s="60"/>
      <c r="E2757" s="74">
        <v>2022</v>
      </c>
      <c r="F2757" s="74" t="s">
        <v>489</v>
      </c>
      <c r="G2757" s="61">
        <v>1</v>
      </c>
      <c r="H2757" s="45">
        <v>9</v>
      </c>
      <c r="I2757" s="74">
        <v>24.552520000000001</v>
      </c>
    </row>
    <row r="2758" spans="1:9" s="71" customFormat="1" ht="16.5" hidden="1" customHeight="1" outlineLevel="1" x14ac:dyDescent="0.25">
      <c r="A2758" s="74">
        <v>742</v>
      </c>
      <c r="B2758" s="45" t="s">
        <v>664</v>
      </c>
      <c r="C2758" s="60" t="s">
        <v>2382</v>
      </c>
      <c r="D2758" s="60"/>
      <c r="E2758" s="74">
        <v>2022</v>
      </c>
      <c r="F2758" s="74" t="s">
        <v>489</v>
      </c>
      <c r="G2758" s="61">
        <v>1</v>
      </c>
      <c r="H2758" s="45">
        <v>15</v>
      </c>
      <c r="I2758" s="74">
        <v>25.38626</v>
      </c>
    </row>
    <row r="2759" spans="1:9" s="71" customFormat="1" ht="16.5" hidden="1" customHeight="1" outlineLevel="1" x14ac:dyDescent="0.25">
      <c r="A2759" s="74">
        <v>755</v>
      </c>
      <c r="B2759" s="45" t="s">
        <v>664</v>
      </c>
      <c r="C2759" s="60" t="s">
        <v>2383</v>
      </c>
      <c r="D2759" s="60"/>
      <c r="E2759" s="74">
        <v>2022</v>
      </c>
      <c r="F2759" s="74" t="s">
        <v>489</v>
      </c>
      <c r="G2759" s="61">
        <v>1</v>
      </c>
      <c r="H2759" s="45">
        <v>15</v>
      </c>
      <c r="I2759" s="74">
        <v>24.705549999999999</v>
      </c>
    </row>
    <row r="2760" spans="1:9" s="71" customFormat="1" ht="16.5" hidden="1" customHeight="1" outlineLevel="1" x14ac:dyDescent="0.25">
      <c r="A2760" s="74">
        <v>750</v>
      </c>
      <c r="B2760" s="45" t="s">
        <v>664</v>
      </c>
      <c r="C2760" s="60" t="s">
        <v>2384</v>
      </c>
      <c r="D2760" s="60"/>
      <c r="E2760" s="74">
        <v>2022</v>
      </c>
      <c r="F2760" s="74" t="s">
        <v>489</v>
      </c>
      <c r="G2760" s="61">
        <v>1</v>
      </c>
      <c r="H2760" s="45">
        <v>15</v>
      </c>
      <c r="I2760" s="74">
        <v>24.569299999999998</v>
      </c>
    </row>
    <row r="2761" spans="1:9" s="71" customFormat="1" ht="16.5" hidden="1" customHeight="1" outlineLevel="1" x14ac:dyDescent="0.25">
      <c r="A2761" s="74">
        <v>627</v>
      </c>
      <c r="B2761" s="45" t="s">
        <v>664</v>
      </c>
      <c r="C2761" s="60" t="s">
        <v>2385</v>
      </c>
      <c r="D2761" s="60"/>
      <c r="E2761" s="74">
        <v>2022</v>
      </c>
      <c r="F2761" s="74" t="s">
        <v>489</v>
      </c>
      <c r="G2761" s="61">
        <v>1</v>
      </c>
      <c r="H2761" s="45">
        <v>15</v>
      </c>
      <c r="I2761" s="74">
        <v>26.325140000000001</v>
      </c>
    </row>
    <row r="2762" spans="1:9" s="71" customFormat="1" ht="16.5" hidden="1" customHeight="1" outlineLevel="1" x14ac:dyDescent="0.25">
      <c r="A2762" s="74">
        <v>778</v>
      </c>
      <c r="B2762" s="45" t="s">
        <v>664</v>
      </c>
      <c r="C2762" s="60" t="s">
        <v>2386</v>
      </c>
      <c r="D2762" s="60"/>
      <c r="E2762" s="74">
        <v>2022</v>
      </c>
      <c r="F2762" s="74" t="s">
        <v>489</v>
      </c>
      <c r="G2762" s="61">
        <v>1</v>
      </c>
      <c r="H2762" s="45">
        <v>15</v>
      </c>
      <c r="I2762" s="74">
        <v>24.569330000000001</v>
      </c>
    </row>
    <row r="2763" spans="1:9" s="71" customFormat="1" ht="16.5" hidden="1" customHeight="1" outlineLevel="1" x14ac:dyDescent="0.25">
      <c r="A2763" s="74">
        <v>711</v>
      </c>
      <c r="B2763" s="45" t="s">
        <v>664</v>
      </c>
      <c r="C2763" s="60" t="s">
        <v>2387</v>
      </c>
      <c r="D2763" s="60"/>
      <c r="E2763" s="74">
        <v>2022</v>
      </c>
      <c r="F2763" s="74" t="s">
        <v>489</v>
      </c>
      <c r="G2763" s="61">
        <v>1</v>
      </c>
      <c r="H2763" s="45">
        <v>15</v>
      </c>
      <c r="I2763" s="74">
        <v>25.459250000000001</v>
      </c>
    </row>
    <row r="2764" spans="1:9" s="71" customFormat="1" ht="16.5" hidden="1" customHeight="1" outlineLevel="1" x14ac:dyDescent="0.25">
      <c r="A2764" s="74">
        <v>630</v>
      </c>
      <c r="B2764" s="45" t="s">
        <v>664</v>
      </c>
      <c r="C2764" s="60" t="s">
        <v>2388</v>
      </c>
      <c r="D2764" s="60"/>
      <c r="E2764" s="74">
        <v>2022</v>
      </c>
      <c r="F2764" s="74" t="s">
        <v>489</v>
      </c>
      <c r="G2764" s="61">
        <v>1</v>
      </c>
      <c r="H2764" s="45">
        <v>15</v>
      </c>
      <c r="I2764" s="74">
        <v>26.357610000000001</v>
      </c>
    </row>
    <row r="2765" spans="1:9" s="71" customFormat="1" ht="16.5" hidden="1" customHeight="1" outlineLevel="1" x14ac:dyDescent="0.25">
      <c r="A2765" s="74">
        <v>590</v>
      </c>
      <c r="B2765" s="45" t="s">
        <v>664</v>
      </c>
      <c r="C2765" s="60" t="s">
        <v>2389</v>
      </c>
      <c r="D2765" s="60"/>
      <c r="E2765" s="74">
        <v>2022</v>
      </c>
      <c r="F2765" s="74" t="s">
        <v>489</v>
      </c>
      <c r="G2765" s="61">
        <v>1</v>
      </c>
      <c r="H2765" s="45">
        <v>15</v>
      </c>
      <c r="I2765" s="74">
        <v>22.34158</v>
      </c>
    </row>
    <row r="2766" spans="1:9" s="71" customFormat="1" ht="16.5" hidden="1" customHeight="1" outlineLevel="1" x14ac:dyDescent="0.25">
      <c r="A2766" s="74">
        <v>633</v>
      </c>
      <c r="B2766" s="45" t="s">
        <v>664</v>
      </c>
      <c r="C2766" s="60" t="s">
        <v>2390</v>
      </c>
      <c r="D2766" s="60"/>
      <c r="E2766" s="74">
        <v>2022</v>
      </c>
      <c r="F2766" s="74" t="s">
        <v>489</v>
      </c>
      <c r="G2766" s="61">
        <v>1</v>
      </c>
      <c r="H2766" s="45">
        <v>15</v>
      </c>
      <c r="I2766" s="74">
        <v>26.387149999999998</v>
      </c>
    </row>
    <row r="2767" spans="1:9" s="71" customFormat="1" ht="16.5" hidden="1" customHeight="1" outlineLevel="1" x14ac:dyDescent="0.25">
      <c r="A2767" s="74">
        <v>673</v>
      </c>
      <c r="B2767" s="45" t="s">
        <v>664</v>
      </c>
      <c r="C2767" s="60" t="s">
        <v>2391</v>
      </c>
      <c r="D2767" s="60"/>
      <c r="E2767" s="74">
        <v>2022</v>
      </c>
      <c r="F2767" s="74" t="s">
        <v>489</v>
      </c>
      <c r="G2767" s="61">
        <v>1</v>
      </c>
      <c r="H2767" s="45">
        <v>15</v>
      </c>
      <c r="I2767" s="74">
        <v>23.198070000000001</v>
      </c>
    </row>
    <row r="2768" spans="1:9" s="71" customFormat="1" ht="16.5" hidden="1" customHeight="1" outlineLevel="1" x14ac:dyDescent="0.25">
      <c r="A2768" s="74">
        <v>761</v>
      </c>
      <c r="B2768" s="45" t="s">
        <v>664</v>
      </c>
      <c r="C2768" s="60" t="s">
        <v>2392</v>
      </c>
      <c r="D2768" s="60"/>
      <c r="E2768" s="74">
        <v>2022</v>
      </c>
      <c r="F2768" s="74" t="s">
        <v>489</v>
      </c>
      <c r="G2768" s="61">
        <v>1</v>
      </c>
      <c r="H2768" s="45">
        <v>15</v>
      </c>
      <c r="I2768" s="74">
        <v>24.56934</v>
      </c>
    </row>
    <row r="2769" spans="1:9" s="71" customFormat="1" ht="16.5" hidden="1" customHeight="1" outlineLevel="1" x14ac:dyDescent="0.25">
      <c r="A2769" s="74">
        <v>663</v>
      </c>
      <c r="B2769" s="45" t="s">
        <v>664</v>
      </c>
      <c r="C2769" s="60" t="s">
        <v>2393</v>
      </c>
      <c r="D2769" s="60"/>
      <c r="E2769" s="74">
        <v>2022</v>
      </c>
      <c r="F2769" s="74" t="s">
        <v>489</v>
      </c>
      <c r="G2769" s="61">
        <v>1</v>
      </c>
      <c r="H2769" s="45">
        <v>15</v>
      </c>
      <c r="I2769" s="74">
        <v>27.38937</v>
      </c>
    </row>
    <row r="2770" spans="1:9" s="71" customFormat="1" ht="16.5" hidden="1" customHeight="1" outlineLevel="1" x14ac:dyDescent="0.25">
      <c r="A2770" s="74">
        <v>722</v>
      </c>
      <c r="B2770" s="45" t="s">
        <v>664</v>
      </c>
      <c r="C2770" s="60" t="s">
        <v>2394</v>
      </c>
      <c r="D2770" s="60"/>
      <c r="E2770" s="74">
        <v>2022</v>
      </c>
      <c r="F2770" s="74" t="s">
        <v>489</v>
      </c>
      <c r="G2770" s="61">
        <v>1</v>
      </c>
      <c r="H2770" s="45">
        <v>15</v>
      </c>
      <c r="I2770" s="74">
        <v>24.68871</v>
      </c>
    </row>
    <row r="2771" spans="1:9" s="71" customFormat="1" ht="16.5" hidden="1" customHeight="1" outlineLevel="1" x14ac:dyDescent="0.25">
      <c r="A2771" s="74">
        <v>664</v>
      </c>
      <c r="B2771" s="45" t="s">
        <v>664</v>
      </c>
      <c r="C2771" s="60" t="s">
        <v>2395</v>
      </c>
      <c r="D2771" s="60"/>
      <c r="E2771" s="74">
        <v>2022</v>
      </c>
      <c r="F2771" s="74" t="s">
        <v>489</v>
      </c>
      <c r="G2771" s="61">
        <v>1</v>
      </c>
      <c r="H2771" s="45">
        <v>15</v>
      </c>
      <c r="I2771" s="74">
        <v>22.92305</v>
      </c>
    </row>
    <row r="2772" spans="1:9" s="71" customFormat="1" ht="16.5" hidden="1" customHeight="1" outlineLevel="1" x14ac:dyDescent="0.25">
      <c r="A2772" s="74">
        <v>704</v>
      </c>
      <c r="B2772" s="45" t="s">
        <v>664</v>
      </c>
      <c r="C2772" s="60" t="s">
        <v>2396</v>
      </c>
      <c r="D2772" s="60"/>
      <c r="E2772" s="74">
        <v>2022</v>
      </c>
      <c r="F2772" s="74" t="s">
        <v>489</v>
      </c>
      <c r="G2772" s="61">
        <v>1</v>
      </c>
      <c r="H2772" s="45">
        <v>9</v>
      </c>
      <c r="I2772" s="74">
        <v>22.936969999999999</v>
      </c>
    </row>
    <row r="2773" spans="1:9" s="71" customFormat="1" ht="16.5" hidden="1" customHeight="1" outlineLevel="1" x14ac:dyDescent="0.25">
      <c r="A2773" s="74">
        <v>707</v>
      </c>
      <c r="B2773" s="45" t="s">
        <v>664</v>
      </c>
      <c r="C2773" s="60" t="s">
        <v>2397</v>
      </c>
      <c r="D2773" s="60"/>
      <c r="E2773" s="74">
        <v>2022</v>
      </c>
      <c r="F2773" s="74" t="s">
        <v>489</v>
      </c>
      <c r="G2773" s="61">
        <v>1</v>
      </c>
      <c r="H2773" s="45">
        <v>15</v>
      </c>
      <c r="I2773" s="74">
        <v>22.937000000000001</v>
      </c>
    </row>
    <row r="2774" spans="1:9" s="71" customFormat="1" ht="16.5" hidden="1" customHeight="1" outlineLevel="1" x14ac:dyDescent="0.25">
      <c r="A2774" s="74">
        <v>605</v>
      </c>
      <c r="B2774" s="45" t="s">
        <v>664</v>
      </c>
      <c r="C2774" s="60" t="s">
        <v>2398</v>
      </c>
      <c r="D2774" s="60"/>
      <c r="E2774" s="74">
        <v>2022</v>
      </c>
      <c r="F2774" s="74" t="s">
        <v>489</v>
      </c>
      <c r="G2774" s="61">
        <v>1</v>
      </c>
      <c r="H2774" s="45">
        <v>15</v>
      </c>
      <c r="I2774" s="74">
        <v>22.371169999999999</v>
      </c>
    </row>
    <row r="2775" spans="1:9" s="71" customFormat="1" ht="16.5" hidden="1" customHeight="1" outlineLevel="1" x14ac:dyDescent="0.25">
      <c r="A2775" s="74">
        <v>756</v>
      </c>
      <c r="B2775" s="45" t="s">
        <v>664</v>
      </c>
      <c r="C2775" s="60" t="s">
        <v>2399</v>
      </c>
      <c r="D2775" s="60"/>
      <c r="E2775" s="74">
        <v>2022</v>
      </c>
      <c r="F2775" s="74" t="s">
        <v>489</v>
      </c>
      <c r="G2775" s="61">
        <v>1</v>
      </c>
      <c r="H2775" s="45">
        <v>15</v>
      </c>
      <c r="I2775" s="74">
        <v>24.569330000000001</v>
      </c>
    </row>
    <row r="2776" spans="1:9" s="71" customFormat="1" ht="16.5" hidden="1" customHeight="1" outlineLevel="1" x14ac:dyDescent="0.25">
      <c r="A2776" s="74">
        <v>853</v>
      </c>
      <c r="B2776" s="45" t="s">
        <v>664</v>
      </c>
      <c r="C2776" s="60" t="s">
        <v>2400</v>
      </c>
      <c r="D2776" s="60"/>
      <c r="E2776" s="74">
        <v>2022</v>
      </c>
      <c r="F2776" s="74" t="s">
        <v>489</v>
      </c>
      <c r="G2776" s="61">
        <v>1</v>
      </c>
      <c r="H2776" s="45">
        <v>15</v>
      </c>
      <c r="I2776" s="74">
        <v>25.446439999999999</v>
      </c>
    </row>
    <row r="2777" spans="1:9" s="71" customFormat="1" ht="16.5" hidden="1" customHeight="1" outlineLevel="1" x14ac:dyDescent="0.25">
      <c r="A2777" s="74">
        <v>674</v>
      </c>
      <c r="B2777" s="45" t="s">
        <v>664</v>
      </c>
      <c r="C2777" s="60" t="s">
        <v>2401</v>
      </c>
      <c r="D2777" s="60"/>
      <c r="E2777" s="74">
        <v>2022</v>
      </c>
      <c r="F2777" s="74" t="s">
        <v>489</v>
      </c>
      <c r="G2777" s="61">
        <v>1</v>
      </c>
      <c r="H2777" s="45">
        <v>15</v>
      </c>
      <c r="I2777" s="74">
        <v>22.92577</v>
      </c>
    </row>
    <row r="2778" spans="1:9" s="71" customFormat="1" ht="16.5" hidden="1" customHeight="1" outlineLevel="1" x14ac:dyDescent="0.25">
      <c r="A2778" s="74">
        <v>787</v>
      </c>
      <c r="B2778" s="45" t="s">
        <v>664</v>
      </c>
      <c r="C2778" s="60" t="s">
        <v>2402</v>
      </c>
      <c r="D2778" s="60"/>
      <c r="E2778" s="74">
        <v>2022</v>
      </c>
      <c r="F2778" s="74" t="s">
        <v>489</v>
      </c>
      <c r="G2778" s="61">
        <v>1</v>
      </c>
      <c r="H2778" s="45">
        <v>10</v>
      </c>
      <c r="I2778" s="74">
        <v>26.20317</v>
      </c>
    </row>
    <row r="2779" spans="1:9" s="71" customFormat="1" ht="16.5" hidden="1" customHeight="1" outlineLevel="1" x14ac:dyDescent="0.25">
      <c r="A2779" s="74">
        <v>791</v>
      </c>
      <c r="B2779" s="45" t="s">
        <v>664</v>
      </c>
      <c r="C2779" s="60" t="s">
        <v>2403</v>
      </c>
      <c r="D2779" s="60"/>
      <c r="E2779" s="74">
        <v>2022</v>
      </c>
      <c r="F2779" s="74" t="s">
        <v>489</v>
      </c>
      <c r="G2779" s="61">
        <v>1</v>
      </c>
      <c r="H2779" s="45">
        <v>9</v>
      </c>
      <c r="I2779" s="74">
        <v>25.522390000000001</v>
      </c>
    </row>
    <row r="2780" spans="1:9" s="71" customFormat="1" ht="16.5" hidden="1" customHeight="1" outlineLevel="1" x14ac:dyDescent="0.25">
      <c r="A2780" s="74">
        <v>838</v>
      </c>
      <c r="B2780" s="45" t="s">
        <v>664</v>
      </c>
      <c r="C2780" s="60" t="s">
        <v>2404</v>
      </c>
      <c r="D2780" s="60"/>
      <c r="E2780" s="74">
        <v>2022</v>
      </c>
      <c r="F2780" s="74" t="s">
        <v>489</v>
      </c>
      <c r="G2780" s="61">
        <v>1</v>
      </c>
      <c r="H2780" s="45">
        <v>13</v>
      </c>
      <c r="I2780" s="74">
        <v>25.99109</v>
      </c>
    </row>
    <row r="2781" spans="1:9" s="71" customFormat="1" ht="16.5" hidden="1" customHeight="1" outlineLevel="1" x14ac:dyDescent="0.25">
      <c r="A2781" s="74">
        <v>836</v>
      </c>
      <c r="B2781" s="45" t="s">
        <v>664</v>
      </c>
      <c r="C2781" s="60" t="s">
        <v>2405</v>
      </c>
      <c r="D2781" s="60"/>
      <c r="E2781" s="74">
        <v>2022</v>
      </c>
      <c r="F2781" s="74" t="s">
        <v>489</v>
      </c>
      <c r="G2781" s="61">
        <v>1</v>
      </c>
      <c r="H2781" s="45">
        <v>45</v>
      </c>
      <c r="I2781" s="74">
        <v>28.748619999999999</v>
      </c>
    </row>
    <row r="2782" spans="1:9" s="71" customFormat="1" ht="16.5" hidden="1" customHeight="1" outlineLevel="1" x14ac:dyDescent="0.25">
      <c r="A2782" s="74">
        <v>790</v>
      </c>
      <c r="B2782" s="45" t="s">
        <v>664</v>
      </c>
      <c r="C2782" s="60" t="s">
        <v>2406</v>
      </c>
      <c r="D2782" s="60"/>
      <c r="E2782" s="74">
        <v>2022</v>
      </c>
      <c r="F2782" s="74" t="s">
        <v>489</v>
      </c>
      <c r="G2782" s="61">
        <v>1</v>
      </c>
      <c r="H2782" s="45">
        <v>15</v>
      </c>
      <c r="I2782" s="74">
        <v>24.977779999999999</v>
      </c>
    </row>
    <row r="2783" spans="1:9" s="71" customFormat="1" ht="16.5" hidden="1" customHeight="1" outlineLevel="1" x14ac:dyDescent="0.25">
      <c r="A2783" s="74">
        <v>846</v>
      </c>
      <c r="B2783" s="45" t="s">
        <v>664</v>
      </c>
      <c r="C2783" s="60" t="s">
        <v>2407</v>
      </c>
      <c r="D2783" s="60"/>
      <c r="E2783" s="74">
        <v>2022</v>
      </c>
      <c r="F2783" s="74" t="s">
        <v>489</v>
      </c>
      <c r="G2783" s="61">
        <v>1</v>
      </c>
      <c r="H2783" s="45">
        <v>15</v>
      </c>
      <c r="I2783" s="74">
        <v>25.446449999999999</v>
      </c>
    </row>
    <row r="2784" spans="1:9" s="71" customFormat="1" ht="16.5" hidden="1" customHeight="1" outlineLevel="1" x14ac:dyDescent="0.25">
      <c r="A2784" s="74">
        <v>784</v>
      </c>
      <c r="B2784" s="45" t="s">
        <v>664</v>
      </c>
      <c r="C2784" s="60" t="s">
        <v>2408</v>
      </c>
      <c r="D2784" s="60"/>
      <c r="E2784" s="74">
        <v>2022</v>
      </c>
      <c r="F2784" s="74" t="s">
        <v>489</v>
      </c>
      <c r="G2784" s="61">
        <v>1</v>
      </c>
      <c r="H2784" s="45">
        <v>9</v>
      </c>
      <c r="I2784" s="74">
        <v>24.569330000000001</v>
      </c>
    </row>
    <row r="2785" spans="1:9" s="71" customFormat="1" ht="16.5" hidden="1" customHeight="1" outlineLevel="1" x14ac:dyDescent="0.25">
      <c r="A2785" s="74">
        <v>848</v>
      </c>
      <c r="B2785" s="45" t="s">
        <v>662</v>
      </c>
      <c r="C2785" s="60" t="s">
        <v>2409</v>
      </c>
      <c r="D2785" s="60"/>
      <c r="E2785" s="74">
        <v>2022</v>
      </c>
      <c r="F2785" s="74" t="s">
        <v>489</v>
      </c>
      <c r="G2785" s="61">
        <v>1</v>
      </c>
      <c r="H2785" s="45">
        <v>15</v>
      </c>
      <c r="I2785" s="74">
        <v>25.446459999999998</v>
      </c>
    </row>
    <row r="2786" spans="1:9" s="71" customFormat="1" ht="16.5" hidden="1" customHeight="1" outlineLevel="1" x14ac:dyDescent="0.25">
      <c r="A2786" s="74">
        <v>802</v>
      </c>
      <c r="B2786" s="45" t="s">
        <v>664</v>
      </c>
      <c r="C2786" s="60" t="s">
        <v>2410</v>
      </c>
      <c r="D2786" s="60"/>
      <c r="E2786" s="74">
        <v>2022</v>
      </c>
      <c r="F2786" s="74" t="s">
        <v>489</v>
      </c>
      <c r="G2786" s="61">
        <v>1</v>
      </c>
      <c r="H2786" s="45">
        <v>15</v>
      </c>
      <c r="I2786" s="74">
        <v>24.56598</v>
      </c>
    </row>
    <row r="2787" spans="1:9" s="71" customFormat="1" ht="16.5" hidden="1" customHeight="1" outlineLevel="1" x14ac:dyDescent="0.25">
      <c r="A2787" s="74">
        <v>803</v>
      </c>
      <c r="B2787" s="45" t="s">
        <v>664</v>
      </c>
      <c r="C2787" s="60" t="s">
        <v>2411</v>
      </c>
      <c r="D2787" s="60"/>
      <c r="E2787" s="74">
        <v>2022</v>
      </c>
      <c r="F2787" s="74" t="s">
        <v>489</v>
      </c>
      <c r="G2787" s="61">
        <v>1</v>
      </c>
      <c r="H2787" s="45">
        <v>15</v>
      </c>
      <c r="I2787" s="74">
        <v>24.56934</v>
      </c>
    </row>
    <row r="2788" spans="1:9" s="71" customFormat="1" ht="16.5" hidden="1" customHeight="1" outlineLevel="1" x14ac:dyDescent="0.25">
      <c r="A2788" s="74">
        <v>849</v>
      </c>
      <c r="B2788" s="45" t="s">
        <v>664</v>
      </c>
      <c r="C2788" s="60" t="s">
        <v>2412</v>
      </c>
      <c r="D2788" s="60"/>
      <c r="E2788" s="74">
        <v>2022</v>
      </c>
      <c r="F2788" s="74" t="s">
        <v>489</v>
      </c>
      <c r="G2788" s="61">
        <v>1</v>
      </c>
      <c r="H2788" s="45">
        <v>15</v>
      </c>
      <c r="I2788" s="74">
        <v>25.446439999999999</v>
      </c>
    </row>
    <row r="2789" spans="1:9" s="71" customFormat="1" ht="16.5" hidden="1" customHeight="1" outlineLevel="1" x14ac:dyDescent="0.25">
      <c r="A2789" s="74">
        <v>694</v>
      </c>
      <c r="B2789" s="45" t="s">
        <v>664</v>
      </c>
      <c r="C2789" s="60" t="s">
        <v>2413</v>
      </c>
      <c r="D2789" s="60"/>
      <c r="E2789" s="74">
        <v>2022</v>
      </c>
      <c r="F2789" s="74" t="s">
        <v>489</v>
      </c>
      <c r="G2789" s="61">
        <v>1</v>
      </c>
      <c r="H2789" s="45">
        <v>30</v>
      </c>
      <c r="I2789" s="74">
        <v>28.387560000000001</v>
      </c>
    </row>
    <row r="2790" spans="1:9" s="71" customFormat="1" ht="16.5" hidden="1" customHeight="1" outlineLevel="1" x14ac:dyDescent="0.25">
      <c r="A2790" s="74">
        <v>531</v>
      </c>
      <c r="B2790" s="45" t="s">
        <v>664</v>
      </c>
      <c r="C2790" s="60" t="s">
        <v>2414</v>
      </c>
      <c r="D2790" s="60"/>
      <c r="E2790" s="74">
        <v>2022</v>
      </c>
      <c r="F2790" s="74" t="s">
        <v>489</v>
      </c>
      <c r="G2790" s="61">
        <v>1</v>
      </c>
      <c r="H2790" s="45">
        <v>15</v>
      </c>
      <c r="I2790" s="74">
        <v>26.670200000000001</v>
      </c>
    </row>
    <row r="2791" spans="1:9" s="71" customFormat="1" ht="16.5" hidden="1" customHeight="1" outlineLevel="1" x14ac:dyDescent="0.25">
      <c r="A2791" s="74">
        <v>871</v>
      </c>
      <c r="B2791" s="45" t="s">
        <v>664</v>
      </c>
      <c r="C2791" s="60" t="s">
        <v>2415</v>
      </c>
      <c r="D2791" s="60"/>
      <c r="E2791" s="74">
        <v>2022</v>
      </c>
      <c r="F2791" s="74" t="s">
        <v>489</v>
      </c>
      <c r="G2791" s="61">
        <v>1</v>
      </c>
      <c r="H2791" s="45">
        <v>7</v>
      </c>
      <c r="I2791" s="74">
        <v>26.207100000000001</v>
      </c>
    </row>
    <row r="2792" spans="1:9" s="71" customFormat="1" ht="16.5" hidden="1" customHeight="1" outlineLevel="1" x14ac:dyDescent="0.25">
      <c r="A2792" s="74">
        <v>797</v>
      </c>
      <c r="B2792" s="45" t="s">
        <v>664</v>
      </c>
      <c r="C2792" s="60" t="s">
        <v>2416</v>
      </c>
      <c r="D2792" s="60"/>
      <c r="E2792" s="74">
        <v>2022</v>
      </c>
      <c r="F2792" s="74" t="s">
        <v>489</v>
      </c>
      <c r="G2792" s="61">
        <v>1</v>
      </c>
      <c r="H2792" s="45">
        <v>15</v>
      </c>
      <c r="I2792" s="74">
        <v>25.518190000000001</v>
      </c>
    </row>
    <row r="2793" spans="1:9" s="71" customFormat="1" ht="16.5" hidden="1" customHeight="1" outlineLevel="1" x14ac:dyDescent="0.25">
      <c r="A2793" s="74">
        <v>825</v>
      </c>
      <c r="B2793" s="45" t="s">
        <v>664</v>
      </c>
      <c r="C2793" s="60" t="s">
        <v>2417</v>
      </c>
      <c r="D2793" s="60"/>
      <c r="E2793" s="74">
        <v>2022</v>
      </c>
      <c r="F2793" s="74" t="s">
        <v>489</v>
      </c>
      <c r="G2793" s="61">
        <v>1</v>
      </c>
      <c r="H2793" s="45">
        <v>9</v>
      </c>
      <c r="I2793" s="74">
        <v>25.533149999999999</v>
      </c>
    </row>
    <row r="2794" spans="1:9" s="71" customFormat="1" ht="16.5" hidden="1" customHeight="1" outlineLevel="1" x14ac:dyDescent="0.25">
      <c r="A2794" s="74">
        <v>545</v>
      </c>
      <c r="B2794" s="45" t="s">
        <v>664</v>
      </c>
      <c r="C2794" s="60" t="s">
        <v>2418</v>
      </c>
      <c r="D2794" s="60"/>
      <c r="E2794" s="74">
        <v>2022</v>
      </c>
      <c r="F2794" s="74" t="s">
        <v>489</v>
      </c>
      <c r="G2794" s="61">
        <v>1</v>
      </c>
      <c r="H2794" s="45">
        <v>15</v>
      </c>
      <c r="I2794" s="74">
        <v>23.913060000000002</v>
      </c>
    </row>
    <row r="2795" spans="1:9" s="71" customFormat="1" ht="16.5" hidden="1" customHeight="1" outlineLevel="1" x14ac:dyDescent="0.25">
      <c r="A2795" s="74">
        <v>773</v>
      </c>
      <c r="B2795" s="45" t="s">
        <v>664</v>
      </c>
      <c r="C2795" s="60" t="s">
        <v>2419</v>
      </c>
      <c r="D2795" s="60"/>
      <c r="E2795" s="74">
        <v>2022</v>
      </c>
      <c r="F2795" s="74" t="s">
        <v>489</v>
      </c>
      <c r="G2795" s="61">
        <v>1</v>
      </c>
      <c r="H2795" s="45">
        <v>12</v>
      </c>
      <c r="I2795" s="74">
        <v>26.000779999999999</v>
      </c>
    </row>
    <row r="2796" spans="1:9" s="71" customFormat="1" ht="16.5" hidden="1" customHeight="1" outlineLevel="1" x14ac:dyDescent="0.25">
      <c r="A2796" s="74">
        <v>497</v>
      </c>
      <c r="B2796" s="45" t="s">
        <v>664</v>
      </c>
      <c r="C2796" s="60" t="s">
        <v>2420</v>
      </c>
      <c r="D2796" s="60"/>
      <c r="E2796" s="74">
        <v>2022</v>
      </c>
      <c r="F2796" s="74" t="s">
        <v>489</v>
      </c>
      <c r="G2796" s="61">
        <v>1</v>
      </c>
      <c r="H2796" s="45">
        <v>7</v>
      </c>
      <c r="I2796" s="74">
        <v>27.826350000000001</v>
      </c>
    </row>
    <row r="2797" spans="1:9" s="71" customFormat="1" ht="16.5" hidden="1" customHeight="1" outlineLevel="1" x14ac:dyDescent="0.25">
      <c r="A2797" s="74">
        <v>486</v>
      </c>
      <c r="B2797" s="45" t="s">
        <v>664</v>
      </c>
      <c r="C2797" s="60" t="s">
        <v>2421</v>
      </c>
      <c r="D2797" s="60"/>
      <c r="E2797" s="74">
        <v>2022</v>
      </c>
      <c r="F2797" s="74" t="s">
        <v>489</v>
      </c>
      <c r="G2797" s="61">
        <v>1</v>
      </c>
      <c r="H2797" s="45">
        <v>15</v>
      </c>
      <c r="I2797" s="74">
        <v>25.60351</v>
      </c>
    </row>
    <row r="2798" spans="1:9" s="71" customFormat="1" ht="16.5" hidden="1" customHeight="1" outlineLevel="1" x14ac:dyDescent="0.25">
      <c r="A2798" s="74">
        <v>833</v>
      </c>
      <c r="B2798" s="45" t="s">
        <v>664</v>
      </c>
      <c r="C2798" s="60" t="s">
        <v>2422</v>
      </c>
      <c r="D2798" s="60"/>
      <c r="E2798" s="74">
        <v>2022</v>
      </c>
      <c r="F2798" s="74" t="s">
        <v>489</v>
      </c>
      <c r="G2798" s="61">
        <v>1</v>
      </c>
      <c r="H2798" s="45">
        <v>15</v>
      </c>
      <c r="I2798" s="74">
        <v>26.70853</v>
      </c>
    </row>
    <row r="2799" spans="1:9" s="71" customFormat="1" ht="16.5" hidden="1" customHeight="1" outlineLevel="1" x14ac:dyDescent="0.25">
      <c r="A2799" s="74">
        <v>785</v>
      </c>
      <c r="B2799" s="45" t="s">
        <v>664</v>
      </c>
      <c r="C2799" s="60" t="s">
        <v>2423</v>
      </c>
      <c r="D2799" s="60"/>
      <c r="E2799" s="74">
        <v>2022</v>
      </c>
      <c r="F2799" s="74" t="s">
        <v>489</v>
      </c>
      <c r="G2799" s="61">
        <v>1</v>
      </c>
      <c r="H2799" s="45">
        <v>12</v>
      </c>
      <c r="I2799" s="74">
        <v>26.155940000000001</v>
      </c>
    </row>
    <row r="2800" spans="1:9" s="71" customFormat="1" ht="16.5" hidden="1" customHeight="1" outlineLevel="1" x14ac:dyDescent="0.25">
      <c r="A2800" s="74">
        <v>808</v>
      </c>
      <c r="B2800" s="45" t="s">
        <v>662</v>
      </c>
      <c r="C2800" s="60" t="s">
        <v>2424</v>
      </c>
      <c r="D2800" s="60"/>
      <c r="E2800" s="74">
        <v>2022</v>
      </c>
      <c r="F2800" s="74" t="s">
        <v>489</v>
      </c>
      <c r="G2800" s="61">
        <v>1</v>
      </c>
      <c r="H2800" s="45">
        <v>10.5</v>
      </c>
      <c r="I2800" s="74">
        <v>28.28407</v>
      </c>
    </row>
    <row r="2801" spans="1:9" s="71" customFormat="1" ht="16.5" hidden="1" customHeight="1" outlineLevel="1" x14ac:dyDescent="0.25">
      <c r="A2801" s="74">
        <v>818</v>
      </c>
      <c r="B2801" s="45" t="s">
        <v>664</v>
      </c>
      <c r="C2801" s="60" t="s">
        <v>2425</v>
      </c>
      <c r="D2801" s="60"/>
      <c r="E2801" s="74">
        <v>2022</v>
      </c>
      <c r="F2801" s="74" t="s">
        <v>489</v>
      </c>
      <c r="G2801" s="61">
        <v>1</v>
      </c>
      <c r="H2801" s="45">
        <v>15</v>
      </c>
      <c r="I2801" s="74">
        <v>26.880189999999999</v>
      </c>
    </row>
    <row r="2802" spans="1:9" s="71" customFormat="1" ht="16.5" hidden="1" customHeight="1" outlineLevel="1" x14ac:dyDescent="0.25">
      <c r="A2802" s="74">
        <v>879</v>
      </c>
      <c r="B2802" s="45" t="s">
        <v>664</v>
      </c>
      <c r="C2802" s="60" t="s">
        <v>2426</v>
      </c>
      <c r="D2802" s="60"/>
      <c r="E2802" s="74">
        <v>2022</v>
      </c>
      <c r="F2802" s="74" t="s">
        <v>489</v>
      </c>
      <c r="G2802" s="61">
        <v>1</v>
      </c>
      <c r="H2802" s="45">
        <v>9</v>
      </c>
      <c r="I2802" s="74">
        <v>17.12706</v>
      </c>
    </row>
    <row r="2803" spans="1:9" s="71" customFormat="1" ht="16.5" hidden="1" customHeight="1" outlineLevel="1" x14ac:dyDescent="0.25">
      <c r="A2803" s="74">
        <v>683</v>
      </c>
      <c r="B2803" s="45" t="s">
        <v>664</v>
      </c>
      <c r="C2803" s="60" t="s">
        <v>2427</v>
      </c>
      <c r="D2803" s="60"/>
      <c r="E2803" s="74">
        <v>2022</v>
      </c>
      <c r="F2803" s="74" t="s">
        <v>489</v>
      </c>
      <c r="G2803" s="61">
        <v>2</v>
      </c>
      <c r="H2803" s="45">
        <v>30</v>
      </c>
      <c r="I2803" s="74">
        <v>56.649929999999998</v>
      </c>
    </row>
    <row r="2804" spans="1:9" s="71" customFormat="1" ht="16.5" hidden="1" customHeight="1" outlineLevel="1" x14ac:dyDescent="0.25">
      <c r="A2804" s="74">
        <v>809</v>
      </c>
      <c r="B2804" s="45" t="s">
        <v>664</v>
      </c>
      <c r="C2804" s="60" t="s">
        <v>2428</v>
      </c>
      <c r="D2804" s="60"/>
      <c r="E2804" s="74">
        <v>2022</v>
      </c>
      <c r="F2804" s="74" t="s">
        <v>489</v>
      </c>
      <c r="G2804" s="61">
        <v>1</v>
      </c>
      <c r="H2804" s="45">
        <v>15</v>
      </c>
      <c r="I2804" s="74">
        <v>24.901399999999999</v>
      </c>
    </row>
    <row r="2805" spans="1:9" s="71" customFormat="1" ht="16.5" hidden="1" customHeight="1" outlineLevel="1" x14ac:dyDescent="0.25">
      <c r="A2805" s="74">
        <v>854</v>
      </c>
      <c r="B2805" s="45" t="s">
        <v>664</v>
      </c>
      <c r="C2805" s="60" t="s">
        <v>2429</v>
      </c>
      <c r="D2805" s="60"/>
      <c r="E2805" s="74">
        <v>2022</v>
      </c>
      <c r="F2805" s="74" t="s">
        <v>489</v>
      </c>
      <c r="G2805" s="61">
        <v>1</v>
      </c>
      <c r="H2805" s="45">
        <v>15</v>
      </c>
      <c r="I2805" s="74">
        <v>25.658000000000001</v>
      </c>
    </row>
    <row r="2806" spans="1:9" s="71" customFormat="1" ht="16.5" hidden="1" customHeight="1" outlineLevel="1" x14ac:dyDescent="0.25">
      <c r="A2806" s="74">
        <v>649</v>
      </c>
      <c r="B2806" s="45" t="s">
        <v>664</v>
      </c>
      <c r="C2806" s="60" t="s">
        <v>2430</v>
      </c>
      <c r="D2806" s="60"/>
      <c r="E2806" s="74">
        <v>2022</v>
      </c>
      <c r="F2806" s="74" t="s">
        <v>489</v>
      </c>
      <c r="G2806" s="61">
        <v>1</v>
      </c>
      <c r="H2806" s="45">
        <v>7.5</v>
      </c>
      <c r="I2806" s="74">
        <v>22.967210000000001</v>
      </c>
    </row>
    <row r="2807" spans="1:9" s="71" customFormat="1" ht="16.5" hidden="1" customHeight="1" outlineLevel="1" x14ac:dyDescent="0.25">
      <c r="A2807" s="74">
        <v>857</v>
      </c>
      <c r="B2807" s="45" t="s">
        <v>664</v>
      </c>
      <c r="C2807" s="60" t="s">
        <v>2431</v>
      </c>
      <c r="D2807" s="60"/>
      <c r="E2807" s="74">
        <v>2022</v>
      </c>
      <c r="F2807" s="74" t="s">
        <v>489</v>
      </c>
      <c r="G2807" s="61">
        <v>1</v>
      </c>
      <c r="H2807" s="45">
        <v>15</v>
      </c>
      <c r="I2807" s="74">
        <v>27.01726</v>
      </c>
    </row>
    <row r="2808" spans="1:9" s="71" customFormat="1" ht="16.5" hidden="1" customHeight="1" outlineLevel="1" x14ac:dyDescent="0.25">
      <c r="A2808" s="74">
        <v>860</v>
      </c>
      <c r="B2808" s="45" t="s">
        <v>662</v>
      </c>
      <c r="C2808" s="60" t="s">
        <v>2432</v>
      </c>
      <c r="D2808" s="60"/>
      <c r="E2808" s="74">
        <v>2022</v>
      </c>
      <c r="F2808" s="74" t="s">
        <v>489</v>
      </c>
      <c r="G2808" s="61">
        <v>1</v>
      </c>
      <c r="H2808" s="45">
        <v>12</v>
      </c>
      <c r="I2808" s="74">
        <v>25.487780000000001</v>
      </c>
    </row>
    <row r="2809" spans="1:9" s="71" customFormat="1" ht="16.5" hidden="1" customHeight="1" outlineLevel="1" x14ac:dyDescent="0.25">
      <c r="A2809" s="74">
        <v>506</v>
      </c>
      <c r="B2809" s="45" t="s">
        <v>664</v>
      </c>
      <c r="C2809" s="60" t="s">
        <v>2433</v>
      </c>
      <c r="D2809" s="60"/>
      <c r="E2809" s="74">
        <v>2022</v>
      </c>
      <c r="F2809" s="74" t="s">
        <v>489</v>
      </c>
      <c r="G2809" s="61">
        <v>1</v>
      </c>
      <c r="H2809" s="45">
        <v>15</v>
      </c>
      <c r="I2809" s="74">
        <v>29.35304</v>
      </c>
    </row>
    <row r="2810" spans="1:9" s="71" customFormat="1" ht="16.5" hidden="1" customHeight="1" outlineLevel="1" x14ac:dyDescent="0.25">
      <c r="A2810" s="74">
        <v>556</v>
      </c>
      <c r="B2810" s="45" t="s">
        <v>664</v>
      </c>
      <c r="C2810" s="60" t="s">
        <v>2434</v>
      </c>
      <c r="D2810" s="60"/>
      <c r="E2810" s="74">
        <v>2022</v>
      </c>
      <c r="F2810" s="74" t="s">
        <v>489</v>
      </c>
      <c r="G2810" s="61">
        <v>1</v>
      </c>
      <c r="H2810" s="45">
        <v>15</v>
      </c>
      <c r="I2810" s="74">
        <v>30.418230000000001</v>
      </c>
    </row>
    <row r="2811" spans="1:9" s="71" customFormat="1" ht="16.5" hidden="1" customHeight="1" outlineLevel="1" x14ac:dyDescent="0.25">
      <c r="A2811" s="74">
        <v>519</v>
      </c>
      <c r="B2811" s="45" t="s">
        <v>664</v>
      </c>
      <c r="C2811" s="60" t="s">
        <v>2435</v>
      </c>
      <c r="D2811" s="60"/>
      <c r="E2811" s="74">
        <v>2022</v>
      </c>
      <c r="F2811" s="74" t="s">
        <v>489</v>
      </c>
      <c r="G2811" s="61">
        <v>2</v>
      </c>
      <c r="H2811" s="45">
        <v>30</v>
      </c>
      <c r="I2811" s="74">
        <v>55.557380000000002</v>
      </c>
    </row>
    <row r="2812" spans="1:9" s="71" customFormat="1" ht="16.5" hidden="1" customHeight="1" outlineLevel="1" x14ac:dyDescent="0.25">
      <c r="A2812" s="74">
        <v>561</v>
      </c>
      <c r="B2812" s="45" t="s">
        <v>664</v>
      </c>
      <c r="C2812" s="60" t="s">
        <v>147</v>
      </c>
      <c r="D2812" s="60"/>
      <c r="E2812" s="74">
        <v>2022</v>
      </c>
      <c r="F2812" s="74" t="s">
        <v>489</v>
      </c>
      <c r="G2812" s="61">
        <v>1</v>
      </c>
      <c r="H2812" s="45">
        <v>15</v>
      </c>
      <c r="I2812" s="74">
        <v>59.39002</v>
      </c>
    </row>
    <row r="2813" spans="1:9" s="71" customFormat="1" ht="16.5" hidden="1" customHeight="1" outlineLevel="1" x14ac:dyDescent="0.25">
      <c r="A2813" s="74">
        <v>856</v>
      </c>
      <c r="B2813" s="45" t="s">
        <v>664</v>
      </c>
      <c r="C2813" s="60" t="s">
        <v>2436</v>
      </c>
      <c r="D2813" s="60"/>
      <c r="E2813" s="74">
        <v>2022</v>
      </c>
      <c r="F2813" s="74" t="s">
        <v>489</v>
      </c>
      <c r="G2813" s="61">
        <v>1</v>
      </c>
      <c r="H2813" s="45">
        <v>9</v>
      </c>
      <c r="I2813" s="74">
        <v>25.98001</v>
      </c>
    </row>
    <row r="2814" spans="1:9" s="71" customFormat="1" ht="16.5" hidden="1" customHeight="1" outlineLevel="1" x14ac:dyDescent="0.25">
      <c r="A2814" s="74">
        <v>852</v>
      </c>
      <c r="B2814" s="45" t="s">
        <v>664</v>
      </c>
      <c r="C2814" s="60" t="s">
        <v>2437</v>
      </c>
      <c r="D2814" s="60"/>
      <c r="E2814" s="74">
        <v>2022</v>
      </c>
      <c r="F2814" s="74" t="s">
        <v>489</v>
      </c>
      <c r="G2814" s="61">
        <v>1</v>
      </c>
      <c r="H2814" s="45">
        <v>15</v>
      </c>
      <c r="I2814" s="74">
        <v>26.160150000000002</v>
      </c>
    </row>
    <row r="2815" spans="1:9" s="71" customFormat="1" ht="16.5" hidden="1" customHeight="1" outlineLevel="1" x14ac:dyDescent="0.25">
      <c r="A2815" s="74">
        <v>855</v>
      </c>
      <c r="B2815" s="45" t="s">
        <v>664</v>
      </c>
      <c r="C2815" s="60" t="s">
        <v>2438</v>
      </c>
      <c r="D2815" s="60"/>
      <c r="E2815" s="74">
        <v>2022</v>
      </c>
      <c r="F2815" s="74" t="s">
        <v>489</v>
      </c>
      <c r="G2815" s="61">
        <v>1</v>
      </c>
      <c r="H2815" s="45">
        <v>13</v>
      </c>
      <c r="I2815" s="74">
        <v>25.979990000000001</v>
      </c>
    </row>
    <row r="2816" spans="1:9" s="71" customFormat="1" ht="16.5" hidden="1" customHeight="1" outlineLevel="1" x14ac:dyDescent="0.25">
      <c r="A2816" s="74">
        <v>876</v>
      </c>
      <c r="B2816" s="45" t="s">
        <v>664</v>
      </c>
      <c r="C2816" s="60" t="s">
        <v>2439</v>
      </c>
      <c r="D2816" s="60"/>
      <c r="E2816" s="74">
        <v>2022</v>
      </c>
      <c r="F2816" s="74" t="s">
        <v>489</v>
      </c>
      <c r="G2816" s="61">
        <v>1</v>
      </c>
      <c r="H2816" s="45">
        <v>6</v>
      </c>
      <c r="I2816" s="74">
        <v>19.956050000000001</v>
      </c>
    </row>
    <row r="2817" spans="1:9" s="71" customFormat="1" ht="16.5" hidden="1" customHeight="1" outlineLevel="1" x14ac:dyDescent="0.25">
      <c r="A2817" s="74">
        <v>845</v>
      </c>
      <c r="B2817" s="45" t="s">
        <v>664</v>
      </c>
      <c r="C2817" s="60" t="s">
        <v>2440</v>
      </c>
      <c r="D2817" s="60"/>
      <c r="E2817" s="74">
        <v>2022</v>
      </c>
      <c r="F2817" s="74" t="s">
        <v>489</v>
      </c>
      <c r="G2817" s="61">
        <v>1</v>
      </c>
      <c r="H2817" s="45">
        <v>6</v>
      </c>
      <c r="I2817" s="74">
        <v>19.312059999999999</v>
      </c>
    </row>
    <row r="2818" spans="1:9" s="71" customFormat="1" ht="16.5" hidden="1" customHeight="1" outlineLevel="1" x14ac:dyDescent="0.25">
      <c r="A2818" s="74">
        <v>814</v>
      </c>
      <c r="B2818" s="45" t="s">
        <v>664</v>
      </c>
      <c r="C2818" s="60" t="s">
        <v>2441</v>
      </c>
      <c r="D2818" s="60"/>
      <c r="E2818" s="74">
        <v>2022</v>
      </c>
      <c r="F2818" s="74" t="s">
        <v>489</v>
      </c>
      <c r="G2818" s="61">
        <v>1</v>
      </c>
      <c r="H2818" s="45">
        <v>9</v>
      </c>
      <c r="I2818" s="74">
        <v>26.150269999999999</v>
      </c>
    </row>
    <row r="2819" spans="1:9" s="71" customFormat="1" ht="16.5" hidden="1" customHeight="1" outlineLevel="1" x14ac:dyDescent="0.25">
      <c r="A2819" s="74">
        <v>821</v>
      </c>
      <c r="B2819" s="45" t="s">
        <v>664</v>
      </c>
      <c r="C2819" s="60" t="s">
        <v>2442</v>
      </c>
      <c r="D2819" s="60"/>
      <c r="E2819" s="74">
        <v>2022</v>
      </c>
      <c r="F2819" s="74" t="s">
        <v>489</v>
      </c>
      <c r="G2819" s="61">
        <v>1</v>
      </c>
      <c r="H2819" s="45">
        <v>7</v>
      </c>
      <c r="I2819" s="74">
        <v>26.93196</v>
      </c>
    </row>
    <row r="2820" spans="1:9" s="71" customFormat="1" ht="16.5" hidden="1" customHeight="1" outlineLevel="1" x14ac:dyDescent="0.25">
      <c r="A2820" s="74">
        <v>499</v>
      </c>
      <c r="B2820" s="45" t="s">
        <v>664</v>
      </c>
      <c r="C2820" s="60" t="s">
        <v>2443</v>
      </c>
      <c r="D2820" s="60"/>
      <c r="E2820" s="74">
        <v>2022</v>
      </c>
      <c r="F2820" s="74" t="s">
        <v>489</v>
      </c>
      <c r="G2820" s="61">
        <v>1</v>
      </c>
      <c r="H2820" s="45">
        <v>15</v>
      </c>
      <c r="I2820" s="74">
        <v>26.45495</v>
      </c>
    </row>
    <row r="2821" spans="1:9" s="71" customFormat="1" ht="16.5" hidden="1" customHeight="1" outlineLevel="1" x14ac:dyDescent="0.25">
      <c r="A2821" s="74">
        <v>488</v>
      </c>
      <c r="B2821" s="45" t="s">
        <v>664</v>
      </c>
      <c r="C2821" s="60" t="s">
        <v>2444</v>
      </c>
      <c r="D2821" s="60"/>
      <c r="E2821" s="74">
        <v>2022</v>
      </c>
      <c r="F2821" s="74" t="s">
        <v>489</v>
      </c>
      <c r="G2821" s="61">
        <v>1</v>
      </c>
      <c r="H2821" s="45">
        <v>15</v>
      </c>
      <c r="I2821" s="74">
        <v>26.127050000000001</v>
      </c>
    </row>
    <row r="2822" spans="1:9" s="71" customFormat="1" ht="16.5" hidden="1" customHeight="1" outlineLevel="1" x14ac:dyDescent="0.25">
      <c r="A2822" s="74">
        <v>889</v>
      </c>
      <c r="B2822" s="45" t="s">
        <v>664</v>
      </c>
      <c r="C2822" s="60" t="s">
        <v>2445</v>
      </c>
      <c r="D2822" s="60"/>
      <c r="E2822" s="74">
        <v>2022</v>
      </c>
      <c r="F2822" s="74" t="s">
        <v>489</v>
      </c>
      <c r="G2822" s="61">
        <v>1</v>
      </c>
      <c r="H2822" s="45">
        <v>14.75</v>
      </c>
      <c r="I2822" s="74">
        <v>19.692679999999999</v>
      </c>
    </row>
    <row r="2823" spans="1:9" s="71" customFormat="1" ht="16.5" hidden="1" customHeight="1" outlineLevel="1" x14ac:dyDescent="0.25">
      <c r="A2823" s="74">
        <v>888</v>
      </c>
      <c r="B2823" s="45" t="s">
        <v>664</v>
      </c>
      <c r="C2823" s="60" t="s">
        <v>2446</v>
      </c>
      <c r="D2823" s="60"/>
      <c r="E2823" s="74">
        <v>2022</v>
      </c>
      <c r="F2823" s="74" t="s">
        <v>489</v>
      </c>
      <c r="G2823" s="61">
        <v>1</v>
      </c>
      <c r="H2823" s="45">
        <v>5</v>
      </c>
      <c r="I2823" s="74">
        <v>19.69267</v>
      </c>
    </row>
    <row r="2824" spans="1:9" s="71" customFormat="1" ht="16.5" hidden="1" customHeight="1" outlineLevel="1" x14ac:dyDescent="0.25">
      <c r="A2824" s="74">
        <v>887</v>
      </c>
      <c r="B2824" s="45" t="s">
        <v>664</v>
      </c>
      <c r="C2824" s="60" t="s">
        <v>2447</v>
      </c>
      <c r="D2824" s="60"/>
      <c r="E2824" s="74">
        <v>2022</v>
      </c>
      <c r="F2824" s="74" t="s">
        <v>489</v>
      </c>
      <c r="G2824" s="61">
        <v>1</v>
      </c>
      <c r="H2824" s="45">
        <v>6</v>
      </c>
      <c r="I2824" s="74">
        <v>19.69267</v>
      </c>
    </row>
    <row r="2825" spans="1:9" s="71" customFormat="1" ht="16.5" hidden="1" customHeight="1" outlineLevel="1" x14ac:dyDescent="0.25">
      <c r="A2825" s="74">
        <v>885</v>
      </c>
      <c r="B2825" s="45" t="s">
        <v>664</v>
      </c>
      <c r="C2825" s="60" t="s">
        <v>2448</v>
      </c>
      <c r="D2825" s="60"/>
      <c r="E2825" s="74">
        <v>2022</v>
      </c>
      <c r="F2825" s="74" t="s">
        <v>489</v>
      </c>
      <c r="G2825" s="61">
        <v>1</v>
      </c>
      <c r="H2825" s="45">
        <v>15</v>
      </c>
      <c r="I2825" s="74">
        <v>19.692699999999999</v>
      </c>
    </row>
    <row r="2826" spans="1:9" s="71" customFormat="1" ht="16.5" hidden="1" customHeight="1" outlineLevel="1" x14ac:dyDescent="0.25">
      <c r="A2826" s="74">
        <v>890</v>
      </c>
      <c r="B2826" s="45" t="s">
        <v>664</v>
      </c>
      <c r="C2826" s="60" t="s">
        <v>2449</v>
      </c>
      <c r="D2826" s="60"/>
      <c r="E2826" s="74">
        <v>2022</v>
      </c>
      <c r="F2826" s="74" t="s">
        <v>489</v>
      </c>
      <c r="G2826" s="61">
        <v>1</v>
      </c>
      <c r="H2826" s="45">
        <v>7</v>
      </c>
      <c r="I2826" s="74">
        <v>19.692599999999999</v>
      </c>
    </row>
    <row r="2827" spans="1:9" s="71" customFormat="1" ht="16.5" hidden="1" customHeight="1" outlineLevel="1" x14ac:dyDescent="0.25">
      <c r="A2827" s="74">
        <v>702</v>
      </c>
      <c r="B2827" s="45" t="s">
        <v>664</v>
      </c>
      <c r="C2827" s="60" t="s">
        <v>2450</v>
      </c>
      <c r="D2827" s="60"/>
      <c r="E2827" s="74">
        <v>2022</v>
      </c>
      <c r="F2827" s="74" t="s">
        <v>489</v>
      </c>
      <c r="G2827" s="61">
        <v>1</v>
      </c>
      <c r="H2827" s="45">
        <v>15</v>
      </c>
      <c r="I2827" s="74">
        <v>21.806560000000001</v>
      </c>
    </row>
    <row r="2828" spans="1:9" s="71" customFormat="1" ht="16.5" hidden="1" customHeight="1" outlineLevel="1" x14ac:dyDescent="0.25">
      <c r="A2828" s="74">
        <v>525</v>
      </c>
      <c r="B2828" s="45" t="s">
        <v>664</v>
      </c>
      <c r="C2828" s="60" t="s">
        <v>2451</v>
      </c>
      <c r="D2828" s="60"/>
      <c r="E2828" s="74">
        <v>2022</v>
      </c>
      <c r="F2828" s="74" t="s">
        <v>489</v>
      </c>
      <c r="G2828" s="61">
        <v>1</v>
      </c>
      <c r="H2828" s="45">
        <v>15</v>
      </c>
      <c r="I2828" s="74">
        <v>27.048349999999999</v>
      </c>
    </row>
    <row r="2829" spans="1:9" s="71" customFormat="1" ht="16.5" hidden="1" customHeight="1" outlineLevel="1" x14ac:dyDescent="0.25">
      <c r="A2829" s="74">
        <v>503</v>
      </c>
      <c r="B2829" s="45" t="s">
        <v>664</v>
      </c>
      <c r="C2829" s="60" t="s">
        <v>2452</v>
      </c>
      <c r="D2829" s="60"/>
      <c r="E2829" s="74">
        <v>2022</v>
      </c>
      <c r="F2829" s="74" t="s">
        <v>489</v>
      </c>
      <c r="G2829" s="61">
        <v>1</v>
      </c>
      <c r="H2829" s="45">
        <v>15</v>
      </c>
      <c r="I2829" s="74">
        <v>26.495200000000001</v>
      </c>
    </row>
    <row r="2830" spans="1:9" s="71" customFormat="1" ht="16.5" hidden="1" customHeight="1" outlineLevel="1" x14ac:dyDescent="0.25">
      <c r="A2830" s="74">
        <v>695</v>
      </c>
      <c r="B2830" s="45" t="s">
        <v>664</v>
      </c>
      <c r="C2830" s="60" t="s">
        <v>2453</v>
      </c>
      <c r="D2830" s="60"/>
      <c r="E2830" s="74">
        <v>2022</v>
      </c>
      <c r="F2830" s="74" t="s">
        <v>489</v>
      </c>
      <c r="G2830" s="61">
        <v>1</v>
      </c>
      <c r="H2830" s="45">
        <v>130</v>
      </c>
      <c r="I2830" s="74">
        <v>48.269460000000002</v>
      </c>
    </row>
    <row r="2831" spans="1:9" s="71" customFormat="1" ht="16.5" hidden="1" customHeight="1" outlineLevel="1" x14ac:dyDescent="0.25">
      <c r="A2831" s="74">
        <v>891</v>
      </c>
      <c r="B2831" s="45" t="s">
        <v>664</v>
      </c>
      <c r="C2831" s="60" t="s">
        <v>2454</v>
      </c>
      <c r="D2831" s="60"/>
      <c r="E2831" s="74">
        <v>2022</v>
      </c>
      <c r="F2831" s="74" t="s">
        <v>489</v>
      </c>
      <c r="G2831" s="61">
        <v>1</v>
      </c>
      <c r="H2831" s="45">
        <v>9</v>
      </c>
      <c r="I2831" s="74">
        <v>21.739319999999999</v>
      </c>
    </row>
    <row r="2832" spans="1:9" s="71" customFormat="1" ht="16.5" hidden="1" customHeight="1" outlineLevel="1" x14ac:dyDescent="0.25">
      <c r="A2832" s="74">
        <v>892</v>
      </c>
      <c r="B2832" s="45" t="s">
        <v>664</v>
      </c>
      <c r="C2832" s="60" t="s">
        <v>2455</v>
      </c>
      <c r="D2832" s="60"/>
      <c r="E2832" s="74">
        <v>2022</v>
      </c>
      <c r="F2832" s="74" t="s">
        <v>489</v>
      </c>
      <c r="G2832" s="61">
        <v>1</v>
      </c>
      <c r="H2832" s="45">
        <v>9</v>
      </c>
      <c r="I2832" s="74">
        <v>20.161059999999999</v>
      </c>
    </row>
    <row r="2833" spans="1:9" s="71" customFormat="1" ht="16.5" hidden="1" customHeight="1" outlineLevel="1" x14ac:dyDescent="0.25">
      <c r="A2833" s="74">
        <v>893</v>
      </c>
      <c r="B2833" s="45" t="s">
        <v>664</v>
      </c>
      <c r="C2833" s="60" t="s">
        <v>2456</v>
      </c>
      <c r="D2833" s="60"/>
      <c r="E2833" s="74">
        <v>2022</v>
      </c>
      <c r="F2833" s="74" t="s">
        <v>489</v>
      </c>
      <c r="G2833" s="61">
        <v>1</v>
      </c>
      <c r="H2833" s="45">
        <v>13.3</v>
      </c>
      <c r="I2833" s="74">
        <v>22.528449999999999</v>
      </c>
    </row>
    <row r="2834" spans="1:9" s="71" customFormat="1" ht="16.5" hidden="1" customHeight="1" outlineLevel="1" x14ac:dyDescent="0.25">
      <c r="A2834" s="74">
        <v>894</v>
      </c>
      <c r="B2834" s="45" t="s">
        <v>664</v>
      </c>
      <c r="C2834" s="60" t="s">
        <v>2457</v>
      </c>
      <c r="D2834" s="60"/>
      <c r="E2834" s="74">
        <v>2022</v>
      </c>
      <c r="F2834" s="74" t="s">
        <v>489</v>
      </c>
      <c r="G2834" s="61">
        <v>1</v>
      </c>
      <c r="H2834" s="45">
        <v>9</v>
      </c>
      <c r="I2834" s="74">
        <v>20.161069999999999</v>
      </c>
    </row>
    <row r="2835" spans="1:9" s="71" customFormat="1" ht="16.5" hidden="1" customHeight="1" outlineLevel="1" x14ac:dyDescent="0.25">
      <c r="A2835" s="74">
        <v>895</v>
      </c>
      <c r="B2835" s="45" t="s">
        <v>664</v>
      </c>
      <c r="C2835" s="60" t="s">
        <v>2458</v>
      </c>
      <c r="D2835" s="60"/>
      <c r="E2835" s="74">
        <v>2022</v>
      </c>
      <c r="F2835" s="74" t="s">
        <v>489</v>
      </c>
      <c r="G2835" s="61">
        <v>1</v>
      </c>
      <c r="H2835" s="45">
        <v>15</v>
      </c>
      <c r="I2835" s="74">
        <v>20.161049999999999</v>
      </c>
    </row>
    <row r="2836" spans="1:9" s="71" customFormat="1" ht="16.5" hidden="1" customHeight="1" outlineLevel="1" x14ac:dyDescent="0.25">
      <c r="A2836" s="74">
        <v>822</v>
      </c>
      <c r="B2836" s="45" t="s">
        <v>664</v>
      </c>
      <c r="C2836" s="60" t="s">
        <v>2459</v>
      </c>
      <c r="D2836" s="60"/>
      <c r="E2836" s="74">
        <v>2022</v>
      </c>
      <c r="F2836" s="74" t="s">
        <v>489</v>
      </c>
      <c r="G2836" s="61">
        <v>1</v>
      </c>
      <c r="H2836" s="45">
        <v>15</v>
      </c>
      <c r="I2836" s="74">
        <v>26.76211</v>
      </c>
    </row>
    <row r="2837" spans="1:9" s="71" customFormat="1" ht="16.5" hidden="1" customHeight="1" outlineLevel="1" x14ac:dyDescent="0.25">
      <c r="A2837" s="74">
        <v>898</v>
      </c>
      <c r="B2837" s="45" t="s">
        <v>664</v>
      </c>
      <c r="C2837" s="60" t="s">
        <v>2460</v>
      </c>
      <c r="D2837" s="60"/>
      <c r="E2837" s="74">
        <v>2022</v>
      </c>
      <c r="F2837" s="74" t="s">
        <v>489</v>
      </c>
      <c r="G2837" s="61">
        <v>1</v>
      </c>
      <c r="H2837" s="45">
        <v>15</v>
      </c>
      <c r="I2837" s="74">
        <v>19.164480000000001</v>
      </c>
    </row>
    <row r="2838" spans="1:9" s="71" customFormat="1" ht="16.5" hidden="1" customHeight="1" outlineLevel="1" x14ac:dyDescent="0.25">
      <c r="A2838" s="74">
        <v>899</v>
      </c>
      <c r="B2838" s="45" t="s">
        <v>664</v>
      </c>
      <c r="C2838" s="60" t="s">
        <v>2461</v>
      </c>
      <c r="D2838" s="60"/>
      <c r="E2838" s="74">
        <v>2022</v>
      </c>
      <c r="F2838" s="74" t="s">
        <v>489</v>
      </c>
      <c r="G2838" s="61">
        <v>1</v>
      </c>
      <c r="H2838" s="45">
        <v>14</v>
      </c>
      <c r="I2838" s="74">
        <v>19.308399999999999</v>
      </c>
    </row>
    <row r="2839" spans="1:9" s="71" customFormat="1" ht="16.5" hidden="1" customHeight="1" outlineLevel="1" x14ac:dyDescent="0.25">
      <c r="A2839" s="74">
        <v>900</v>
      </c>
      <c r="B2839" s="45" t="s">
        <v>664</v>
      </c>
      <c r="C2839" s="60" t="s">
        <v>2462</v>
      </c>
      <c r="D2839" s="60"/>
      <c r="E2839" s="74">
        <v>2022</v>
      </c>
      <c r="F2839" s="74" t="s">
        <v>489</v>
      </c>
      <c r="G2839" s="61">
        <v>1</v>
      </c>
      <c r="H2839" s="45">
        <v>13</v>
      </c>
      <c r="I2839" s="74">
        <v>19.308409999999999</v>
      </c>
    </row>
    <row r="2840" spans="1:9" s="71" customFormat="1" ht="16.5" hidden="1" customHeight="1" outlineLevel="1" x14ac:dyDescent="0.25">
      <c r="A2840" s="74">
        <v>901</v>
      </c>
      <c r="B2840" s="45" t="s">
        <v>664</v>
      </c>
      <c r="C2840" s="60" t="s">
        <v>2463</v>
      </c>
      <c r="D2840" s="60"/>
      <c r="E2840" s="74">
        <v>2022</v>
      </c>
      <c r="F2840" s="74" t="s">
        <v>489</v>
      </c>
      <c r="G2840" s="61">
        <v>1</v>
      </c>
      <c r="H2840" s="45">
        <v>15</v>
      </c>
      <c r="I2840" s="74">
        <v>19.308409999999999</v>
      </c>
    </row>
    <row r="2841" spans="1:9" s="71" customFormat="1" ht="16.5" hidden="1" customHeight="1" outlineLevel="1" x14ac:dyDescent="0.25">
      <c r="A2841" s="74">
        <v>902</v>
      </c>
      <c r="B2841" s="45" t="s">
        <v>664</v>
      </c>
      <c r="C2841" s="60" t="s">
        <v>2464</v>
      </c>
      <c r="D2841" s="60"/>
      <c r="E2841" s="74">
        <v>2022</v>
      </c>
      <c r="F2841" s="74" t="s">
        <v>489</v>
      </c>
      <c r="G2841" s="61">
        <v>1</v>
      </c>
      <c r="H2841" s="45">
        <v>15</v>
      </c>
      <c r="I2841" s="74">
        <v>19.30838</v>
      </c>
    </row>
    <row r="2842" spans="1:9" s="71" customFormat="1" ht="16.5" hidden="1" customHeight="1" outlineLevel="1" x14ac:dyDescent="0.25">
      <c r="A2842" s="74">
        <v>903</v>
      </c>
      <c r="B2842" s="45" t="s">
        <v>664</v>
      </c>
      <c r="C2842" s="60" t="s">
        <v>2465</v>
      </c>
      <c r="D2842" s="60"/>
      <c r="E2842" s="74">
        <v>2022</v>
      </c>
      <c r="F2842" s="74" t="s">
        <v>489</v>
      </c>
      <c r="G2842" s="61">
        <v>1</v>
      </c>
      <c r="H2842" s="45">
        <v>9</v>
      </c>
      <c r="I2842" s="74">
        <v>19.308389999999999</v>
      </c>
    </row>
    <row r="2843" spans="1:9" s="71" customFormat="1" ht="16.5" hidden="1" customHeight="1" outlineLevel="1" x14ac:dyDescent="0.25">
      <c r="A2843" s="74">
        <v>904</v>
      </c>
      <c r="B2843" s="45" t="s">
        <v>664</v>
      </c>
      <c r="C2843" s="60" t="s">
        <v>2466</v>
      </c>
      <c r="D2843" s="60"/>
      <c r="E2843" s="74">
        <v>2022</v>
      </c>
      <c r="F2843" s="74" t="s">
        <v>489</v>
      </c>
      <c r="G2843" s="61">
        <v>1</v>
      </c>
      <c r="H2843" s="45">
        <v>15</v>
      </c>
      <c r="I2843" s="74">
        <v>19.308409999999999</v>
      </c>
    </row>
    <row r="2844" spans="1:9" s="71" customFormat="1" ht="16.5" hidden="1" customHeight="1" outlineLevel="1" x14ac:dyDescent="0.25">
      <c r="A2844" s="74">
        <v>905</v>
      </c>
      <c r="B2844" s="45" t="s">
        <v>664</v>
      </c>
      <c r="C2844" s="60" t="s">
        <v>2467</v>
      </c>
      <c r="D2844" s="60"/>
      <c r="E2844" s="74">
        <v>2022</v>
      </c>
      <c r="F2844" s="74" t="s">
        <v>489</v>
      </c>
      <c r="G2844" s="61">
        <v>1</v>
      </c>
      <c r="H2844" s="45">
        <v>15</v>
      </c>
      <c r="I2844" s="74">
        <v>19.308389999999999</v>
      </c>
    </row>
    <row r="2845" spans="1:9" s="71" customFormat="1" ht="16.5" hidden="1" customHeight="1" outlineLevel="1" x14ac:dyDescent="0.25">
      <c r="A2845" s="74">
        <v>906</v>
      </c>
      <c r="B2845" s="45" t="s">
        <v>664</v>
      </c>
      <c r="C2845" s="60" t="s">
        <v>2468</v>
      </c>
      <c r="D2845" s="60"/>
      <c r="E2845" s="74">
        <v>2022</v>
      </c>
      <c r="F2845" s="74" t="s">
        <v>489</v>
      </c>
      <c r="G2845" s="61">
        <v>1</v>
      </c>
      <c r="H2845" s="45">
        <v>14</v>
      </c>
      <c r="I2845" s="74">
        <v>19.308409999999999</v>
      </c>
    </row>
    <row r="2846" spans="1:9" s="71" customFormat="1" ht="16.5" hidden="1" customHeight="1" outlineLevel="1" x14ac:dyDescent="0.25">
      <c r="A2846" s="74">
        <v>907</v>
      </c>
      <c r="B2846" s="45" t="s">
        <v>664</v>
      </c>
      <c r="C2846" s="60" t="s">
        <v>2469</v>
      </c>
      <c r="D2846" s="60"/>
      <c r="E2846" s="74">
        <v>2022</v>
      </c>
      <c r="F2846" s="74" t="s">
        <v>489</v>
      </c>
      <c r="G2846" s="61">
        <v>1</v>
      </c>
      <c r="H2846" s="45">
        <v>14</v>
      </c>
      <c r="I2846" s="74">
        <v>19.30828</v>
      </c>
    </row>
    <row r="2847" spans="1:9" s="71" customFormat="1" ht="16.5" hidden="1" customHeight="1" outlineLevel="1" x14ac:dyDescent="0.25">
      <c r="A2847" s="74">
        <v>828</v>
      </c>
      <c r="B2847" s="45" t="s">
        <v>664</v>
      </c>
      <c r="C2847" s="60" t="s">
        <v>2470</v>
      </c>
      <c r="D2847" s="60"/>
      <c r="E2847" s="74">
        <v>2022</v>
      </c>
      <c r="F2847" s="74" t="s">
        <v>489</v>
      </c>
      <c r="G2847" s="61">
        <v>1</v>
      </c>
      <c r="H2847" s="45">
        <v>15</v>
      </c>
      <c r="I2847" s="74">
        <v>24.445810000000002</v>
      </c>
    </row>
    <row r="2848" spans="1:9" s="71" customFormat="1" ht="16.5" hidden="1" customHeight="1" outlineLevel="1" x14ac:dyDescent="0.25">
      <c r="A2848" s="74">
        <v>877</v>
      </c>
      <c r="B2848" s="45" t="s">
        <v>664</v>
      </c>
      <c r="C2848" s="60" t="s">
        <v>2471</v>
      </c>
      <c r="D2848" s="60"/>
      <c r="E2848" s="74">
        <v>2022</v>
      </c>
      <c r="F2848" s="74" t="s">
        <v>489</v>
      </c>
      <c r="G2848" s="61">
        <v>1</v>
      </c>
      <c r="H2848" s="45">
        <v>15</v>
      </c>
      <c r="I2848" s="74">
        <v>25.445530000000002</v>
      </c>
    </row>
    <row r="2849" spans="1:9" s="71" customFormat="1" ht="16.5" hidden="1" customHeight="1" outlineLevel="1" x14ac:dyDescent="0.25">
      <c r="A2849" s="74">
        <v>811</v>
      </c>
      <c r="B2849" s="45" t="s">
        <v>664</v>
      </c>
      <c r="C2849" s="60" t="s">
        <v>2472</v>
      </c>
      <c r="D2849" s="60"/>
      <c r="E2849" s="74">
        <v>2022</v>
      </c>
      <c r="F2849" s="74" t="s">
        <v>489</v>
      </c>
      <c r="G2849" s="61">
        <v>1</v>
      </c>
      <c r="H2849" s="45">
        <v>15</v>
      </c>
      <c r="I2849" s="74">
        <v>24.445810000000002</v>
      </c>
    </row>
    <row r="2850" spans="1:9" s="71" customFormat="1" ht="16.5" hidden="1" customHeight="1" outlineLevel="1" x14ac:dyDescent="0.25">
      <c r="A2850" s="74">
        <v>823</v>
      </c>
      <c r="B2850" s="45" t="s">
        <v>664</v>
      </c>
      <c r="C2850" s="60" t="s">
        <v>2473</v>
      </c>
      <c r="D2850" s="60"/>
      <c r="E2850" s="74">
        <v>2022</v>
      </c>
      <c r="F2850" s="74" t="s">
        <v>489</v>
      </c>
      <c r="G2850" s="61">
        <v>1</v>
      </c>
      <c r="H2850" s="45">
        <v>5</v>
      </c>
      <c r="I2850" s="74">
        <v>24.851600000000001</v>
      </c>
    </row>
    <row r="2851" spans="1:9" s="71" customFormat="1" ht="16.5" hidden="1" customHeight="1" outlineLevel="1" x14ac:dyDescent="0.25">
      <c r="A2851" s="74">
        <v>824</v>
      </c>
      <c r="B2851" s="45" t="s">
        <v>664</v>
      </c>
      <c r="C2851" s="60" t="s">
        <v>2474</v>
      </c>
      <c r="D2851" s="60"/>
      <c r="E2851" s="74">
        <v>2022</v>
      </c>
      <c r="F2851" s="74" t="s">
        <v>489</v>
      </c>
      <c r="G2851" s="61">
        <v>1</v>
      </c>
      <c r="H2851" s="45">
        <v>5</v>
      </c>
      <c r="I2851" s="74">
        <v>24.445789999999999</v>
      </c>
    </row>
    <row r="2852" spans="1:9" s="71" customFormat="1" ht="16.5" hidden="1" customHeight="1" outlineLevel="1" x14ac:dyDescent="0.25">
      <c r="A2852" s="74">
        <v>859</v>
      </c>
      <c r="B2852" s="45" t="s">
        <v>664</v>
      </c>
      <c r="C2852" s="60" t="s">
        <v>2475</v>
      </c>
      <c r="D2852" s="60"/>
      <c r="E2852" s="74">
        <v>2022</v>
      </c>
      <c r="F2852" s="74" t="s">
        <v>489</v>
      </c>
      <c r="G2852" s="61">
        <v>1</v>
      </c>
      <c r="H2852" s="45">
        <v>15</v>
      </c>
      <c r="I2852" s="74">
        <v>25.229130000000001</v>
      </c>
    </row>
    <row r="2853" spans="1:9" s="71" customFormat="1" ht="16.5" hidden="1" customHeight="1" outlineLevel="1" x14ac:dyDescent="0.25">
      <c r="A2853" s="74">
        <v>832</v>
      </c>
      <c r="B2853" s="45" t="s">
        <v>664</v>
      </c>
      <c r="C2853" s="60" t="s">
        <v>2476</v>
      </c>
      <c r="D2853" s="60"/>
      <c r="E2853" s="74">
        <v>2022</v>
      </c>
      <c r="F2853" s="74" t="s">
        <v>489</v>
      </c>
      <c r="G2853" s="61">
        <v>1</v>
      </c>
      <c r="H2853" s="45">
        <v>9</v>
      </c>
      <c r="I2853" s="74">
        <v>24.445799999999998</v>
      </c>
    </row>
    <row r="2854" spans="1:9" s="71" customFormat="1" ht="16.5" hidden="1" customHeight="1" outlineLevel="1" x14ac:dyDescent="0.25">
      <c r="A2854" s="74">
        <v>562</v>
      </c>
      <c r="B2854" s="45" t="s">
        <v>664</v>
      </c>
      <c r="C2854" s="60" t="s">
        <v>148</v>
      </c>
      <c r="D2854" s="60"/>
      <c r="E2854" s="74">
        <v>2022</v>
      </c>
      <c r="F2854" s="74" t="s">
        <v>489</v>
      </c>
      <c r="G2854" s="61">
        <v>1</v>
      </c>
      <c r="H2854" s="45">
        <v>15</v>
      </c>
      <c r="I2854" s="74">
        <v>99.165459999999996</v>
      </c>
    </row>
    <row r="2855" spans="1:9" s="71" customFormat="1" ht="16.5" hidden="1" customHeight="1" outlineLevel="1" x14ac:dyDescent="0.25">
      <c r="A2855" s="74">
        <v>563</v>
      </c>
      <c r="B2855" s="45" t="s">
        <v>664</v>
      </c>
      <c r="C2855" s="60" t="s">
        <v>2477</v>
      </c>
      <c r="D2855" s="60"/>
      <c r="E2855" s="74">
        <v>2022</v>
      </c>
      <c r="F2855" s="74" t="s">
        <v>489</v>
      </c>
      <c r="G2855" s="61">
        <v>3</v>
      </c>
      <c r="H2855" s="45">
        <v>27</v>
      </c>
      <c r="I2855" s="74">
        <v>139.89227</v>
      </c>
    </row>
    <row r="2856" spans="1:9" s="71" customFormat="1" ht="16.5" hidden="1" customHeight="1" outlineLevel="1" x14ac:dyDescent="0.25">
      <c r="A2856" s="74">
        <v>564</v>
      </c>
      <c r="B2856" s="45" t="s">
        <v>664</v>
      </c>
      <c r="C2856" s="60" t="s">
        <v>150</v>
      </c>
      <c r="D2856" s="60"/>
      <c r="E2856" s="74">
        <v>2022</v>
      </c>
      <c r="F2856" s="74" t="s">
        <v>489</v>
      </c>
      <c r="G2856" s="61">
        <v>1</v>
      </c>
      <c r="H2856" s="45">
        <v>15</v>
      </c>
      <c r="I2856" s="74">
        <v>50.113990000000001</v>
      </c>
    </row>
    <row r="2857" spans="1:9" s="71" customFormat="1" ht="16.5" hidden="1" customHeight="1" outlineLevel="1" x14ac:dyDescent="0.25">
      <c r="A2857" s="74">
        <v>565</v>
      </c>
      <c r="B2857" s="45" t="s">
        <v>664</v>
      </c>
      <c r="C2857" s="60" t="s">
        <v>2478</v>
      </c>
      <c r="D2857" s="60"/>
      <c r="E2857" s="74">
        <v>2022</v>
      </c>
      <c r="F2857" s="74" t="s">
        <v>489</v>
      </c>
      <c r="G2857" s="61">
        <v>1</v>
      </c>
      <c r="H2857" s="45">
        <v>15</v>
      </c>
      <c r="I2857" s="74">
        <v>51.032589999999999</v>
      </c>
    </row>
    <row r="2858" spans="1:9" s="71" customFormat="1" ht="16.5" hidden="1" customHeight="1" outlineLevel="1" x14ac:dyDescent="0.25">
      <c r="A2858" s="74">
        <v>566</v>
      </c>
      <c r="B2858" s="45" t="s">
        <v>664</v>
      </c>
      <c r="C2858" s="60" t="s">
        <v>2479</v>
      </c>
      <c r="D2858" s="60"/>
      <c r="E2858" s="74">
        <v>2022</v>
      </c>
      <c r="F2858" s="74" t="s">
        <v>489</v>
      </c>
      <c r="G2858" s="61">
        <v>1</v>
      </c>
      <c r="H2858" s="45">
        <v>9</v>
      </c>
      <c r="I2858" s="74">
        <v>63.130009999999999</v>
      </c>
    </row>
    <row r="2859" spans="1:9" s="71" customFormat="1" ht="16.5" hidden="1" customHeight="1" outlineLevel="1" x14ac:dyDescent="0.25">
      <c r="A2859" s="74">
        <v>908</v>
      </c>
      <c r="B2859" s="45" t="s">
        <v>664</v>
      </c>
      <c r="C2859" s="60" t="s">
        <v>2480</v>
      </c>
      <c r="D2859" s="60"/>
      <c r="E2859" s="74">
        <v>2022</v>
      </c>
      <c r="F2859" s="74" t="s">
        <v>489</v>
      </c>
      <c r="G2859" s="61">
        <v>1</v>
      </c>
      <c r="H2859" s="45">
        <v>9</v>
      </c>
      <c r="I2859" s="74">
        <v>26.575089999999999</v>
      </c>
    </row>
    <row r="2860" spans="1:9" s="71" customFormat="1" ht="16.5" hidden="1" customHeight="1" outlineLevel="1" x14ac:dyDescent="0.25">
      <c r="A2860" s="74">
        <v>909</v>
      </c>
      <c r="B2860" s="45" t="s">
        <v>664</v>
      </c>
      <c r="C2860" s="60" t="s">
        <v>2481</v>
      </c>
      <c r="D2860" s="60"/>
      <c r="E2860" s="74">
        <v>2022</v>
      </c>
      <c r="F2860" s="74" t="s">
        <v>489</v>
      </c>
      <c r="G2860" s="61">
        <v>1</v>
      </c>
      <c r="H2860" s="45">
        <v>9</v>
      </c>
      <c r="I2860" s="74">
        <v>17.067450000000001</v>
      </c>
    </row>
    <row r="2861" spans="1:9" s="71" customFormat="1" ht="16.5" hidden="1" customHeight="1" outlineLevel="1" x14ac:dyDescent="0.25">
      <c r="A2861" s="74">
        <v>851</v>
      </c>
      <c r="B2861" s="45" t="s">
        <v>664</v>
      </c>
      <c r="C2861" s="60" t="s">
        <v>2482</v>
      </c>
      <c r="D2861" s="60"/>
      <c r="E2861" s="74">
        <v>2022</v>
      </c>
      <c r="F2861" s="74" t="s">
        <v>489</v>
      </c>
      <c r="G2861" s="61">
        <v>1</v>
      </c>
      <c r="H2861" s="45">
        <v>9</v>
      </c>
      <c r="I2861" s="74">
        <v>25.17285</v>
      </c>
    </row>
    <row r="2862" spans="1:9" s="71" customFormat="1" ht="16.5" hidden="1" customHeight="1" outlineLevel="1" x14ac:dyDescent="0.25">
      <c r="A2862" s="74">
        <v>847</v>
      </c>
      <c r="B2862" s="45" t="s">
        <v>664</v>
      </c>
      <c r="C2862" s="60" t="s">
        <v>2483</v>
      </c>
      <c r="D2862" s="60"/>
      <c r="E2862" s="74">
        <v>2022</v>
      </c>
      <c r="F2862" s="74" t="s">
        <v>489</v>
      </c>
      <c r="G2862" s="61">
        <v>1</v>
      </c>
      <c r="H2862" s="45">
        <v>15</v>
      </c>
      <c r="I2862" s="74">
        <v>25.172879999999999</v>
      </c>
    </row>
    <row r="2863" spans="1:9" s="71" customFormat="1" ht="16.5" hidden="1" customHeight="1" outlineLevel="1" x14ac:dyDescent="0.25">
      <c r="A2863" s="74">
        <v>873</v>
      </c>
      <c r="B2863" s="45" t="s">
        <v>664</v>
      </c>
      <c r="C2863" s="60" t="s">
        <v>2484</v>
      </c>
      <c r="D2863" s="60"/>
      <c r="E2863" s="74">
        <v>2022</v>
      </c>
      <c r="F2863" s="74" t="s">
        <v>489</v>
      </c>
      <c r="G2863" s="61">
        <v>1</v>
      </c>
      <c r="H2863" s="45">
        <v>5</v>
      </c>
      <c r="I2863" s="74">
        <v>25.17287</v>
      </c>
    </row>
    <row r="2864" spans="1:9" s="71" customFormat="1" ht="16.5" hidden="1" customHeight="1" outlineLevel="1" x14ac:dyDescent="0.25">
      <c r="A2864" s="74">
        <v>874</v>
      </c>
      <c r="B2864" s="45" t="s">
        <v>664</v>
      </c>
      <c r="C2864" s="60" t="s">
        <v>2485</v>
      </c>
      <c r="D2864" s="60"/>
      <c r="E2864" s="74">
        <v>2022</v>
      </c>
      <c r="F2864" s="74" t="s">
        <v>489</v>
      </c>
      <c r="G2864" s="61">
        <v>1</v>
      </c>
      <c r="H2864" s="45">
        <v>5</v>
      </c>
      <c r="I2864" s="74">
        <v>25.17287</v>
      </c>
    </row>
    <row r="2865" spans="1:9" s="71" customFormat="1" ht="16.5" hidden="1" customHeight="1" outlineLevel="1" x14ac:dyDescent="0.25">
      <c r="A2865" s="74">
        <v>864</v>
      </c>
      <c r="B2865" s="45" t="s">
        <v>664</v>
      </c>
      <c r="C2865" s="60" t="s">
        <v>2486</v>
      </c>
      <c r="D2865" s="60"/>
      <c r="E2865" s="74">
        <v>2022</v>
      </c>
      <c r="F2865" s="74" t="s">
        <v>489</v>
      </c>
      <c r="G2865" s="61">
        <v>1</v>
      </c>
      <c r="H2865" s="45">
        <v>9</v>
      </c>
      <c r="I2865" s="74">
        <v>25.17285</v>
      </c>
    </row>
    <row r="2866" spans="1:9" s="71" customFormat="1" ht="16.5" hidden="1" customHeight="1" outlineLevel="1" x14ac:dyDescent="0.25">
      <c r="A2866" s="74">
        <v>865</v>
      </c>
      <c r="B2866" s="45" t="s">
        <v>664</v>
      </c>
      <c r="C2866" s="60" t="s">
        <v>2487</v>
      </c>
      <c r="D2866" s="60"/>
      <c r="E2866" s="74">
        <v>2022</v>
      </c>
      <c r="F2866" s="74" t="s">
        <v>489</v>
      </c>
      <c r="G2866" s="61">
        <v>1</v>
      </c>
      <c r="H2866" s="45">
        <v>9</v>
      </c>
      <c r="I2866" s="74">
        <v>25.169250000000002</v>
      </c>
    </row>
    <row r="2867" spans="1:9" s="71" customFormat="1" ht="16.5" hidden="1" customHeight="1" outlineLevel="1" x14ac:dyDescent="0.25">
      <c r="A2867" s="74">
        <v>866</v>
      </c>
      <c r="B2867" s="45" t="s">
        <v>664</v>
      </c>
      <c r="C2867" s="60" t="s">
        <v>2488</v>
      </c>
      <c r="D2867" s="60"/>
      <c r="E2867" s="74">
        <v>2022</v>
      </c>
      <c r="F2867" s="74" t="s">
        <v>489</v>
      </c>
      <c r="G2867" s="61">
        <v>1</v>
      </c>
      <c r="H2867" s="45">
        <v>9</v>
      </c>
      <c r="I2867" s="74">
        <v>25.172820000000002</v>
      </c>
    </row>
    <row r="2868" spans="1:9" s="71" customFormat="1" ht="16.5" hidden="1" customHeight="1" outlineLevel="1" x14ac:dyDescent="0.25">
      <c r="A2868" s="74">
        <v>831</v>
      </c>
      <c r="B2868" s="45" t="s">
        <v>664</v>
      </c>
      <c r="C2868" s="60" t="s">
        <v>2489</v>
      </c>
      <c r="D2868" s="60"/>
      <c r="E2868" s="74">
        <v>2022</v>
      </c>
      <c r="F2868" s="74" t="s">
        <v>489</v>
      </c>
      <c r="G2868" s="61">
        <v>1</v>
      </c>
      <c r="H2868" s="45">
        <v>15</v>
      </c>
      <c r="I2868" s="74">
        <v>24.423190000000002</v>
      </c>
    </row>
    <row r="2869" spans="1:9" s="71" customFormat="1" ht="16.5" hidden="1" customHeight="1" outlineLevel="1" x14ac:dyDescent="0.25">
      <c r="A2869" s="74">
        <v>843</v>
      </c>
      <c r="B2869" s="45" t="s">
        <v>664</v>
      </c>
      <c r="C2869" s="60" t="s">
        <v>2490</v>
      </c>
      <c r="D2869" s="60"/>
      <c r="E2869" s="74">
        <v>2022</v>
      </c>
      <c r="F2869" s="74" t="s">
        <v>489</v>
      </c>
      <c r="G2869" s="61">
        <v>1</v>
      </c>
      <c r="H2869" s="45">
        <v>7</v>
      </c>
      <c r="I2869" s="74">
        <v>28.087140000000002</v>
      </c>
    </row>
    <row r="2870" spans="1:9" s="71" customFormat="1" ht="16.5" hidden="1" customHeight="1" outlineLevel="1" x14ac:dyDescent="0.25">
      <c r="A2870" s="74">
        <v>862</v>
      </c>
      <c r="B2870" s="45" t="s">
        <v>664</v>
      </c>
      <c r="C2870" s="60" t="s">
        <v>2491</v>
      </c>
      <c r="D2870" s="60"/>
      <c r="E2870" s="74">
        <v>2022</v>
      </c>
      <c r="F2870" s="74" t="s">
        <v>489</v>
      </c>
      <c r="G2870" s="61">
        <v>1</v>
      </c>
      <c r="H2870" s="45">
        <v>9</v>
      </c>
      <c r="I2870" s="74">
        <v>25.367149999999999</v>
      </c>
    </row>
    <row r="2871" spans="1:9" s="71" customFormat="1" ht="16.5" hidden="1" customHeight="1" outlineLevel="1" x14ac:dyDescent="0.25">
      <c r="A2871" s="74">
        <v>875</v>
      </c>
      <c r="B2871" s="45" t="s">
        <v>664</v>
      </c>
      <c r="C2871" s="60" t="s">
        <v>2492</v>
      </c>
      <c r="D2871" s="60"/>
      <c r="E2871" s="74">
        <v>2022</v>
      </c>
      <c r="F2871" s="74" t="s">
        <v>489</v>
      </c>
      <c r="G2871" s="61">
        <v>1</v>
      </c>
      <c r="H2871" s="45">
        <v>9</v>
      </c>
      <c r="I2871" s="74">
        <v>25.169250000000002</v>
      </c>
    </row>
    <row r="2872" spans="1:9" s="71" customFormat="1" ht="16.5" hidden="1" customHeight="1" outlineLevel="1" x14ac:dyDescent="0.25">
      <c r="A2872" s="74">
        <v>867</v>
      </c>
      <c r="B2872" s="45" t="s">
        <v>664</v>
      </c>
      <c r="C2872" s="60" t="s">
        <v>2493</v>
      </c>
      <c r="D2872" s="60"/>
      <c r="E2872" s="74">
        <v>2022</v>
      </c>
      <c r="F2872" s="74" t="s">
        <v>489</v>
      </c>
      <c r="G2872" s="61">
        <v>1</v>
      </c>
      <c r="H2872" s="45">
        <v>15</v>
      </c>
      <c r="I2872" s="74">
        <v>25.172820000000002</v>
      </c>
    </row>
    <row r="2873" spans="1:9" s="71" customFormat="1" ht="16.5" hidden="1" customHeight="1" outlineLevel="1" x14ac:dyDescent="0.25">
      <c r="A2873" s="74">
        <v>819</v>
      </c>
      <c r="B2873" s="45" t="s">
        <v>664</v>
      </c>
      <c r="C2873" s="60" t="s">
        <v>2494</v>
      </c>
      <c r="D2873" s="60"/>
      <c r="E2873" s="74">
        <v>2022</v>
      </c>
      <c r="F2873" s="74" t="s">
        <v>489</v>
      </c>
      <c r="G2873" s="61">
        <v>1</v>
      </c>
      <c r="H2873" s="45">
        <v>10</v>
      </c>
      <c r="I2873" s="74">
        <v>24.71463</v>
      </c>
    </row>
    <row r="2874" spans="1:9" s="71" customFormat="1" ht="16.5" hidden="1" customHeight="1" outlineLevel="1" x14ac:dyDescent="0.25">
      <c r="A2874" s="74">
        <v>914</v>
      </c>
      <c r="B2874" s="45" t="s">
        <v>664</v>
      </c>
      <c r="C2874" s="60" t="s">
        <v>2495</v>
      </c>
      <c r="D2874" s="60"/>
      <c r="E2874" s="74">
        <v>2022</v>
      </c>
      <c r="F2874" s="74" t="s">
        <v>489</v>
      </c>
      <c r="G2874" s="61">
        <v>1</v>
      </c>
      <c r="H2874" s="45">
        <v>5</v>
      </c>
      <c r="I2874" s="74">
        <v>16.53416</v>
      </c>
    </row>
    <row r="2875" spans="1:9" s="71" customFormat="1" ht="16.5" hidden="1" customHeight="1" outlineLevel="1" x14ac:dyDescent="0.25">
      <c r="A2875" s="74">
        <v>915</v>
      </c>
      <c r="B2875" s="45" t="s">
        <v>664</v>
      </c>
      <c r="C2875" s="60" t="s">
        <v>2496</v>
      </c>
      <c r="D2875" s="60"/>
      <c r="E2875" s="74">
        <v>2022</v>
      </c>
      <c r="F2875" s="74" t="s">
        <v>489</v>
      </c>
      <c r="G2875" s="61">
        <v>1</v>
      </c>
      <c r="H2875" s="45">
        <v>9</v>
      </c>
      <c r="I2875" s="74">
        <v>16.339169999999999</v>
      </c>
    </row>
    <row r="2876" spans="1:9" s="71" customFormat="1" ht="16.5" hidden="1" customHeight="1" outlineLevel="1" x14ac:dyDescent="0.25">
      <c r="A2876" s="74">
        <v>916</v>
      </c>
      <c r="B2876" s="45" t="s">
        <v>664</v>
      </c>
      <c r="C2876" s="60" t="s">
        <v>2497</v>
      </c>
      <c r="D2876" s="60"/>
      <c r="E2876" s="74">
        <v>2022</v>
      </c>
      <c r="F2876" s="74" t="s">
        <v>489</v>
      </c>
      <c r="G2876" s="61">
        <v>1</v>
      </c>
      <c r="H2876" s="45">
        <v>15</v>
      </c>
      <c r="I2876" s="74">
        <v>16.339169999999999</v>
      </c>
    </row>
    <row r="2877" spans="1:9" s="71" customFormat="1" ht="16.5" hidden="1" customHeight="1" outlineLevel="1" x14ac:dyDescent="0.25">
      <c r="A2877" s="74">
        <v>480</v>
      </c>
      <c r="B2877" s="45" t="s">
        <v>664</v>
      </c>
      <c r="C2877" s="60" t="s">
        <v>2498</v>
      </c>
      <c r="D2877" s="60"/>
      <c r="E2877" s="74">
        <v>2022</v>
      </c>
      <c r="F2877" s="74" t="s">
        <v>489</v>
      </c>
      <c r="G2877" s="61">
        <v>1</v>
      </c>
      <c r="H2877" s="45">
        <v>15</v>
      </c>
      <c r="I2877" s="74">
        <v>20.696750000000002</v>
      </c>
    </row>
    <row r="2878" spans="1:9" s="71" customFormat="1" ht="16.5" hidden="1" customHeight="1" outlineLevel="1" x14ac:dyDescent="0.25">
      <c r="A2878" s="74">
        <v>482</v>
      </c>
      <c r="B2878" s="45" t="s">
        <v>664</v>
      </c>
      <c r="C2878" s="60" t="s">
        <v>2499</v>
      </c>
      <c r="D2878" s="60"/>
      <c r="E2878" s="74">
        <v>2022</v>
      </c>
      <c r="F2878" s="74" t="s">
        <v>489</v>
      </c>
      <c r="G2878" s="61">
        <v>1</v>
      </c>
      <c r="H2878" s="45">
        <v>15</v>
      </c>
      <c r="I2878" s="74">
        <v>43.661349999999999</v>
      </c>
    </row>
    <row r="2879" spans="1:9" s="71" customFormat="1" ht="16.5" hidden="1" customHeight="1" outlineLevel="1" x14ac:dyDescent="0.25">
      <c r="A2879" s="74">
        <v>918</v>
      </c>
      <c r="B2879" s="45" t="s">
        <v>664</v>
      </c>
      <c r="C2879" s="60" t="s">
        <v>2500</v>
      </c>
      <c r="D2879" s="60"/>
      <c r="E2879" s="74">
        <v>2022</v>
      </c>
      <c r="F2879" s="74" t="s">
        <v>489</v>
      </c>
      <c r="G2879" s="61">
        <v>1</v>
      </c>
      <c r="H2879" s="45">
        <v>14</v>
      </c>
      <c r="I2879" s="74">
        <v>16.10999</v>
      </c>
    </row>
    <row r="2880" spans="1:9" s="71" customFormat="1" ht="16.5" hidden="1" customHeight="1" outlineLevel="1" x14ac:dyDescent="0.25">
      <c r="A2880" s="74">
        <v>923</v>
      </c>
      <c r="B2880" s="45" t="s">
        <v>664</v>
      </c>
      <c r="C2880" s="60" t="s">
        <v>2501</v>
      </c>
      <c r="D2880" s="60"/>
      <c r="E2880" s="74">
        <v>2022</v>
      </c>
      <c r="F2880" s="74" t="s">
        <v>489</v>
      </c>
      <c r="G2880" s="61">
        <v>1</v>
      </c>
      <c r="H2880" s="45">
        <v>14</v>
      </c>
      <c r="I2880" s="74">
        <v>16.109970000000001</v>
      </c>
    </row>
    <row r="2881" spans="1:9" s="71" customFormat="1" ht="16.5" hidden="1" customHeight="1" outlineLevel="1" x14ac:dyDescent="0.25">
      <c r="A2881" s="74">
        <v>567</v>
      </c>
      <c r="B2881" s="45" t="s">
        <v>664</v>
      </c>
      <c r="C2881" s="60" t="s">
        <v>2502</v>
      </c>
      <c r="D2881" s="60"/>
      <c r="E2881" s="74">
        <v>2022</v>
      </c>
      <c r="F2881" s="74" t="s">
        <v>489</v>
      </c>
      <c r="G2881" s="61">
        <v>1</v>
      </c>
      <c r="H2881" s="45">
        <v>15</v>
      </c>
      <c r="I2881" s="74">
        <v>53.72045</v>
      </c>
    </row>
    <row r="2882" spans="1:9" s="71" customFormat="1" ht="16.5" hidden="1" customHeight="1" outlineLevel="1" x14ac:dyDescent="0.25">
      <c r="A2882" s="74">
        <v>465</v>
      </c>
      <c r="B2882" s="45" t="s">
        <v>664</v>
      </c>
      <c r="C2882" s="60" t="s">
        <v>2503</v>
      </c>
      <c r="D2882" s="60"/>
      <c r="E2882" s="74">
        <v>2022</v>
      </c>
      <c r="F2882" s="74" t="s">
        <v>489</v>
      </c>
      <c r="G2882" s="61">
        <v>2</v>
      </c>
      <c r="H2882" s="45">
        <v>15</v>
      </c>
      <c r="I2882" s="74">
        <v>246.62709000000001</v>
      </c>
    </row>
    <row r="2883" spans="1:9" s="71" customFormat="1" ht="16.5" hidden="1" customHeight="1" outlineLevel="1" x14ac:dyDescent="0.25">
      <c r="A2883" s="74">
        <v>501</v>
      </c>
      <c r="B2883" s="45" t="s">
        <v>664</v>
      </c>
      <c r="C2883" s="60" t="s">
        <v>2504</v>
      </c>
      <c r="D2883" s="60"/>
      <c r="E2883" s="74">
        <v>2022</v>
      </c>
      <c r="F2883" s="74" t="s">
        <v>489</v>
      </c>
      <c r="G2883" s="61">
        <v>1</v>
      </c>
      <c r="H2883" s="45">
        <v>15</v>
      </c>
      <c r="I2883" s="74">
        <v>25.567029999999999</v>
      </c>
    </row>
    <row r="2884" spans="1:9" s="71" customFormat="1" ht="16.5" hidden="1" customHeight="1" outlineLevel="1" x14ac:dyDescent="0.25">
      <c r="A2884" s="74">
        <v>493</v>
      </c>
      <c r="B2884" s="45" t="s">
        <v>664</v>
      </c>
      <c r="C2884" s="60" t="s">
        <v>2505</v>
      </c>
      <c r="D2884" s="60"/>
      <c r="E2884" s="74">
        <v>2022</v>
      </c>
      <c r="F2884" s="74" t="s">
        <v>489</v>
      </c>
      <c r="G2884" s="61">
        <v>1</v>
      </c>
      <c r="H2884" s="45">
        <v>7.5</v>
      </c>
      <c r="I2884" s="74">
        <v>25.324770000000001</v>
      </c>
    </row>
    <row r="2885" spans="1:9" s="71" customFormat="1" ht="16.5" hidden="1" customHeight="1" outlineLevel="1" x14ac:dyDescent="0.25">
      <c r="A2885" s="74">
        <v>516</v>
      </c>
      <c r="B2885" s="45" t="s">
        <v>664</v>
      </c>
      <c r="C2885" s="60" t="s">
        <v>2506</v>
      </c>
      <c r="D2885" s="60"/>
      <c r="E2885" s="74">
        <v>2022</v>
      </c>
      <c r="F2885" s="74" t="s">
        <v>489</v>
      </c>
      <c r="G2885" s="61">
        <v>1</v>
      </c>
      <c r="H2885" s="45">
        <v>13</v>
      </c>
      <c r="I2885" s="74">
        <v>28.005289999999999</v>
      </c>
    </row>
    <row r="2886" spans="1:9" s="71" customFormat="1" ht="16.5" hidden="1" customHeight="1" outlineLevel="1" x14ac:dyDescent="0.25">
      <c r="A2886" s="74">
        <v>496</v>
      </c>
      <c r="B2886" s="45" t="s">
        <v>664</v>
      </c>
      <c r="C2886" s="60" t="s">
        <v>2507</v>
      </c>
      <c r="D2886" s="60"/>
      <c r="E2886" s="74">
        <v>2022</v>
      </c>
      <c r="F2886" s="74" t="s">
        <v>489</v>
      </c>
      <c r="G2886" s="61">
        <v>1</v>
      </c>
      <c r="H2886" s="45">
        <v>15</v>
      </c>
      <c r="I2886" s="74">
        <v>27.856169999999999</v>
      </c>
    </row>
    <row r="2887" spans="1:9" s="71" customFormat="1" ht="16.5" hidden="1" customHeight="1" outlineLevel="1" x14ac:dyDescent="0.25">
      <c r="A2887" s="74">
        <v>555</v>
      </c>
      <c r="B2887" s="45" t="s">
        <v>664</v>
      </c>
      <c r="C2887" s="60" t="s">
        <v>2508</v>
      </c>
      <c r="D2887" s="60"/>
      <c r="E2887" s="74">
        <v>2022</v>
      </c>
      <c r="F2887" s="74" t="s">
        <v>489</v>
      </c>
      <c r="G2887" s="61">
        <v>1</v>
      </c>
      <c r="H2887" s="45">
        <v>15</v>
      </c>
      <c r="I2887" s="74">
        <v>28.89068</v>
      </c>
    </row>
    <row r="2888" spans="1:9" s="71" customFormat="1" ht="16.5" hidden="1" customHeight="1" outlineLevel="1" x14ac:dyDescent="0.25">
      <c r="A2888" s="74">
        <v>526</v>
      </c>
      <c r="B2888" s="45" t="s">
        <v>664</v>
      </c>
      <c r="C2888" s="60" t="s">
        <v>2509</v>
      </c>
      <c r="D2888" s="60"/>
      <c r="E2888" s="74">
        <v>2022</v>
      </c>
      <c r="F2888" s="74" t="s">
        <v>489</v>
      </c>
      <c r="G2888" s="61">
        <v>1</v>
      </c>
      <c r="H2888" s="45">
        <v>15</v>
      </c>
      <c r="I2888" s="74">
        <v>25.392330000000001</v>
      </c>
    </row>
    <row r="2889" spans="1:9" s="71" customFormat="1" ht="16.5" hidden="1" customHeight="1" outlineLevel="1" x14ac:dyDescent="0.25">
      <c r="A2889" s="74">
        <v>523</v>
      </c>
      <c r="B2889" s="45" t="s">
        <v>664</v>
      </c>
      <c r="C2889" s="60" t="s">
        <v>2510</v>
      </c>
      <c r="D2889" s="60"/>
      <c r="E2889" s="74">
        <v>2022</v>
      </c>
      <c r="F2889" s="74" t="s">
        <v>489</v>
      </c>
      <c r="G2889" s="61">
        <v>1</v>
      </c>
      <c r="H2889" s="45">
        <v>9</v>
      </c>
      <c r="I2889" s="74">
        <v>29.918759999999999</v>
      </c>
    </row>
    <row r="2890" spans="1:9" s="71" customFormat="1" ht="16.5" hidden="1" customHeight="1" outlineLevel="1" x14ac:dyDescent="0.25">
      <c r="A2890" s="74">
        <v>926</v>
      </c>
      <c r="B2890" s="45" t="s">
        <v>664</v>
      </c>
      <c r="C2890" s="60" t="s">
        <v>2511</v>
      </c>
      <c r="D2890" s="60"/>
      <c r="E2890" s="74">
        <v>2022</v>
      </c>
      <c r="F2890" s="74" t="s">
        <v>489</v>
      </c>
      <c r="G2890" s="61">
        <v>1</v>
      </c>
      <c r="H2890" s="45">
        <v>15</v>
      </c>
      <c r="I2890" s="74">
        <v>16.786580000000001</v>
      </c>
    </row>
    <row r="2891" spans="1:9" s="71" customFormat="1" ht="16.5" hidden="1" customHeight="1" outlineLevel="1" x14ac:dyDescent="0.25">
      <c r="A2891" s="74">
        <v>929</v>
      </c>
      <c r="B2891" s="45" t="s">
        <v>664</v>
      </c>
      <c r="C2891" s="60" t="s">
        <v>2512</v>
      </c>
      <c r="D2891" s="60"/>
      <c r="E2891" s="74">
        <v>2022</v>
      </c>
      <c r="F2891" s="74" t="s">
        <v>489</v>
      </c>
      <c r="G2891" s="61">
        <v>1</v>
      </c>
      <c r="H2891" s="45">
        <v>9</v>
      </c>
      <c r="I2891" s="74">
        <v>16.78659</v>
      </c>
    </row>
    <row r="2892" spans="1:9" s="71" customFormat="1" ht="16.5" hidden="1" customHeight="1" outlineLevel="1" x14ac:dyDescent="0.25">
      <c r="A2892" s="74">
        <v>930</v>
      </c>
      <c r="B2892" s="45" t="s">
        <v>664</v>
      </c>
      <c r="C2892" s="60" t="s">
        <v>2513</v>
      </c>
      <c r="D2892" s="60"/>
      <c r="E2892" s="74">
        <v>2022</v>
      </c>
      <c r="F2892" s="74" t="s">
        <v>489</v>
      </c>
      <c r="G2892" s="61">
        <v>1</v>
      </c>
      <c r="H2892" s="45">
        <v>15</v>
      </c>
      <c r="I2892" s="74">
        <v>16.786570000000001</v>
      </c>
    </row>
    <row r="2893" spans="1:9" s="71" customFormat="1" ht="16.5" hidden="1" customHeight="1" outlineLevel="1" x14ac:dyDescent="0.25">
      <c r="A2893" s="74">
        <v>931</v>
      </c>
      <c r="B2893" s="45" t="s">
        <v>664</v>
      </c>
      <c r="C2893" s="60" t="s">
        <v>2514</v>
      </c>
      <c r="D2893" s="60"/>
      <c r="E2893" s="74">
        <v>2022</v>
      </c>
      <c r="F2893" s="74" t="s">
        <v>489</v>
      </c>
      <c r="G2893" s="61">
        <v>1</v>
      </c>
      <c r="H2893" s="45">
        <v>6</v>
      </c>
      <c r="I2893" s="74">
        <v>16.76587</v>
      </c>
    </row>
    <row r="2894" spans="1:9" s="71" customFormat="1" ht="16.5" hidden="1" customHeight="1" outlineLevel="1" x14ac:dyDescent="0.25">
      <c r="A2894" s="74">
        <v>932</v>
      </c>
      <c r="B2894" s="45" t="s">
        <v>664</v>
      </c>
      <c r="C2894" s="60" t="s">
        <v>2515</v>
      </c>
      <c r="D2894" s="60"/>
      <c r="E2894" s="74">
        <v>2022</v>
      </c>
      <c r="F2894" s="74" t="s">
        <v>489</v>
      </c>
      <c r="G2894" s="61">
        <v>1</v>
      </c>
      <c r="H2894" s="45">
        <v>13.4</v>
      </c>
      <c r="I2894" s="74">
        <v>16.765910000000002</v>
      </c>
    </row>
    <row r="2895" spans="1:9" s="71" customFormat="1" ht="16.5" hidden="1" customHeight="1" outlineLevel="1" x14ac:dyDescent="0.25">
      <c r="A2895" s="74">
        <v>933</v>
      </c>
      <c r="B2895" s="45" t="s">
        <v>664</v>
      </c>
      <c r="C2895" s="60" t="s">
        <v>2516</v>
      </c>
      <c r="D2895" s="60"/>
      <c r="E2895" s="74">
        <v>2022</v>
      </c>
      <c r="F2895" s="74" t="s">
        <v>489</v>
      </c>
      <c r="G2895" s="61">
        <v>1</v>
      </c>
      <c r="H2895" s="45">
        <v>10.3</v>
      </c>
      <c r="I2895" s="74">
        <v>17.052389999999999</v>
      </c>
    </row>
    <row r="2896" spans="1:9" s="71" customFormat="1" ht="16.5" hidden="1" customHeight="1" outlineLevel="1" x14ac:dyDescent="0.25">
      <c r="A2896" s="74">
        <v>934</v>
      </c>
      <c r="B2896" s="45" t="s">
        <v>664</v>
      </c>
      <c r="C2896" s="60" t="s">
        <v>2517</v>
      </c>
      <c r="D2896" s="60"/>
      <c r="E2896" s="74">
        <v>2022</v>
      </c>
      <c r="F2896" s="74" t="s">
        <v>489</v>
      </c>
      <c r="G2896" s="61">
        <v>1</v>
      </c>
      <c r="H2896" s="45">
        <v>12.8</v>
      </c>
      <c r="I2896" s="74">
        <v>17.052440000000001</v>
      </c>
    </row>
    <row r="2897" spans="1:9" s="71" customFormat="1" ht="16.5" hidden="1" customHeight="1" outlineLevel="1" x14ac:dyDescent="0.25">
      <c r="A2897" s="74">
        <v>935</v>
      </c>
      <c r="B2897" s="45" t="s">
        <v>664</v>
      </c>
      <c r="C2897" s="60" t="s">
        <v>2518</v>
      </c>
      <c r="D2897" s="60"/>
      <c r="E2897" s="74">
        <v>2022</v>
      </c>
      <c r="F2897" s="74" t="s">
        <v>489</v>
      </c>
      <c r="G2897" s="61">
        <v>1</v>
      </c>
      <c r="H2897" s="45">
        <v>13</v>
      </c>
      <c r="I2897" s="74">
        <v>17.05256</v>
      </c>
    </row>
    <row r="2898" spans="1:9" s="71" customFormat="1" ht="16.5" hidden="1" customHeight="1" outlineLevel="1" x14ac:dyDescent="0.25">
      <c r="A2898" s="74">
        <v>936</v>
      </c>
      <c r="B2898" s="45" t="s">
        <v>664</v>
      </c>
      <c r="C2898" s="60" t="s">
        <v>2519</v>
      </c>
      <c r="D2898" s="60"/>
      <c r="E2898" s="74">
        <v>2022</v>
      </c>
      <c r="F2898" s="74" t="s">
        <v>489</v>
      </c>
      <c r="G2898" s="61">
        <v>1</v>
      </c>
      <c r="H2898" s="45">
        <v>12.2</v>
      </c>
      <c r="I2898" s="74">
        <v>17.052299999999999</v>
      </c>
    </row>
    <row r="2899" spans="1:9" s="71" customFormat="1" ht="16.5" hidden="1" customHeight="1" outlineLevel="1" x14ac:dyDescent="0.25">
      <c r="A2899" s="74">
        <v>937</v>
      </c>
      <c r="B2899" s="45" t="s">
        <v>664</v>
      </c>
      <c r="C2899" s="60" t="s">
        <v>2520</v>
      </c>
      <c r="D2899" s="60"/>
      <c r="E2899" s="74">
        <v>2022</v>
      </c>
      <c r="F2899" s="74" t="s">
        <v>489</v>
      </c>
      <c r="G2899" s="61">
        <v>1</v>
      </c>
      <c r="H2899" s="45">
        <v>14.6</v>
      </c>
      <c r="I2899" s="74">
        <v>34.123669999999997</v>
      </c>
    </row>
    <row r="2900" spans="1:9" s="71" customFormat="1" ht="16.5" hidden="1" customHeight="1" outlineLevel="1" x14ac:dyDescent="0.25">
      <c r="A2900" s="74">
        <v>938</v>
      </c>
      <c r="B2900" s="45" t="s">
        <v>664</v>
      </c>
      <c r="C2900" s="60" t="s">
        <v>2521</v>
      </c>
      <c r="D2900" s="60"/>
      <c r="E2900" s="74">
        <v>2022</v>
      </c>
      <c r="F2900" s="74" t="s">
        <v>489</v>
      </c>
      <c r="G2900" s="61">
        <v>1</v>
      </c>
      <c r="H2900" s="45">
        <v>14.6</v>
      </c>
      <c r="I2900" s="74">
        <v>34.123060000000002</v>
      </c>
    </row>
    <row r="2901" spans="1:9" s="71" customFormat="1" ht="16.5" hidden="1" customHeight="1" outlineLevel="1" x14ac:dyDescent="0.25">
      <c r="A2901" s="74">
        <v>939</v>
      </c>
      <c r="B2901" s="45" t="s">
        <v>664</v>
      </c>
      <c r="C2901" s="60" t="s">
        <v>2522</v>
      </c>
      <c r="D2901" s="60"/>
      <c r="E2901" s="74">
        <v>2022</v>
      </c>
      <c r="F2901" s="74" t="s">
        <v>489</v>
      </c>
      <c r="G2901" s="61">
        <v>1</v>
      </c>
      <c r="H2901" s="45">
        <v>14.6</v>
      </c>
      <c r="I2901" s="74">
        <v>34.123060000000002</v>
      </c>
    </row>
    <row r="2902" spans="1:9" s="71" customFormat="1" ht="16.5" hidden="1" customHeight="1" outlineLevel="1" x14ac:dyDescent="0.25">
      <c r="A2902" s="74">
        <v>940</v>
      </c>
      <c r="B2902" s="45" t="s">
        <v>664</v>
      </c>
      <c r="C2902" s="60" t="s">
        <v>2523</v>
      </c>
      <c r="D2902" s="60"/>
      <c r="E2902" s="74">
        <v>2022</v>
      </c>
      <c r="F2902" s="74" t="s">
        <v>489</v>
      </c>
      <c r="G2902" s="61">
        <v>1</v>
      </c>
      <c r="H2902" s="45">
        <v>7.5</v>
      </c>
      <c r="I2902" s="74">
        <v>34.123040000000003</v>
      </c>
    </row>
    <row r="2903" spans="1:9" s="71" customFormat="1" ht="16.5" hidden="1" customHeight="1" outlineLevel="1" x14ac:dyDescent="0.25">
      <c r="A2903" s="74">
        <v>570</v>
      </c>
      <c r="B2903" s="45" t="s">
        <v>664</v>
      </c>
      <c r="C2903" s="60" t="s">
        <v>2524</v>
      </c>
      <c r="D2903" s="60"/>
      <c r="E2903" s="74">
        <v>2022</v>
      </c>
      <c r="F2903" s="74" t="s">
        <v>489</v>
      </c>
      <c r="G2903" s="61">
        <v>5</v>
      </c>
      <c r="H2903" s="45">
        <v>75</v>
      </c>
      <c r="I2903" s="74">
        <v>171.47869</v>
      </c>
    </row>
    <row r="2904" spans="1:9" s="71" customFormat="1" ht="16.5" hidden="1" customHeight="1" outlineLevel="1" x14ac:dyDescent="0.25">
      <c r="A2904" s="74">
        <v>571</v>
      </c>
      <c r="B2904" s="45" t="s">
        <v>664</v>
      </c>
      <c r="C2904" s="60" t="s">
        <v>2525</v>
      </c>
      <c r="D2904" s="60"/>
      <c r="E2904" s="74">
        <v>2022</v>
      </c>
      <c r="F2904" s="74" t="s">
        <v>489</v>
      </c>
      <c r="G2904" s="61">
        <v>1</v>
      </c>
      <c r="H2904" s="45">
        <v>15</v>
      </c>
      <c r="I2904" s="74">
        <v>62.249099999999999</v>
      </c>
    </row>
    <row r="2905" spans="1:9" s="71" customFormat="1" ht="16.5" hidden="1" customHeight="1" outlineLevel="1" x14ac:dyDescent="0.25">
      <c r="A2905" s="74">
        <v>572</v>
      </c>
      <c r="B2905" s="45" t="s">
        <v>664</v>
      </c>
      <c r="C2905" s="60" t="s">
        <v>2526</v>
      </c>
      <c r="D2905" s="60"/>
      <c r="E2905" s="74">
        <v>2022</v>
      </c>
      <c r="F2905" s="74" t="s">
        <v>489</v>
      </c>
      <c r="G2905" s="61">
        <v>1</v>
      </c>
      <c r="H2905" s="45">
        <v>15</v>
      </c>
      <c r="I2905" s="74">
        <v>49.20973</v>
      </c>
    </row>
    <row r="2906" spans="1:9" s="71" customFormat="1" ht="16.5" hidden="1" customHeight="1" outlineLevel="1" x14ac:dyDescent="0.25">
      <c r="A2906" s="74">
        <v>573</v>
      </c>
      <c r="B2906" s="45" t="s">
        <v>664</v>
      </c>
      <c r="C2906" s="60" t="s">
        <v>2527</v>
      </c>
      <c r="D2906" s="60"/>
      <c r="E2906" s="74">
        <v>2022</v>
      </c>
      <c r="F2906" s="74" t="s">
        <v>489</v>
      </c>
      <c r="G2906" s="61">
        <v>1</v>
      </c>
      <c r="H2906" s="45">
        <v>15</v>
      </c>
      <c r="I2906" s="74">
        <v>76.765270000000001</v>
      </c>
    </row>
    <row r="2907" spans="1:9" s="71" customFormat="1" ht="16.5" hidden="1" customHeight="1" outlineLevel="1" x14ac:dyDescent="0.25">
      <c r="A2907" s="74">
        <v>574</v>
      </c>
      <c r="B2907" s="45" t="s">
        <v>664</v>
      </c>
      <c r="C2907" s="60" t="s">
        <v>2528</v>
      </c>
      <c r="D2907" s="60"/>
      <c r="E2907" s="74">
        <v>2022</v>
      </c>
      <c r="F2907" s="74" t="s">
        <v>489</v>
      </c>
      <c r="G2907" s="61">
        <v>2</v>
      </c>
      <c r="H2907" s="45">
        <v>30</v>
      </c>
      <c r="I2907" s="74">
        <v>98.998689999999996</v>
      </c>
    </row>
    <row r="2908" spans="1:9" s="71" customFormat="1" ht="16.5" hidden="1" customHeight="1" outlineLevel="1" x14ac:dyDescent="0.25">
      <c r="A2908" s="74">
        <v>472</v>
      </c>
      <c r="B2908" s="45" t="s">
        <v>664</v>
      </c>
      <c r="C2908" s="60" t="s">
        <v>153</v>
      </c>
      <c r="D2908" s="60"/>
      <c r="E2908" s="74">
        <v>2022</v>
      </c>
      <c r="F2908" s="74" t="s">
        <v>489</v>
      </c>
      <c r="G2908" s="61">
        <v>4</v>
      </c>
      <c r="H2908" s="45">
        <v>100</v>
      </c>
      <c r="I2908" s="74">
        <v>231.16892000000001</v>
      </c>
    </row>
    <row r="2909" spans="1:9" s="71" customFormat="1" ht="16.5" hidden="1" customHeight="1" outlineLevel="1" x14ac:dyDescent="0.25">
      <c r="A2909" s="74">
        <v>575</v>
      </c>
      <c r="B2909" s="45" t="s">
        <v>664</v>
      </c>
      <c r="C2909" s="60" t="s">
        <v>2529</v>
      </c>
      <c r="D2909" s="60"/>
      <c r="E2909" s="74">
        <v>2022</v>
      </c>
      <c r="F2909" s="74" t="s">
        <v>489</v>
      </c>
      <c r="G2909" s="61">
        <v>1</v>
      </c>
      <c r="H2909" s="45">
        <v>15</v>
      </c>
      <c r="I2909" s="74">
        <v>54.940570000000001</v>
      </c>
    </row>
    <row r="2910" spans="1:9" s="71" customFormat="1" ht="16.5" hidden="1" customHeight="1" outlineLevel="1" x14ac:dyDescent="0.25">
      <c r="A2910" s="74">
        <v>576</v>
      </c>
      <c r="B2910" s="45" t="s">
        <v>664</v>
      </c>
      <c r="C2910" s="60" t="s">
        <v>2530</v>
      </c>
      <c r="D2910" s="60"/>
      <c r="E2910" s="74">
        <v>2022</v>
      </c>
      <c r="F2910" s="74" t="s">
        <v>489</v>
      </c>
      <c r="G2910" s="61">
        <v>1</v>
      </c>
      <c r="H2910" s="45">
        <v>15</v>
      </c>
      <c r="I2910" s="74">
        <v>62.976579999999998</v>
      </c>
    </row>
    <row r="2911" spans="1:9" s="71" customFormat="1" ht="16.5" hidden="1" customHeight="1" outlineLevel="1" x14ac:dyDescent="0.25">
      <c r="A2911" s="74">
        <v>577</v>
      </c>
      <c r="B2911" s="45" t="s">
        <v>664</v>
      </c>
      <c r="C2911" s="60" t="s">
        <v>2531</v>
      </c>
      <c r="D2911" s="60"/>
      <c r="E2911" s="74">
        <v>2022</v>
      </c>
      <c r="F2911" s="74" t="s">
        <v>489</v>
      </c>
      <c r="G2911" s="61">
        <v>1</v>
      </c>
      <c r="H2911" s="45">
        <v>15</v>
      </c>
      <c r="I2911" s="74">
        <v>65.820350000000005</v>
      </c>
    </row>
    <row r="2912" spans="1:9" s="71" customFormat="1" ht="16.5" hidden="1" customHeight="1" outlineLevel="1" x14ac:dyDescent="0.25">
      <c r="A2912" s="74">
        <v>487</v>
      </c>
      <c r="B2912" s="45" t="s">
        <v>664</v>
      </c>
      <c r="C2912" s="60" t="s">
        <v>2532</v>
      </c>
      <c r="D2912" s="60"/>
      <c r="E2912" s="74">
        <v>2022</v>
      </c>
      <c r="F2912" s="74" t="s">
        <v>489</v>
      </c>
      <c r="G2912" s="61">
        <v>1</v>
      </c>
      <c r="H2912" s="45">
        <v>15</v>
      </c>
      <c r="I2912" s="74">
        <v>25.43317</v>
      </c>
    </row>
    <row r="2913" spans="1:9" s="71" customFormat="1" ht="16.5" hidden="1" customHeight="1" outlineLevel="1" x14ac:dyDescent="0.25">
      <c r="A2913" s="74">
        <v>946</v>
      </c>
      <c r="B2913" s="45" t="s">
        <v>664</v>
      </c>
      <c r="C2913" s="60" t="s">
        <v>2533</v>
      </c>
      <c r="D2913" s="60"/>
      <c r="E2913" s="74">
        <v>2022</v>
      </c>
      <c r="F2913" s="74" t="s">
        <v>489</v>
      </c>
      <c r="G2913" s="61">
        <v>1</v>
      </c>
      <c r="H2913" s="45">
        <v>15</v>
      </c>
      <c r="I2913" s="74">
        <v>16.36234</v>
      </c>
    </row>
    <row r="2914" spans="1:9" s="71" customFormat="1" ht="16.5" hidden="1" customHeight="1" outlineLevel="1" x14ac:dyDescent="0.25">
      <c r="A2914" s="74">
        <v>949</v>
      </c>
      <c r="B2914" s="45" t="s">
        <v>664</v>
      </c>
      <c r="C2914" s="60" t="s">
        <v>2534</v>
      </c>
      <c r="D2914" s="60"/>
      <c r="E2914" s="74">
        <v>2022</v>
      </c>
      <c r="F2914" s="74" t="s">
        <v>489</v>
      </c>
      <c r="G2914" s="61">
        <v>1</v>
      </c>
      <c r="H2914" s="45">
        <v>15</v>
      </c>
      <c r="I2914" s="74">
        <v>16.137450000000001</v>
      </c>
    </row>
    <row r="2915" spans="1:9" s="71" customFormat="1" ht="16.5" hidden="1" customHeight="1" outlineLevel="1" x14ac:dyDescent="0.25">
      <c r="A2915" s="74">
        <v>952</v>
      </c>
      <c r="B2915" s="45" t="s">
        <v>664</v>
      </c>
      <c r="C2915" s="60" t="s">
        <v>2535</v>
      </c>
      <c r="D2915" s="60"/>
      <c r="E2915" s="74">
        <v>2022</v>
      </c>
      <c r="F2915" s="74" t="s">
        <v>489</v>
      </c>
      <c r="G2915" s="61">
        <v>1</v>
      </c>
      <c r="H2915" s="45">
        <v>15</v>
      </c>
      <c r="I2915" s="74">
        <v>18.797509999999999</v>
      </c>
    </row>
    <row r="2916" spans="1:9" s="71" customFormat="1" ht="16.5" hidden="1" customHeight="1" outlineLevel="1" x14ac:dyDescent="0.25">
      <c r="A2916" s="74">
        <v>953</v>
      </c>
      <c r="B2916" s="45" t="s">
        <v>664</v>
      </c>
      <c r="C2916" s="60" t="s">
        <v>2536</v>
      </c>
      <c r="D2916" s="60"/>
      <c r="E2916" s="74">
        <v>2022</v>
      </c>
      <c r="F2916" s="74" t="s">
        <v>489</v>
      </c>
      <c r="G2916" s="61">
        <v>1</v>
      </c>
      <c r="H2916" s="45">
        <v>81</v>
      </c>
      <c r="I2916" s="74">
        <v>27.822679999999998</v>
      </c>
    </row>
    <row r="2917" spans="1:9" s="71" customFormat="1" ht="16.5" hidden="1" customHeight="1" outlineLevel="1" x14ac:dyDescent="0.25">
      <c r="A2917" s="74">
        <v>954</v>
      </c>
      <c r="B2917" s="45" t="s">
        <v>664</v>
      </c>
      <c r="C2917" s="60" t="s">
        <v>2537</v>
      </c>
      <c r="D2917" s="60"/>
      <c r="E2917" s="74">
        <v>2022</v>
      </c>
      <c r="F2917" s="74" t="s">
        <v>489</v>
      </c>
      <c r="G2917" s="61">
        <v>1</v>
      </c>
      <c r="H2917" s="45">
        <v>100</v>
      </c>
      <c r="I2917" s="74">
        <v>27.603000000000002</v>
      </c>
    </row>
    <row r="2918" spans="1:9" s="71" customFormat="1" ht="16.5" hidden="1" customHeight="1" outlineLevel="1" x14ac:dyDescent="0.25">
      <c r="A2918" s="74">
        <v>955</v>
      </c>
      <c r="B2918" s="45" t="s">
        <v>664</v>
      </c>
      <c r="C2918" s="60" t="s">
        <v>2538</v>
      </c>
      <c r="D2918" s="60"/>
      <c r="E2918" s="74">
        <v>2022</v>
      </c>
      <c r="F2918" s="74" t="s">
        <v>489</v>
      </c>
      <c r="G2918" s="61">
        <v>1</v>
      </c>
      <c r="H2918" s="45">
        <v>15</v>
      </c>
      <c r="I2918" s="74">
        <v>19.017219999999998</v>
      </c>
    </row>
    <row r="2919" spans="1:9" s="71" customFormat="1" ht="16.5" hidden="1" customHeight="1" outlineLevel="1" x14ac:dyDescent="0.25">
      <c r="A2919" s="74">
        <v>956</v>
      </c>
      <c r="B2919" s="45" t="s">
        <v>664</v>
      </c>
      <c r="C2919" s="60" t="s">
        <v>2539</v>
      </c>
      <c r="D2919" s="60"/>
      <c r="E2919" s="74">
        <v>2022</v>
      </c>
      <c r="F2919" s="74" t="s">
        <v>489</v>
      </c>
      <c r="G2919" s="61">
        <v>1</v>
      </c>
      <c r="H2919" s="45">
        <v>15</v>
      </c>
      <c r="I2919" s="74">
        <v>19.045259999999999</v>
      </c>
    </row>
    <row r="2920" spans="1:9" s="71" customFormat="1" ht="16.5" hidden="1" customHeight="1" outlineLevel="1" x14ac:dyDescent="0.25">
      <c r="A2920" s="74">
        <v>560</v>
      </c>
      <c r="B2920" s="45" t="s">
        <v>664</v>
      </c>
      <c r="C2920" s="60" t="s">
        <v>2540</v>
      </c>
      <c r="D2920" s="60"/>
      <c r="E2920" s="74">
        <v>2022</v>
      </c>
      <c r="F2920" s="74" t="s">
        <v>489</v>
      </c>
      <c r="G2920" s="61">
        <v>1</v>
      </c>
      <c r="H2920" s="45">
        <v>0</v>
      </c>
      <c r="I2920" s="74">
        <v>10.488149999999999</v>
      </c>
    </row>
    <row r="2921" spans="1:9" s="71" customFormat="1" ht="16.5" hidden="1" customHeight="1" outlineLevel="1" x14ac:dyDescent="0.25">
      <c r="A2921" s="74">
        <v>872</v>
      </c>
      <c r="B2921" s="45" t="s">
        <v>664</v>
      </c>
      <c r="C2921" s="60" t="s">
        <v>2541</v>
      </c>
      <c r="D2921" s="60"/>
      <c r="E2921" s="74">
        <v>2022</v>
      </c>
      <c r="F2921" s="74" t="s">
        <v>489</v>
      </c>
      <c r="G2921" s="61">
        <v>1</v>
      </c>
      <c r="H2921" s="45">
        <v>9</v>
      </c>
      <c r="I2921" s="74">
        <v>43.472799999999999</v>
      </c>
    </row>
    <row r="2922" spans="1:9" s="71" customFormat="1" ht="16.5" hidden="1" customHeight="1" outlineLevel="1" x14ac:dyDescent="0.25">
      <c r="A2922" s="74">
        <v>959</v>
      </c>
      <c r="B2922" s="45" t="s">
        <v>664</v>
      </c>
      <c r="C2922" s="60" t="s">
        <v>2542</v>
      </c>
      <c r="D2922" s="60"/>
      <c r="E2922" s="74">
        <v>2022</v>
      </c>
      <c r="F2922" s="74" t="s">
        <v>489</v>
      </c>
      <c r="G2922" s="61">
        <v>1</v>
      </c>
      <c r="H2922" s="45">
        <v>7.5</v>
      </c>
      <c r="I2922" s="74">
        <v>35.210619999999999</v>
      </c>
    </row>
    <row r="2923" spans="1:9" s="71" customFormat="1" ht="16.5" hidden="1" customHeight="1" outlineLevel="1" x14ac:dyDescent="0.25">
      <c r="A2923" s="74">
        <v>960</v>
      </c>
      <c r="B2923" s="45" t="s">
        <v>664</v>
      </c>
      <c r="C2923" s="60" t="s">
        <v>2543</v>
      </c>
      <c r="D2923" s="60"/>
      <c r="E2923" s="74">
        <v>2022</v>
      </c>
      <c r="F2923" s="74" t="s">
        <v>489</v>
      </c>
      <c r="G2923" s="61">
        <v>1</v>
      </c>
      <c r="H2923" s="45">
        <v>14.5</v>
      </c>
      <c r="I2923" s="74">
        <v>39.448329999999999</v>
      </c>
    </row>
    <row r="2924" spans="1:9" s="71" customFormat="1" ht="16.5" hidden="1" customHeight="1" outlineLevel="1" x14ac:dyDescent="0.25">
      <c r="A2924" s="74">
        <v>961</v>
      </c>
      <c r="B2924" s="45" t="s">
        <v>664</v>
      </c>
      <c r="C2924" s="60" t="s">
        <v>2544</v>
      </c>
      <c r="D2924" s="60"/>
      <c r="E2924" s="74">
        <v>2022</v>
      </c>
      <c r="F2924" s="74" t="s">
        <v>489</v>
      </c>
      <c r="G2924" s="61">
        <v>1</v>
      </c>
      <c r="H2924" s="45">
        <v>14.5</v>
      </c>
      <c r="I2924" s="74">
        <v>39.448369999999997</v>
      </c>
    </row>
    <row r="2925" spans="1:9" s="71" customFormat="1" ht="16.5" hidden="1" customHeight="1" outlineLevel="1" x14ac:dyDescent="0.25">
      <c r="A2925" s="74">
        <v>962</v>
      </c>
      <c r="B2925" s="45" t="s">
        <v>664</v>
      </c>
      <c r="C2925" s="60" t="s">
        <v>2545</v>
      </c>
      <c r="D2925" s="60"/>
      <c r="E2925" s="74">
        <v>2022</v>
      </c>
      <c r="F2925" s="74" t="s">
        <v>489</v>
      </c>
      <c r="G2925" s="61">
        <v>1</v>
      </c>
      <c r="H2925" s="45">
        <v>14.4</v>
      </c>
      <c r="I2925" s="74">
        <v>39.448419999999999</v>
      </c>
    </row>
    <row r="2926" spans="1:9" s="71" customFormat="1" ht="16.5" hidden="1" customHeight="1" outlineLevel="1" x14ac:dyDescent="0.25">
      <c r="A2926" s="74">
        <v>963</v>
      </c>
      <c r="B2926" s="45" t="s">
        <v>664</v>
      </c>
      <c r="C2926" s="60" t="s">
        <v>2546</v>
      </c>
      <c r="D2926" s="60"/>
      <c r="E2926" s="74">
        <v>2022</v>
      </c>
      <c r="F2926" s="74" t="s">
        <v>489</v>
      </c>
      <c r="G2926" s="61">
        <v>1</v>
      </c>
      <c r="H2926" s="45">
        <v>12.2</v>
      </c>
      <c r="I2926" s="74">
        <v>39.448219999999999</v>
      </c>
    </row>
    <row r="2927" spans="1:9" s="71" customFormat="1" ht="16.5" hidden="1" customHeight="1" outlineLevel="1" x14ac:dyDescent="0.25">
      <c r="A2927" s="74">
        <v>569</v>
      </c>
      <c r="B2927" s="45" t="s">
        <v>664</v>
      </c>
      <c r="C2927" s="60" t="s">
        <v>2547</v>
      </c>
      <c r="D2927" s="60"/>
      <c r="E2927" s="74">
        <v>2022</v>
      </c>
      <c r="F2927" s="74" t="s">
        <v>489</v>
      </c>
      <c r="G2927" s="61">
        <v>1</v>
      </c>
      <c r="H2927" s="45">
        <v>7.5</v>
      </c>
      <c r="I2927" s="74">
        <v>44.013280000000002</v>
      </c>
    </row>
    <row r="2928" spans="1:9" s="71" customFormat="1" ht="16.5" hidden="1" customHeight="1" outlineLevel="1" x14ac:dyDescent="0.25">
      <c r="A2928" s="74">
        <v>964</v>
      </c>
      <c r="B2928" s="45" t="s">
        <v>664</v>
      </c>
      <c r="C2928" s="60" t="s">
        <v>2548</v>
      </c>
      <c r="D2928" s="60"/>
      <c r="E2928" s="74">
        <v>2022</v>
      </c>
      <c r="F2928" s="74" t="s">
        <v>489</v>
      </c>
      <c r="G2928" s="61">
        <v>1</v>
      </c>
      <c r="H2928" s="45">
        <v>15</v>
      </c>
      <c r="I2928" s="74">
        <v>37.733150000000002</v>
      </c>
    </row>
    <row r="2929" spans="1:9" s="71" customFormat="1" ht="16.5" hidden="1" customHeight="1" outlineLevel="1" x14ac:dyDescent="0.25">
      <c r="A2929" s="74">
        <v>965</v>
      </c>
      <c r="B2929" s="45" t="s">
        <v>664</v>
      </c>
      <c r="C2929" s="60" t="s">
        <v>2549</v>
      </c>
      <c r="D2929" s="60"/>
      <c r="E2929" s="74">
        <v>2022</v>
      </c>
      <c r="F2929" s="74" t="s">
        <v>489</v>
      </c>
      <c r="G2929" s="61">
        <v>1</v>
      </c>
      <c r="H2929" s="45">
        <v>15</v>
      </c>
      <c r="I2929" s="74">
        <v>37.733139999999999</v>
      </c>
    </row>
    <row r="2930" spans="1:9" s="71" customFormat="1" ht="16.5" hidden="1" customHeight="1" outlineLevel="1" x14ac:dyDescent="0.25">
      <c r="A2930" s="74">
        <v>966</v>
      </c>
      <c r="B2930" s="45" t="s">
        <v>664</v>
      </c>
      <c r="C2930" s="60" t="s">
        <v>2550</v>
      </c>
      <c r="D2930" s="60"/>
      <c r="E2930" s="74">
        <v>2022</v>
      </c>
      <c r="F2930" s="74" t="s">
        <v>489</v>
      </c>
      <c r="G2930" s="61">
        <v>1</v>
      </c>
      <c r="H2930" s="45">
        <v>9</v>
      </c>
      <c r="I2930" s="74">
        <v>37.73319</v>
      </c>
    </row>
    <row r="2931" spans="1:9" s="71" customFormat="1" ht="16.5" hidden="1" customHeight="1" outlineLevel="1" x14ac:dyDescent="0.25">
      <c r="A2931" s="74">
        <v>967</v>
      </c>
      <c r="B2931" s="45" t="s">
        <v>664</v>
      </c>
      <c r="C2931" s="60" t="s">
        <v>2551</v>
      </c>
      <c r="D2931" s="60"/>
      <c r="E2931" s="74">
        <v>2022</v>
      </c>
      <c r="F2931" s="74" t="s">
        <v>489</v>
      </c>
      <c r="G2931" s="61">
        <v>1</v>
      </c>
      <c r="H2931" s="45">
        <v>15</v>
      </c>
      <c r="I2931" s="74">
        <v>37.733139999999999</v>
      </c>
    </row>
    <row r="2932" spans="1:9" s="71" customFormat="1" ht="16.5" hidden="1" customHeight="1" outlineLevel="1" x14ac:dyDescent="0.25">
      <c r="A2932" s="74">
        <v>509</v>
      </c>
      <c r="B2932" s="45" t="s">
        <v>664</v>
      </c>
      <c r="C2932" s="60" t="s">
        <v>2552</v>
      </c>
      <c r="D2932" s="60"/>
      <c r="E2932" s="74">
        <v>2022</v>
      </c>
      <c r="F2932" s="74" t="s">
        <v>489</v>
      </c>
      <c r="G2932" s="61">
        <v>1</v>
      </c>
      <c r="H2932" s="45">
        <v>15</v>
      </c>
      <c r="I2932" s="74">
        <v>45.301409999999997</v>
      </c>
    </row>
    <row r="2933" spans="1:9" s="71" customFormat="1" ht="16.5" hidden="1" customHeight="1" outlineLevel="1" x14ac:dyDescent="0.25">
      <c r="A2933" s="74">
        <v>520</v>
      </c>
      <c r="B2933" s="45" t="s">
        <v>664</v>
      </c>
      <c r="C2933" s="60" t="s">
        <v>2553</v>
      </c>
      <c r="D2933" s="60"/>
      <c r="E2933" s="74">
        <v>2022</v>
      </c>
      <c r="F2933" s="74" t="s">
        <v>489</v>
      </c>
      <c r="G2933" s="61">
        <v>1</v>
      </c>
      <c r="H2933" s="45">
        <v>6</v>
      </c>
      <c r="I2933" s="74">
        <v>47.394779999999997</v>
      </c>
    </row>
    <row r="2934" spans="1:9" s="71" customFormat="1" ht="16.5" hidden="1" customHeight="1" outlineLevel="1" x14ac:dyDescent="0.25">
      <c r="A2934" s="74">
        <v>500</v>
      </c>
      <c r="B2934" s="45" t="s">
        <v>664</v>
      </c>
      <c r="C2934" s="60" t="s">
        <v>2554</v>
      </c>
      <c r="D2934" s="60"/>
      <c r="E2934" s="74">
        <v>2022</v>
      </c>
      <c r="F2934" s="74" t="s">
        <v>489</v>
      </c>
      <c r="G2934" s="61">
        <v>1</v>
      </c>
      <c r="H2934" s="45">
        <v>15</v>
      </c>
      <c r="I2934" s="74">
        <v>45.3307</v>
      </c>
    </row>
    <row r="2935" spans="1:9" s="71" customFormat="1" ht="16.5" hidden="1" customHeight="1" outlineLevel="1" x14ac:dyDescent="0.25">
      <c r="A2935" s="74">
        <v>968</v>
      </c>
      <c r="B2935" s="45" t="s">
        <v>664</v>
      </c>
      <c r="C2935" s="60" t="s">
        <v>2555</v>
      </c>
      <c r="D2935" s="60"/>
      <c r="E2935" s="74">
        <v>2022</v>
      </c>
      <c r="F2935" s="74" t="s">
        <v>489</v>
      </c>
      <c r="G2935" s="61">
        <v>1</v>
      </c>
      <c r="H2935" s="45">
        <v>15</v>
      </c>
      <c r="I2935" s="74">
        <v>34.226550000000003</v>
      </c>
    </row>
    <row r="2936" spans="1:9" s="71" customFormat="1" ht="16.5" hidden="1" customHeight="1" outlineLevel="1" x14ac:dyDescent="0.25">
      <c r="A2936" s="74">
        <v>969</v>
      </c>
      <c r="B2936" s="45" t="s">
        <v>664</v>
      </c>
      <c r="C2936" s="60" t="s">
        <v>2556</v>
      </c>
      <c r="D2936" s="60"/>
      <c r="E2936" s="74">
        <v>2022</v>
      </c>
      <c r="F2936" s="74" t="s">
        <v>489</v>
      </c>
      <c r="G2936" s="61">
        <v>1</v>
      </c>
      <c r="H2936" s="45">
        <v>13.9</v>
      </c>
      <c r="I2936" s="74">
        <v>34.226559999999999</v>
      </c>
    </row>
    <row r="2937" spans="1:9" s="71" customFormat="1" ht="16.5" hidden="1" customHeight="1" outlineLevel="1" x14ac:dyDescent="0.25">
      <c r="A2937" s="74">
        <v>970</v>
      </c>
      <c r="B2937" s="45" t="s">
        <v>664</v>
      </c>
      <c r="C2937" s="60" t="s">
        <v>2557</v>
      </c>
      <c r="D2937" s="60"/>
      <c r="E2937" s="74">
        <v>2022</v>
      </c>
      <c r="F2937" s="74" t="s">
        <v>489</v>
      </c>
      <c r="G2937" s="61">
        <v>1</v>
      </c>
      <c r="H2937" s="45">
        <v>14.6</v>
      </c>
      <c r="I2937" s="74">
        <v>34.337220000000002</v>
      </c>
    </row>
    <row r="2938" spans="1:9" s="71" customFormat="1" ht="16.5" hidden="1" customHeight="1" outlineLevel="1" x14ac:dyDescent="0.25">
      <c r="A2938" s="74">
        <v>971</v>
      </c>
      <c r="B2938" s="45" t="s">
        <v>664</v>
      </c>
      <c r="C2938" s="60" t="s">
        <v>2558</v>
      </c>
      <c r="D2938" s="60"/>
      <c r="E2938" s="74">
        <v>2022</v>
      </c>
      <c r="F2938" s="74" t="s">
        <v>489</v>
      </c>
      <c r="G2938" s="61">
        <v>1</v>
      </c>
      <c r="H2938" s="45">
        <v>14.8</v>
      </c>
      <c r="I2938" s="74">
        <v>34.442230000000002</v>
      </c>
    </row>
    <row r="2939" spans="1:9" s="71" customFormat="1" ht="16.5" hidden="1" customHeight="1" outlineLevel="1" x14ac:dyDescent="0.25">
      <c r="A2939" s="74">
        <v>972</v>
      </c>
      <c r="B2939" s="45" t="s">
        <v>664</v>
      </c>
      <c r="C2939" s="60" t="s">
        <v>2559</v>
      </c>
      <c r="D2939" s="60"/>
      <c r="E2939" s="74">
        <v>2022</v>
      </c>
      <c r="F2939" s="74" t="s">
        <v>489</v>
      </c>
      <c r="G2939" s="61">
        <v>1</v>
      </c>
      <c r="H2939" s="45">
        <v>7.5</v>
      </c>
      <c r="I2939" s="74">
        <v>34.334389999999999</v>
      </c>
    </row>
    <row r="2940" spans="1:9" s="71" customFormat="1" ht="16.5" hidden="1" customHeight="1" outlineLevel="1" x14ac:dyDescent="0.25">
      <c r="A2940" s="74">
        <v>983</v>
      </c>
      <c r="B2940" s="45" t="s">
        <v>664</v>
      </c>
      <c r="C2940" s="60" t="s">
        <v>2560</v>
      </c>
      <c r="D2940" s="60"/>
      <c r="E2940" s="74">
        <v>2022</v>
      </c>
      <c r="F2940" s="74" t="s">
        <v>489</v>
      </c>
      <c r="G2940" s="61">
        <v>1</v>
      </c>
      <c r="H2940" s="45">
        <v>9</v>
      </c>
      <c r="I2940" s="74">
        <v>34.766210000000001</v>
      </c>
    </row>
    <row r="2941" spans="1:9" s="71" customFormat="1" ht="16.5" hidden="1" customHeight="1" outlineLevel="1" x14ac:dyDescent="0.25">
      <c r="A2941" s="74">
        <v>984</v>
      </c>
      <c r="B2941" s="45" t="s">
        <v>664</v>
      </c>
      <c r="C2941" s="60" t="s">
        <v>2561</v>
      </c>
      <c r="D2941" s="60"/>
      <c r="E2941" s="74">
        <v>2022</v>
      </c>
      <c r="F2941" s="74" t="s">
        <v>489</v>
      </c>
      <c r="G2941" s="61">
        <v>1</v>
      </c>
      <c r="H2941" s="45">
        <v>15</v>
      </c>
      <c r="I2941" s="74">
        <v>34.766210000000001</v>
      </c>
    </row>
    <row r="2942" spans="1:9" s="71" customFormat="1" ht="16.5" hidden="1" customHeight="1" outlineLevel="1" x14ac:dyDescent="0.25">
      <c r="A2942" s="74">
        <v>985</v>
      </c>
      <c r="B2942" s="45" t="s">
        <v>664</v>
      </c>
      <c r="C2942" s="60" t="s">
        <v>2562</v>
      </c>
      <c r="D2942" s="60"/>
      <c r="E2942" s="74">
        <v>2022</v>
      </c>
      <c r="F2942" s="74" t="s">
        <v>489</v>
      </c>
      <c r="G2942" s="61">
        <v>1</v>
      </c>
      <c r="H2942" s="45">
        <v>7</v>
      </c>
      <c r="I2942" s="74">
        <v>34.766210000000001</v>
      </c>
    </row>
    <row r="2943" spans="1:9" s="71" customFormat="1" ht="16.5" hidden="1" customHeight="1" outlineLevel="1" x14ac:dyDescent="0.25">
      <c r="A2943" s="74">
        <v>986</v>
      </c>
      <c r="B2943" s="45" t="s">
        <v>664</v>
      </c>
      <c r="C2943" s="60" t="s">
        <v>2563</v>
      </c>
      <c r="D2943" s="60"/>
      <c r="E2943" s="74">
        <v>2022</v>
      </c>
      <c r="F2943" s="74" t="s">
        <v>489</v>
      </c>
      <c r="G2943" s="61">
        <v>1</v>
      </c>
      <c r="H2943" s="45">
        <v>15</v>
      </c>
      <c r="I2943" s="74">
        <v>34.227060000000002</v>
      </c>
    </row>
    <row r="2944" spans="1:9" s="71" customFormat="1" ht="16.5" hidden="1" customHeight="1" outlineLevel="1" x14ac:dyDescent="0.25">
      <c r="A2944" s="74">
        <v>987</v>
      </c>
      <c r="B2944" s="45" t="s">
        <v>664</v>
      </c>
      <c r="C2944" s="60" t="s">
        <v>2564</v>
      </c>
      <c r="D2944" s="60"/>
      <c r="E2944" s="74">
        <v>2022</v>
      </c>
      <c r="F2944" s="74" t="s">
        <v>489</v>
      </c>
      <c r="G2944" s="61">
        <v>1</v>
      </c>
      <c r="H2944" s="45">
        <v>15</v>
      </c>
      <c r="I2944" s="74">
        <v>34.227060000000002</v>
      </c>
    </row>
    <row r="2945" spans="1:9" s="71" customFormat="1" ht="16.5" hidden="1" customHeight="1" outlineLevel="1" x14ac:dyDescent="0.25">
      <c r="A2945" s="74">
        <v>988</v>
      </c>
      <c r="B2945" s="45" t="s">
        <v>664</v>
      </c>
      <c r="C2945" s="60" t="s">
        <v>2565</v>
      </c>
      <c r="D2945" s="60"/>
      <c r="E2945" s="74">
        <v>2022</v>
      </c>
      <c r="F2945" s="74" t="s">
        <v>489</v>
      </c>
      <c r="G2945" s="61">
        <v>1</v>
      </c>
      <c r="H2945" s="45">
        <v>15</v>
      </c>
      <c r="I2945" s="74">
        <v>34.334870000000002</v>
      </c>
    </row>
    <row r="2946" spans="1:9" s="71" customFormat="1" ht="16.5" hidden="1" customHeight="1" outlineLevel="1" x14ac:dyDescent="0.25">
      <c r="A2946" s="74">
        <v>989</v>
      </c>
      <c r="B2946" s="45" t="s">
        <v>664</v>
      </c>
      <c r="C2946" s="60" t="s">
        <v>2566</v>
      </c>
      <c r="D2946" s="60"/>
      <c r="E2946" s="74">
        <v>2022</v>
      </c>
      <c r="F2946" s="74" t="s">
        <v>489</v>
      </c>
      <c r="G2946" s="61">
        <v>1</v>
      </c>
      <c r="H2946" s="45">
        <v>15</v>
      </c>
      <c r="I2946" s="74">
        <v>34.334870000000002</v>
      </c>
    </row>
    <row r="2947" spans="1:9" s="71" customFormat="1" ht="16.5" hidden="1" customHeight="1" outlineLevel="1" x14ac:dyDescent="0.25">
      <c r="A2947" s="74">
        <v>568</v>
      </c>
      <c r="B2947" s="45" t="s">
        <v>664</v>
      </c>
      <c r="C2947" s="60" t="s">
        <v>2567</v>
      </c>
      <c r="D2947" s="60"/>
      <c r="E2947" s="74">
        <v>2022</v>
      </c>
      <c r="F2947" s="74" t="s">
        <v>489</v>
      </c>
      <c r="G2947" s="61">
        <v>1</v>
      </c>
      <c r="H2947" s="45">
        <v>15</v>
      </c>
      <c r="I2947" s="74">
        <v>66.299779999999998</v>
      </c>
    </row>
    <row r="2948" spans="1:9" s="71" customFormat="1" ht="16.5" hidden="1" customHeight="1" outlineLevel="1" x14ac:dyDescent="0.25">
      <c r="A2948" s="74">
        <v>990</v>
      </c>
      <c r="B2948" s="45" t="s">
        <v>664</v>
      </c>
      <c r="C2948" s="60" t="s">
        <v>2568</v>
      </c>
      <c r="D2948" s="60"/>
      <c r="E2948" s="74">
        <v>2022</v>
      </c>
      <c r="F2948" s="74" t="s">
        <v>489</v>
      </c>
      <c r="G2948" s="61">
        <v>1</v>
      </c>
      <c r="H2948" s="45">
        <v>15</v>
      </c>
      <c r="I2948" s="74">
        <v>34.73762</v>
      </c>
    </row>
    <row r="2949" spans="1:9" s="71" customFormat="1" ht="16.5" hidden="1" customHeight="1" outlineLevel="1" x14ac:dyDescent="0.25">
      <c r="A2949" s="74">
        <v>992</v>
      </c>
      <c r="B2949" s="45" t="s">
        <v>664</v>
      </c>
      <c r="C2949" s="60" t="s">
        <v>2569</v>
      </c>
      <c r="D2949" s="60"/>
      <c r="E2949" s="74">
        <v>2022</v>
      </c>
      <c r="F2949" s="74" t="s">
        <v>489</v>
      </c>
      <c r="G2949" s="61">
        <v>1</v>
      </c>
      <c r="H2949" s="45">
        <v>15</v>
      </c>
      <c r="I2949" s="74">
        <v>34.737670000000001</v>
      </c>
    </row>
    <row r="2950" spans="1:9" s="71" customFormat="1" ht="16.5" hidden="1" customHeight="1" outlineLevel="1" x14ac:dyDescent="0.25">
      <c r="A2950" s="74">
        <v>993</v>
      </c>
      <c r="B2950" s="45" t="s">
        <v>664</v>
      </c>
      <c r="C2950" s="60" t="s">
        <v>2570</v>
      </c>
      <c r="D2950" s="60"/>
      <c r="E2950" s="74">
        <v>2022</v>
      </c>
      <c r="F2950" s="74" t="s">
        <v>489</v>
      </c>
      <c r="G2950" s="61">
        <v>1</v>
      </c>
      <c r="H2950" s="45">
        <v>15</v>
      </c>
      <c r="I2950" s="74">
        <v>35.408659999999998</v>
      </c>
    </row>
    <row r="2951" spans="1:9" s="71" customFormat="1" ht="16.5" hidden="1" customHeight="1" outlineLevel="1" x14ac:dyDescent="0.25">
      <c r="A2951" s="74">
        <v>997</v>
      </c>
      <c r="B2951" s="45" t="s">
        <v>664</v>
      </c>
      <c r="C2951" s="60" t="s">
        <v>2571</v>
      </c>
      <c r="D2951" s="60"/>
      <c r="E2951" s="74">
        <v>2022</v>
      </c>
      <c r="F2951" s="74" t="s">
        <v>489</v>
      </c>
      <c r="G2951" s="61">
        <v>1</v>
      </c>
      <c r="H2951" s="45">
        <v>7</v>
      </c>
      <c r="I2951" s="74">
        <v>34.737740000000002</v>
      </c>
    </row>
    <row r="2952" spans="1:9" s="71" customFormat="1" ht="16.5" hidden="1" customHeight="1" outlineLevel="1" x14ac:dyDescent="0.25">
      <c r="A2952" s="74">
        <v>998</v>
      </c>
      <c r="B2952" s="45" t="s">
        <v>664</v>
      </c>
      <c r="C2952" s="60" t="s">
        <v>2572</v>
      </c>
      <c r="D2952" s="60"/>
      <c r="E2952" s="74">
        <v>2022</v>
      </c>
      <c r="F2952" s="74" t="s">
        <v>489</v>
      </c>
      <c r="G2952" s="61">
        <v>1</v>
      </c>
      <c r="H2952" s="45">
        <v>15</v>
      </c>
      <c r="I2952" s="74">
        <v>34.737659999999998</v>
      </c>
    </row>
    <row r="2953" spans="1:9" s="71" customFormat="1" ht="16.5" hidden="1" customHeight="1" outlineLevel="1" x14ac:dyDescent="0.25">
      <c r="A2953" s="74">
        <v>999</v>
      </c>
      <c r="B2953" s="45" t="s">
        <v>664</v>
      </c>
      <c r="C2953" s="60" t="s">
        <v>2573</v>
      </c>
      <c r="D2953" s="60"/>
      <c r="E2953" s="74">
        <v>2022</v>
      </c>
      <c r="F2953" s="74" t="s">
        <v>489</v>
      </c>
      <c r="G2953" s="61">
        <v>1</v>
      </c>
      <c r="H2953" s="45">
        <v>9</v>
      </c>
      <c r="I2953" s="74">
        <v>34.737639999999999</v>
      </c>
    </row>
    <row r="2954" spans="1:9" s="71" customFormat="1" ht="16.5" hidden="1" customHeight="1" outlineLevel="1" x14ac:dyDescent="0.25">
      <c r="A2954" s="74">
        <v>1001</v>
      </c>
      <c r="B2954" s="45" t="s">
        <v>664</v>
      </c>
      <c r="C2954" s="60" t="s">
        <v>2574</v>
      </c>
      <c r="D2954" s="60"/>
      <c r="E2954" s="74">
        <v>2022</v>
      </c>
      <c r="F2954" s="74" t="s">
        <v>489</v>
      </c>
      <c r="G2954" s="61">
        <v>1</v>
      </c>
      <c r="H2954" s="45">
        <v>15</v>
      </c>
      <c r="I2954" s="74">
        <v>34.737580000000001</v>
      </c>
    </row>
    <row r="2955" spans="1:9" s="71" customFormat="1" ht="16.5" hidden="1" customHeight="1" outlineLevel="1" x14ac:dyDescent="0.25">
      <c r="A2955" s="74">
        <v>1003</v>
      </c>
      <c r="B2955" s="45" t="s">
        <v>664</v>
      </c>
      <c r="C2955" s="60" t="s">
        <v>2575</v>
      </c>
      <c r="D2955" s="60"/>
      <c r="E2955" s="74">
        <v>2022</v>
      </c>
      <c r="F2955" s="74" t="s">
        <v>489</v>
      </c>
      <c r="G2955" s="61">
        <v>1</v>
      </c>
      <c r="H2955" s="45">
        <v>15</v>
      </c>
      <c r="I2955" s="74">
        <v>34.737650000000002</v>
      </c>
    </row>
    <row r="2956" spans="1:9" s="71" customFormat="1" ht="16.5" hidden="1" customHeight="1" outlineLevel="1" x14ac:dyDescent="0.25">
      <c r="A2956" s="74">
        <v>578</v>
      </c>
      <c r="B2956" s="45" t="s">
        <v>664</v>
      </c>
      <c r="C2956" s="60" t="s">
        <v>2576</v>
      </c>
      <c r="D2956" s="60"/>
      <c r="E2956" s="74">
        <v>2022</v>
      </c>
      <c r="F2956" s="74" t="s">
        <v>489</v>
      </c>
      <c r="G2956" s="61">
        <v>1</v>
      </c>
      <c r="H2956" s="45">
        <v>15</v>
      </c>
      <c r="I2956" s="74">
        <v>41.817120000000003</v>
      </c>
    </row>
    <row r="2957" spans="1:9" s="71" customFormat="1" ht="16.5" hidden="1" customHeight="1" outlineLevel="1" x14ac:dyDescent="0.25">
      <c r="A2957" s="74">
        <v>579</v>
      </c>
      <c r="B2957" s="45" t="s">
        <v>664</v>
      </c>
      <c r="C2957" s="60" t="s">
        <v>154</v>
      </c>
      <c r="D2957" s="60"/>
      <c r="E2957" s="74">
        <v>2022</v>
      </c>
      <c r="F2957" s="74" t="s">
        <v>489</v>
      </c>
      <c r="G2957" s="61">
        <v>1</v>
      </c>
      <c r="H2957" s="45">
        <v>9</v>
      </c>
      <c r="I2957" s="74">
        <v>69.016810000000007</v>
      </c>
    </row>
    <row r="2958" spans="1:9" s="71" customFormat="1" ht="16.5" hidden="1" customHeight="1" outlineLevel="1" x14ac:dyDescent="0.25">
      <c r="A2958" s="74">
        <v>581</v>
      </c>
      <c r="B2958" s="45" t="s">
        <v>664</v>
      </c>
      <c r="C2958" s="60" t="s">
        <v>2577</v>
      </c>
      <c r="D2958" s="60"/>
      <c r="E2958" s="74">
        <v>2022</v>
      </c>
      <c r="F2958" s="74" t="s">
        <v>489</v>
      </c>
      <c r="G2958" s="61">
        <v>1</v>
      </c>
      <c r="H2958" s="45">
        <v>15</v>
      </c>
      <c r="I2958" s="74">
        <v>49.983319999999999</v>
      </c>
    </row>
    <row r="2959" spans="1:9" s="71" customFormat="1" ht="16.5" hidden="1" customHeight="1" outlineLevel="1" x14ac:dyDescent="0.25">
      <c r="A2959" s="74">
        <v>582</v>
      </c>
      <c r="B2959" s="45" t="s">
        <v>664</v>
      </c>
      <c r="C2959" s="60" t="s">
        <v>2578</v>
      </c>
      <c r="D2959" s="60"/>
      <c r="E2959" s="74">
        <v>2022</v>
      </c>
      <c r="F2959" s="74" t="s">
        <v>489</v>
      </c>
      <c r="G2959" s="61">
        <v>1</v>
      </c>
      <c r="H2959" s="45">
        <v>15</v>
      </c>
      <c r="I2959" s="74">
        <v>46.31597</v>
      </c>
    </row>
    <row r="2960" spans="1:9" s="71" customFormat="1" ht="16.5" hidden="1" customHeight="1" outlineLevel="1" x14ac:dyDescent="0.25">
      <c r="A2960" s="74">
        <v>514</v>
      </c>
      <c r="B2960" s="45" t="s">
        <v>664</v>
      </c>
      <c r="C2960" s="60" t="s">
        <v>2579</v>
      </c>
      <c r="D2960" s="60"/>
      <c r="E2960" s="74">
        <v>2022</v>
      </c>
      <c r="F2960" s="74" t="s">
        <v>489</v>
      </c>
      <c r="G2960" s="61">
        <v>1</v>
      </c>
      <c r="H2960" s="45">
        <v>15</v>
      </c>
      <c r="I2960" s="74">
        <v>49.343359999999997</v>
      </c>
    </row>
    <row r="2961" spans="1:9" s="71" customFormat="1" ht="16.5" hidden="1" customHeight="1" outlineLevel="1" x14ac:dyDescent="0.25">
      <c r="A2961" s="74">
        <v>553</v>
      </c>
      <c r="B2961" s="45" t="s">
        <v>664</v>
      </c>
      <c r="C2961" s="60" t="s">
        <v>2580</v>
      </c>
      <c r="D2961" s="60"/>
      <c r="E2961" s="74">
        <v>2022</v>
      </c>
      <c r="F2961" s="74" t="s">
        <v>489</v>
      </c>
      <c r="G2961" s="61">
        <v>1</v>
      </c>
      <c r="H2961" s="45">
        <v>15</v>
      </c>
      <c r="I2961" s="74">
        <v>29.662109999999998</v>
      </c>
    </row>
    <row r="2962" spans="1:9" s="71" customFormat="1" ht="16.5" hidden="1" customHeight="1" outlineLevel="1" x14ac:dyDescent="0.25">
      <c r="A2962" s="74">
        <v>518</v>
      </c>
      <c r="B2962" s="45" t="s">
        <v>664</v>
      </c>
      <c r="C2962" s="60" t="s">
        <v>2581</v>
      </c>
      <c r="D2962" s="60"/>
      <c r="E2962" s="74">
        <v>2022</v>
      </c>
      <c r="F2962" s="74" t="s">
        <v>489</v>
      </c>
      <c r="G2962" s="61">
        <v>1</v>
      </c>
      <c r="H2962" s="45">
        <v>15</v>
      </c>
      <c r="I2962" s="74">
        <v>45.7166</v>
      </c>
    </row>
    <row r="2963" spans="1:9" s="71" customFormat="1" ht="16.5" hidden="1" customHeight="1" outlineLevel="1" x14ac:dyDescent="0.25">
      <c r="A2963" s="74">
        <v>530</v>
      </c>
      <c r="B2963" s="45" t="s">
        <v>664</v>
      </c>
      <c r="C2963" s="60" t="s">
        <v>2582</v>
      </c>
      <c r="D2963" s="60"/>
      <c r="E2963" s="74">
        <v>2022</v>
      </c>
      <c r="F2963" s="74" t="s">
        <v>489</v>
      </c>
      <c r="G2963" s="61">
        <v>1</v>
      </c>
      <c r="H2963" s="45">
        <v>15</v>
      </c>
      <c r="I2963" s="74">
        <v>25.284289999999999</v>
      </c>
    </row>
    <row r="2964" spans="1:9" s="71" customFormat="1" ht="16.5" hidden="1" customHeight="1" outlineLevel="1" x14ac:dyDescent="0.25">
      <c r="A2964" s="74">
        <v>508</v>
      </c>
      <c r="B2964" s="45" t="s">
        <v>664</v>
      </c>
      <c r="C2964" s="60" t="s">
        <v>2583</v>
      </c>
      <c r="D2964" s="60"/>
      <c r="E2964" s="74">
        <v>2022</v>
      </c>
      <c r="F2964" s="74" t="s">
        <v>489</v>
      </c>
      <c r="G2964" s="61">
        <v>1</v>
      </c>
      <c r="H2964" s="45">
        <v>15</v>
      </c>
      <c r="I2964" s="74">
        <v>47.10951</v>
      </c>
    </row>
    <row r="2965" spans="1:9" s="71" customFormat="1" ht="16.5" hidden="1" customHeight="1" outlineLevel="1" x14ac:dyDescent="0.25">
      <c r="A2965" s="74">
        <v>557</v>
      </c>
      <c r="B2965" s="45" t="s">
        <v>664</v>
      </c>
      <c r="C2965" s="60" t="s">
        <v>2584</v>
      </c>
      <c r="D2965" s="60"/>
      <c r="E2965" s="74">
        <v>2022</v>
      </c>
      <c r="F2965" s="74" t="s">
        <v>489</v>
      </c>
      <c r="G2965" s="61">
        <v>1</v>
      </c>
      <c r="H2965" s="45">
        <v>15</v>
      </c>
      <c r="I2965" s="74">
        <v>49.04627</v>
      </c>
    </row>
    <row r="2966" spans="1:9" s="71" customFormat="1" ht="16.5" hidden="1" customHeight="1" outlineLevel="1" x14ac:dyDescent="0.25">
      <c r="A2966" s="74">
        <v>502</v>
      </c>
      <c r="B2966" s="45" t="s">
        <v>664</v>
      </c>
      <c r="C2966" s="60" t="s">
        <v>2585</v>
      </c>
      <c r="D2966" s="60"/>
      <c r="E2966" s="74">
        <v>2022</v>
      </c>
      <c r="F2966" s="74" t="s">
        <v>489</v>
      </c>
      <c r="G2966" s="61">
        <v>1</v>
      </c>
      <c r="H2966" s="45">
        <v>15</v>
      </c>
      <c r="I2966" s="74">
        <v>47.806519999999999</v>
      </c>
    </row>
    <row r="2967" spans="1:9" s="71" customFormat="1" ht="16.5" hidden="1" customHeight="1" outlineLevel="1" x14ac:dyDescent="0.25">
      <c r="A2967" s="74">
        <v>1032</v>
      </c>
      <c r="B2967" s="45" t="s">
        <v>664</v>
      </c>
      <c r="C2967" s="60" t="s">
        <v>2586</v>
      </c>
      <c r="D2967" s="60"/>
      <c r="E2967" s="74">
        <v>2022</v>
      </c>
      <c r="F2967" s="74" t="s">
        <v>489</v>
      </c>
      <c r="G2967" s="61">
        <v>1</v>
      </c>
      <c r="H2967" s="45">
        <v>9</v>
      </c>
      <c r="I2967" s="74">
        <v>34.411349999999999</v>
      </c>
    </row>
    <row r="2968" spans="1:9" s="71" customFormat="1" ht="16.5" hidden="1" customHeight="1" outlineLevel="1" x14ac:dyDescent="0.25">
      <c r="A2968" s="74">
        <v>1033</v>
      </c>
      <c r="B2968" s="45" t="s">
        <v>664</v>
      </c>
      <c r="C2968" s="60" t="s">
        <v>2587</v>
      </c>
      <c r="D2968" s="60"/>
      <c r="E2968" s="74">
        <v>2022</v>
      </c>
      <c r="F2968" s="74" t="s">
        <v>489</v>
      </c>
      <c r="G2968" s="61">
        <v>1</v>
      </c>
      <c r="H2968" s="45">
        <v>15</v>
      </c>
      <c r="I2968" s="74">
        <v>34.631369999999997</v>
      </c>
    </row>
    <row r="2969" spans="1:9" s="71" customFormat="1" ht="16.5" hidden="1" customHeight="1" outlineLevel="1" x14ac:dyDescent="0.25">
      <c r="A2969" s="74">
        <v>1034</v>
      </c>
      <c r="B2969" s="45" t="s">
        <v>664</v>
      </c>
      <c r="C2969" s="60" t="s">
        <v>2588</v>
      </c>
      <c r="D2969" s="60"/>
      <c r="E2969" s="74">
        <v>2022</v>
      </c>
      <c r="F2969" s="74" t="s">
        <v>489</v>
      </c>
      <c r="G2969" s="61">
        <v>1</v>
      </c>
      <c r="H2969" s="45">
        <v>9</v>
      </c>
      <c r="I2969" s="74">
        <v>34.411349999999999</v>
      </c>
    </row>
    <row r="2970" spans="1:9" s="71" customFormat="1" ht="16.5" hidden="1" customHeight="1" outlineLevel="1" x14ac:dyDescent="0.25">
      <c r="A2970" s="74">
        <v>1035</v>
      </c>
      <c r="B2970" s="45" t="s">
        <v>664</v>
      </c>
      <c r="C2970" s="60" t="s">
        <v>2589</v>
      </c>
      <c r="D2970" s="60"/>
      <c r="E2970" s="74">
        <v>2022</v>
      </c>
      <c r="F2970" s="74" t="s">
        <v>489</v>
      </c>
      <c r="G2970" s="61">
        <v>1</v>
      </c>
      <c r="H2970" s="45">
        <v>9</v>
      </c>
      <c r="I2970" s="74">
        <v>34.411369999999998</v>
      </c>
    </row>
    <row r="2971" spans="1:9" s="71" customFormat="1" ht="16.5" hidden="1" customHeight="1" outlineLevel="1" x14ac:dyDescent="0.25">
      <c r="A2971" s="74">
        <v>1036</v>
      </c>
      <c r="B2971" s="45" t="s">
        <v>664</v>
      </c>
      <c r="C2971" s="60" t="s">
        <v>2590</v>
      </c>
      <c r="D2971" s="60"/>
      <c r="E2971" s="74">
        <v>2022</v>
      </c>
      <c r="F2971" s="74" t="s">
        <v>489</v>
      </c>
      <c r="G2971" s="61">
        <v>1</v>
      </c>
      <c r="H2971" s="45">
        <v>15</v>
      </c>
      <c r="I2971" s="74">
        <v>34.631360000000001</v>
      </c>
    </row>
    <row r="2972" spans="1:9" s="71" customFormat="1" ht="16.5" hidden="1" customHeight="1" outlineLevel="1" x14ac:dyDescent="0.25">
      <c r="A2972" s="74">
        <v>583</v>
      </c>
      <c r="B2972" s="45" t="s">
        <v>664</v>
      </c>
      <c r="C2972" s="60" t="s">
        <v>2591</v>
      </c>
      <c r="D2972" s="60"/>
      <c r="E2972" s="74">
        <v>2022</v>
      </c>
      <c r="F2972" s="74" t="s">
        <v>489</v>
      </c>
      <c r="G2972" s="61">
        <v>1</v>
      </c>
      <c r="H2972" s="45">
        <v>15</v>
      </c>
      <c r="I2972" s="74">
        <v>88.477760000000004</v>
      </c>
    </row>
    <row r="2973" spans="1:9" s="71" customFormat="1" ht="16.5" hidden="1" customHeight="1" outlineLevel="1" x14ac:dyDescent="0.25">
      <c r="A2973" s="74">
        <v>584</v>
      </c>
      <c r="B2973" s="45" t="s">
        <v>664</v>
      </c>
      <c r="C2973" s="60" t="s">
        <v>2592</v>
      </c>
      <c r="D2973" s="60"/>
      <c r="E2973" s="74">
        <v>2022</v>
      </c>
      <c r="F2973" s="74" t="s">
        <v>489</v>
      </c>
      <c r="G2973" s="61">
        <v>1</v>
      </c>
      <c r="H2973" s="45">
        <v>15</v>
      </c>
      <c r="I2973" s="74">
        <v>60.515360000000001</v>
      </c>
    </row>
    <row r="2974" spans="1:9" s="71" customFormat="1" ht="16.5" hidden="1" customHeight="1" outlineLevel="1" x14ac:dyDescent="0.25">
      <c r="A2974" s="74">
        <v>585</v>
      </c>
      <c r="B2974" s="45" t="s">
        <v>664</v>
      </c>
      <c r="C2974" s="60" t="s">
        <v>2593</v>
      </c>
      <c r="D2974" s="60"/>
      <c r="E2974" s="74">
        <v>2022</v>
      </c>
      <c r="F2974" s="74" t="s">
        <v>489</v>
      </c>
      <c r="G2974" s="61">
        <v>1</v>
      </c>
      <c r="H2974" s="45">
        <v>15</v>
      </c>
      <c r="I2974" s="74">
        <v>62.448929999999997</v>
      </c>
    </row>
    <row r="2975" spans="1:9" s="71" customFormat="1" ht="16.5" hidden="1" customHeight="1" outlineLevel="1" x14ac:dyDescent="0.25">
      <c r="A2975" s="74">
        <v>586</v>
      </c>
      <c r="B2975" s="45" t="s">
        <v>664</v>
      </c>
      <c r="C2975" s="60" t="s">
        <v>2594</v>
      </c>
      <c r="D2975" s="60"/>
      <c r="E2975" s="74">
        <v>2022</v>
      </c>
      <c r="F2975" s="74" t="s">
        <v>489</v>
      </c>
      <c r="G2975" s="61">
        <v>1</v>
      </c>
      <c r="H2975" s="45">
        <v>15</v>
      </c>
      <c r="I2975" s="74">
        <v>65.958960000000005</v>
      </c>
    </row>
    <row r="2976" spans="1:9" s="71" customFormat="1" ht="16.5" hidden="1" customHeight="1" outlineLevel="1" x14ac:dyDescent="0.25">
      <c r="A2976" s="74">
        <v>1015</v>
      </c>
      <c r="B2976" s="45" t="s">
        <v>664</v>
      </c>
      <c r="C2976" s="60" t="s">
        <v>2595</v>
      </c>
      <c r="D2976" s="60"/>
      <c r="E2976" s="74">
        <v>2022</v>
      </c>
      <c r="F2976" s="74" t="s">
        <v>489</v>
      </c>
      <c r="G2976" s="61">
        <v>1</v>
      </c>
      <c r="H2976" s="45">
        <v>15</v>
      </c>
      <c r="I2976" s="74">
        <v>34.24512</v>
      </c>
    </row>
    <row r="2977" spans="1:9" s="71" customFormat="1" ht="16.5" hidden="1" customHeight="1" outlineLevel="1" x14ac:dyDescent="0.25">
      <c r="A2977" s="74">
        <v>1016</v>
      </c>
      <c r="B2977" s="45" t="s">
        <v>664</v>
      </c>
      <c r="C2977" s="60" t="s">
        <v>2596</v>
      </c>
      <c r="D2977" s="60"/>
      <c r="E2977" s="74">
        <v>2022</v>
      </c>
      <c r="F2977" s="74" t="s">
        <v>489</v>
      </c>
      <c r="G2977" s="61">
        <v>1</v>
      </c>
      <c r="H2977" s="45">
        <v>15</v>
      </c>
      <c r="I2977" s="74">
        <v>34.242600000000003</v>
      </c>
    </row>
    <row r="2978" spans="1:9" s="71" customFormat="1" ht="16.5" hidden="1" customHeight="1" outlineLevel="1" x14ac:dyDescent="0.25">
      <c r="A2978" s="74">
        <v>1017</v>
      </c>
      <c r="B2978" s="45" t="s">
        <v>664</v>
      </c>
      <c r="C2978" s="60" t="s">
        <v>2597</v>
      </c>
      <c r="D2978" s="60"/>
      <c r="E2978" s="74">
        <v>2022</v>
      </c>
      <c r="F2978" s="74" t="s">
        <v>489</v>
      </c>
      <c r="G2978" s="61">
        <v>1</v>
      </c>
      <c r="H2978" s="45">
        <v>9</v>
      </c>
      <c r="I2978" s="74">
        <v>34.243859999999998</v>
      </c>
    </row>
    <row r="2979" spans="1:9" s="71" customFormat="1" ht="16.5" hidden="1" customHeight="1" outlineLevel="1" x14ac:dyDescent="0.25">
      <c r="A2979" s="74">
        <v>1018</v>
      </c>
      <c r="B2979" s="45" t="s">
        <v>664</v>
      </c>
      <c r="C2979" s="60" t="s">
        <v>2598</v>
      </c>
      <c r="D2979" s="60"/>
      <c r="E2979" s="74">
        <v>2022</v>
      </c>
      <c r="F2979" s="74" t="s">
        <v>489</v>
      </c>
      <c r="G2979" s="61">
        <v>1</v>
      </c>
      <c r="H2979" s="45">
        <v>5</v>
      </c>
      <c r="I2979" s="74">
        <v>34.245100000000001</v>
      </c>
    </row>
    <row r="2980" spans="1:9" s="71" customFormat="1" ht="16.5" hidden="1" customHeight="1" outlineLevel="1" x14ac:dyDescent="0.25">
      <c r="A2980" s="74">
        <v>4792</v>
      </c>
      <c r="B2980" s="45" t="s">
        <v>664</v>
      </c>
      <c r="C2980" s="60" t="s">
        <v>551</v>
      </c>
      <c r="D2980" s="60"/>
      <c r="E2980" s="74">
        <v>2022</v>
      </c>
      <c r="F2980" s="74" t="s">
        <v>489</v>
      </c>
      <c r="G2980" s="61">
        <v>1</v>
      </c>
      <c r="H2980" s="45">
        <v>30.3</v>
      </c>
      <c r="I2980" s="74">
        <v>101</v>
      </c>
    </row>
    <row r="2981" spans="1:9" s="71" customFormat="1" ht="16.5" hidden="1" customHeight="1" outlineLevel="1" x14ac:dyDescent="0.25">
      <c r="A2981" s="74">
        <v>4793</v>
      </c>
      <c r="B2981" s="45" t="s">
        <v>664</v>
      </c>
      <c r="C2981" s="60" t="s">
        <v>2599</v>
      </c>
      <c r="D2981" s="60"/>
      <c r="E2981" s="74">
        <v>2022</v>
      </c>
      <c r="F2981" s="74" t="s">
        <v>489</v>
      </c>
      <c r="G2981" s="61">
        <v>1</v>
      </c>
      <c r="H2981" s="45">
        <v>15</v>
      </c>
      <c r="I2981" s="74">
        <v>54</v>
      </c>
    </row>
    <row r="2982" spans="1:9" s="71" customFormat="1" ht="16.5" hidden="1" customHeight="1" outlineLevel="1" x14ac:dyDescent="0.25">
      <c r="A2982" s="74">
        <v>4579</v>
      </c>
      <c r="B2982" s="45" t="s">
        <v>664</v>
      </c>
      <c r="C2982" s="60" t="s">
        <v>2600</v>
      </c>
      <c r="D2982" s="60"/>
      <c r="E2982" s="74">
        <v>2022</v>
      </c>
      <c r="F2982" s="74" t="s">
        <v>489</v>
      </c>
      <c r="G2982" s="61">
        <v>1</v>
      </c>
      <c r="H2982" s="45">
        <v>10</v>
      </c>
      <c r="I2982" s="74">
        <v>65</v>
      </c>
    </row>
    <row r="2983" spans="1:9" s="71" customFormat="1" ht="16.5" hidden="1" customHeight="1" outlineLevel="1" x14ac:dyDescent="0.25">
      <c r="A2983" s="74">
        <v>4581</v>
      </c>
      <c r="B2983" s="45" t="s">
        <v>664</v>
      </c>
      <c r="C2983" s="60" t="s">
        <v>2601</v>
      </c>
      <c r="D2983" s="60"/>
      <c r="E2983" s="74">
        <v>2022</v>
      </c>
      <c r="F2983" s="74" t="s">
        <v>489</v>
      </c>
      <c r="G2983" s="61">
        <v>1</v>
      </c>
      <c r="H2983" s="45">
        <v>10</v>
      </c>
      <c r="I2983" s="74">
        <v>77</v>
      </c>
    </row>
    <row r="2984" spans="1:9" s="71" customFormat="1" ht="16.5" hidden="1" customHeight="1" outlineLevel="1" x14ac:dyDescent="0.25">
      <c r="A2984" s="74">
        <v>4794</v>
      </c>
      <c r="B2984" s="45" t="s">
        <v>664</v>
      </c>
      <c r="C2984" s="60" t="s">
        <v>2602</v>
      </c>
      <c r="D2984" s="60"/>
      <c r="E2984" s="74">
        <v>2022</v>
      </c>
      <c r="F2984" s="74" t="s">
        <v>489</v>
      </c>
      <c r="G2984" s="61">
        <v>1</v>
      </c>
      <c r="H2984" s="45">
        <v>15</v>
      </c>
      <c r="I2984" s="74">
        <v>77</v>
      </c>
    </row>
    <row r="2985" spans="1:9" s="71" customFormat="1" ht="16.5" hidden="1" customHeight="1" outlineLevel="1" x14ac:dyDescent="0.25">
      <c r="A2985" s="74">
        <v>4798</v>
      </c>
      <c r="B2985" s="45" t="s">
        <v>664</v>
      </c>
      <c r="C2985" s="60" t="s">
        <v>2603</v>
      </c>
      <c r="D2985" s="60"/>
      <c r="E2985" s="74">
        <v>2022</v>
      </c>
      <c r="F2985" s="74" t="s">
        <v>489</v>
      </c>
      <c r="G2985" s="61">
        <v>1</v>
      </c>
      <c r="H2985" s="45">
        <v>15</v>
      </c>
      <c r="I2985" s="74">
        <v>67</v>
      </c>
    </row>
    <row r="2986" spans="1:9" s="71" customFormat="1" ht="16.5" hidden="1" customHeight="1" outlineLevel="1" x14ac:dyDescent="0.25">
      <c r="A2986" s="74">
        <v>4795</v>
      </c>
      <c r="B2986" s="45" t="s">
        <v>664</v>
      </c>
      <c r="C2986" s="60" t="s">
        <v>2604</v>
      </c>
      <c r="D2986" s="60"/>
      <c r="E2986" s="74">
        <v>2022</v>
      </c>
      <c r="F2986" s="74" t="s">
        <v>489</v>
      </c>
      <c r="G2986" s="61">
        <v>1</v>
      </c>
      <c r="H2986" s="45">
        <v>15</v>
      </c>
      <c r="I2986" s="74">
        <v>70</v>
      </c>
    </row>
    <row r="2987" spans="1:9" s="71" customFormat="1" ht="16.5" hidden="1" customHeight="1" outlineLevel="1" x14ac:dyDescent="0.25">
      <c r="A2987" s="74">
        <v>4796</v>
      </c>
      <c r="B2987" s="45" t="s">
        <v>664</v>
      </c>
      <c r="C2987" s="60" t="s">
        <v>2605</v>
      </c>
      <c r="D2987" s="60"/>
      <c r="E2987" s="74">
        <v>2022</v>
      </c>
      <c r="F2987" s="74" t="s">
        <v>489</v>
      </c>
      <c r="G2987" s="61">
        <v>1</v>
      </c>
      <c r="H2987" s="45">
        <v>12</v>
      </c>
      <c r="I2987" s="74">
        <v>87</v>
      </c>
    </row>
    <row r="2988" spans="1:9" s="71" customFormat="1" ht="16.5" hidden="1" customHeight="1" outlineLevel="1" x14ac:dyDescent="0.25">
      <c r="A2988" s="74">
        <v>4797</v>
      </c>
      <c r="B2988" s="45" t="s">
        <v>664</v>
      </c>
      <c r="C2988" s="60" t="s">
        <v>2606</v>
      </c>
      <c r="D2988" s="60"/>
      <c r="E2988" s="74">
        <v>2022</v>
      </c>
      <c r="F2988" s="74" t="s">
        <v>489</v>
      </c>
      <c r="G2988" s="61">
        <v>1</v>
      </c>
      <c r="H2988" s="45">
        <v>15</v>
      </c>
      <c r="I2988" s="74">
        <v>73</v>
      </c>
    </row>
    <row r="2989" spans="1:9" s="71" customFormat="1" ht="16.5" hidden="1" customHeight="1" outlineLevel="1" x14ac:dyDescent="0.25">
      <c r="A2989" s="74">
        <v>4655</v>
      </c>
      <c r="B2989" s="45" t="s">
        <v>664</v>
      </c>
      <c r="C2989" s="60" t="s">
        <v>2607</v>
      </c>
      <c r="D2989" s="60"/>
      <c r="E2989" s="74">
        <v>2022</v>
      </c>
      <c r="F2989" s="74" t="s">
        <v>489</v>
      </c>
      <c r="G2989" s="61">
        <v>1</v>
      </c>
      <c r="H2989" s="45">
        <v>10</v>
      </c>
      <c r="I2989" s="74">
        <v>98</v>
      </c>
    </row>
    <row r="2990" spans="1:9" s="71" customFormat="1" ht="16.5" hidden="1" customHeight="1" outlineLevel="1" x14ac:dyDescent="0.25">
      <c r="A2990" s="74">
        <v>4563</v>
      </c>
      <c r="B2990" s="45" t="s">
        <v>664</v>
      </c>
      <c r="C2990" s="60" t="s">
        <v>2608</v>
      </c>
      <c r="D2990" s="60"/>
      <c r="E2990" s="74">
        <v>2022</v>
      </c>
      <c r="F2990" s="74" t="s">
        <v>489</v>
      </c>
      <c r="G2990" s="61">
        <v>1</v>
      </c>
      <c r="H2990" s="45">
        <v>10</v>
      </c>
      <c r="I2990" s="74">
        <v>58</v>
      </c>
    </row>
    <row r="2991" spans="1:9" s="71" customFormat="1" ht="16.5" hidden="1" customHeight="1" outlineLevel="1" x14ac:dyDescent="0.25">
      <c r="A2991" s="74">
        <v>4564</v>
      </c>
      <c r="B2991" s="45" t="s">
        <v>664</v>
      </c>
      <c r="C2991" s="60" t="s">
        <v>2609</v>
      </c>
      <c r="D2991" s="60"/>
      <c r="E2991" s="74">
        <v>2022</v>
      </c>
      <c r="F2991" s="74" t="s">
        <v>489</v>
      </c>
      <c r="G2991" s="61">
        <v>1</v>
      </c>
      <c r="H2991" s="45">
        <v>10</v>
      </c>
      <c r="I2991" s="74">
        <v>63</v>
      </c>
    </row>
    <row r="2992" spans="1:9" s="71" customFormat="1" ht="16.5" hidden="1" customHeight="1" outlineLevel="1" x14ac:dyDescent="0.25">
      <c r="A2992" s="74">
        <v>4827</v>
      </c>
      <c r="B2992" s="45" t="s">
        <v>664</v>
      </c>
      <c r="C2992" s="60" t="s">
        <v>2610</v>
      </c>
      <c r="D2992" s="60"/>
      <c r="E2992" s="74">
        <v>2022</v>
      </c>
      <c r="F2992" s="74" t="s">
        <v>489</v>
      </c>
      <c r="G2992" s="61">
        <v>1</v>
      </c>
      <c r="H2992" s="45">
        <v>15</v>
      </c>
      <c r="I2992" s="74">
        <v>52</v>
      </c>
    </row>
    <row r="2993" spans="1:9" s="71" customFormat="1" ht="16.5" hidden="1" customHeight="1" outlineLevel="1" x14ac:dyDescent="0.25">
      <c r="A2993" s="74">
        <v>4725</v>
      </c>
      <c r="B2993" s="45" t="s">
        <v>664</v>
      </c>
      <c r="C2993" s="60" t="s">
        <v>2611</v>
      </c>
      <c r="D2993" s="60"/>
      <c r="E2993" s="74">
        <v>2022</v>
      </c>
      <c r="F2993" s="74" t="s">
        <v>489</v>
      </c>
      <c r="G2993" s="61">
        <v>1</v>
      </c>
      <c r="H2993" s="45">
        <v>14</v>
      </c>
      <c r="I2993" s="74">
        <v>98</v>
      </c>
    </row>
    <row r="2994" spans="1:9" s="71" customFormat="1" ht="16.5" hidden="1" customHeight="1" outlineLevel="1" x14ac:dyDescent="0.25">
      <c r="A2994" s="74">
        <v>4815</v>
      </c>
      <c r="B2994" s="45" t="s">
        <v>664</v>
      </c>
      <c r="C2994" s="60" t="s">
        <v>2612</v>
      </c>
      <c r="D2994" s="60"/>
      <c r="E2994" s="74">
        <v>2022</v>
      </c>
      <c r="F2994" s="74" t="s">
        <v>489</v>
      </c>
      <c r="G2994" s="61">
        <v>1</v>
      </c>
      <c r="H2994" s="45">
        <v>14</v>
      </c>
      <c r="I2994" s="74">
        <v>86</v>
      </c>
    </row>
    <row r="2995" spans="1:9" s="71" customFormat="1" ht="16.5" hidden="1" customHeight="1" outlineLevel="1" x14ac:dyDescent="0.25">
      <c r="A2995" s="74">
        <v>4816</v>
      </c>
      <c r="B2995" s="45" t="s">
        <v>664</v>
      </c>
      <c r="C2995" s="60" t="s">
        <v>2613</v>
      </c>
      <c r="D2995" s="60"/>
      <c r="E2995" s="74">
        <v>2022</v>
      </c>
      <c r="F2995" s="74" t="s">
        <v>489</v>
      </c>
      <c r="G2995" s="61">
        <v>1</v>
      </c>
      <c r="H2995" s="45">
        <v>14</v>
      </c>
      <c r="I2995" s="74">
        <v>86</v>
      </c>
    </row>
    <row r="2996" spans="1:9" s="71" customFormat="1" ht="16.5" hidden="1" customHeight="1" outlineLevel="1" x14ac:dyDescent="0.25">
      <c r="A2996" s="74">
        <v>4603</v>
      </c>
      <c r="B2996" s="45" t="s">
        <v>664</v>
      </c>
      <c r="C2996" s="60" t="s">
        <v>2614</v>
      </c>
      <c r="D2996" s="60"/>
      <c r="E2996" s="74">
        <v>2022</v>
      </c>
      <c r="F2996" s="74" t="s">
        <v>489</v>
      </c>
      <c r="G2996" s="61">
        <v>1</v>
      </c>
      <c r="H2996" s="45">
        <v>16</v>
      </c>
      <c r="I2996" s="74">
        <v>72</v>
      </c>
    </row>
    <row r="2997" spans="1:9" s="71" customFormat="1" ht="16.5" hidden="1" customHeight="1" outlineLevel="1" x14ac:dyDescent="0.25">
      <c r="A2997" s="74">
        <v>4604</v>
      </c>
      <c r="B2997" s="45" t="s">
        <v>664</v>
      </c>
      <c r="C2997" s="60" t="s">
        <v>552</v>
      </c>
      <c r="D2997" s="60"/>
      <c r="E2997" s="74">
        <v>2022</v>
      </c>
      <c r="F2997" s="74" t="s">
        <v>489</v>
      </c>
      <c r="G2997" s="61">
        <v>1</v>
      </c>
      <c r="H2997" s="45">
        <v>25</v>
      </c>
      <c r="I2997" s="74">
        <v>64</v>
      </c>
    </row>
    <row r="2998" spans="1:9" s="71" customFormat="1" ht="16.5" hidden="1" customHeight="1" outlineLevel="1" x14ac:dyDescent="0.25">
      <c r="A2998" s="74">
        <v>4828</v>
      </c>
      <c r="B2998" s="45" t="s">
        <v>664</v>
      </c>
      <c r="C2998" s="60" t="s">
        <v>2615</v>
      </c>
      <c r="D2998" s="60"/>
      <c r="E2998" s="74">
        <v>2022</v>
      </c>
      <c r="F2998" s="74" t="s">
        <v>489</v>
      </c>
      <c r="G2998" s="61">
        <v>1</v>
      </c>
      <c r="H2998" s="45">
        <v>15</v>
      </c>
      <c r="I2998" s="74">
        <v>60</v>
      </c>
    </row>
    <row r="2999" spans="1:9" s="71" customFormat="1" ht="16.5" hidden="1" customHeight="1" outlineLevel="1" x14ac:dyDescent="0.25">
      <c r="A2999" s="74">
        <v>4576</v>
      </c>
      <c r="B2999" s="45" t="s">
        <v>664</v>
      </c>
      <c r="C2999" s="60" t="s">
        <v>2616</v>
      </c>
      <c r="D2999" s="60"/>
      <c r="E2999" s="74">
        <v>2022</v>
      </c>
      <c r="F2999" s="74" t="s">
        <v>489</v>
      </c>
      <c r="G2999" s="61">
        <v>1</v>
      </c>
      <c r="H2999" s="45">
        <v>15</v>
      </c>
      <c r="I2999" s="74">
        <v>106</v>
      </c>
    </row>
    <row r="3000" spans="1:9" s="71" customFormat="1" ht="16.5" hidden="1" customHeight="1" outlineLevel="1" x14ac:dyDescent="0.25">
      <c r="A3000" s="74">
        <v>4588</v>
      </c>
      <c r="B3000" s="45" t="s">
        <v>664</v>
      </c>
      <c r="C3000" s="60" t="s">
        <v>2617</v>
      </c>
      <c r="D3000" s="60"/>
      <c r="E3000" s="74">
        <v>2022</v>
      </c>
      <c r="F3000" s="74" t="s">
        <v>489</v>
      </c>
      <c r="G3000" s="61">
        <v>1</v>
      </c>
      <c r="H3000" s="45">
        <v>15</v>
      </c>
      <c r="I3000" s="74">
        <v>98</v>
      </c>
    </row>
    <row r="3001" spans="1:9" s="71" customFormat="1" ht="16.5" hidden="1" customHeight="1" outlineLevel="1" x14ac:dyDescent="0.25">
      <c r="A3001" s="74">
        <v>4852</v>
      </c>
      <c r="B3001" s="45" t="s">
        <v>664</v>
      </c>
      <c r="C3001" s="60" t="s">
        <v>2618</v>
      </c>
      <c r="D3001" s="60"/>
      <c r="E3001" s="74">
        <v>2022</v>
      </c>
      <c r="F3001" s="74" t="s">
        <v>489</v>
      </c>
      <c r="G3001" s="61">
        <v>1</v>
      </c>
      <c r="H3001" s="45">
        <v>10</v>
      </c>
      <c r="I3001" s="74">
        <v>47</v>
      </c>
    </row>
    <row r="3002" spans="1:9" s="71" customFormat="1" ht="16.5" hidden="1" customHeight="1" outlineLevel="1" x14ac:dyDescent="0.25">
      <c r="A3002" s="74">
        <v>4558</v>
      </c>
      <c r="B3002" s="45" t="s">
        <v>664</v>
      </c>
      <c r="C3002" s="60" t="s">
        <v>2619</v>
      </c>
      <c r="D3002" s="60"/>
      <c r="E3002" s="74">
        <v>2022</v>
      </c>
      <c r="F3002" s="74" t="s">
        <v>489</v>
      </c>
      <c r="G3002" s="61">
        <v>1</v>
      </c>
      <c r="H3002" s="45">
        <v>10</v>
      </c>
      <c r="I3002" s="74">
        <v>41</v>
      </c>
    </row>
    <row r="3003" spans="1:9" s="71" customFormat="1" ht="16.5" hidden="1" customHeight="1" outlineLevel="1" x14ac:dyDescent="0.25">
      <c r="A3003" s="74">
        <v>4585</v>
      </c>
      <c r="B3003" s="45" t="s">
        <v>664</v>
      </c>
      <c r="C3003" s="60" t="s">
        <v>2620</v>
      </c>
      <c r="D3003" s="60"/>
      <c r="E3003" s="74">
        <v>2022</v>
      </c>
      <c r="F3003" s="74" t="s">
        <v>489</v>
      </c>
      <c r="G3003" s="61">
        <v>1</v>
      </c>
      <c r="H3003" s="45">
        <v>10</v>
      </c>
      <c r="I3003" s="74">
        <v>36</v>
      </c>
    </row>
    <row r="3004" spans="1:9" s="71" customFormat="1" ht="16.5" hidden="1" customHeight="1" outlineLevel="1" x14ac:dyDescent="0.25">
      <c r="A3004" s="74">
        <v>4748</v>
      </c>
      <c r="B3004" s="45" t="s">
        <v>664</v>
      </c>
      <c r="C3004" s="60" t="s">
        <v>2621</v>
      </c>
      <c r="D3004" s="60"/>
      <c r="E3004" s="74">
        <v>2022</v>
      </c>
      <c r="F3004" s="74" t="s">
        <v>489</v>
      </c>
      <c r="G3004" s="61">
        <v>1</v>
      </c>
      <c r="H3004" s="45">
        <v>15</v>
      </c>
      <c r="I3004" s="74">
        <v>42</v>
      </c>
    </row>
    <row r="3005" spans="1:9" s="71" customFormat="1" ht="16.5" hidden="1" customHeight="1" outlineLevel="1" x14ac:dyDescent="0.25">
      <c r="A3005" s="74">
        <v>4749</v>
      </c>
      <c r="B3005" s="45" t="s">
        <v>664</v>
      </c>
      <c r="C3005" s="60" t="s">
        <v>2622</v>
      </c>
      <c r="D3005" s="60"/>
      <c r="E3005" s="74">
        <v>2022</v>
      </c>
      <c r="F3005" s="74" t="s">
        <v>489</v>
      </c>
      <c r="G3005" s="61">
        <v>1</v>
      </c>
      <c r="H3005" s="45">
        <v>10</v>
      </c>
      <c r="I3005" s="74">
        <v>41</v>
      </c>
    </row>
    <row r="3006" spans="1:9" s="71" customFormat="1" ht="16.5" hidden="1" customHeight="1" outlineLevel="1" x14ac:dyDescent="0.25">
      <c r="A3006" s="74">
        <v>4876</v>
      </c>
      <c r="B3006" s="45" t="s">
        <v>664</v>
      </c>
      <c r="C3006" s="60" t="s">
        <v>2623</v>
      </c>
      <c r="D3006" s="60"/>
      <c r="E3006" s="74">
        <v>2022</v>
      </c>
      <c r="F3006" s="74" t="s">
        <v>489</v>
      </c>
      <c r="G3006" s="61">
        <v>1</v>
      </c>
      <c r="H3006" s="45">
        <v>15</v>
      </c>
      <c r="I3006" s="74">
        <v>63</v>
      </c>
    </row>
    <row r="3007" spans="1:9" s="71" customFormat="1" ht="16.5" hidden="1" customHeight="1" outlineLevel="1" x14ac:dyDescent="0.25">
      <c r="A3007" s="74">
        <v>4877</v>
      </c>
      <c r="B3007" s="45" t="s">
        <v>664</v>
      </c>
      <c r="C3007" s="60" t="s">
        <v>553</v>
      </c>
      <c r="D3007" s="60"/>
      <c r="E3007" s="74">
        <v>2022</v>
      </c>
      <c r="F3007" s="74" t="s">
        <v>489</v>
      </c>
      <c r="G3007" s="61">
        <v>1</v>
      </c>
      <c r="H3007" s="45">
        <v>40</v>
      </c>
      <c r="I3007" s="74">
        <v>103</v>
      </c>
    </row>
    <row r="3008" spans="1:9" s="71" customFormat="1" ht="16.5" hidden="1" customHeight="1" outlineLevel="1" x14ac:dyDescent="0.25">
      <c r="A3008" s="74">
        <v>4641</v>
      </c>
      <c r="B3008" s="45" t="s">
        <v>664</v>
      </c>
      <c r="C3008" s="60" t="s">
        <v>2624</v>
      </c>
      <c r="D3008" s="60"/>
      <c r="E3008" s="74">
        <v>2022</v>
      </c>
      <c r="F3008" s="74" t="s">
        <v>489</v>
      </c>
      <c r="G3008" s="61">
        <v>1</v>
      </c>
      <c r="H3008" s="45">
        <v>15</v>
      </c>
      <c r="I3008" s="74">
        <v>58</v>
      </c>
    </row>
    <row r="3009" spans="1:9" s="71" customFormat="1" ht="16.5" hidden="1" customHeight="1" outlineLevel="1" x14ac:dyDescent="0.25">
      <c r="A3009" s="74">
        <v>4615</v>
      </c>
      <c r="B3009" s="45" t="s">
        <v>664</v>
      </c>
      <c r="C3009" s="60" t="s">
        <v>2625</v>
      </c>
      <c r="D3009" s="60"/>
      <c r="E3009" s="74">
        <v>2022</v>
      </c>
      <c r="F3009" s="74" t="s">
        <v>489</v>
      </c>
      <c r="G3009" s="61">
        <v>1</v>
      </c>
      <c r="H3009" s="45">
        <v>15</v>
      </c>
      <c r="I3009" s="74">
        <v>70</v>
      </c>
    </row>
    <row r="3010" spans="1:9" s="71" customFormat="1" ht="16.5" hidden="1" customHeight="1" outlineLevel="1" x14ac:dyDescent="0.25">
      <c r="A3010" s="74">
        <v>4554</v>
      </c>
      <c r="B3010" s="45" t="s">
        <v>664</v>
      </c>
      <c r="C3010" s="60" t="s">
        <v>2626</v>
      </c>
      <c r="D3010" s="60"/>
      <c r="E3010" s="74">
        <v>2022</v>
      </c>
      <c r="F3010" s="74" t="s">
        <v>489</v>
      </c>
      <c r="G3010" s="61">
        <v>1</v>
      </c>
      <c r="H3010" s="45">
        <v>15</v>
      </c>
      <c r="I3010" s="74">
        <v>34</v>
      </c>
    </row>
    <row r="3011" spans="1:9" s="71" customFormat="1" ht="16.5" hidden="1" customHeight="1" outlineLevel="1" x14ac:dyDescent="0.25">
      <c r="A3011" s="74">
        <v>4555</v>
      </c>
      <c r="B3011" s="45" t="s">
        <v>664</v>
      </c>
      <c r="C3011" s="60" t="s">
        <v>2627</v>
      </c>
      <c r="D3011" s="60"/>
      <c r="E3011" s="74">
        <v>2022</v>
      </c>
      <c r="F3011" s="74" t="s">
        <v>489</v>
      </c>
      <c r="G3011" s="61">
        <v>1</v>
      </c>
      <c r="H3011" s="45">
        <v>15</v>
      </c>
      <c r="I3011" s="74">
        <v>34</v>
      </c>
    </row>
    <row r="3012" spans="1:9" s="71" customFormat="1" ht="16.5" hidden="1" customHeight="1" outlineLevel="1" x14ac:dyDescent="0.25">
      <c r="A3012" s="74">
        <v>4571</v>
      </c>
      <c r="B3012" s="45" t="s">
        <v>664</v>
      </c>
      <c r="C3012" s="60" t="s">
        <v>2628</v>
      </c>
      <c r="D3012" s="60"/>
      <c r="E3012" s="74">
        <v>2022</v>
      </c>
      <c r="F3012" s="74" t="s">
        <v>489</v>
      </c>
      <c r="G3012" s="61">
        <v>1</v>
      </c>
      <c r="H3012" s="45">
        <v>15</v>
      </c>
      <c r="I3012" s="74">
        <v>45</v>
      </c>
    </row>
    <row r="3013" spans="1:9" s="71" customFormat="1" ht="16.5" hidden="1" customHeight="1" outlineLevel="1" x14ac:dyDescent="0.25">
      <c r="A3013" s="74">
        <v>4575</v>
      </c>
      <c r="B3013" s="45" t="s">
        <v>664</v>
      </c>
      <c r="C3013" s="60" t="s">
        <v>2629</v>
      </c>
      <c r="D3013" s="60"/>
      <c r="E3013" s="74">
        <v>2022</v>
      </c>
      <c r="F3013" s="74" t="s">
        <v>489</v>
      </c>
      <c r="G3013" s="61">
        <v>1</v>
      </c>
      <c r="H3013" s="45">
        <v>15</v>
      </c>
      <c r="I3013" s="74">
        <v>45</v>
      </c>
    </row>
    <row r="3014" spans="1:9" s="71" customFormat="1" ht="16.5" hidden="1" customHeight="1" outlineLevel="1" x14ac:dyDescent="0.25">
      <c r="A3014" s="74">
        <v>4661</v>
      </c>
      <c r="B3014" s="45" t="s">
        <v>664</v>
      </c>
      <c r="C3014" s="60" t="s">
        <v>2630</v>
      </c>
      <c r="D3014" s="60"/>
      <c r="E3014" s="74">
        <v>2022</v>
      </c>
      <c r="F3014" s="74" t="s">
        <v>489</v>
      </c>
      <c r="G3014" s="61">
        <v>1</v>
      </c>
      <c r="H3014" s="45">
        <v>15</v>
      </c>
      <c r="I3014" s="74">
        <v>26</v>
      </c>
    </row>
    <row r="3015" spans="1:9" s="71" customFormat="1" ht="16.5" hidden="1" customHeight="1" outlineLevel="1" x14ac:dyDescent="0.25">
      <c r="A3015" s="74">
        <v>4664</v>
      </c>
      <c r="B3015" s="45" t="s">
        <v>664</v>
      </c>
      <c r="C3015" s="60" t="s">
        <v>2631</v>
      </c>
      <c r="D3015" s="60"/>
      <c r="E3015" s="74">
        <v>2022</v>
      </c>
      <c r="F3015" s="74" t="s">
        <v>489</v>
      </c>
      <c r="G3015" s="61">
        <v>1</v>
      </c>
      <c r="H3015" s="45">
        <v>15</v>
      </c>
      <c r="I3015" s="74">
        <v>26</v>
      </c>
    </row>
    <row r="3016" spans="1:9" s="71" customFormat="1" ht="16.5" hidden="1" customHeight="1" outlineLevel="1" x14ac:dyDescent="0.25">
      <c r="A3016" s="74">
        <v>4572</v>
      </c>
      <c r="B3016" s="45" t="s">
        <v>664</v>
      </c>
      <c r="C3016" s="60" t="s">
        <v>2632</v>
      </c>
      <c r="D3016" s="60"/>
      <c r="E3016" s="74">
        <v>2022</v>
      </c>
      <c r="F3016" s="74" t="s">
        <v>489</v>
      </c>
      <c r="G3016" s="61">
        <v>1</v>
      </c>
      <c r="H3016" s="45">
        <v>10</v>
      </c>
      <c r="I3016" s="74">
        <v>70</v>
      </c>
    </row>
    <row r="3017" spans="1:9" s="71" customFormat="1" ht="16.5" hidden="1" customHeight="1" outlineLevel="1" x14ac:dyDescent="0.25">
      <c r="A3017" s="74">
        <v>4622</v>
      </c>
      <c r="B3017" s="45" t="s">
        <v>664</v>
      </c>
      <c r="C3017" s="60" t="s">
        <v>2633</v>
      </c>
      <c r="D3017" s="60"/>
      <c r="E3017" s="74">
        <v>2022</v>
      </c>
      <c r="F3017" s="74" t="s">
        <v>489</v>
      </c>
      <c r="G3017" s="61">
        <v>1</v>
      </c>
      <c r="H3017" s="45">
        <v>15</v>
      </c>
      <c r="I3017" s="74">
        <v>54</v>
      </c>
    </row>
    <row r="3018" spans="1:9" s="71" customFormat="1" ht="16.5" hidden="1" customHeight="1" outlineLevel="1" x14ac:dyDescent="0.25">
      <c r="A3018" s="74">
        <v>4644</v>
      </c>
      <c r="B3018" s="45" t="s">
        <v>664</v>
      </c>
      <c r="C3018" s="60" t="s">
        <v>2634</v>
      </c>
      <c r="D3018" s="60"/>
      <c r="E3018" s="74">
        <v>2022</v>
      </c>
      <c r="F3018" s="74" t="s">
        <v>489</v>
      </c>
      <c r="G3018" s="61">
        <v>1</v>
      </c>
      <c r="H3018" s="45">
        <v>10</v>
      </c>
      <c r="I3018" s="74">
        <v>54</v>
      </c>
    </row>
    <row r="3019" spans="1:9" s="71" customFormat="1" ht="16.5" hidden="1" customHeight="1" outlineLevel="1" x14ac:dyDescent="0.25">
      <c r="A3019" s="74">
        <v>4728</v>
      </c>
      <c r="B3019" s="45" t="s">
        <v>664</v>
      </c>
      <c r="C3019" s="60" t="s">
        <v>2635</v>
      </c>
      <c r="D3019" s="60"/>
      <c r="E3019" s="74">
        <v>2022</v>
      </c>
      <c r="F3019" s="74" t="s">
        <v>489</v>
      </c>
      <c r="G3019" s="61">
        <v>1</v>
      </c>
      <c r="H3019" s="45">
        <v>10</v>
      </c>
      <c r="I3019" s="74">
        <v>43</v>
      </c>
    </row>
    <row r="3020" spans="1:9" s="71" customFormat="1" ht="16.5" hidden="1" customHeight="1" outlineLevel="1" x14ac:dyDescent="0.25">
      <c r="A3020" s="74">
        <v>4727</v>
      </c>
      <c r="B3020" s="45" t="s">
        <v>664</v>
      </c>
      <c r="C3020" s="60" t="s">
        <v>2636</v>
      </c>
      <c r="D3020" s="60"/>
      <c r="E3020" s="74">
        <v>2022</v>
      </c>
      <c r="F3020" s="74" t="s">
        <v>489</v>
      </c>
      <c r="G3020" s="61">
        <v>1</v>
      </c>
      <c r="H3020" s="45">
        <v>10</v>
      </c>
      <c r="I3020" s="74">
        <v>37</v>
      </c>
    </row>
    <row r="3021" spans="1:9" s="71" customFormat="1" ht="16.5" hidden="1" customHeight="1" outlineLevel="1" x14ac:dyDescent="0.25">
      <c r="A3021" s="74">
        <v>4750</v>
      </c>
      <c r="B3021" s="45" t="s">
        <v>664</v>
      </c>
      <c r="C3021" s="60" t="s">
        <v>2637</v>
      </c>
      <c r="D3021" s="60"/>
      <c r="E3021" s="74">
        <v>2022</v>
      </c>
      <c r="F3021" s="74" t="s">
        <v>489</v>
      </c>
      <c r="G3021" s="61">
        <v>1</v>
      </c>
      <c r="H3021" s="45">
        <v>10</v>
      </c>
      <c r="I3021" s="74">
        <v>37</v>
      </c>
    </row>
    <row r="3022" spans="1:9" s="71" customFormat="1" ht="16.5" hidden="1" customHeight="1" outlineLevel="1" x14ac:dyDescent="0.25">
      <c r="A3022" s="74">
        <v>4814</v>
      </c>
      <c r="B3022" s="45" t="s">
        <v>664</v>
      </c>
      <c r="C3022" s="60" t="s">
        <v>2638</v>
      </c>
      <c r="D3022" s="60"/>
      <c r="E3022" s="74">
        <v>2022</v>
      </c>
      <c r="F3022" s="74" t="s">
        <v>489</v>
      </c>
      <c r="G3022" s="61">
        <v>1</v>
      </c>
      <c r="H3022" s="45">
        <v>14</v>
      </c>
      <c r="I3022" s="74">
        <v>27</v>
      </c>
    </row>
    <row r="3023" spans="1:9" s="71" customFormat="1" ht="16.5" hidden="1" customHeight="1" outlineLevel="1" x14ac:dyDescent="0.25">
      <c r="A3023" s="74">
        <v>4562</v>
      </c>
      <c r="B3023" s="45" t="s">
        <v>664</v>
      </c>
      <c r="C3023" s="60" t="s">
        <v>2639</v>
      </c>
      <c r="D3023" s="60"/>
      <c r="E3023" s="74">
        <v>2022</v>
      </c>
      <c r="F3023" s="74" t="s">
        <v>489</v>
      </c>
      <c r="G3023" s="61">
        <v>1</v>
      </c>
      <c r="H3023" s="45">
        <v>12</v>
      </c>
      <c r="I3023" s="74">
        <v>35</v>
      </c>
    </row>
    <row r="3024" spans="1:9" s="71" customFormat="1" ht="16.5" hidden="1" customHeight="1" outlineLevel="1" x14ac:dyDescent="0.25">
      <c r="A3024" s="74">
        <v>4566</v>
      </c>
      <c r="B3024" s="45" t="s">
        <v>664</v>
      </c>
      <c r="C3024" s="60" t="s">
        <v>2640</v>
      </c>
      <c r="D3024" s="60"/>
      <c r="E3024" s="74">
        <v>2022</v>
      </c>
      <c r="F3024" s="74" t="s">
        <v>489</v>
      </c>
      <c r="G3024" s="61">
        <v>1</v>
      </c>
      <c r="H3024" s="45">
        <v>10</v>
      </c>
      <c r="I3024" s="74">
        <v>37</v>
      </c>
    </row>
    <row r="3025" spans="1:9" s="71" customFormat="1" ht="16.5" hidden="1" customHeight="1" outlineLevel="1" x14ac:dyDescent="0.25">
      <c r="A3025" s="74">
        <v>4573</v>
      </c>
      <c r="B3025" s="45" t="s">
        <v>664</v>
      </c>
      <c r="C3025" s="60" t="s">
        <v>2641</v>
      </c>
      <c r="D3025" s="60"/>
      <c r="E3025" s="74">
        <v>2022</v>
      </c>
      <c r="F3025" s="74" t="s">
        <v>489</v>
      </c>
      <c r="G3025" s="61">
        <v>1</v>
      </c>
      <c r="H3025" s="45">
        <v>10</v>
      </c>
      <c r="I3025" s="74">
        <v>36</v>
      </c>
    </row>
    <row r="3026" spans="1:9" s="71" customFormat="1" ht="16.5" hidden="1" customHeight="1" outlineLevel="1" x14ac:dyDescent="0.25">
      <c r="A3026" s="74">
        <v>4577</v>
      </c>
      <c r="B3026" s="45" t="s">
        <v>664</v>
      </c>
      <c r="C3026" s="60" t="s">
        <v>2642</v>
      </c>
      <c r="D3026" s="60"/>
      <c r="E3026" s="74">
        <v>2022</v>
      </c>
      <c r="F3026" s="74" t="s">
        <v>489</v>
      </c>
      <c r="G3026" s="61">
        <v>1</v>
      </c>
      <c r="H3026" s="45">
        <v>10</v>
      </c>
      <c r="I3026" s="74">
        <v>30</v>
      </c>
    </row>
    <row r="3027" spans="1:9" s="71" customFormat="1" ht="16.5" hidden="1" customHeight="1" outlineLevel="1" x14ac:dyDescent="0.25">
      <c r="A3027" s="74">
        <v>4587</v>
      </c>
      <c r="B3027" s="45" t="s">
        <v>664</v>
      </c>
      <c r="C3027" s="60" t="s">
        <v>2643</v>
      </c>
      <c r="D3027" s="60"/>
      <c r="E3027" s="74">
        <v>2022</v>
      </c>
      <c r="F3027" s="74" t="s">
        <v>489</v>
      </c>
      <c r="G3027" s="61">
        <v>1</v>
      </c>
      <c r="H3027" s="45">
        <v>9</v>
      </c>
      <c r="I3027" s="74">
        <v>24.65</v>
      </c>
    </row>
    <row r="3028" spans="1:9" s="71" customFormat="1" ht="16.5" hidden="1" customHeight="1" outlineLevel="1" x14ac:dyDescent="0.25">
      <c r="A3028" s="74">
        <v>4607</v>
      </c>
      <c r="B3028" s="45" t="s">
        <v>664</v>
      </c>
      <c r="C3028" s="60" t="s">
        <v>2644</v>
      </c>
      <c r="D3028" s="60"/>
      <c r="E3028" s="74">
        <v>2022</v>
      </c>
      <c r="F3028" s="74" t="s">
        <v>489</v>
      </c>
      <c r="G3028" s="61">
        <v>1</v>
      </c>
      <c r="H3028" s="45">
        <v>15</v>
      </c>
      <c r="I3028" s="74">
        <v>27.400000000000002</v>
      </c>
    </row>
    <row r="3029" spans="1:9" s="71" customFormat="1" ht="16.5" hidden="1" customHeight="1" outlineLevel="1" x14ac:dyDescent="0.25">
      <c r="A3029" s="74">
        <v>4640</v>
      </c>
      <c r="B3029" s="45" t="s">
        <v>664</v>
      </c>
      <c r="C3029" s="60" t="s">
        <v>2645</v>
      </c>
      <c r="D3029" s="60"/>
      <c r="E3029" s="74">
        <v>2022</v>
      </c>
      <c r="F3029" s="74" t="s">
        <v>489</v>
      </c>
      <c r="G3029" s="61">
        <v>1</v>
      </c>
      <c r="H3029" s="45">
        <v>40</v>
      </c>
      <c r="I3029" s="74">
        <v>28.740000000000002</v>
      </c>
    </row>
    <row r="3030" spans="1:9" s="71" customFormat="1" ht="16.5" hidden="1" customHeight="1" outlineLevel="1" x14ac:dyDescent="0.25">
      <c r="A3030" s="74">
        <v>4898</v>
      </c>
      <c r="B3030" s="45" t="s">
        <v>664</v>
      </c>
      <c r="C3030" s="60" t="s">
        <v>2646</v>
      </c>
      <c r="D3030" s="60"/>
      <c r="E3030" s="74">
        <v>2022</v>
      </c>
      <c r="F3030" s="74" t="s">
        <v>489</v>
      </c>
      <c r="G3030" s="61">
        <v>1</v>
      </c>
      <c r="H3030" s="45">
        <v>15</v>
      </c>
      <c r="I3030" s="74">
        <v>93</v>
      </c>
    </row>
    <row r="3031" spans="1:9" s="71" customFormat="1" ht="16.5" hidden="1" customHeight="1" outlineLevel="1" x14ac:dyDescent="0.25">
      <c r="A3031" s="74">
        <v>4601</v>
      </c>
      <c r="B3031" s="45" t="s">
        <v>664</v>
      </c>
      <c r="C3031" s="60" t="s">
        <v>2647</v>
      </c>
      <c r="D3031" s="60"/>
      <c r="E3031" s="74">
        <v>2022</v>
      </c>
      <c r="F3031" s="74" t="s">
        <v>489</v>
      </c>
      <c r="G3031" s="61">
        <v>1</v>
      </c>
      <c r="H3031" s="45">
        <v>15</v>
      </c>
      <c r="I3031" s="74">
        <v>23</v>
      </c>
    </row>
    <row r="3032" spans="1:9" s="71" customFormat="1" ht="16.5" hidden="1" customHeight="1" outlineLevel="1" x14ac:dyDescent="0.25">
      <c r="A3032" s="74">
        <v>4652</v>
      </c>
      <c r="B3032" s="45" t="s">
        <v>664</v>
      </c>
      <c r="C3032" s="60" t="s">
        <v>2648</v>
      </c>
      <c r="D3032" s="60"/>
      <c r="E3032" s="74">
        <v>2022</v>
      </c>
      <c r="F3032" s="74" t="s">
        <v>489</v>
      </c>
      <c r="G3032" s="61">
        <v>1</v>
      </c>
      <c r="H3032" s="45">
        <v>15</v>
      </c>
      <c r="I3032" s="74">
        <v>27</v>
      </c>
    </row>
    <row r="3033" spans="1:9" s="71" customFormat="1" ht="16.5" hidden="1" customHeight="1" outlineLevel="1" x14ac:dyDescent="0.25">
      <c r="A3033" s="74">
        <v>4659</v>
      </c>
      <c r="B3033" s="45" t="s">
        <v>664</v>
      </c>
      <c r="C3033" s="60" t="s">
        <v>2649</v>
      </c>
      <c r="D3033" s="60"/>
      <c r="E3033" s="74">
        <v>2022</v>
      </c>
      <c r="F3033" s="74" t="s">
        <v>489</v>
      </c>
      <c r="G3033" s="61">
        <v>1</v>
      </c>
      <c r="H3033" s="45">
        <v>15</v>
      </c>
      <c r="I3033" s="74">
        <v>27</v>
      </c>
    </row>
    <row r="3034" spans="1:9" s="71" customFormat="1" ht="16.5" hidden="1" customHeight="1" outlineLevel="1" x14ac:dyDescent="0.25">
      <c r="A3034" s="74">
        <v>4662</v>
      </c>
      <c r="B3034" s="45" t="s">
        <v>664</v>
      </c>
      <c r="C3034" s="60" t="s">
        <v>2650</v>
      </c>
      <c r="D3034" s="60"/>
      <c r="E3034" s="74">
        <v>2022</v>
      </c>
      <c r="F3034" s="74" t="s">
        <v>489</v>
      </c>
      <c r="G3034" s="61">
        <v>1</v>
      </c>
      <c r="H3034" s="45">
        <v>15</v>
      </c>
      <c r="I3034" s="74">
        <v>26</v>
      </c>
    </row>
    <row r="3035" spans="1:9" s="71" customFormat="1" ht="16.5" hidden="1" customHeight="1" outlineLevel="1" x14ac:dyDescent="0.25">
      <c r="A3035" s="74">
        <v>4682</v>
      </c>
      <c r="B3035" s="45" t="s">
        <v>664</v>
      </c>
      <c r="C3035" s="60" t="s">
        <v>2651</v>
      </c>
      <c r="D3035" s="60"/>
      <c r="E3035" s="74">
        <v>2022</v>
      </c>
      <c r="F3035" s="74" t="s">
        <v>489</v>
      </c>
      <c r="G3035" s="61">
        <v>1</v>
      </c>
      <c r="H3035" s="45">
        <v>45</v>
      </c>
      <c r="I3035" s="74">
        <v>28</v>
      </c>
    </row>
    <row r="3036" spans="1:9" s="71" customFormat="1" ht="16.5" hidden="1" customHeight="1" outlineLevel="1" x14ac:dyDescent="0.25">
      <c r="A3036" s="74">
        <v>4685</v>
      </c>
      <c r="B3036" s="45" t="s">
        <v>664</v>
      </c>
      <c r="C3036" s="60" t="s">
        <v>2652</v>
      </c>
      <c r="D3036" s="60"/>
      <c r="E3036" s="74">
        <v>2022</v>
      </c>
      <c r="F3036" s="74" t="s">
        <v>489</v>
      </c>
      <c r="G3036" s="61">
        <v>1</v>
      </c>
      <c r="H3036" s="45">
        <v>15</v>
      </c>
      <c r="I3036" s="74">
        <v>28</v>
      </c>
    </row>
    <row r="3037" spans="1:9" s="71" customFormat="1" ht="16.5" hidden="1" customHeight="1" outlineLevel="1" x14ac:dyDescent="0.25">
      <c r="A3037" s="74">
        <v>4686</v>
      </c>
      <c r="B3037" s="45" t="s">
        <v>664</v>
      </c>
      <c r="C3037" s="60" t="s">
        <v>2653</v>
      </c>
      <c r="D3037" s="60"/>
      <c r="E3037" s="74">
        <v>2022</v>
      </c>
      <c r="F3037" s="74" t="s">
        <v>489</v>
      </c>
      <c r="G3037" s="61">
        <v>1</v>
      </c>
      <c r="H3037" s="45">
        <v>15</v>
      </c>
      <c r="I3037" s="74">
        <v>26</v>
      </c>
    </row>
    <row r="3038" spans="1:9" s="71" customFormat="1" ht="16.5" hidden="1" customHeight="1" outlineLevel="1" x14ac:dyDescent="0.25">
      <c r="A3038" s="74">
        <v>4687</v>
      </c>
      <c r="B3038" s="45" t="s">
        <v>664</v>
      </c>
      <c r="C3038" s="60" t="s">
        <v>2654</v>
      </c>
      <c r="D3038" s="60"/>
      <c r="E3038" s="74">
        <v>2022</v>
      </c>
      <c r="F3038" s="74" t="s">
        <v>489</v>
      </c>
      <c r="G3038" s="61">
        <v>1</v>
      </c>
      <c r="H3038" s="45">
        <v>15</v>
      </c>
      <c r="I3038" s="74">
        <v>26</v>
      </c>
    </row>
    <row r="3039" spans="1:9" s="71" customFormat="1" ht="16.5" hidden="1" customHeight="1" outlineLevel="1" x14ac:dyDescent="0.25">
      <c r="A3039" s="74">
        <v>4695</v>
      </c>
      <c r="B3039" s="45" t="s">
        <v>664</v>
      </c>
      <c r="C3039" s="60" t="s">
        <v>2655</v>
      </c>
      <c r="D3039" s="60"/>
      <c r="E3039" s="74">
        <v>2022</v>
      </c>
      <c r="F3039" s="74" t="s">
        <v>489</v>
      </c>
      <c r="G3039" s="61">
        <v>1</v>
      </c>
      <c r="H3039" s="45">
        <v>15</v>
      </c>
      <c r="I3039" s="74">
        <v>26</v>
      </c>
    </row>
    <row r="3040" spans="1:9" s="71" customFormat="1" ht="16.5" hidden="1" customHeight="1" outlineLevel="1" x14ac:dyDescent="0.25">
      <c r="A3040" s="74">
        <v>4700</v>
      </c>
      <c r="B3040" s="45" t="s">
        <v>664</v>
      </c>
      <c r="C3040" s="60" t="s">
        <v>2656</v>
      </c>
      <c r="D3040" s="60"/>
      <c r="E3040" s="74">
        <v>2022</v>
      </c>
      <c r="F3040" s="74" t="s">
        <v>489</v>
      </c>
      <c r="G3040" s="61">
        <v>1</v>
      </c>
      <c r="H3040" s="45">
        <v>15</v>
      </c>
      <c r="I3040" s="74">
        <v>28</v>
      </c>
    </row>
    <row r="3041" spans="1:9" s="71" customFormat="1" ht="16.5" hidden="1" customHeight="1" outlineLevel="1" x14ac:dyDescent="0.25">
      <c r="A3041" s="74">
        <v>4643</v>
      </c>
      <c r="B3041" s="45" t="s">
        <v>664</v>
      </c>
      <c r="C3041" s="60" t="s">
        <v>2657</v>
      </c>
      <c r="D3041" s="60"/>
      <c r="E3041" s="74">
        <v>2022</v>
      </c>
      <c r="F3041" s="74" t="s">
        <v>489</v>
      </c>
      <c r="G3041" s="61">
        <v>1</v>
      </c>
      <c r="H3041" s="45">
        <v>10</v>
      </c>
      <c r="I3041" s="74">
        <v>31</v>
      </c>
    </row>
    <row r="3042" spans="1:9" s="71" customFormat="1" ht="16.5" hidden="1" customHeight="1" outlineLevel="1" x14ac:dyDescent="0.25">
      <c r="A3042" s="74">
        <v>4710</v>
      </c>
      <c r="B3042" s="45" t="s">
        <v>664</v>
      </c>
      <c r="C3042" s="60" t="s">
        <v>2658</v>
      </c>
      <c r="D3042" s="60"/>
      <c r="E3042" s="74">
        <v>2022</v>
      </c>
      <c r="F3042" s="74" t="s">
        <v>489</v>
      </c>
      <c r="G3042" s="61">
        <v>1</v>
      </c>
      <c r="H3042" s="45">
        <v>15</v>
      </c>
      <c r="I3042" s="74">
        <v>31</v>
      </c>
    </row>
    <row r="3043" spans="1:9" s="71" customFormat="1" ht="16.5" hidden="1" customHeight="1" outlineLevel="1" x14ac:dyDescent="0.25">
      <c r="A3043" s="74">
        <v>4711</v>
      </c>
      <c r="B3043" s="45" t="s">
        <v>664</v>
      </c>
      <c r="C3043" s="60" t="s">
        <v>2659</v>
      </c>
      <c r="D3043" s="60"/>
      <c r="E3043" s="74">
        <v>2022</v>
      </c>
      <c r="F3043" s="74" t="s">
        <v>489</v>
      </c>
      <c r="G3043" s="61">
        <v>1</v>
      </c>
      <c r="H3043" s="45">
        <v>10</v>
      </c>
      <c r="I3043" s="74">
        <v>31</v>
      </c>
    </row>
    <row r="3044" spans="1:9" s="71" customFormat="1" ht="16.5" hidden="1" customHeight="1" outlineLevel="1" x14ac:dyDescent="0.25">
      <c r="A3044" s="74">
        <v>4722</v>
      </c>
      <c r="B3044" s="45" t="s">
        <v>664</v>
      </c>
      <c r="C3044" s="60" t="s">
        <v>2660</v>
      </c>
      <c r="D3044" s="60"/>
      <c r="E3044" s="74">
        <v>2022</v>
      </c>
      <c r="F3044" s="74" t="s">
        <v>489</v>
      </c>
      <c r="G3044" s="61">
        <v>1</v>
      </c>
      <c r="H3044" s="45">
        <v>14</v>
      </c>
      <c r="I3044" s="74">
        <v>33</v>
      </c>
    </row>
    <row r="3045" spans="1:9" s="71" customFormat="1" ht="16.5" hidden="1" customHeight="1" outlineLevel="1" x14ac:dyDescent="0.25">
      <c r="A3045" s="74">
        <v>4840</v>
      </c>
      <c r="B3045" s="45" t="s">
        <v>664</v>
      </c>
      <c r="C3045" s="60" t="s">
        <v>2661</v>
      </c>
      <c r="D3045" s="60"/>
      <c r="E3045" s="74">
        <v>2022</v>
      </c>
      <c r="F3045" s="74" t="s">
        <v>489</v>
      </c>
      <c r="G3045" s="61">
        <v>1</v>
      </c>
      <c r="H3045" s="45">
        <v>15</v>
      </c>
      <c r="I3045" s="74">
        <v>27</v>
      </c>
    </row>
    <row r="3046" spans="1:9" s="71" customFormat="1" ht="16.5" hidden="1" customHeight="1" outlineLevel="1" x14ac:dyDescent="0.25">
      <c r="A3046" s="74">
        <v>4841</v>
      </c>
      <c r="B3046" s="45" t="s">
        <v>664</v>
      </c>
      <c r="C3046" s="60" t="s">
        <v>2662</v>
      </c>
      <c r="D3046" s="60"/>
      <c r="E3046" s="74">
        <v>2022</v>
      </c>
      <c r="F3046" s="74" t="s">
        <v>489</v>
      </c>
      <c r="G3046" s="61">
        <v>1</v>
      </c>
      <c r="H3046" s="45">
        <v>14</v>
      </c>
      <c r="I3046" s="74">
        <v>25</v>
      </c>
    </row>
    <row r="3047" spans="1:9" s="71" customFormat="1" ht="16.5" hidden="1" customHeight="1" outlineLevel="1" x14ac:dyDescent="0.25">
      <c r="A3047" s="74">
        <v>4844</v>
      </c>
      <c r="B3047" s="45" t="s">
        <v>664</v>
      </c>
      <c r="C3047" s="60" t="s">
        <v>2663</v>
      </c>
      <c r="D3047" s="60"/>
      <c r="E3047" s="74">
        <v>2022</v>
      </c>
      <c r="F3047" s="74" t="s">
        <v>489</v>
      </c>
      <c r="G3047" s="61">
        <v>1</v>
      </c>
      <c r="H3047" s="45">
        <v>15</v>
      </c>
      <c r="I3047" s="74">
        <v>28</v>
      </c>
    </row>
    <row r="3048" spans="1:9" s="71" customFormat="1" ht="16.5" hidden="1" customHeight="1" outlineLevel="1" x14ac:dyDescent="0.25">
      <c r="A3048" s="74">
        <v>4869</v>
      </c>
      <c r="B3048" s="45" t="s">
        <v>664</v>
      </c>
      <c r="C3048" s="60" t="s">
        <v>2664</v>
      </c>
      <c r="D3048" s="60"/>
      <c r="E3048" s="74">
        <v>2022</v>
      </c>
      <c r="F3048" s="74" t="s">
        <v>489</v>
      </c>
      <c r="G3048" s="61">
        <v>1</v>
      </c>
      <c r="H3048" s="45">
        <v>10</v>
      </c>
      <c r="I3048" s="74">
        <v>27</v>
      </c>
    </row>
    <row r="3049" spans="1:9" s="71" customFormat="1" ht="16.5" hidden="1" customHeight="1" outlineLevel="1" x14ac:dyDescent="0.25">
      <c r="A3049" s="74">
        <v>4870</v>
      </c>
      <c r="B3049" s="45" t="s">
        <v>664</v>
      </c>
      <c r="C3049" s="60" t="s">
        <v>2665</v>
      </c>
      <c r="D3049" s="60"/>
      <c r="E3049" s="74">
        <v>2022</v>
      </c>
      <c r="F3049" s="74" t="s">
        <v>489</v>
      </c>
      <c r="G3049" s="61">
        <v>1</v>
      </c>
      <c r="H3049" s="45">
        <v>10</v>
      </c>
      <c r="I3049" s="74">
        <v>28</v>
      </c>
    </row>
    <row r="3050" spans="1:9" s="71" customFormat="1" ht="16.5" hidden="1" customHeight="1" outlineLevel="1" x14ac:dyDescent="0.25">
      <c r="A3050" s="74">
        <v>4871</v>
      </c>
      <c r="B3050" s="45" t="s">
        <v>664</v>
      </c>
      <c r="C3050" s="60" t="s">
        <v>2666</v>
      </c>
      <c r="D3050" s="60"/>
      <c r="E3050" s="74">
        <v>2022</v>
      </c>
      <c r="F3050" s="74" t="s">
        <v>489</v>
      </c>
      <c r="G3050" s="61">
        <v>1</v>
      </c>
      <c r="H3050" s="45">
        <v>10</v>
      </c>
      <c r="I3050" s="74">
        <v>28</v>
      </c>
    </row>
    <row r="3051" spans="1:9" s="71" customFormat="1" ht="16.5" hidden="1" customHeight="1" outlineLevel="1" x14ac:dyDescent="0.25">
      <c r="A3051" s="74">
        <v>4872</v>
      </c>
      <c r="B3051" s="45" t="s">
        <v>664</v>
      </c>
      <c r="C3051" s="60" t="s">
        <v>2667</v>
      </c>
      <c r="D3051" s="60"/>
      <c r="E3051" s="74">
        <v>2022</v>
      </c>
      <c r="F3051" s="74" t="s">
        <v>489</v>
      </c>
      <c r="G3051" s="61">
        <v>1</v>
      </c>
      <c r="H3051" s="45">
        <v>10</v>
      </c>
      <c r="I3051" s="74">
        <v>25</v>
      </c>
    </row>
    <row r="3052" spans="1:9" s="71" customFormat="1" ht="16.5" hidden="1" customHeight="1" outlineLevel="1" x14ac:dyDescent="0.25">
      <c r="A3052" s="74">
        <v>4901</v>
      </c>
      <c r="B3052" s="45" t="s">
        <v>664</v>
      </c>
      <c r="C3052" s="60" t="s">
        <v>2668</v>
      </c>
      <c r="D3052" s="60"/>
      <c r="E3052" s="74">
        <v>2022</v>
      </c>
      <c r="F3052" s="74" t="s">
        <v>489</v>
      </c>
      <c r="G3052" s="61">
        <v>1</v>
      </c>
      <c r="H3052" s="45">
        <v>10</v>
      </c>
      <c r="I3052" s="74">
        <v>61</v>
      </c>
    </row>
    <row r="3053" spans="1:9" s="71" customFormat="1" ht="16.5" hidden="1" customHeight="1" outlineLevel="1" x14ac:dyDescent="0.25">
      <c r="A3053" s="74">
        <v>4568</v>
      </c>
      <c r="B3053" s="45" t="s">
        <v>664</v>
      </c>
      <c r="C3053" s="60" t="s">
        <v>2669</v>
      </c>
      <c r="D3053" s="60"/>
      <c r="E3053" s="74">
        <v>2022</v>
      </c>
      <c r="F3053" s="74" t="s">
        <v>489</v>
      </c>
      <c r="G3053" s="61">
        <v>1</v>
      </c>
      <c r="H3053" s="45">
        <v>10</v>
      </c>
      <c r="I3053" s="74">
        <v>36</v>
      </c>
    </row>
    <row r="3054" spans="1:9" s="71" customFormat="1" ht="16.5" hidden="1" customHeight="1" outlineLevel="1" x14ac:dyDescent="0.25">
      <c r="A3054" s="74">
        <v>4582</v>
      </c>
      <c r="B3054" s="45" t="s">
        <v>664</v>
      </c>
      <c r="C3054" s="60" t="s">
        <v>2670</v>
      </c>
      <c r="D3054" s="60"/>
      <c r="E3054" s="74">
        <v>2022</v>
      </c>
      <c r="F3054" s="74" t="s">
        <v>489</v>
      </c>
      <c r="G3054" s="61">
        <v>1</v>
      </c>
      <c r="H3054" s="45">
        <v>10</v>
      </c>
      <c r="I3054" s="74">
        <v>28</v>
      </c>
    </row>
    <row r="3055" spans="1:9" s="71" customFormat="1" ht="16.5" hidden="1" customHeight="1" outlineLevel="1" x14ac:dyDescent="0.25">
      <c r="A3055" s="74">
        <v>4597</v>
      </c>
      <c r="B3055" s="45" t="s">
        <v>664</v>
      </c>
      <c r="C3055" s="60" t="s">
        <v>2671</v>
      </c>
      <c r="D3055" s="60"/>
      <c r="E3055" s="74">
        <v>2022</v>
      </c>
      <c r="F3055" s="74" t="s">
        <v>489</v>
      </c>
      <c r="G3055" s="61">
        <v>1</v>
      </c>
      <c r="H3055" s="45">
        <v>10</v>
      </c>
      <c r="I3055" s="74">
        <v>32</v>
      </c>
    </row>
    <row r="3056" spans="1:9" s="71" customFormat="1" ht="16.5" hidden="1" customHeight="1" outlineLevel="1" x14ac:dyDescent="0.25">
      <c r="A3056" s="74">
        <v>4599</v>
      </c>
      <c r="B3056" s="45" t="s">
        <v>664</v>
      </c>
      <c r="C3056" s="60" t="s">
        <v>2672</v>
      </c>
      <c r="D3056" s="60"/>
      <c r="E3056" s="74">
        <v>2022</v>
      </c>
      <c r="F3056" s="74" t="s">
        <v>489</v>
      </c>
      <c r="G3056" s="61">
        <v>1</v>
      </c>
      <c r="H3056" s="45">
        <v>15</v>
      </c>
      <c r="I3056" s="74">
        <v>28</v>
      </c>
    </row>
    <row r="3057" spans="1:9" s="71" customFormat="1" ht="16.5" hidden="1" customHeight="1" outlineLevel="1" x14ac:dyDescent="0.25">
      <c r="A3057" s="74">
        <v>4631</v>
      </c>
      <c r="B3057" s="45" t="s">
        <v>664</v>
      </c>
      <c r="C3057" s="60" t="s">
        <v>2673</v>
      </c>
      <c r="D3057" s="60"/>
      <c r="E3057" s="74">
        <v>2022</v>
      </c>
      <c r="F3057" s="74" t="s">
        <v>489</v>
      </c>
      <c r="G3057" s="61">
        <v>1</v>
      </c>
      <c r="H3057" s="45">
        <v>10</v>
      </c>
      <c r="I3057" s="74">
        <v>28</v>
      </c>
    </row>
    <row r="3058" spans="1:9" s="71" customFormat="1" ht="16.5" hidden="1" customHeight="1" outlineLevel="1" x14ac:dyDescent="0.25">
      <c r="A3058" s="74">
        <v>4690</v>
      </c>
      <c r="B3058" s="45" t="s">
        <v>664</v>
      </c>
      <c r="C3058" s="60" t="s">
        <v>2674</v>
      </c>
      <c r="D3058" s="60"/>
      <c r="E3058" s="74">
        <v>2022</v>
      </c>
      <c r="F3058" s="74" t="s">
        <v>489</v>
      </c>
      <c r="G3058" s="61">
        <v>1</v>
      </c>
      <c r="H3058" s="45">
        <v>10</v>
      </c>
      <c r="I3058" s="74">
        <v>32</v>
      </c>
    </row>
    <row r="3059" spans="1:9" s="71" customFormat="1" ht="16.5" hidden="1" customHeight="1" outlineLevel="1" x14ac:dyDescent="0.25">
      <c r="A3059" s="74">
        <v>4693</v>
      </c>
      <c r="B3059" s="45" t="s">
        <v>664</v>
      </c>
      <c r="C3059" s="60" t="s">
        <v>2675</v>
      </c>
      <c r="D3059" s="60"/>
      <c r="E3059" s="74">
        <v>2022</v>
      </c>
      <c r="F3059" s="74" t="s">
        <v>489</v>
      </c>
      <c r="G3059" s="61">
        <v>1</v>
      </c>
      <c r="H3059" s="45">
        <v>15</v>
      </c>
      <c r="I3059" s="74">
        <v>27</v>
      </c>
    </row>
    <row r="3060" spans="1:9" s="71" customFormat="1" ht="16.5" hidden="1" customHeight="1" outlineLevel="1" x14ac:dyDescent="0.25">
      <c r="A3060" s="74">
        <v>4835</v>
      </c>
      <c r="B3060" s="45" t="s">
        <v>664</v>
      </c>
      <c r="C3060" s="60" t="s">
        <v>2676</v>
      </c>
      <c r="D3060" s="60"/>
      <c r="E3060" s="74">
        <v>2022</v>
      </c>
      <c r="F3060" s="74" t="s">
        <v>489</v>
      </c>
      <c r="G3060" s="61">
        <v>1</v>
      </c>
      <c r="H3060" s="45">
        <v>14</v>
      </c>
      <c r="I3060" s="74">
        <v>23</v>
      </c>
    </row>
    <row r="3061" spans="1:9" s="71" customFormat="1" ht="16.5" hidden="1" customHeight="1" outlineLevel="1" x14ac:dyDescent="0.25">
      <c r="A3061" s="74">
        <v>4904</v>
      </c>
      <c r="B3061" s="45" t="s">
        <v>664</v>
      </c>
      <c r="C3061" s="60" t="s">
        <v>2677</v>
      </c>
      <c r="D3061" s="60"/>
      <c r="E3061" s="74">
        <v>2022</v>
      </c>
      <c r="F3061" s="74" t="s">
        <v>489</v>
      </c>
      <c r="G3061" s="61">
        <v>1</v>
      </c>
      <c r="H3061" s="45">
        <v>10</v>
      </c>
      <c r="I3061" s="74">
        <v>126</v>
      </c>
    </row>
    <row r="3062" spans="1:9" s="71" customFormat="1" ht="16.5" hidden="1" customHeight="1" outlineLevel="1" x14ac:dyDescent="0.25">
      <c r="A3062" s="74">
        <v>4596</v>
      </c>
      <c r="B3062" s="45" t="s">
        <v>664</v>
      </c>
      <c r="C3062" s="60" t="s">
        <v>2678</v>
      </c>
      <c r="D3062" s="60"/>
      <c r="E3062" s="74">
        <v>2022</v>
      </c>
      <c r="F3062" s="74" t="s">
        <v>489</v>
      </c>
      <c r="G3062" s="61">
        <v>1</v>
      </c>
      <c r="H3062" s="45">
        <v>10</v>
      </c>
      <c r="I3062" s="74">
        <v>36</v>
      </c>
    </row>
    <row r="3063" spans="1:9" s="71" customFormat="1" ht="16.5" hidden="1" customHeight="1" outlineLevel="1" x14ac:dyDescent="0.25">
      <c r="A3063" s="74">
        <v>4598</v>
      </c>
      <c r="B3063" s="45" t="s">
        <v>664</v>
      </c>
      <c r="C3063" s="60" t="s">
        <v>2679</v>
      </c>
      <c r="D3063" s="60"/>
      <c r="E3063" s="74">
        <v>2022</v>
      </c>
      <c r="F3063" s="74" t="s">
        <v>489</v>
      </c>
      <c r="G3063" s="61">
        <v>1</v>
      </c>
      <c r="H3063" s="45">
        <v>10</v>
      </c>
      <c r="I3063" s="74">
        <v>37</v>
      </c>
    </row>
    <row r="3064" spans="1:9" s="71" customFormat="1" ht="16.5" hidden="1" customHeight="1" outlineLevel="1" x14ac:dyDescent="0.25">
      <c r="A3064" s="74">
        <v>4610</v>
      </c>
      <c r="B3064" s="45" t="s">
        <v>664</v>
      </c>
      <c r="C3064" s="60" t="s">
        <v>2680</v>
      </c>
      <c r="D3064" s="60"/>
      <c r="E3064" s="74">
        <v>2022</v>
      </c>
      <c r="F3064" s="74" t="s">
        <v>489</v>
      </c>
      <c r="G3064" s="61">
        <v>1</v>
      </c>
      <c r="H3064" s="45">
        <v>10</v>
      </c>
      <c r="I3064" s="74">
        <v>35</v>
      </c>
    </row>
    <row r="3065" spans="1:9" s="71" customFormat="1" ht="16.5" hidden="1" customHeight="1" outlineLevel="1" x14ac:dyDescent="0.25">
      <c r="A3065" s="74">
        <v>4611</v>
      </c>
      <c r="B3065" s="45" t="s">
        <v>664</v>
      </c>
      <c r="C3065" s="60" t="s">
        <v>2681</v>
      </c>
      <c r="D3065" s="60"/>
      <c r="E3065" s="74">
        <v>2022</v>
      </c>
      <c r="F3065" s="74" t="s">
        <v>489</v>
      </c>
      <c r="G3065" s="61">
        <v>1</v>
      </c>
      <c r="H3065" s="45">
        <v>10</v>
      </c>
      <c r="I3065" s="74">
        <v>34</v>
      </c>
    </row>
    <row r="3066" spans="1:9" s="71" customFormat="1" ht="16.5" hidden="1" customHeight="1" outlineLevel="1" x14ac:dyDescent="0.25">
      <c r="A3066" s="74">
        <v>4612</v>
      </c>
      <c r="B3066" s="45" t="s">
        <v>664</v>
      </c>
      <c r="C3066" s="60" t="s">
        <v>2682</v>
      </c>
      <c r="D3066" s="60"/>
      <c r="E3066" s="74">
        <v>2022</v>
      </c>
      <c r="F3066" s="74" t="s">
        <v>489</v>
      </c>
      <c r="G3066" s="61">
        <v>1</v>
      </c>
      <c r="H3066" s="45">
        <v>10</v>
      </c>
      <c r="I3066" s="74">
        <v>35</v>
      </c>
    </row>
    <row r="3067" spans="1:9" s="71" customFormat="1" ht="16.5" hidden="1" customHeight="1" outlineLevel="1" x14ac:dyDescent="0.25">
      <c r="A3067" s="74">
        <v>4613</v>
      </c>
      <c r="B3067" s="45" t="s">
        <v>664</v>
      </c>
      <c r="C3067" s="60" t="s">
        <v>2683</v>
      </c>
      <c r="D3067" s="60"/>
      <c r="E3067" s="74">
        <v>2022</v>
      </c>
      <c r="F3067" s="74" t="s">
        <v>489</v>
      </c>
      <c r="G3067" s="61">
        <v>1</v>
      </c>
      <c r="H3067" s="45">
        <v>10</v>
      </c>
      <c r="I3067" s="74">
        <v>34</v>
      </c>
    </row>
    <row r="3068" spans="1:9" s="71" customFormat="1" ht="16.5" hidden="1" customHeight="1" outlineLevel="1" x14ac:dyDescent="0.25">
      <c r="A3068" s="74">
        <v>4642</v>
      </c>
      <c r="B3068" s="45" t="s">
        <v>664</v>
      </c>
      <c r="C3068" s="60" t="s">
        <v>2684</v>
      </c>
      <c r="D3068" s="60"/>
      <c r="E3068" s="74">
        <v>2022</v>
      </c>
      <c r="F3068" s="74" t="s">
        <v>489</v>
      </c>
      <c r="G3068" s="61">
        <v>1</v>
      </c>
      <c r="H3068" s="45">
        <v>15</v>
      </c>
      <c r="I3068" s="74">
        <v>37</v>
      </c>
    </row>
    <row r="3069" spans="1:9" s="71" customFormat="1" ht="16.5" hidden="1" customHeight="1" outlineLevel="1" x14ac:dyDescent="0.25">
      <c r="A3069" s="74">
        <v>4649</v>
      </c>
      <c r="B3069" s="45" t="s">
        <v>664</v>
      </c>
      <c r="C3069" s="60" t="s">
        <v>2685</v>
      </c>
      <c r="D3069" s="60"/>
      <c r="E3069" s="74">
        <v>2022</v>
      </c>
      <c r="F3069" s="74" t="s">
        <v>489</v>
      </c>
      <c r="G3069" s="61">
        <v>1</v>
      </c>
      <c r="H3069" s="45">
        <v>10</v>
      </c>
      <c r="I3069" s="74">
        <v>37</v>
      </c>
    </row>
    <row r="3070" spans="1:9" s="71" customFormat="1" ht="16.5" hidden="1" customHeight="1" outlineLevel="1" x14ac:dyDescent="0.25">
      <c r="A3070" s="74">
        <v>4903</v>
      </c>
      <c r="B3070" s="45" t="s">
        <v>664</v>
      </c>
      <c r="C3070" s="60" t="s">
        <v>2686</v>
      </c>
      <c r="D3070" s="60"/>
      <c r="E3070" s="74">
        <v>2022</v>
      </c>
      <c r="F3070" s="74" t="s">
        <v>489</v>
      </c>
      <c r="G3070" s="61">
        <v>1</v>
      </c>
      <c r="H3070" s="45">
        <v>10</v>
      </c>
      <c r="I3070" s="74">
        <v>107</v>
      </c>
    </row>
    <row r="3071" spans="1:9" s="71" customFormat="1" ht="16.5" hidden="1" customHeight="1" outlineLevel="1" x14ac:dyDescent="0.25">
      <c r="A3071" s="74">
        <v>4592</v>
      </c>
      <c r="B3071" s="45" t="s">
        <v>664</v>
      </c>
      <c r="C3071" s="60" t="s">
        <v>2687</v>
      </c>
      <c r="D3071" s="60"/>
      <c r="E3071" s="74">
        <v>2022</v>
      </c>
      <c r="F3071" s="74" t="s">
        <v>489</v>
      </c>
      <c r="G3071" s="61">
        <v>1</v>
      </c>
      <c r="H3071" s="45">
        <v>15</v>
      </c>
      <c r="I3071" s="74">
        <v>26</v>
      </c>
    </row>
    <row r="3072" spans="1:9" s="71" customFormat="1" ht="16.5" hidden="1" customHeight="1" outlineLevel="1" x14ac:dyDescent="0.25">
      <c r="A3072" s="74">
        <v>4594</v>
      </c>
      <c r="B3072" s="45" t="s">
        <v>664</v>
      </c>
      <c r="C3072" s="60" t="s">
        <v>2688</v>
      </c>
      <c r="D3072" s="60"/>
      <c r="E3072" s="74">
        <v>2022</v>
      </c>
      <c r="F3072" s="74" t="s">
        <v>489</v>
      </c>
      <c r="G3072" s="61">
        <v>1</v>
      </c>
      <c r="H3072" s="45">
        <v>15</v>
      </c>
      <c r="I3072" s="74">
        <v>26</v>
      </c>
    </row>
    <row r="3073" spans="1:9" s="71" customFormat="1" ht="16.5" hidden="1" customHeight="1" outlineLevel="1" x14ac:dyDescent="0.25">
      <c r="A3073" s="74">
        <v>4606</v>
      </c>
      <c r="B3073" s="45" t="s">
        <v>664</v>
      </c>
      <c r="C3073" s="60" t="s">
        <v>2689</v>
      </c>
      <c r="D3073" s="60"/>
      <c r="E3073" s="74">
        <v>2022</v>
      </c>
      <c r="F3073" s="74" t="s">
        <v>489</v>
      </c>
      <c r="G3073" s="61">
        <v>1</v>
      </c>
      <c r="H3073" s="45">
        <v>15</v>
      </c>
      <c r="I3073" s="74">
        <v>25</v>
      </c>
    </row>
    <row r="3074" spans="1:9" s="71" customFormat="1" ht="16.5" hidden="1" customHeight="1" outlineLevel="1" x14ac:dyDescent="0.25">
      <c r="A3074" s="74">
        <v>4618</v>
      </c>
      <c r="B3074" s="45" t="s">
        <v>664</v>
      </c>
      <c r="C3074" s="60" t="s">
        <v>2690</v>
      </c>
      <c r="D3074" s="60"/>
      <c r="E3074" s="74">
        <v>2022</v>
      </c>
      <c r="F3074" s="74" t="s">
        <v>489</v>
      </c>
      <c r="G3074" s="61">
        <v>1</v>
      </c>
      <c r="H3074" s="45">
        <v>15</v>
      </c>
      <c r="I3074" s="74">
        <v>26</v>
      </c>
    </row>
    <row r="3075" spans="1:9" s="71" customFormat="1" ht="16.5" hidden="1" customHeight="1" outlineLevel="1" x14ac:dyDescent="0.25">
      <c r="A3075" s="74">
        <v>4619</v>
      </c>
      <c r="B3075" s="45" t="s">
        <v>664</v>
      </c>
      <c r="C3075" s="60" t="s">
        <v>2691</v>
      </c>
      <c r="D3075" s="60"/>
      <c r="E3075" s="74">
        <v>2022</v>
      </c>
      <c r="F3075" s="74" t="s">
        <v>489</v>
      </c>
      <c r="G3075" s="61">
        <v>1</v>
      </c>
      <c r="H3075" s="45">
        <v>15</v>
      </c>
      <c r="I3075" s="74">
        <v>26</v>
      </c>
    </row>
    <row r="3076" spans="1:9" s="71" customFormat="1" ht="16.5" hidden="1" customHeight="1" outlineLevel="1" x14ac:dyDescent="0.25">
      <c r="A3076" s="74">
        <v>4636</v>
      </c>
      <c r="B3076" s="45" t="s">
        <v>664</v>
      </c>
      <c r="C3076" s="60" t="s">
        <v>2692</v>
      </c>
      <c r="D3076" s="60"/>
      <c r="E3076" s="74">
        <v>2022</v>
      </c>
      <c r="F3076" s="74" t="s">
        <v>489</v>
      </c>
      <c r="G3076" s="61">
        <v>1</v>
      </c>
      <c r="H3076" s="45">
        <v>10</v>
      </c>
      <c r="I3076" s="74">
        <v>27</v>
      </c>
    </row>
    <row r="3077" spans="1:9" s="71" customFormat="1" ht="16.5" hidden="1" customHeight="1" outlineLevel="1" x14ac:dyDescent="0.25">
      <c r="A3077" s="74">
        <v>4899</v>
      </c>
      <c r="B3077" s="45" t="s">
        <v>664</v>
      </c>
      <c r="C3077" s="60" t="s">
        <v>555</v>
      </c>
      <c r="D3077" s="60"/>
      <c r="E3077" s="74">
        <v>2022</v>
      </c>
      <c r="F3077" s="74" t="s">
        <v>489</v>
      </c>
      <c r="G3077" s="61">
        <v>4</v>
      </c>
      <c r="H3077" s="45">
        <v>47</v>
      </c>
      <c r="I3077" s="74">
        <v>151</v>
      </c>
    </row>
    <row r="3078" spans="1:9" s="71" customFormat="1" ht="16.5" hidden="1" customHeight="1" outlineLevel="1" x14ac:dyDescent="0.25">
      <c r="A3078" s="74">
        <v>4648</v>
      </c>
      <c r="B3078" s="45" t="s">
        <v>664</v>
      </c>
      <c r="C3078" s="60" t="s">
        <v>2693</v>
      </c>
      <c r="D3078" s="60"/>
      <c r="E3078" s="74">
        <v>2022</v>
      </c>
      <c r="F3078" s="74" t="s">
        <v>489</v>
      </c>
      <c r="G3078" s="61">
        <v>1</v>
      </c>
      <c r="H3078" s="45">
        <v>10</v>
      </c>
      <c r="I3078" s="74">
        <v>29</v>
      </c>
    </row>
    <row r="3079" spans="1:9" s="71" customFormat="1" ht="16.5" hidden="1" customHeight="1" outlineLevel="1" x14ac:dyDescent="0.25">
      <c r="A3079" s="74">
        <v>4650</v>
      </c>
      <c r="B3079" s="45" t="s">
        <v>664</v>
      </c>
      <c r="C3079" s="60" t="s">
        <v>2694</v>
      </c>
      <c r="D3079" s="60"/>
      <c r="E3079" s="74">
        <v>2022</v>
      </c>
      <c r="F3079" s="74" t="s">
        <v>489</v>
      </c>
      <c r="G3079" s="61">
        <v>1</v>
      </c>
      <c r="H3079" s="45">
        <v>15</v>
      </c>
      <c r="I3079" s="74">
        <v>29</v>
      </c>
    </row>
    <row r="3080" spans="1:9" s="71" customFormat="1" ht="16.5" hidden="1" customHeight="1" outlineLevel="1" x14ac:dyDescent="0.25">
      <c r="A3080" s="74">
        <v>4651</v>
      </c>
      <c r="B3080" s="45" t="s">
        <v>664</v>
      </c>
      <c r="C3080" s="60" t="s">
        <v>2695</v>
      </c>
      <c r="D3080" s="60"/>
      <c r="E3080" s="74">
        <v>2022</v>
      </c>
      <c r="F3080" s="74" t="s">
        <v>489</v>
      </c>
      <c r="G3080" s="61">
        <v>1</v>
      </c>
      <c r="H3080" s="45">
        <v>4</v>
      </c>
      <c r="I3080" s="74">
        <v>27</v>
      </c>
    </row>
    <row r="3081" spans="1:9" s="71" customFormat="1" ht="16.5" hidden="1" customHeight="1" outlineLevel="1" x14ac:dyDescent="0.25">
      <c r="A3081" s="74">
        <v>4724</v>
      </c>
      <c r="B3081" s="45" t="s">
        <v>664</v>
      </c>
      <c r="C3081" s="60" t="s">
        <v>2696</v>
      </c>
      <c r="D3081" s="60"/>
      <c r="E3081" s="74">
        <v>2022</v>
      </c>
      <c r="F3081" s="74" t="s">
        <v>489</v>
      </c>
      <c r="G3081" s="61">
        <v>1</v>
      </c>
      <c r="H3081" s="45">
        <v>10</v>
      </c>
      <c r="I3081" s="74">
        <v>26</v>
      </c>
    </row>
    <row r="3082" spans="1:9" s="71" customFormat="1" ht="16.5" hidden="1" customHeight="1" outlineLevel="1" x14ac:dyDescent="0.25">
      <c r="A3082" s="74">
        <v>4726</v>
      </c>
      <c r="B3082" s="45" t="s">
        <v>664</v>
      </c>
      <c r="C3082" s="60" t="s">
        <v>2697</v>
      </c>
      <c r="D3082" s="60"/>
      <c r="E3082" s="74">
        <v>2022</v>
      </c>
      <c r="F3082" s="74" t="s">
        <v>489</v>
      </c>
      <c r="G3082" s="61">
        <v>1</v>
      </c>
      <c r="H3082" s="45">
        <v>13</v>
      </c>
      <c r="I3082" s="74">
        <v>26</v>
      </c>
    </row>
    <row r="3083" spans="1:9" s="71" customFormat="1" ht="16.5" hidden="1" customHeight="1" outlineLevel="1" x14ac:dyDescent="0.25">
      <c r="A3083" s="74">
        <v>4729</v>
      </c>
      <c r="B3083" s="45" t="s">
        <v>664</v>
      </c>
      <c r="C3083" s="60" t="s">
        <v>2698</v>
      </c>
      <c r="D3083" s="60"/>
      <c r="E3083" s="74">
        <v>2022</v>
      </c>
      <c r="F3083" s="74" t="s">
        <v>489</v>
      </c>
      <c r="G3083" s="61">
        <v>1</v>
      </c>
      <c r="H3083" s="45">
        <v>10</v>
      </c>
      <c r="I3083" s="74">
        <v>27</v>
      </c>
    </row>
    <row r="3084" spans="1:9" s="71" customFormat="1" ht="16.5" hidden="1" customHeight="1" outlineLevel="1" x14ac:dyDescent="0.25">
      <c r="A3084" s="74">
        <v>4735</v>
      </c>
      <c r="B3084" s="45" t="s">
        <v>664</v>
      </c>
      <c r="C3084" s="60" t="s">
        <v>2699</v>
      </c>
      <c r="D3084" s="60"/>
      <c r="E3084" s="74">
        <v>2022</v>
      </c>
      <c r="F3084" s="74" t="s">
        <v>489</v>
      </c>
      <c r="G3084" s="61">
        <v>1</v>
      </c>
      <c r="H3084" s="45">
        <v>10</v>
      </c>
      <c r="I3084" s="74">
        <v>25</v>
      </c>
    </row>
    <row r="3085" spans="1:9" s="71" customFormat="1" ht="16.5" hidden="1" customHeight="1" outlineLevel="1" x14ac:dyDescent="0.25">
      <c r="A3085" s="74">
        <v>4743</v>
      </c>
      <c r="B3085" s="45" t="s">
        <v>664</v>
      </c>
      <c r="C3085" s="60" t="s">
        <v>2700</v>
      </c>
      <c r="D3085" s="60"/>
      <c r="E3085" s="74">
        <v>2022</v>
      </c>
      <c r="F3085" s="74" t="s">
        <v>489</v>
      </c>
      <c r="G3085" s="61">
        <v>1</v>
      </c>
      <c r="H3085" s="45">
        <v>15</v>
      </c>
      <c r="I3085" s="74">
        <v>26</v>
      </c>
    </row>
    <row r="3086" spans="1:9" s="71" customFormat="1" ht="16.5" hidden="1" customHeight="1" outlineLevel="1" x14ac:dyDescent="0.25">
      <c r="A3086" s="74">
        <v>4777</v>
      </c>
      <c r="B3086" s="45" t="s">
        <v>664</v>
      </c>
      <c r="C3086" s="60" t="s">
        <v>2701</v>
      </c>
      <c r="D3086" s="60"/>
      <c r="E3086" s="74">
        <v>2022</v>
      </c>
      <c r="F3086" s="74" t="s">
        <v>489</v>
      </c>
      <c r="G3086" s="61">
        <v>1</v>
      </c>
      <c r="H3086" s="45">
        <v>14</v>
      </c>
      <c r="I3086" s="74">
        <v>27</v>
      </c>
    </row>
    <row r="3087" spans="1:9" s="71" customFormat="1" ht="16.5" hidden="1" customHeight="1" outlineLevel="1" x14ac:dyDescent="0.25">
      <c r="A3087" s="74">
        <v>4779</v>
      </c>
      <c r="B3087" s="45" t="s">
        <v>664</v>
      </c>
      <c r="C3087" s="60" t="s">
        <v>2702</v>
      </c>
      <c r="D3087" s="60"/>
      <c r="E3087" s="74">
        <v>2022</v>
      </c>
      <c r="F3087" s="74" t="s">
        <v>489</v>
      </c>
      <c r="G3087" s="61">
        <v>1</v>
      </c>
      <c r="H3087" s="45">
        <v>10</v>
      </c>
      <c r="I3087" s="74">
        <v>26</v>
      </c>
    </row>
    <row r="3088" spans="1:9" s="71" customFormat="1" ht="16.5" hidden="1" customHeight="1" outlineLevel="1" x14ac:dyDescent="0.25">
      <c r="A3088" s="74">
        <v>4780</v>
      </c>
      <c r="B3088" s="45" t="s">
        <v>664</v>
      </c>
      <c r="C3088" s="60" t="s">
        <v>2703</v>
      </c>
      <c r="D3088" s="60"/>
      <c r="E3088" s="74">
        <v>2022</v>
      </c>
      <c r="F3088" s="74" t="s">
        <v>489</v>
      </c>
      <c r="G3088" s="61">
        <v>1</v>
      </c>
      <c r="H3088" s="45">
        <v>10</v>
      </c>
      <c r="I3088" s="74">
        <v>26</v>
      </c>
    </row>
    <row r="3089" spans="1:9" s="71" customFormat="1" ht="16.5" hidden="1" customHeight="1" outlineLevel="1" x14ac:dyDescent="0.25">
      <c r="A3089" s="74">
        <v>4783</v>
      </c>
      <c r="B3089" s="45" t="s">
        <v>664</v>
      </c>
      <c r="C3089" s="60" t="s">
        <v>2704</v>
      </c>
      <c r="D3089" s="60"/>
      <c r="E3089" s="74">
        <v>2022</v>
      </c>
      <c r="F3089" s="74" t="s">
        <v>489</v>
      </c>
      <c r="G3089" s="61">
        <v>1</v>
      </c>
      <c r="H3089" s="45">
        <v>15</v>
      </c>
      <c r="I3089" s="74">
        <v>25</v>
      </c>
    </row>
    <row r="3090" spans="1:9" s="71" customFormat="1" ht="16.5" hidden="1" customHeight="1" outlineLevel="1" x14ac:dyDescent="0.25">
      <c r="A3090" s="74">
        <v>4817</v>
      </c>
      <c r="B3090" s="45" t="s">
        <v>664</v>
      </c>
      <c r="C3090" s="60" t="s">
        <v>2705</v>
      </c>
      <c r="D3090" s="60"/>
      <c r="E3090" s="74">
        <v>2022</v>
      </c>
      <c r="F3090" s="74" t="s">
        <v>489</v>
      </c>
      <c r="G3090" s="61">
        <v>1</v>
      </c>
      <c r="H3090" s="45">
        <v>14</v>
      </c>
      <c r="I3090" s="74">
        <v>24</v>
      </c>
    </row>
    <row r="3091" spans="1:9" s="71" customFormat="1" ht="16.5" hidden="1" customHeight="1" outlineLevel="1" x14ac:dyDescent="0.25">
      <c r="A3091" s="74">
        <v>4818</v>
      </c>
      <c r="B3091" s="45" t="s">
        <v>664</v>
      </c>
      <c r="C3091" s="60" t="s">
        <v>2706</v>
      </c>
      <c r="D3091" s="60"/>
      <c r="E3091" s="74">
        <v>2022</v>
      </c>
      <c r="F3091" s="74" t="s">
        <v>489</v>
      </c>
      <c r="G3091" s="61">
        <v>1</v>
      </c>
      <c r="H3091" s="45">
        <v>14</v>
      </c>
      <c r="I3091" s="74">
        <v>24</v>
      </c>
    </row>
    <row r="3092" spans="1:9" s="71" customFormat="1" ht="16.5" hidden="1" customHeight="1" outlineLevel="1" x14ac:dyDescent="0.25">
      <c r="A3092" s="74">
        <v>4821</v>
      </c>
      <c r="B3092" s="45" t="s">
        <v>664</v>
      </c>
      <c r="C3092" s="60" t="s">
        <v>2707</v>
      </c>
      <c r="D3092" s="60"/>
      <c r="E3092" s="74">
        <v>2022</v>
      </c>
      <c r="F3092" s="74" t="s">
        <v>489</v>
      </c>
      <c r="G3092" s="61">
        <v>1</v>
      </c>
      <c r="H3092" s="45">
        <v>12.5</v>
      </c>
      <c r="I3092" s="74">
        <v>23</v>
      </c>
    </row>
    <row r="3093" spans="1:9" s="71" customFormat="1" ht="16.5" hidden="1" customHeight="1" outlineLevel="1" x14ac:dyDescent="0.25">
      <c r="A3093" s="74">
        <v>4900</v>
      </c>
      <c r="B3093" s="45" t="s">
        <v>664</v>
      </c>
      <c r="C3093" s="60" t="s">
        <v>2708</v>
      </c>
      <c r="D3093" s="60"/>
      <c r="E3093" s="74">
        <v>2022</v>
      </c>
      <c r="F3093" s="74" t="s">
        <v>489</v>
      </c>
      <c r="G3093" s="61">
        <v>1</v>
      </c>
      <c r="H3093" s="45">
        <v>15</v>
      </c>
      <c r="I3093" s="74">
        <v>90</v>
      </c>
    </row>
    <row r="3094" spans="1:9" s="71" customFormat="1" ht="16.5" hidden="1" customHeight="1" outlineLevel="1" x14ac:dyDescent="0.25">
      <c r="A3094" s="74">
        <v>4902</v>
      </c>
      <c r="B3094" s="45" t="s">
        <v>664</v>
      </c>
      <c r="C3094" s="60" t="s">
        <v>2709</v>
      </c>
      <c r="D3094" s="60"/>
      <c r="E3094" s="74">
        <v>2022</v>
      </c>
      <c r="F3094" s="74" t="s">
        <v>489</v>
      </c>
      <c r="G3094" s="61">
        <v>1</v>
      </c>
      <c r="H3094" s="45">
        <v>10</v>
      </c>
      <c r="I3094" s="74">
        <v>66</v>
      </c>
    </row>
    <row r="3095" spans="1:9" s="71" customFormat="1" ht="16.5" hidden="1" customHeight="1" outlineLevel="1" x14ac:dyDescent="0.25">
      <c r="A3095" s="74">
        <v>4617</v>
      </c>
      <c r="B3095" s="45" t="s">
        <v>664</v>
      </c>
      <c r="C3095" s="60" t="s">
        <v>2710</v>
      </c>
      <c r="D3095" s="60"/>
      <c r="E3095" s="74">
        <v>2022</v>
      </c>
      <c r="F3095" s="74" t="s">
        <v>489</v>
      </c>
      <c r="G3095" s="61">
        <v>1</v>
      </c>
      <c r="H3095" s="45">
        <v>15</v>
      </c>
      <c r="I3095" s="74">
        <v>72</v>
      </c>
    </row>
    <row r="3096" spans="1:9" s="71" customFormat="1" ht="16.5" hidden="1" customHeight="1" outlineLevel="1" x14ac:dyDescent="0.25">
      <c r="A3096" s="74">
        <v>4691</v>
      </c>
      <c r="B3096" s="45" t="s">
        <v>664</v>
      </c>
      <c r="C3096" s="60" t="s">
        <v>2711</v>
      </c>
      <c r="D3096" s="60"/>
      <c r="E3096" s="74">
        <v>2022</v>
      </c>
      <c r="F3096" s="74" t="s">
        <v>489</v>
      </c>
      <c r="G3096" s="61">
        <v>1</v>
      </c>
      <c r="H3096" s="45">
        <v>12</v>
      </c>
      <c r="I3096" s="74">
        <v>25</v>
      </c>
    </row>
    <row r="3097" spans="1:9" s="71" customFormat="1" ht="16.5" hidden="1" customHeight="1" outlineLevel="1" x14ac:dyDescent="0.25">
      <c r="A3097" s="74">
        <v>4692</v>
      </c>
      <c r="B3097" s="45" t="s">
        <v>664</v>
      </c>
      <c r="C3097" s="60" t="s">
        <v>2712</v>
      </c>
      <c r="D3097" s="60"/>
      <c r="E3097" s="74">
        <v>2022</v>
      </c>
      <c r="F3097" s="74" t="s">
        <v>489</v>
      </c>
      <c r="G3097" s="61">
        <v>1</v>
      </c>
      <c r="H3097" s="45">
        <v>12</v>
      </c>
      <c r="I3097" s="74">
        <v>25</v>
      </c>
    </row>
    <row r="3098" spans="1:9" s="71" customFormat="1" ht="16.5" hidden="1" customHeight="1" outlineLevel="1" x14ac:dyDescent="0.25">
      <c r="A3098" s="74">
        <v>4704</v>
      </c>
      <c r="B3098" s="45" t="s">
        <v>664</v>
      </c>
      <c r="C3098" s="60" t="s">
        <v>2713</v>
      </c>
      <c r="D3098" s="60"/>
      <c r="E3098" s="74">
        <v>2022</v>
      </c>
      <c r="F3098" s="74" t="s">
        <v>489</v>
      </c>
      <c r="G3098" s="61">
        <v>1</v>
      </c>
      <c r="H3098" s="45">
        <v>15</v>
      </c>
      <c r="I3098" s="74">
        <v>25</v>
      </c>
    </row>
    <row r="3099" spans="1:9" s="71" customFormat="1" ht="16.5" hidden="1" customHeight="1" outlineLevel="1" x14ac:dyDescent="0.25">
      <c r="A3099" s="74">
        <v>4731</v>
      </c>
      <c r="B3099" s="45" t="s">
        <v>664</v>
      </c>
      <c r="C3099" s="60" t="s">
        <v>2714</v>
      </c>
      <c r="D3099" s="60"/>
      <c r="E3099" s="74">
        <v>2022</v>
      </c>
      <c r="F3099" s="74" t="s">
        <v>489</v>
      </c>
      <c r="G3099" s="61">
        <v>1</v>
      </c>
      <c r="H3099" s="45">
        <v>12</v>
      </c>
      <c r="I3099" s="74">
        <v>26</v>
      </c>
    </row>
    <row r="3100" spans="1:9" s="71" customFormat="1" ht="16.5" hidden="1" customHeight="1" outlineLevel="1" x14ac:dyDescent="0.25">
      <c r="A3100" s="74">
        <v>4736</v>
      </c>
      <c r="B3100" s="45" t="s">
        <v>664</v>
      </c>
      <c r="C3100" s="60" t="s">
        <v>2715</v>
      </c>
      <c r="D3100" s="60"/>
      <c r="E3100" s="74">
        <v>2022</v>
      </c>
      <c r="F3100" s="74" t="s">
        <v>489</v>
      </c>
      <c r="G3100" s="61">
        <v>1</v>
      </c>
      <c r="H3100" s="45">
        <v>15</v>
      </c>
      <c r="I3100" s="74">
        <v>26</v>
      </c>
    </row>
    <row r="3101" spans="1:9" s="71" customFormat="1" ht="16.5" hidden="1" customHeight="1" outlineLevel="1" x14ac:dyDescent="0.25">
      <c r="A3101" s="74">
        <v>4737</v>
      </c>
      <c r="B3101" s="45" t="s">
        <v>664</v>
      </c>
      <c r="C3101" s="60" t="s">
        <v>2716</v>
      </c>
      <c r="D3101" s="60"/>
      <c r="E3101" s="74">
        <v>2022</v>
      </c>
      <c r="F3101" s="74" t="s">
        <v>489</v>
      </c>
      <c r="G3101" s="61">
        <v>1</v>
      </c>
      <c r="H3101" s="45">
        <v>12</v>
      </c>
      <c r="I3101" s="74">
        <v>25</v>
      </c>
    </row>
    <row r="3102" spans="1:9" s="71" customFormat="1" ht="16.5" hidden="1" customHeight="1" outlineLevel="1" x14ac:dyDescent="0.25">
      <c r="A3102" s="74">
        <v>4602</v>
      </c>
      <c r="B3102" s="45" t="s">
        <v>664</v>
      </c>
      <c r="C3102" s="60" t="s">
        <v>2717</v>
      </c>
      <c r="D3102" s="60"/>
      <c r="E3102" s="74">
        <v>2022</v>
      </c>
      <c r="F3102" s="74" t="s">
        <v>489</v>
      </c>
      <c r="G3102" s="61">
        <v>1</v>
      </c>
      <c r="H3102" s="45">
        <v>15</v>
      </c>
      <c r="I3102" s="74">
        <v>25</v>
      </c>
    </row>
    <row r="3103" spans="1:9" s="71" customFormat="1" ht="16.5" hidden="1" customHeight="1" outlineLevel="1" x14ac:dyDescent="0.25">
      <c r="A3103" s="74">
        <v>4626</v>
      </c>
      <c r="B3103" s="45" t="s">
        <v>664</v>
      </c>
      <c r="C3103" s="60" t="s">
        <v>2718</v>
      </c>
      <c r="D3103" s="60"/>
      <c r="E3103" s="74">
        <v>2022</v>
      </c>
      <c r="F3103" s="74" t="s">
        <v>489</v>
      </c>
      <c r="G3103" s="61">
        <v>1</v>
      </c>
      <c r="H3103" s="45">
        <v>10</v>
      </c>
      <c r="I3103" s="74">
        <v>26</v>
      </c>
    </row>
    <row r="3104" spans="1:9" s="71" customFormat="1" ht="16.5" hidden="1" customHeight="1" outlineLevel="1" x14ac:dyDescent="0.25">
      <c r="A3104" s="74">
        <v>4646</v>
      </c>
      <c r="B3104" s="45" t="s">
        <v>664</v>
      </c>
      <c r="C3104" s="60" t="s">
        <v>2719</v>
      </c>
      <c r="D3104" s="60"/>
      <c r="E3104" s="74">
        <v>2022</v>
      </c>
      <c r="F3104" s="74" t="s">
        <v>489</v>
      </c>
      <c r="G3104" s="61">
        <v>1</v>
      </c>
      <c r="H3104" s="45">
        <v>10</v>
      </c>
      <c r="I3104" s="74">
        <v>37</v>
      </c>
    </row>
    <row r="3105" spans="1:9" s="71" customFormat="1" ht="16.5" hidden="1" customHeight="1" outlineLevel="1" x14ac:dyDescent="0.25">
      <c r="A3105" s="74">
        <v>4609</v>
      </c>
      <c r="B3105" s="45" t="s">
        <v>664</v>
      </c>
      <c r="C3105" s="60" t="s">
        <v>2720</v>
      </c>
      <c r="D3105" s="60"/>
      <c r="E3105" s="74">
        <v>2022</v>
      </c>
      <c r="F3105" s="74" t="s">
        <v>489</v>
      </c>
      <c r="G3105" s="61">
        <v>1</v>
      </c>
      <c r="H3105" s="45">
        <v>15</v>
      </c>
      <c r="I3105" s="74">
        <v>34</v>
      </c>
    </row>
    <row r="3106" spans="1:9" s="71" customFormat="1" ht="16.5" hidden="1" customHeight="1" outlineLevel="1" x14ac:dyDescent="0.25">
      <c r="A3106" s="74">
        <v>4810</v>
      </c>
      <c r="B3106" s="45" t="s">
        <v>664</v>
      </c>
      <c r="C3106" s="60" t="s">
        <v>2721</v>
      </c>
      <c r="D3106" s="60"/>
      <c r="E3106" s="74">
        <v>2022</v>
      </c>
      <c r="F3106" s="74" t="s">
        <v>489</v>
      </c>
      <c r="G3106" s="61">
        <v>1</v>
      </c>
      <c r="H3106" s="45">
        <v>7.5</v>
      </c>
      <c r="I3106" s="74">
        <v>26</v>
      </c>
    </row>
    <row r="3107" spans="1:9" s="71" customFormat="1" ht="16.5" hidden="1" customHeight="1" outlineLevel="1" x14ac:dyDescent="0.25">
      <c r="A3107" s="74">
        <v>4578</v>
      </c>
      <c r="B3107" s="45" t="s">
        <v>664</v>
      </c>
      <c r="C3107" s="60" t="s">
        <v>2722</v>
      </c>
      <c r="D3107" s="60"/>
      <c r="E3107" s="74">
        <v>2022</v>
      </c>
      <c r="F3107" s="74" t="s">
        <v>489</v>
      </c>
      <c r="G3107" s="61">
        <v>1</v>
      </c>
      <c r="H3107" s="45">
        <v>15</v>
      </c>
      <c r="I3107" s="74">
        <v>24.8</v>
      </c>
    </row>
    <row r="3108" spans="1:9" s="71" customFormat="1" ht="16.5" hidden="1" customHeight="1" outlineLevel="1" x14ac:dyDescent="0.25">
      <c r="A3108" s="74">
        <v>4591</v>
      </c>
      <c r="B3108" s="45" t="s">
        <v>664</v>
      </c>
      <c r="C3108" s="60" t="s">
        <v>2723</v>
      </c>
      <c r="D3108" s="60"/>
      <c r="E3108" s="74">
        <v>2022</v>
      </c>
      <c r="F3108" s="74" t="s">
        <v>489</v>
      </c>
      <c r="G3108" s="61">
        <v>1</v>
      </c>
      <c r="H3108" s="45">
        <v>15</v>
      </c>
      <c r="I3108" s="74">
        <v>24</v>
      </c>
    </row>
    <row r="3109" spans="1:9" s="71" customFormat="1" ht="16.5" hidden="1" customHeight="1" outlineLevel="1" x14ac:dyDescent="0.25">
      <c r="A3109" s="74">
        <v>4600</v>
      </c>
      <c r="B3109" s="45" t="s">
        <v>664</v>
      </c>
      <c r="C3109" s="60" t="s">
        <v>2724</v>
      </c>
      <c r="D3109" s="60"/>
      <c r="E3109" s="74">
        <v>2022</v>
      </c>
      <c r="F3109" s="74" t="s">
        <v>489</v>
      </c>
      <c r="G3109" s="61">
        <v>1</v>
      </c>
      <c r="H3109" s="45">
        <v>15</v>
      </c>
      <c r="I3109" s="74">
        <v>24.5</v>
      </c>
    </row>
    <row r="3110" spans="1:9" s="71" customFormat="1" ht="16.5" hidden="1" customHeight="1" outlineLevel="1" x14ac:dyDescent="0.25">
      <c r="A3110" s="74">
        <v>4701</v>
      </c>
      <c r="B3110" s="45" t="s">
        <v>664</v>
      </c>
      <c r="C3110" s="60" t="s">
        <v>2725</v>
      </c>
      <c r="D3110" s="60"/>
      <c r="E3110" s="74">
        <v>2022</v>
      </c>
      <c r="F3110" s="74" t="s">
        <v>489</v>
      </c>
      <c r="G3110" s="61">
        <v>1</v>
      </c>
      <c r="H3110" s="45">
        <v>15</v>
      </c>
      <c r="I3110" s="74">
        <v>58.8</v>
      </c>
    </row>
    <row r="3111" spans="1:9" s="71" customFormat="1" ht="16.5" hidden="1" customHeight="1" outlineLevel="1" x14ac:dyDescent="0.25">
      <c r="A3111" s="74">
        <v>4707</v>
      </c>
      <c r="B3111" s="45" t="s">
        <v>664</v>
      </c>
      <c r="C3111" s="60" t="s">
        <v>2726</v>
      </c>
      <c r="D3111" s="60"/>
      <c r="E3111" s="74">
        <v>2022</v>
      </c>
      <c r="F3111" s="74" t="s">
        <v>489</v>
      </c>
      <c r="G3111" s="61">
        <v>1</v>
      </c>
      <c r="H3111" s="45">
        <v>14</v>
      </c>
      <c r="I3111" s="74">
        <v>27.400000000000002</v>
      </c>
    </row>
    <row r="3112" spans="1:9" s="71" customFormat="1" ht="16.5" hidden="1" customHeight="1" outlineLevel="1" x14ac:dyDescent="0.25">
      <c r="A3112" s="74">
        <v>4708</v>
      </c>
      <c r="B3112" s="45" t="s">
        <v>664</v>
      </c>
      <c r="C3112" s="60" t="s">
        <v>2727</v>
      </c>
      <c r="D3112" s="60"/>
      <c r="E3112" s="74">
        <v>2022</v>
      </c>
      <c r="F3112" s="74" t="s">
        <v>489</v>
      </c>
      <c r="G3112" s="61">
        <v>1</v>
      </c>
      <c r="H3112" s="45">
        <v>14</v>
      </c>
      <c r="I3112" s="74">
        <v>27.400000000000002</v>
      </c>
    </row>
    <row r="3113" spans="1:9" s="71" customFormat="1" ht="16.5" hidden="1" customHeight="1" outlineLevel="1" x14ac:dyDescent="0.25">
      <c r="A3113" s="74">
        <v>4802</v>
      </c>
      <c r="B3113" s="45" t="s">
        <v>664</v>
      </c>
      <c r="C3113" s="60" t="s">
        <v>2728</v>
      </c>
      <c r="D3113" s="60"/>
      <c r="E3113" s="74">
        <v>2022</v>
      </c>
      <c r="F3113" s="74" t="s">
        <v>489</v>
      </c>
      <c r="G3113" s="61">
        <v>1</v>
      </c>
      <c r="H3113" s="45">
        <v>15</v>
      </c>
      <c r="I3113" s="74">
        <v>27.2</v>
      </c>
    </row>
    <row r="3114" spans="1:9" s="71" customFormat="1" ht="16.5" hidden="1" customHeight="1" outlineLevel="1" x14ac:dyDescent="0.25">
      <c r="A3114" s="74">
        <v>4803</v>
      </c>
      <c r="B3114" s="45" t="s">
        <v>664</v>
      </c>
      <c r="C3114" s="60" t="s">
        <v>2729</v>
      </c>
      <c r="D3114" s="60"/>
      <c r="E3114" s="74">
        <v>2022</v>
      </c>
      <c r="F3114" s="74" t="s">
        <v>489</v>
      </c>
      <c r="G3114" s="61">
        <v>1</v>
      </c>
      <c r="H3114" s="45">
        <v>15</v>
      </c>
      <c r="I3114" s="74">
        <v>28.2</v>
      </c>
    </row>
    <row r="3115" spans="1:9" s="71" customFormat="1" ht="16.5" hidden="1" customHeight="1" outlineLevel="1" x14ac:dyDescent="0.25">
      <c r="A3115" s="74">
        <v>4804</v>
      </c>
      <c r="B3115" s="45" t="s">
        <v>664</v>
      </c>
      <c r="C3115" s="60" t="s">
        <v>2730</v>
      </c>
      <c r="D3115" s="60"/>
      <c r="E3115" s="74">
        <v>2022</v>
      </c>
      <c r="F3115" s="74" t="s">
        <v>489</v>
      </c>
      <c r="G3115" s="61">
        <v>1</v>
      </c>
      <c r="H3115" s="45">
        <v>15</v>
      </c>
      <c r="I3115" s="74">
        <v>28.400000000000002</v>
      </c>
    </row>
    <row r="3116" spans="1:9" s="71" customFormat="1" ht="16.5" hidden="1" customHeight="1" outlineLevel="1" x14ac:dyDescent="0.25">
      <c r="A3116" s="74">
        <v>4806</v>
      </c>
      <c r="B3116" s="45" t="s">
        <v>664</v>
      </c>
      <c r="C3116" s="60" t="s">
        <v>2731</v>
      </c>
      <c r="D3116" s="60"/>
      <c r="E3116" s="74">
        <v>2022</v>
      </c>
      <c r="F3116" s="74" t="s">
        <v>489</v>
      </c>
      <c r="G3116" s="61">
        <v>1</v>
      </c>
      <c r="H3116" s="45">
        <v>14</v>
      </c>
      <c r="I3116" s="74">
        <v>28.400000000000002</v>
      </c>
    </row>
    <row r="3117" spans="1:9" s="71" customFormat="1" ht="16.5" hidden="1" customHeight="1" outlineLevel="1" x14ac:dyDescent="0.25">
      <c r="A3117" s="74">
        <v>4807</v>
      </c>
      <c r="B3117" s="45" t="s">
        <v>664</v>
      </c>
      <c r="C3117" s="60" t="s">
        <v>2732</v>
      </c>
      <c r="D3117" s="60"/>
      <c r="E3117" s="74">
        <v>2022</v>
      </c>
      <c r="F3117" s="74" t="s">
        <v>489</v>
      </c>
      <c r="G3117" s="61">
        <v>1</v>
      </c>
      <c r="H3117" s="45">
        <v>14</v>
      </c>
      <c r="I3117" s="74">
        <v>27.799999999999997</v>
      </c>
    </row>
    <row r="3118" spans="1:9" s="71" customFormat="1" ht="16.5" hidden="1" customHeight="1" outlineLevel="1" x14ac:dyDescent="0.25">
      <c r="A3118" s="74">
        <v>4808</v>
      </c>
      <c r="B3118" s="45" t="s">
        <v>664</v>
      </c>
      <c r="C3118" s="60" t="s">
        <v>2733</v>
      </c>
      <c r="D3118" s="60"/>
      <c r="E3118" s="74">
        <v>2022</v>
      </c>
      <c r="F3118" s="74" t="s">
        <v>489</v>
      </c>
      <c r="G3118" s="61">
        <v>1</v>
      </c>
      <c r="H3118" s="45">
        <v>14</v>
      </c>
      <c r="I3118" s="74">
        <v>28.400000000000002</v>
      </c>
    </row>
    <row r="3119" spans="1:9" s="71" customFormat="1" ht="16.5" hidden="1" customHeight="1" outlineLevel="1" x14ac:dyDescent="0.25">
      <c r="A3119" s="74">
        <v>4833</v>
      </c>
      <c r="B3119" s="45" t="s">
        <v>664</v>
      </c>
      <c r="C3119" s="60" t="s">
        <v>2734</v>
      </c>
      <c r="D3119" s="60"/>
      <c r="E3119" s="74">
        <v>2022</v>
      </c>
      <c r="F3119" s="74" t="s">
        <v>489</v>
      </c>
      <c r="G3119" s="61">
        <v>1</v>
      </c>
      <c r="H3119" s="45">
        <v>10</v>
      </c>
      <c r="I3119" s="74">
        <v>63.4</v>
      </c>
    </row>
    <row r="3120" spans="1:9" s="71" customFormat="1" ht="16.5" hidden="1" customHeight="1" outlineLevel="1" x14ac:dyDescent="0.25">
      <c r="A3120" s="74">
        <v>4834</v>
      </c>
      <c r="B3120" s="45" t="s">
        <v>664</v>
      </c>
      <c r="C3120" s="60" t="s">
        <v>2735</v>
      </c>
      <c r="D3120" s="60"/>
      <c r="E3120" s="74">
        <v>2022</v>
      </c>
      <c r="F3120" s="74" t="s">
        <v>489</v>
      </c>
      <c r="G3120" s="61">
        <v>1</v>
      </c>
      <c r="H3120" s="45">
        <v>15</v>
      </c>
      <c r="I3120" s="74">
        <v>64</v>
      </c>
    </row>
    <row r="3121" spans="1:9" s="71" customFormat="1" ht="16.5" hidden="1" customHeight="1" outlineLevel="1" x14ac:dyDescent="0.25">
      <c r="A3121" s="74">
        <v>4630</v>
      </c>
      <c r="B3121" s="45" t="s">
        <v>664</v>
      </c>
      <c r="C3121" s="60" t="s">
        <v>2736</v>
      </c>
      <c r="D3121" s="60"/>
      <c r="E3121" s="74">
        <v>2022</v>
      </c>
      <c r="F3121" s="74" t="s">
        <v>489</v>
      </c>
      <c r="G3121" s="61">
        <v>1</v>
      </c>
      <c r="H3121" s="45">
        <v>10</v>
      </c>
      <c r="I3121" s="74">
        <v>26.200000000000003</v>
      </c>
    </row>
    <row r="3122" spans="1:9" s="71" customFormat="1" ht="16.5" hidden="1" customHeight="1" outlineLevel="1" x14ac:dyDescent="0.25">
      <c r="A3122" s="74">
        <v>4632</v>
      </c>
      <c r="B3122" s="45" t="s">
        <v>664</v>
      </c>
      <c r="C3122" s="60" t="s">
        <v>2737</v>
      </c>
      <c r="D3122" s="60"/>
      <c r="E3122" s="74">
        <v>2022</v>
      </c>
      <c r="F3122" s="74" t="s">
        <v>489</v>
      </c>
      <c r="G3122" s="61">
        <v>1</v>
      </c>
      <c r="H3122" s="45">
        <v>15</v>
      </c>
      <c r="I3122" s="74">
        <v>28.1</v>
      </c>
    </row>
    <row r="3123" spans="1:9" s="71" customFormat="1" ht="16.5" hidden="1" customHeight="1" outlineLevel="1" x14ac:dyDescent="0.25">
      <c r="A3123" s="74">
        <v>4633</v>
      </c>
      <c r="B3123" s="45" t="s">
        <v>664</v>
      </c>
      <c r="C3123" s="60" t="s">
        <v>2738</v>
      </c>
      <c r="D3123" s="60"/>
      <c r="E3123" s="74">
        <v>2022</v>
      </c>
      <c r="F3123" s="74" t="s">
        <v>489</v>
      </c>
      <c r="G3123" s="61">
        <v>1</v>
      </c>
      <c r="H3123" s="45">
        <v>15</v>
      </c>
      <c r="I3123" s="74">
        <v>36.299999999999997</v>
      </c>
    </row>
    <row r="3124" spans="1:9" s="71" customFormat="1" ht="16.5" hidden="1" customHeight="1" outlineLevel="1" x14ac:dyDescent="0.25">
      <c r="A3124" s="74">
        <v>4635</v>
      </c>
      <c r="B3124" s="45" t="s">
        <v>664</v>
      </c>
      <c r="C3124" s="60" t="s">
        <v>2739</v>
      </c>
      <c r="D3124" s="60"/>
      <c r="E3124" s="74">
        <v>2022</v>
      </c>
      <c r="F3124" s="74" t="s">
        <v>489</v>
      </c>
      <c r="G3124" s="61">
        <v>1</v>
      </c>
      <c r="H3124" s="45">
        <v>10</v>
      </c>
      <c r="I3124" s="74">
        <v>26</v>
      </c>
    </row>
    <row r="3125" spans="1:9" s="71" customFormat="1" ht="16.5" hidden="1" customHeight="1" outlineLevel="1" x14ac:dyDescent="0.25">
      <c r="A3125" s="74">
        <v>4638</v>
      </c>
      <c r="B3125" s="45" t="s">
        <v>664</v>
      </c>
      <c r="C3125" s="60" t="s">
        <v>2740</v>
      </c>
      <c r="D3125" s="60"/>
      <c r="E3125" s="74">
        <v>2022</v>
      </c>
      <c r="F3125" s="74" t="s">
        <v>489</v>
      </c>
      <c r="G3125" s="61">
        <v>1</v>
      </c>
      <c r="H3125" s="45">
        <v>10</v>
      </c>
      <c r="I3125" s="74">
        <v>25</v>
      </c>
    </row>
    <row r="3126" spans="1:9" s="71" customFormat="1" ht="16.5" hidden="1" customHeight="1" outlineLevel="1" x14ac:dyDescent="0.25">
      <c r="A3126" s="74">
        <v>4656</v>
      </c>
      <c r="B3126" s="45" t="s">
        <v>664</v>
      </c>
      <c r="C3126" s="60" t="s">
        <v>2741</v>
      </c>
      <c r="D3126" s="60"/>
      <c r="E3126" s="74">
        <v>2022</v>
      </c>
      <c r="F3126" s="74" t="s">
        <v>489</v>
      </c>
      <c r="G3126" s="61">
        <v>1</v>
      </c>
      <c r="H3126" s="45">
        <v>10</v>
      </c>
      <c r="I3126" s="74">
        <v>41.099999999999994</v>
      </c>
    </row>
    <row r="3127" spans="1:9" s="71" customFormat="1" ht="16.5" hidden="1" customHeight="1" outlineLevel="1" x14ac:dyDescent="0.25">
      <c r="A3127" s="74">
        <v>4657</v>
      </c>
      <c r="B3127" s="45" t="s">
        <v>664</v>
      </c>
      <c r="C3127" s="60" t="s">
        <v>2742</v>
      </c>
      <c r="D3127" s="60"/>
      <c r="E3127" s="74">
        <v>2022</v>
      </c>
      <c r="F3127" s="74" t="s">
        <v>489</v>
      </c>
      <c r="G3127" s="61">
        <v>1</v>
      </c>
      <c r="H3127" s="45">
        <v>10</v>
      </c>
      <c r="I3127" s="74">
        <v>46</v>
      </c>
    </row>
    <row r="3128" spans="1:9" s="71" customFormat="1" ht="16.5" hidden="1" customHeight="1" outlineLevel="1" x14ac:dyDescent="0.25">
      <c r="A3128" s="74">
        <v>4706</v>
      </c>
      <c r="B3128" s="45" t="s">
        <v>664</v>
      </c>
      <c r="C3128" s="60" t="s">
        <v>2743</v>
      </c>
      <c r="D3128" s="60"/>
      <c r="E3128" s="74">
        <v>2022</v>
      </c>
      <c r="F3128" s="74" t="s">
        <v>489</v>
      </c>
      <c r="G3128" s="61">
        <v>1</v>
      </c>
      <c r="H3128" s="45">
        <v>15</v>
      </c>
      <c r="I3128" s="74">
        <v>29.8</v>
      </c>
    </row>
    <row r="3129" spans="1:9" s="71" customFormat="1" ht="16.5" hidden="1" customHeight="1" outlineLevel="1" x14ac:dyDescent="0.25">
      <c r="A3129" s="74">
        <v>4713</v>
      </c>
      <c r="B3129" s="45" t="s">
        <v>664</v>
      </c>
      <c r="C3129" s="60" t="s">
        <v>2744</v>
      </c>
      <c r="D3129" s="60"/>
      <c r="E3129" s="74">
        <v>2022</v>
      </c>
      <c r="F3129" s="74" t="s">
        <v>489</v>
      </c>
      <c r="G3129" s="61">
        <v>1</v>
      </c>
      <c r="H3129" s="45">
        <v>10</v>
      </c>
      <c r="I3129" s="74">
        <v>29.23</v>
      </c>
    </row>
    <row r="3130" spans="1:9" s="71" customFormat="1" ht="16.5" hidden="1" customHeight="1" outlineLevel="1" x14ac:dyDescent="0.25">
      <c r="A3130" s="74">
        <v>4740</v>
      </c>
      <c r="B3130" s="45" t="s">
        <v>664</v>
      </c>
      <c r="C3130" s="60" t="s">
        <v>2745</v>
      </c>
      <c r="D3130" s="60"/>
      <c r="E3130" s="74">
        <v>2022</v>
      </c>
      <c r="F3130" s="74" t="s">
        <v>489</v>
      </c>
      <c r="G3130" s="61">
        <v>1</v>
      </c>
      <c r="H3130" s="45">
        <v>15</v>
      </c>
      <c r="I3130" s="74">
        <v>27</v>
      </c>
    </row>
    <row r="3131" spans="1:9" s="71" customFormat="1" ht="16.5" hidden="1" customHeight="1" outlineLevel="1" x14ac:dyDescent="0.25">
      <c r="A3131" s="74">
        <v>4759</v>
      </c>
      <c r="B3131" s="45" t="s">
        <v>664</v>
      </c>
      <c r="C3131" s="60" t="s">
        <v>2746</v>
      </c>
      <c r="D3131" s="60"/>
      <c r="E3131" s="74">
        <v>2022</v>
      </c>
      <c r="F3131" s="74" t="s">
        <v>489</v>
      </c>
      <c r="G3131" s="61">
        <v>1</v>
      </c>
      <c r="H3131" s="45">
        <v>15</v>
      </c>
      <c r="I3131" s="74">
        <v>27.7</v>
      </c>
    </row>
    <row r="3132" spans="1:9" s="71" customFormat="1" ht="16.5" hidden="1" customHeight="1" outlineLevel="1" x14ac:dyDescent="0.25">
      <c r="A3132" s="74">
        <v>4760</v>
      </c>
      <c r="B3132" s="45" t="s">
        <v>664</v>
      </c>
      <c r="C3132" s="60" t="s">
        <v>2747</v>
      </c>
      <c r="D3132" s="60"/>
      <c r="E3132" s="74">
        <v>2022</v>
      </c>
      <c r="F3132" s="74" t="s">
        <v>489</v>
      </c>
      <c r="G3132" s="61">
        <v>1</v>
      </c>
      <c r="H3132" s="45">
        <v>11.8</v>
      </c>
      <c r="I3132" s="74">
        <v>27.619999999999997</v>
      </c>
    </row>
    <row r="3133" spans="1:9" s="71" customFormat="1" ht="16.5" hidden="1" customHeight="1" outlineLevel="1" x14ac:dyDescent="0.25">
      <c r="A3133" s="74">
        <v>4784</v>
      </c>
      <c r="B3133" s="45" t="s">
        <v>664</v>
      </c>
      <c r="C3133" s="60" t="s">
        <v>2748</v>
      </c>
      <c r="D3133" s="60"/>
      <c r="E3133" s="74">
        <v>2022</v>
      </c>
      <c r="F3133" s="74" t="s">
        <v>489</v>
      </c>
      <c r="G3133" s="61">
        <v>1</v>
      </c>
      <c r="H3133" s="45">
        <v>10</v>
      </c>
      <c r="I3133" s="74">
        <v>27.099999999999998</v>
      </c>
    </row>
    <row r="3134" spans="1:9" s="71" customFormat="1" ht="16.5" hidden="1" customHeight="1" outlineLevel="1" x14ac:dyDescent="0.25">
      <c r="A3134" s="74">
        <v>4788</v>
      </c>
      <c r="B3134" s="45" t="s">
        <v>664</v>
      </c>
      <c r="C3134" s="60" t="s">
        <v>2749</v>
      </c>
      <c r="D3134" s="60"/>
      <c r="E3134" s="74">
        <v>2022</v>
      </c>
      <c r="F3134" s="74" t="s">
        <v>489</v>
      </c>
      <c r="G3134" s="61">
        <v>1</v>
      </c>
      <c r="H3134" s="45">
        <v>15</v>
      </c>
      <c r="I3134" s="74">
        <v>26.200000000000003</v>
      </c>
    </row>
    <row r="3135" spans="1:9" s="71" customFormat="1" ht="16.5" hidden="1" customHeight="1" outlineLevel="1" x14ac:dyDescent="0.25">
      <c r="A3135" s="74">
        <v>4809</v>
      </c>
      <c r="B3135" s="45" t="s">
        <v>664</v>
      </c>
      <c r="C3135" s="60" t="s">
        <v>2750</v>
      </c>
      <c r="D3135" s="60"/>
      <c r="E3135" s="74">
        <v>2022</v>
      </c>
      <c r="F3135" s="74" t="s">
        <v>489</v>
      </c>
      <c r="G3135" s="61">
        <v>1</v>
      </c>
      <c r="H3135" s="45">
        <v>14</v>
      </c>
      <c r="I3135" s="74">
        <v>27</v>
      </c>
    </row>
    <row r="3136" spans="1:9" s="71" customFormat="1" ht="16.5" hidden="1" customHeight="1" outlineLevel="1" x14ac:dyDescent="0.25">
      <c r="A3136" s="74">
        <v>4824</v>
      </c>
      <c r="B3136" s="45" t="s">
        <v>664</v>
      </c>
      <c r="C3136" s="60" t="s">
        <v>2751</v>
      </c>
      <c r="D3136" s="60"/>
      <c r="E3136" s="74">
        <v>2022</v>
      </c>
      <c r="F3136" s="74" t="s">
        <v>489</v>
      </c>
      <c r="G3136" s="61">
        <v>1</v>
      </c>
      <c r="H3136" s="45">
        <v>15</v>
      </c>
      <c r="I3136" s="74">
        <v>26.98</v>
      </c>
    </row>
    <row r="3137" spans="1:9" s="71" customFormat="1" ht="16.5" hidden="1" customHeight="1" outlineLevel="1" x14ac:dyDescent="0.25">
      <c r="A3137" s="74">
        <v>4915</v>
      </c>
      <c r="B3137" s="45" t="s">
        <v>664</v>
      </c>
      <c r="C3137" s="60" t="s">
        <v>2752</v>
      </c>
      <c r="D3137" s="60"/>
      <c r="E3137" s="74">
        <v>2022</v>
      </c>
      <c r="F3137" s="74" t="s">
        <v>489</v>
      </c>
      <c r="G3137" s="61">
        <v>1</v>
      </c>
      <c r="H3137" s="45">
        <v>15</v>
      </c>
      <c r="I3137" s="74">
        <v>81.199999999999989</v>
      </c>
    </row>
    <row r="3138" spans="1:9" s="71" customFormat="1" ht="16.5" hidden="1" customHeight="1" outlineLevel="1" x14ac:dyDescent="0.25">
      <c r="A3138" s="74">
        <v>4820</v>
      </c>
      <c r="B3138" s="45" t="s">
        <v>664</v>
      </c>
      <c r="C3138" s="60" t="s">
        <v>2753</v>
      </c>
      <c r="D3138" s="60"/>
      <c r="E3138" s="74">
        <v>2022</v>
      </c>
      <c r="F3138" s="74" t="s">
        <v>489</v>
      </c>
      <c r="G3138" s="61">
        <v>1</v>
      </c>
      <c r="H3138" s="45">
        <v>15</v>
      </c>
      <c r="I3138" s="74">
        <v>25.07</v>
      </c>
    </row>
    <row r="3139" spans="1:9" s="71" customFormat="1" ht="16.5" hidden="1" customHeight="1" outlineLevel="1" x14ac:dyDescent="0.25">
      <c r="A3139" s="74">
        <v>4826</v>
      </c>
      <c r="B3139" s="45" t="s">
        <v>664</v>
      </c>
      <c r="C3139" s="60" t="s">
        <v>2754</v>
      </c>
      <c r="D3139" s="60"/>
      <c r="E3139" s="74">
        <v>2022</v>
      </c>
      <c r="F3139" s="74" t="s">
        <v>489</v>
      </c>
      <c r="G3139" s="61">
        <v>5</v>
      </c>
      <c r="H3139" s="45">
        <v>55</v>
      </c>
      <c r="I3139" s="74">
        <v>287.2</v>
      </c>
    </row>
    <row r="3140" spans="1:9" s="71" customFormat="1" ht="16.5" hidden="1" customHeight="1" outlineLevel="1" x14ac:dyDescent="0.25">
      <c r="A3140" s="74">
        <v>4912</v>
      </c>
      <c r="B3140" s="45" t="s">
        <v>664</v>
      </c>
      <c r="C3140" s="60" t="s">
        <v>2755</v>
      </c>
      <c r="D3140" s="60"/>
      <c r="E3140" s="74">
        <v>2022</v>
      </c>
      <c r="F3140" s="74" t="s">
        <v>489</v>
      </c>
      <c r="G3140" s="61">
        <v>1</v>
      </c>
      <c r="H3140" s="45">
        <v>5</v>
      </c>
      <c r="I3140" s="74">
        <v>29.47</v>
      </c>
    </row>
    <row r="3141" spans="1:9" s="71" customFormat="1" ht="16.5" hidden="1" customHeight="1" outlineLevel="1" x14ac:dyDescent="0.25">
      <c r="A3141" s="74">
        <v>4751</v>
      </c>
      <c r="B3141" s="45" t="s">
        <v>664</v>
      </c>
      <c r="C3141" s="60" t="s">
        <v>2756</v>
      </c>
      <c r="D3141" s="60"/>
      <c r="E3141" s="74">
        <v>2022</v>
      </c>
      <c r="F3141" s="74" t="s">
        <v>489</v>
      </c>
      <c r="G3141" s="61">
        <v>1</v>
      </c>
      <c r="H3141" s="45">
        <v>15</v>
      </c>
      <c r="I3141" s="74">
        <v>28.97</v>
      </c>
    </row>
    <row r="3142" spans="1:9" s="71" customFormat="1" ht="16.5" hidden="1" customHeight="1" outlineLevel="1" x14ac:dyDescent="0.25">
      <c r="A3142" s="74">
        <v>4752</v>
      </c>
      <c r="B3142" s="45" t="s">
        <v>664</v>
      </c>
      <c r="C3142" s="60" t="s">
        <v>2757</v>
      </c>
      <c r="D3142" s="60"/>
      <c r="E3142" s="74">
        <v>2022</v>
      </c>
      <c r="F3142" s="74" t="s">
        <v>489</v>
      </c>
      <c r="G3142" s="61">
        <v>1</v>
      </c>
      <c r="H3142" s="45">
        <v>15</v>
      </c>
      <c r="I3142" s="74">
        <v>29.04</v>
      </c>
    </row>
    <row r="3143" spans="1:9" s="71" customFormat="1" ht="16.5" hidden="1" customHeight="1" outlineLevel="1" x14ac:dyDescent="0.25">
      <c r="A3143" s="74">
        <v>4753</v>
      </c>
      <c r="B3143" s="45" t="s">
        <v>664</v>
      </c>
      <c r="C3143" s="60" t="s">
        <v>2758</v>
      </c>
      <c r="D3143" s="60"/>
      <c r="E3143" s="74">
        <v>2022</v>
      </c>
      <c r="F3143" s="74" t="s">
        <v>489</v>
      </c>
      <c r="G3143" s="61">
        <v>1</v>
      </c>
      <c r="H3143" s="45">
        <v>150</v>
      </c>
      <c r="I3143" s="74">
        <v>29.5</v>
      </c>
    </row>
    <row r="3144" spans="1:9" s="71" customFormat="1" ht="16.5" hidden="1" customHeight="1" outlineLevel="1" x14ac:dyDescent="0.25">
      <c r="A3144" s="74">
        <v>4756</v>
      </c>
      <c r="B3144" s="45" t="s">
        <v>664</v>
      </c>
      <c r="C3144" s="60" t="s">
        <v>2759</v>
      </c>
      <c r="D3144" s="60"/>
      <c r="E3144" s="74">
        <v>2022</v>
      </c>
      <c r="F3144" s="74" t="s">
        <v>489</v>
      </c>
      <c r="G3144" s="61">
        <v>1</v>
      </c>
      <c r="H3144" s="45">
        <v>15</v>
      </c>
      <c r="I3144" s="74">
        <v>29.4</v>
      </c>
    </row>
    <row r="3145" spans="1:9" s="71" customFormat="1" ht="16.5" hidden="1" customHeight="1" outlineLevel="1" x14ac:dyDescent="0.25">
      <c r="A3145" s="74">
        <v>4758</v>
      </c>
      <c r="B3145" s="45" t="s">
        <v>664</v>
      </c>
      <c r="C3145" s="60" t="s">
        <v>2760</v>
      </c>
      <c r="D3145" s="60"/>
      <c r="E3145" s="74">
        <v>2022</v>
      </c>
      <c r="F3145" s="74" t="s">
        <v>489</v>
      </c>
      <c r="G3145" s="61">
        <v>1</v>
      </c>
      <c r="H3145" s="45">
        <v>15</v>
      </c>
      <c r="I3145" s="74">
        <v>28.97</v>
      </c>
    </row>
    <row r="3146" spans="1:9" s="71" customFormat="1" ht="16.5" hidden="1" customHeight="1" outlineLevel="1" x14ac:dyDescent="0.25">
      <c r="A3146" s="74">
        <v>4593</v>
      </c>
      <c r="B3146" s="45" t="s">
        <v>664</v>
      </c>
      <c r="C3146" s="60" t="s">
        <v>2761</v>
      </c>
      <c r="D3146" s="60"/>
      <c r="E3146" s="74">
        <v>2022</v>
      </c>
      <c r="F3146" s="74" t="s">
        <v>489</v>
      </c>
      <c r="G3146" s="61">
        <v>1</v>
      </c>
      <c r="H3146" s="45">
        <v>10</v>
      </c>
      <c r="I3146" s="74">
        <v>25.38</v>
      </c>
    </row>
    <row r="3147" spans="1:9" s="71" customFormat="1" ht="16.5" hidden="1" customHeight="1" outlineLevel="1" x14ac:dyDescent="0.25">
      <c r="A3147" s="74">
        <v>4628</v>
      </c>
      <c r="B3147" s="45" t="s">
        <v>664</v>
      </c>
      <c r="C3147" s="60" t="s">
        <v>2762</v>
      </c>
      <c r="D3147" s="60"/>
      <c r="E3147" s="74">
        <v>2022</v>
      </c>
      <c r="F3147" s="74" t="s">
        <v>489</v>
      </c>
      <c r="G3147" s="61">
        <v>1</v>
      </c>
      <c r="H3147" s="45">
        <v>10</v>
      </c>
      <c r="I3147" s="74">
        <v>31.150000000000002</v>
      </c>
    </row>
    <row r="3148" spans="1:9" s="71" customFormat="1" ht="16.5" hidden="1" customHeight="1" outlineLevel="1" x14ac:dyDescent="0.25">
      <c r="A3148" s="74">
        <v>4684</v>
      </c>
      <c r="B3148" s="45" t="s">
        <v>664</v>
      </c>
      <c r="C3148" s="60" t="s">
        <v>2763</v>
      </c>
      <c r="D3148" s="60"/>
      <c r="E3148" s="74">
        <v>2022</v>
      </c>
      <c r="F3148" s="74" t="s">
        <v>489</v>
      </c>
      <c r="G3148" s="61">
        <v>1</v>
      </c>
      <c r="H3148" s="45">
        <v>10</v>
      </c>
      <c r="I3148" s="74">
        <v>30.439999999999998</v>
      </c>
    </row>
    <row r="3149" spans="1:9" s="71" customFormat="1" ht="16.5" hidden="1" customHeight="1" outlineLevel="1" x14ac:dyDescent="0.25">
      <c r="A3149" s="74">
        <v>4688</v>
      </c>
      <c r="B3149" s="45" t="s">
        <v>664</v>
      </c>
      <c r="C3149" s="60" t="s">
        <v>2764</v>
      </c>
      <c r="D3149" s="60"/>
      <c r="E3149" s="74">
        <v>2022</v>
      </c>
      <c r="F3149" s="74" t="s">
        <v>489</v>
      </c>
      <c r="G3149" s="61">
        <v>1</v>
      </c>
      <c r="H3149" s="45">
        <v>10</v>
      </c>
      <c r="I3149" s="74">
        <v>30.43</v>
      </c>
    </row>
    <row r="3150" spans="1:9" s="71" customFormat="1" ht="16.5" hidden="1" customHeight="1" outlineLevel="1" x14ac:dyDescent="0.25">
      <c r="A3150" s="74">
        <v>4721</v>
      </c>
      <c r="B3150" s="45" t="s">
        <v>664</v>
      </c>
      <c r="C3150" s="60" t="s">
        <v>2765</v>
      </c>
      <c r="D3150" s="60"/>
      <c r="E3150" s="74">
        <v>2022</v>
      </c>
      <c r="F3150" s="74" t="s">
        <v>489</v>
      </c>
      <c r="G3150" s="61">
        <v>1</v>
      </c>
      <c r="H3150" s="45">
        <v>10</v>
      </c>
      <c r="I3150" s="74">
        <v>24.819999999999997</v>
      </c>
    </row>
    <row r="3151" spans="1:9" s="71" customFormat="1" ht="16.5" hidden="1" customHeight="1" outlineLevel="1" x14ac:dyDescent="0.25">
      <c r="A3151" s="74">
        <v>4730</v>
      </c>
      <c r="B3151" s="45" t="s">
        <v>664</v>
      </c>
      <c r="C3151" s="60" t="s">
        <v>2766</v>
      </c>
      <c r="D3151" s="60"/>
      <c r="E3151" s="74">
        <v>2022</v>
      </c>
      <c r="F3151" s="74" t="s">
        <v>489</v>
      </c>
      <c r="G3151" s="61">
        <v>1</v>
      </c>
      <c r="H3151" s="45">
        <v>10</v>
      </c>
      <c r="I3151" s="74">
        <v>25.14</v>
      </c>
    </row>
    <row r="3152" spans="1:9" s="71" customFormat="1" ht="16.5" hidden="1" customHeight="1" outlineLevel="1" x14ac:dyDescent="0.25">
      <c r="A3152" s="74">
        <v>4732</v>
      </c>
      <c r="B3152" s="45" t="s">
        <v>664</v>
      </c>
      <c r="C3152" s="60" t="s">
        <v>2767</v>
      </c>
      <c r="D3152" s="60"/>
      <c r="E3152" s="74">
        <v>2022</v>
      </c>
      <c r="F3152" s="74" t="s">
        <v>489</v>
      </c>
      <c r="G3152" s="61">
        <v>1</v>
      </c>
      <c r="H3152" s="45">
        <v>15</v>
      </c>
      <c r="I3152" s="74">
        <v>24.580000000000002</v>
      </c>
    </row>
    <row r="3153" spans="1:9" s="71" customFormat="1" ht="16.5" hidden="1" customHeight="1" outlineLevel="1" x14ac:dyDescent="0.25">
      <c r="A3153" s="74">
        <v>4734</v>
      </c>
      <c r="B3153" s="45" t="s">
        <v>664</v>
      </c>
      <c r="C3153" s="60" t="s">
        <v>2768</v>
      </c>
      <c r="D3153" s="60"/>
      <c r="E3153" s="74">
        <v>2022</v>
      </c>
      <c r="F3153" s="74" t="s">
        <v>489</v>
      </c>
      <c r="G3153" s="61">
        <v>1</v>
      </c>
      <c r="H3153" s="45">
        <v>12</v>
      </c>
      <c r="I3153" s="74">
        <v>24.98</v>
      </c>
    </row>
    <row r="3154" spans="1:9" s="71" customFormat="1" ht="16.5" hidden="1" customHeight="1" outlineLevel="1" x14ac:dyDescent="0.25">
      <c r="A3154" s="74">
        <v>4747</v>
      </c>
      <c r="B3154" s="45" t="s">
        <v>664</v>
      </c>
      <c r="C3154" s="60" t="s">
        <v>2769</v>
      </c>
      <c r="D3154" s="60"/>
      <c r="E3154" s="74">
        <v>2022</v>
      </c>
      <c r="F3154" s="74" t="s">
        <v>489</v>
      </c>
      <c r="G3154" s="61">
        <v>1</v>
      </c>
      <c r="H3154" s="45">
        <v>15</v>
      </c>
      <c r="I3154" s="74">
        <v>38</v>
      </c>
    </row>
    <row r="3155" spans="1:9" s="71" customFormat="1" ht="16.5" hidden="1" customHeight="1" outlineLevel="1" x14ac:dyDescent="0.25">
      <c r="A3155" s="74">
        <v>4754</v>
      </c>
      <c r="B3155" s="45" t="s">
        <v>664</v>
      </c>
      <c r="C3155" s="60" t="s">
        <v>2770</v>
      </c>
      <c r="D3155" s="60"/>
      <c r="E3155" s="74">
        <v>2022</v>
      </c>
      <c r="F3155" s="74" t="s">
        <v>489</v>
      </c>
      <c r="G3155" s="61">
        <v>1</v>
      </c>
      <c r="H3155" s="45">
        <v>10</v>
      </c>
      <c r="I3155" s="74">
        <v>23.93</v>
      </c>
    </row>
    <row r="3156" spans="1:9" s="71" customFormat="1" ht="16.5" hidden="1" customHeight="1" outlineLevel="1" x14ac:dyDescent="0.25">
      <c r="A3156" s="74">
        <v>4755</v>
      </c>
      <c r="B3156" s="45" t="s">
        <v>664</v>
      </c>
      <c r="C3156" s="60" t="s">
        <v>2771</v>
      </c>
      <c r="D3156" s="60"/>
      <c r="E3156" s="74">
        <v>2022</v>
      </c>
      <c r="F3156" s="74" t="s">
        <v>489</v>
      </c>
      <c r="G3156" s="61">
        <v>1</v>
      </c>
      <c r="H3156" s="45">
        <v>10</v>
      </c>
      <c r="I3156" s="74">
        <v>25.06</v>
      </c>
    </row>
    <row r="3157" spans="1:9" s="71" customFormat="1" ht="16.5" hidden="1" customHeight="1" outlineLevel="1" x14ac:dyDescent="0.25">
      <c r="A3157" s="74">
        <v>4765</v>
      </c>
      <c r="B3157" s="45" t="s">
        <v>664</v>
      </c>
      <c r="C3157" s="60" t="s">
        <v>2772</v>
      </c>
      <c r="D3157" s="60"/>
      <c r="E3157" s="74">
        <v>2022</v>
      </c>
      <c r="F3157" s="74" t="s">
        <v>489</v>
      </c>
      <c r="G3157" s="61">
        <v>1</v>
      </c>
      <c r="H3157" s="45">
        <v>15</v>
      </c>
      <c r="I3157" s="74">
        <v>26</v>
      </c>
    </row>
    <row r="3158" spans="1:9" s="71" customFormat="1" ht="16.5" hidden="1" customHeight="1" outlineLevel="1" x14ac:dyDescent="0.25">
      <c r="A3158" s="74">
        <v>4766</v>
      </c>
      <c r="B3158" s="45" t="s">
        <v>664</v>
      </c>
      <c r="C3158" s="60" t="s">
        <v>2773</v>
      </c>
      <c r="D3158" s="60"/>
      <c r="E3158" s="74">
        <v>2022</v>
      </c>
      <c r="F3158" s="74" t="s">
        <v>489</v>
      </c>
      <c r="G3158" s="61">
        <v>1</v>
      </c>
      <c r="H3158" s="45">
        <v>15</v>
      </c>
      <c r="I3158" s="74">
        <v>25.17</v>
      </c>
    </row>
    <row r="3159" spans="1:9" s="71" customFormat="1" ht="16.5" hidden="1" customHeight="1" outlineLevel="1" x14ac:dyDescent="0.25">
      <c r="A3159" s="74">
        <v>4786</v>
      </c>
      <c r="B3159" s="45" t="s">
        <v>664</v>
      </c>
      <c r="C3159" s="60" t="s">
        <v>2774</v>
      </c>
      <c r="D3159" s="60"/>
      <c r="E3159" s="74">
        <v>2022</v>
      </c>
      <c r="F3159" s="74" t="s">
        <v>489</v>
      </c>
      <c r="G3159" s="61">
        <v>1</v>
      </c>
      <c r="H3159" s="45">
        <v>10</v>
      </c>
      <c r="I3159" s="74">
        <v>24.72</v>
      </c>
    </row>
    <row r="3160" spans="1:9" s="71" customFormat="1" ht="16.5" hidden="1" customHeight="1" outlineLevel="1" x14ac:dyDescent="0.25">
      <c r="A3160" s="74">
        <v>4789</v>
      </c>
      <c r="B3160" s="45" t="s">
        <v>664</v>
      </c>
      <c r="C3160" s="60" t="s">
        <v>2775</v>
      </c>
      <c r="D3160" s="60"/>
      <c r="E3160" s="74">
        <v>2022</v>
      </c>
      <c r="F3160" s="74" t="s">
        <v>489</v>
      </c>
      <c r="G3160" s="61">
        <v>1</v>
      </c>
      <c r="H3160" s="45">
        <v>10</v>
      </c>
      <c r="I3160" s="74">
        <v>25.077999999999999</v>
      </c>
    </row>
    <row r="3161" spans="1:9" s="71" customFormat="1" ht="16.5" hidden="1" customHeight="1" outlineLevel="1" x14ac:dyDescent="0.25">
      <c r="A3161" s="74">
        <v>4801</v>
      </c>
      <c r="B3161" s="45" t="s">
        <v>664</v>
      </c>
      <c r="C3161" s="60" t="s">
        <v>2776</v>
      </c>
      <c r="D3161" s="60"/>
      <c r="E3161" s="74">
        <v>2022</v>
      </c>
      <c r="F3161" s="74" t="s">
        <v>489</v>
      </c>
      <c r="G3161" s="61">
        <v>1</v>
      </c>
      <c r="H3161" s="45">
        <v>14</v>
      </c>
      <c r="I3161" s="74">
        <v>26.93</v>
      </c>
    </row>
    <row r="3162" spans="1:9" s="71" customFormat="1" ht="16.5" hidden="1" customHeight="1" outlineLevel="1" x14ac:dyDescent="0.25">
      <c r="A3162" s="74">
        <v>4805</v>
      </c>
      <c r="B3162" s="45" t="s">
        <v>664</v>
      </c>
      <c r="C3162" s="60" t="s">
        <v>2777</v>
      </c>
      <c r="D3162" s="60"/>
      <c r="E3162" s="74">
        <v>2022</v>
      </c>
      <c r="F3162" s="74" t="s">
        <v>489</v>
      </c>
      <c r="G3162" s="61">
        <v>1</v>
      </c>
      <c r="H3162" s="45">
        <v>14</v>
      </c>
      <c r="I3162" s="74">
        <v>25.4</v>
      </c>
    </row>
    <row r="3163" spans="1:9" s="71" customFormat="1" ht="16.5" hidden="1" customHeight="1" outlineLevel="1" x14ac:dyDescent="0.25">
      <c r="A3163" s="74">
        <v>4811</v>
      </c>
      <c r="B3163" s="45" t="s">
        <v>664</v>
      </c>
      <c r="C3163" s="60" t="s">
        <v>2778</v>
      </c>
      <c r="D3163" s="60"/>
      <c r="E3163" s="74">
        <v>2022</v>
      </c>
      <c r="F3163" s="74" t="s">
        <v>489</v>
      </c>
      <c r="G3163" s="61">
        <v>1</v>
      </c>
      <c r="H3163" s="45">
        <v>14</v>
      </c>
      <c r="I3163" s="74">
        <v>24.277000000000001</v>
      </c>
    </row>
    <row r="3164" spans="1:9" s="71" customFormat="1" ht="16.5" hidden="1" customHeight="1" outlineLevel="1" x14ac:dyDescent="0.25">
      <c r="A3164" s="74">
        <v>4812</v>
      </c>
      <c r="B3164" s="45" t="s">
        <v>664</v>
      </c>
      <c r="C3164" s="60" t="s">
        <v>2779</v>
      </c>
      <c r="D3164" s="60"/>
      <c r="E3164" s="74">
        <v>2022</v>
      </c>
      <c r="F3164" s="74" t="s">
        <v>489</v>
      </c>
      <c r="G3164" s="61">
        <v>1</v>
      </c>
      <c r="H3164" s="45">
        <v>14</v>
      </c>
      <c r="I3164" s="74">
        <v>24.155999999999999</v>
      </c>
    </row>
    <row r="3165" spans="1:9" s="71" customFormat="1" ht="16.5" hidden="1" customHeight="1" outlineLevel="1" x14ac:dyDescent="0.25">
      <c r="A3165" s="74">
        <v>4848</v>
      </c>
      <c r="B3165" s="45" t="s">
        <v>664</v>
      </c>
      <c r="C3165" s="60" t="s">
        <v>2780</v>
      </c>
      <c r="D3165" s="60"/>
      <c r="E3165" s="74">
        <v>2022</v>
      </c>
      <c r="F3165" s="74" t="s">
        <v>489</v>
      </c>
      <c r="G3165" s="61">
        <v>1</v>
      </c>
      <c r="H3165" s="45">
        <v>13</v>
      </c>
      <c r="I3165" s="74">
        <v>25.298999999999999</v>
      </c>
    </row>
    <row r="3166" spans="1:9" s="71" customFormat="1" ht="16.5" hidden="1" customHeight="1" outlineLevel="1" x14ac:dyDescent="0.25">
      <c r="A3166" s="74">
        <v>4909</v>
      </c>
      <c r="B3166" s="45" t="s">
        <v>664</v>
      </c>
      <c r="C3166" s="60" t="s">
        <v>2781</v>
      </c>
      <c r="D3166" s="60"/>
      <c r="E3166" s="74">
        <v>2022</v>
      </c>
      <c r="F3166" s="74" t="s">
        <v>489</v>
      </c>
      <c r="G3166" s="61">
        <v>1</v>
      </c>
      <c r="H3166" s="45">
        <v>15</v>
      </c>
      <c r="I3166" s="74">
        <v>18.105</v>
      </c>
    </row>
    <row r="3167" spans="1:9" s="71" customFormat="1" ht="16.5" hidden="1" customHeight="1" outlineLevel="1" x14ac:dyDescent="0.25">
      <c r="A3167" s="74">
        <v>4910</v>
      </c>
      <c r="B3167" s="45" t="s">
        <v>664</v>
      </c>
      <c r="C3167" s="60" t="s">
        <v>2782</v>
      </c>
      <c r="D3167" s="60"/>
      <c r="E3167" s="74">
        <v>2022</v>
      </c>
      <c r="F3167" s="74" t="s">
        <v>489</v>
      </c>
      <c r="G3167" s="61">
        <v>1</v>
      </c>
      <c r="H3167" s="45">
        <v>10</v>
      </c>
      <c r="I3167" s="74">
        <v>19.830000000000002</v>
      </c>
    </row>
    <row r="3168" spans="1:9" s="71" customFormat="1" ht="16.5" hidden="1" customHeight="1" outlineLevel="1" x14ac:dyDescent="0.25">
      <c r="A3168" s="74">
        <v>4647</v>
      </c>
      <c r="B3168" s="45" t="s">
        <v>664</v>
      </c>
      <c r="C3168" s="60" t="s">
        <v>2783</v>
      </c>
      <c r="D3168" s="60"/>
      <c r="E3168" s="74">
        <v>2022</v>
      </c>
      <c r="F3168" s="74" t="s">
        <v>489</v>
      </c>
      <c r="G3168" s="61">
        <v>1</v>
      </c>
      <c r="H3168" s="45">
        <v>10</v>
      </c>
      <c r="I3168" s="74">
        <v>34.35</v>
      </c>
    </row>
    <row r="3169" spans="1:9" s="71" customFormat="1" ht="16.5" hidden="1" customHeight="1" outlineLevel="1" x14ac:dyDescent="0.25">
      <c r="A3169" s="74">
        <v>4739</v>
      </c>
      <c r="B3169" s="45" t="s">
        <v>664</v>
      </c>
      <c r="C3169" s="60" t="s">
        <v>2784</v>
      </c>
      <c r="D3169" s="60"/>
      <c r="E3169" s="74">
        <v>2022</v>
      </c>
      <c r="F3169" s="74" t="s">
        <v>489</v>
      </c>
      <c r="G3169" s="61">
        <v>1</v>
      </c>
      <c r="H3169" s="45">
        <v>10</v>
      </c>
      <c r="I3169" s="74">
        <v>27.137999999999998</v>
      </c>
    </row>
    <row r="3170" spans="1:9" s="71" customFormat="1" ht="16.5" hidden="1" customHeight="1" outlineLevel="1" x14ac:dyDescent="0.25">
      <c r="A3170" s="74">
        <v>4819</v>
      </c>
      <c r="B3170" s="45" t="s">
        <v>664</v>
      </c>
      <c r="C3170" s="60" t="s">
        <v>2785</v>
      </c>
      <c r="D3170" s="60"/>
      <c r="E3170" s="74">
        <v>2022</v>
      </c>
      <c r="F3170" s="74" t="s">
        <v>489</v>
      </c>
      <c r="G3170" s="61">
        <v>1</v>
      </c>
      <c r="H3170" s="45">
        <v>10</v>
      </c>
      <c r="I3170" s="74">
        <v>33.601999999999997</v>
      </c>
    </row>
    <row r="3171" spans="1:9" s="71" customFormat="1" ht="16.5" hidden="1" customHeight="1" outlineLevel="1" x14ac:dyDescent="0.25">
      <c r="A3171" s="74">
        <v>4914</v>
      </c>
      <c r="B3171" s="45" t="s">
        <v>664</v>
      </c>
      <c r="C3171" s="60" t="s">
        <v>2786</v>
      </c>
      <c r="D3171" s="60"/>
      <c r="E3171" s="74">
        <v>2022</v>
      </c>
      <c r="F3171" s="74" t="s">
        <v>489</v>
      </c>
      <c r="G3171" s="61">
        <v>1</v>
      </c>
      <c r="H3171" s="45">
        <v>15</v>
      </c>
      <c r="I3171" s="74">
        <v>80</v>
      </c>
    </row>
    <row r="3172" spans="1:9" s="71" customFormat="1" ht="16.5" hidden="1" customHeight="1" outlineLevel="1" x14ac:dyDescent="0.25">
      <c r="A3172" s="74">
        <v>4589</v>
      </c>
      <c r="B3172" s="45" t="s">
        <v>664</v>
      </c>
      <c r="C3172" s="60" t="s">
        <v>556</v>
      </c>
      <c r="D3172" s="60"/>
      <c r="E3172" s="74">
        <v>2022</v>
      </c>
      <c r="F3172" s="74" t="s">
        <v>489</v>
      </c>
      <c r="G3172" s="61">
        <v>1</v>
      </c>
      <c r="H3172" s="45">
        <v>20</v>
      </c>
      <c r="I3172" s="74">
        <v>59.5</v>
      </c>
    </row>
    <row r="3173" spans="1:9" s="71" customFormat="1" ht="16.5" hidden="1" customHeight="1" outlineLevel="1" x14ac:dyDescent="0.25">
      <c r="A3173" s="74">
        <v>4746</v>
      </c>
      <c r="B3173" s="45" t="s">
        <v>664</v>
      </c>
      <c r="C3173" s="60" t="s">
        <v>2787</v>
      </c>
      <c r="D3173" s="60"/>
      <c r="E3173" s="74">
        <v>2022</v>
      </c>
      <c r="F3173" s="74" t="s">
        <v>489</v>
      </c>
      <c r="G3173" s="61">
        <v>1</v>
      </c>
      <c r="H3173" s="45">
        <v>15</v>
      </c>
      <c r="I3173" s="74">
        <v>38.851999999999997</v>
      </c>
    </row>
    <row r="3174" spans="1:9" s="71" customFormat="1" ht="16.5" hidden="1" customHeight="1" outlineLevel="1" x14ac:dyDescent="0.25">
      <c r="A3174" s="74">
        <v>4832</v>
      </c>
      <c r="B3174" s="45" t="s">
        <v>664</v>
      </c>
      <c r="C3174" s="60" t="s">
        <v>2788</v>
      </c>
      <c r="D3174" s="60"/>
      <c r="E3174" s="74">
        <v>2022</v>
      </c>
      <c r="F3174" s="74" t="s">
        <v>489</v>
      </c>
      <c r="G3174" s="61">
        <v>1</v>
      </c>
      <c r="H3174" s="45">
        <v>15</v>
      </c>
      <c r="I3174" s="74">
        <v>81.426999999999992</v>
      </c>
    </row>
    <row r="3175" spans="1:9" s="71" customFormat="1" ht="16.5" hidden="1" customHeight="1" outlineLevel="1" x14ac:dyDescent="0.25">
      <c r="A3175" s="74">
        <v>4895</v>
      </c>
      <c r="B3175" s="45" t="s">
        <v>664</v>
      </c>
      <c r="C3175" s="60" t="s">
        <v>2789</v>
      </c>
      <c r="D3175" s="60"/>
      <c r="E3175" s="74">
        <v>2022</v>
      </c>
      <c r="F3175" s="74" t="s">
        <v>489</v>
      </c>
      <c r="G3175" s="61">
        <v>1</v>
      </c>
      <c r="H3175" s="45">
        <v>15</v>
      </c>
      <c r="I3175" s="74">
        <v>32.36</v>
      </c>
    </row>
    <row r="3176" spans="1:9" s="71" customFormat="1" ht="16.5" hidden="1" customHeight="1" outlineLevel="1" x14ac:dyDescent="0.25">
      <c r="A3176" s="74">
        <v>4627</v>
      </c>
      <c r="B3176" s="45" t="s">
        <v>664</v>
      </c>
      <c r="C3176" s="60" t="s">
        <v>2790</v>
      </c>
      <c r="D3176" s="60"/>
      <c r="E3176" s="74">
        <v>2022</v>
      </c>
      <c r="F3176" s="74" t="s">
        <v>489</v>
      </c>
      <c r="G3176" s="61">
        <v>1</v>
      </c>
      <c r="H3176" s="45">
        <v>10</v>
      </c>
      <c r="I3176" s="74">
        <v>29.23</v>
      </c>
    </row>
    <row r="3177" spans="1:9" s="71" customFormat="1" ht="16.5" hidden="1" customHeight="1" outlineLevel="1" x14ac:dyDescent="0.25">
      <c r="A3177" s="74">
        <v>4653</v>
      </c>
      <c r="B3177" s="45" t="s">
        <v>664</v>
      </c>
      <c r="C3177" s="60" t="s">
        <v>2791</v>
      </c>
      <c r="D3177" s="60"/>
      <c r="E3177" s="74">
        <v>2022</v>
      </c>
      <c r="F3177" s="74" t="s">
        <v>489</v>
      </c>
      <c r="G3177" s="61">
        <v>1</v>
      </c>
      <c r="H3177" s="45">
        <v>12</v>
      </c>
      <c r="I3177" s="74">
        <v>29.43</v>
      </c>
    </row>
    <row r="3178" spans="1:9" s="71" customFormat="1" ht="16.5" hidden="1" customHeight="1" outlineLevel="1" x14ac:dyDescent="0.25">
      <c r="A3178" s="74">
        <v>4675</v>
      </c>
      <c r="B3178" s="45" t="s">
        <v>664</v>
      </c>
      <c r="C3178" s="60" t="s">
        <v>2792</v>
      </c>
      <c r="D3178" s="60"/>
      <c r="E3178" s="74">
        <v>2022</v>
      </c>
      <c r="F3178" s="74" t="s">
        <v>489</v>
      </c>
      <c r="G3178" s="61">
        <v>1</v>
      </c>
      <c r="H3178" s="45">
        <v>7.5</v>
      </c>
      <c r="I3178" s="74">
        <v>59.839000000000006</v>
      </c>
    </row>
    <row r="3179" spans="1:9" s="71" customFormat="1" ht="16.5" hidden="1" customHeight="1" outlineLevel="1" x14ac:dyDescent="0.25">
      <c r="A3179" s="74">
        <v>4676</v>
      </c>
      <c r="B3179" s="45" t="s">
        <v>664</v>
      </c>
      <c r="C3179" s="60" t="s">
        <v>2793</v>
      </c>
      <c r="D3179" s="60"/>
      <c r="E3179" s="74">
        <v>2022</v>
      </c>
      <c r="F3179" s="74" t="s">
        <v>489</v>
      </c>
      <c r="G3179" s="61">
        <v>1</v>
      </c>
      <c r="H3179" s="45">
        <v>15</v>
      </c>
      <c r="I3179" s="74">
        <v>42.174000000000007</v>
      </c>
    </row>
    <row r="3180" spans="1:9" s="71" customFormat="1" ht="16.5" hidden="1" customHeight="1" outlineLevel="1" x14ac:dyDescent="0.25">
      <c r="A3180" s="74">
        <v>4677</v>
      </c>
      <c r="B3180" s="45" t="s">
        <v>664</v>
      </c>
      <c r="C3180" s="60" t="s">
        <v>2794</v>
      </c>
      <c r="D3180" s="60"/>
      <c r="E3180" s="74">
        <v>2022</v>
      </c>
      <c r="F3180" s="74" t="s">
        <v>489</v>
      </c>
      <c r="G3180" s="61">
        <v>1</v>
      </c>
      <c r="H3180" s="45">
        <v>12</v>
      </c>
      <c r="I3180" s="74">
        <v>63.932000000000002</v>
      </c>
    </row>
    <row r="3181" spans="1:9" s="71" customFormat="1" ht="16.5" hidden="1" customHeight="1" outlineLevel="1" x14ac:dyDescent="0.25">
      <c r="A3181" s="74">
        <v>4879</v>
      </c>
      <c r="B3181" s="45" t="s">
        <v>664</v>
      </c>
      <c r="C3181" s="60" t="s">
        <v>2795</v>
      </c>
      <c r="D3181" s="60"/>
      <c r="E3181" s="74">
        <v>2022</v>
      </c>
      <c r="F3181" s="74" t="s">
        <v>489</v>
      </c>
      <c r="G3181" s="61">
        <v>1</v>
      </c>
      <c r="H3181" s="45">
        <v>15</v>
      </c>
      <c r="I3181" s="74">
        <v>63.672999999999995</v>
      </c>
    </row>
    <row r="3182" spans="1:9" s="71" customFormat="1" ht="16.5" hidden="1" customHeight="1" outlineLevel="1" x14ac:dyDescent="0.25">
      <c r="A3182" s="74">
        <v>4921</v>
      </c>
      <c r="B3182" s="45" t="s">
        <v>664</v>
      </c>
      <c r="C3182" s="60" t="s">
        <v>2796</v>
      </c>
      <c r="D3182" s="60"/>
      <c r="E3182" s="74">
        <v>2022</v>
      </c>
      <c r="F3182" s="74" t="s">
        <v>489</v>
      </c>
      <c r="G3182" s="61">
        <v>1</v>
      </c>
      <c r="H3182" s="45">
        <v>12</v>
      </c>
      <c r="I3182" s="74">
        <v>92.174000000000007</v>
      </c>
    </row>
    <row r="3183" spans="1:9" s="71" customFormat="1" ht="16.5" hidden="1" customHeight="1" outlineLevel="1" x14ac:dyDescent="0.25">
      <c r="A3183" s="74">
        <v>4856</v>
      </c>
      <c r="B3183" s="45" t="s">
        <v>664</v>
      </c>
      <c r="C3183" s="60" t="s">
        <v>2797</v>
      </c>
      <c r="D3183" s="60"/>
      <c r="E3183" s="74">
        <v>2022</v>
      </c>
      <c r="F3183" s="74" t="s">
        <v>489</v>
      </c>
      <c r="G3183" s="61">
        <v>1</v>
      </c>
      <c r="H3183" s="45">
        <v>15</v>
      </c>
      <c r="I3183" s="74">
        <v>75.054000000000002</v>
      </c>
    </row>
    <row r="3184" spans="1:9" s="71" customFormat="1" ht="16.5" hidden="1" customHeight="1" outlineLevel="1" x14ac:dyDescent="0.25">
      <c r="A3184" s="74">
        <v>4906</v>
      </c>
      <c r="B3184" s="45" t="s">
        <v>664</v>
      </c>
      <c r="C3184" s="60" t="s">
        <v>2798</v>
      </c>
      <c r="D3184" s="60"/>
      <c r="E3184" s="74">
        <v>2022</v>
      </c>
      <c r="F3184" s="74" t="s">
        <v>489</v>
      </c>
      <c r="G3184" s="61">
        <v>1</v>
      </c>
      <c r="H3184" s="45">
        <v>15</v>
      </c>
      <c r="I3184" s="74">
        <v>56.160000000000004</v>
      </c>
    </row>
    <row r="3185" spans="1:9" s="71" customFormat="1" ht="16.5" hidden="1" customHeight="1" outlineLevel="1" x14ac:dyDescent="0.25">
      <c r="A3185" s="74">
        <v>4762</v>
      </c>
      <c r="B3185" s="45" t="s">
        <v>664</v>
      </c>
      <c r="C3185" s="60" t="s">
        <v>2799</v>
      </c>
      <c r="D3185" s="60"/>
      <c r="E3185" s="74">
        <v>2022</v>
      </c>
      <c r="F3185" s="74" t="s">
        <v>489</v>
      </c>
      <c r="G3185" s="61">
        <v>1</v>
      </c>
      <c r="H3185" s="45">
        <v>10</v>
      </c>
      <c r="I3185" s="74">
        <v>62.51</v>
      </c>
    </row>
    <row r="3186" spans="1:9" s="71" customFormat="1" ht="16.5" hidden="1" customHeight="1" outlineLevel="1" x14ac:dyDescent="0.25">
      <c r="A3186" s="74">
        <v>4763</v>
      </c>
      <c r="B3186" s="45" t="s">
        <v>664</v>
      </c>
      <c r="C3186" s="60" t="s">
        <v>2800</v>
      </c>
      <c r="D3186" s="60"/>
      <c r="E3186" s="74">
        <v>2022</v>
      </c>
      <c r="F3186" s="74" t="s">
        <v>489</v>
      </c>
      <c r="G3186" s="61">
        <v>1</v>
      </c>
      <c r="H3186" s="45">
        <v>10</v>
      </c>
      <c r="I3186" s="74">
        <v>50.533000000000001</v>
      </c>
    </row>
    <row r="3187" spans="1:9" s="71" customFormat="1" ht="16.5" hidden="1" customHeight="1" outlineLevel="1" x14ac:dyDescent="0.25">
      <c r="A3187" s="74">
        <v>4893</v>
      </c>
      <c r="B3187" s="45" t="s">
        <v>664</v>
      </c>
      <c r="C3187" s="60" t="s">
        <v>2801</v>
      </c>
      <c r="D3187" s="60"/>
      <c r="E3187" s="74">
        <v>2022</v>
      </c>
      <c r="F3187" s="74" t="s">
        <v>489</v>
      </c>
      <c r="G3187" s="61">
        <v>1</v>
      </c>
      <c r="H3187" s="45">
        <v>10</v>
      </c>
      <c r="I3187" s="74">
        <v>29.16</v>
      </c>
    </row>
    <row r="3188" spans="1:9" s="71" customFormat="1" ht="16.5" hidden="1" customHeight="1" outlineLevel="1" x14ac:dyDescent="0.25">
      <c r="A3188" s="74">
        <v>4829</v>
      </c>
      <c r="B3188" s="45" t="s">
        <v>664</v>
      </c>
      <c r="C3188" s="60" t="s">
        <v>557</v>
      </c>
      <c r="D3188" s="60"/>
      <c r="E3188" s="74">
        <v>2022</v>
      </c>
      <c r="F3188" s="74" t="s">
        <v>489</v>
      </c>
      <c r="G3188" s="61">
        <v>1</v>
      </c>
      <c r="H3188" s="45">
        <v>15</v>
      </c>
      <c r="I3188" s="74">
        <v>48.62</v>
      </c>
    </row>
    <row r="3189" spans="1:9" s="71" customFormat="1" ht="16.5" hidden="1" customHeight="1" outlineLevel="1" x14ac:dyDescent="0.25">
      <c r="A3189" s="74">
        <v>4778</v>
      </c>
      <c r="B3189" s="45" t="s">
        <v>664</v>
      </c>
      <c r="C3189" s="60" t="s">
        <v>2802</v>
      </c>
      <c r="D3189" s="60"/>
      <c r="E3189" s="74">
        <v>2022</v>
      </c>
      <c r="F3189" s="74" t="s">
        <v>489</v>
      </c>
      <c r="G3189" s="61">
        <v>1</v>
      </c>
      <c r="H3189" s="45">
        <v>15</v>
      </c>
      <c r="I3189" s="74">
        <v>28.62</v>
      </c>
    </row>
    <row r="3190" spans="1:9" s="71" customFormat="1" ht="16.5" hidden="1" customHeight="1" outlineLevel="1" x14ac:dyDescent="0.25">
      <c r="A3190" s="74">
        <v>4781</v>
      </c>
      <c r="B3190" s="45" t="s">
        <v>664</v>
      </c>
      <c r="C3190" s="60" t="s">
        <v>2803</v>
      </c>
      <c r="D3190" s="60"/>
      <c r="E3190" s="74">
        <v>2022</v>
      </c>
      <c r="F3190" s="74" t="s">
        <v>489</v>
      </c>
      <c r="G3190" s="61">
        <v>1</v>
      </c>
      <c r="H3190" s="45">
        <v>15</v>
      </c>
      <c r="I3190" s="74">
        <v>38.89</v>
      </c>
    </row>
    <row r="3191" spans="1:9" s="71" customFormat="1" ht="16.5" hidden="1" customHeight="1" outlineLevel="1" x14ac:dyDescent="0.25">
      <c r="A3191" s="74">
        <v>4782</v>
      </c>
      <c r="B3191" s="45" t="s">
        <v>664</v>
      </c>
      <c r="C3191" s="60" t="s">
        <v>2804</v>
      </c>
      <c r="D3191" s="60"/>
      <c r="E3191" s="74">
        <v>2022</v>
      </c>
      <c r="F3191" s="74" t="s">
        <v>489</v>
      </c>
      <c r="G3191" s="61">
        <v>1</v>
      </c>
      <c r="H3191" s="45">
        <v>15</v>
      </c>
      <c r="I3191" s="74">
        <v>28.62</v>
      </c>
    </row>
    <row r="3192" spans="1:9" s="71" customFormat="1" ht="16.5" hidden="1" customHeight="1" outlineLevel="1" x14ac:dyDescent="0.25">
      <c r="A3192" s="74">
        <v>4891</v>
      </c>
      <c r="B3192" s="45" t="s">
        <v>664</v>
      </c>
      <c r="C3192" s="60" t="s">
        <v>2805</v>
      </c>
      <c r="D3192" s="60"/>
      <c r="E3192" s="74">
        <v>2022</v>
      </c>
      <c r="F3192" s="74" t="s">
        <v>489</v>
      </c>
      <c r="G3192" s="61">
        <v>1</v>
      </c>
      <c r="H3192" s="45">
        <v>15</v>
      </c>
      <c r="I3192" s="74">
        <v>38.371000000000002</v>
      </c>
    </row>
    <row r="3193" spans="1:9" s="71" customFormat="1" ht="16.5" hidden="1" customHeight="1" outlineLevel="1" x14ac:dyDescent="0.25">
      <c r="A3193" s="74">
        <v>4865</v>
      </c>
      <c r="B3193" s="45" t="s">
        <v>664</v>
      </c>
      <c r="C3193" s="60" t="s">
        <v>2806</v>
      </c>
      <c r="D3193" s="60"/>
      <c r="E3193" s="74">
        <v>2022</v>
      </c>
      <c r="F3193" s="74" t="s">
        <v>489</v>
      </c>
      <c r="G3193" s="61">
        <v>1</v>
      </c>
      <c r="H3193" s="45">
        <v>10</v>
      </c>
      <c r="I3193" s="74">
        <v>25.164999999999999</v>
      </c>
    </row>
    <row r="3194" spans="1:9" s="71" customFormat="1" ht="16.5" hidden="1" customHeight="1" outlineLevel="1" x14ac:dyDescent="0.25">
      <c r="A3194" s="74">
        <v>4868</v>
      </c>
      <c r="B3194" s="45" t="s">
        <v>664</v>
      </c>
      <c r="C3194" s="60" t="s">
        <v>2807</v>
      </c>
      <c r="D3194" s="60"/>
      <c r="E3194" s="74">
        <v>2022</v>
      </c>
      <c r="F3194" s="74" t="s">
        <v>489</v>
      </c>
      <c r="G3194" s="61">
        <v>1</v>
      </c>
      <c r="H3194" s="45">
        <v>10</v>
      </c>
      <c r="I3194" s="74">
        <v>26.061999999999998</v>
      </c>
    </row>
    <row r="3195" spans="1:9" s="71" customFormat="1" ht="16.5" hidden="1" customHeight="1" outlineLevel="1" x14ac:dyDescent="0.25">
      <c r="A3195" s="74">
        <v>4920</v>
      </c>
      <c r="B3195" s="45" t="s">
        <v>664</v>
      </c>
      <c r="C3195" s="60" t="s">
        <v>2808</v>
      </c>
      <c r="D3195" s="60"/>
      <c r="E3195" s="74">
        <v>2022</v>
      </c>
      <c r="F3195" s="74" t="s">
        <v>489</v>
      </c>
      <c r="G3195" s="61">
        <v>1</v>
      </c>
      <c r="H3195" s="45">
        <v>15</v>
      </c>
      <c r="I3195" s="74">
        <v>85.902999999999992</v>
      </c>
    </row>
    <row r="3196" spans="1:9" s="71" customFormat="1" ht="16.5" hidden="1" customHeight="1" outlineLevel="1" x14ac:dyDescent="0.25">
      <c r="A3196" s="74">
        <v>4926</v>
      </c>
      <c r="B3196" s="45" t="s">
        <v>664</v>
      </c>
      <c r="C3196" s="60" t="s">
        <v>2809</v>
      </c>
      <c r="D3196" s="60"/>
      <c r="E3196" s="74">
        <v>2022</v>
      </c>
      <c r="F3196" s="74" t="s">
        <v>489</v>
      </c>
      <c r="G3196" s="61">
        <v>1</v>
      </c>
      <c r="H3196" s="45">
        <v>10</v>
      </c>
      <c r="I3196" s="74">
        <v>21.526</v>
      </c>
    </row>
    <row r="3197" spans="1:9" s="71" customFormat="1" ht="16.5" hidden="1" customHeight="1" outlineLevel="1" x14ac:dyDescent="0.25">
      <c r="A3197" s="74">
        <v>4927</v>
      </c>
      <c r="B3197" s="45" t="s">
        <v>664</v>
      </c>
      <c r="C3197" s="60" t="s">
        <v>2810</v>
      </c>
      <c r="D3197" s="60"/>
      <c r="E3197" s="74">
        <v>2022</v>
      </c>
      <c r="F3197" s="74" t="s">
        <v>489</v>
      </c>
      <c r="G3197" s="61">
        <v>1</v>
      </c>
      <c r="H3197" s="45">
        <v>10</v>
      </c>
      <c r="I3197" s="74">
        <v>19.010999999999999</v>
      </c>
    </row>
    <row r="3198" spans="1:9" s="71" customFormat="1" ht="16.5" hidden="1" customHeight="1" outlineLevel="1" x14ac:dyDescent="0.25">
      <c r="A3198" s="74">
        <v>4918</v>
      </c>
      <c r="B3198" s="45" t="s">
        <v>664</v>
      </c>
      <c r="C3198" s="60" t="s">
        <v>2811</v>
      </c>
      <c r="D3198" s="60"/>
      <c r="E3198" s="74">
        <v>2022</v>
      </c>
      <c r="F3198" s="74" t="s">
        <v>489</v>
      </c>
      <c r="G3198" s="61">
        <v>1</v>
      </c>
      <c r="H3198" s="45">
        <v>15</v>
      </c>
      <c r="I3198" s="74">
        <v>80.631999999999991</v>
      </c>
    </row>
    <row r="3199" spans="1:9" s="71" customFormat="1" ht="16.5" hidden="1" customHeight="1" outlineLevel="1" x14ac:dyDescent="0.25">
      <c r="A3199" s="74">
        <v>4919</v>
      </c>
      <c r="B3199" s="45" t="s">
        <v>664</v>
      </c>
      <c r="C3199" s="60" t="s">
        <v>2812</v>
      </c>
      <c r="D3199" s="60"/>
      <c r="E3199" s="74">
        <v>2022</v>
      </c>
      <c r="F3199" s="74" t="s">
        <v>489</v>
      </c>
      <c r="G3199" s="61">
        <v>1</v>
      </c>
      <c r="H3199" s="45">
        <v>10</v>
      </c>
      <c r="I3199" s="74">
        <v>63.36</v>
      </c>
    </row>
    <row r="3200" spans="1:9" s="71" customFormat="1" ht="16.5" hidden="1" customHeight="1" outlineLevel="1" x14ac:dyDescent="0.25">
      <c r="A3200" s="74">
        <v>4831</v>
      </c>
      <c r="B3200" s="45" t="s">
        <v>664</v>
      </c>
      <c r="C3200" s="60" t="s">
        <v>2813</v>
      </c>
      <c r="D3200" s="60"/>
      <c r="E3200" s="74">
        <v>2022</v>
      </c>
      <c r="F3200" s="74" t="s">
        <v>489</v>
      </c>
      <c r="G3200" s="61">
        <v>1</v>
      </c>
      <c r="H3200" s="45">
        <v>15</v>
      </c>
      <c r="I3200" s="74">
        <v>78</v>
      </c>
    </row>
    <row r="3201" spans="1:9" s="71" customFormat="1" ht="16.5" hidden="1" customHeight="1" outlineLevel="1" x14ac:dyDescent="0.25">
      <c r="A3201" s="74">
        <v>4860</v>
      </c>
      <c r="B3201" s="45" t="s">
        <v>664</v>
      </c>
      <c r="C3201" s="60" t="s">
        <v>2814</v>
      </c>
      <c r="D3201" s="60"/>
      <c r="E3201" s="74">
        <v>2022</v>
      </c>
      <c r="F3201" s="74" t="s">
        <v>489</v>
      </c>
      <c r="G3201" s="61">
        <v>1</v>
      </c>
      <c r="H3201" s="45">
        <v>15</v>
      </c>
      <c r="I3201" s="74">
        <v>37</v>
      </c>
    </row>
    <row r="3202" spans="1:9" s="71" customFormat="1" ht="16.5" hidden="1" customHeight="1" outlineLevel="1" x14ac:dyDescent="0.25">
      <c r="A3202" s="74">
        <v>4863</v>
      </c>
      <c r="B3202" s="45" t="s">
        <v>664</v>
      </c>
      <c r="C3202" s="60" t="s">
        <v>2815</v>
      </c>
      <c r="D3202" s="60"/>
      <c r="E3202" s="74">
        <v>2022</v>
      </c>
      <c r="F3202" s="74" t="s">
        <v>489</v>
      </c>
      <c r="G3202" s="61">
        <v>1</v>
      </c>
      <c r="H3202" s="45">
        <v>15</v>
      </c>
      <c r="I3202" s="74">
        <v>28</v>
      </c>
    </row>
    <row r="3203" spans="1:9" s="71" customFormat="1" ht="16.5" hidden="1" customHeight="1" outlineLevel="1" x14ac:dyDescent="0.25">
      <c r="A3203" s="74">
        <v>4864</v>
      </c>
      <c r="B3203" s="45" t="s">
        <v>664</v>
      </c>
      <c r="C3203" s="60" t="s">
        <v>2816</v>
      </c>
      <c r="D3203" s="60"/>
      <c r="E3203" s="74">
        <v>2022</v>
      </c>
      <c r="F3203" s="74" t="s">
        <v>489</v>
      </c>
      <c r="G3203" s="61">
        <v>1</v>
      </c>
      <c r="H3203" s="45">
        <v>15</v>
      </c>
      <c r="I3203" s="74">
        <v>37.449999999999996</v>
      </c>
    </row>
    <row r="3204" spans="1:9" s="71" customFormat="1" ht="16.5" hidden="1" customHeight="1" outlineLevel="1" x14ac:dyDescent="0.25">
      <c r="A3204" s="74">
        <v>4928</v>
      </c>
      <c r="B3204" s="45" t="s">
        <v>664</v>
      </c>
      <c r="C3204" s="60" t="s">
        <v>2817</v>
      </c>
      <c r="D3204" s="60"/>
      <c r="E3204" s="74">
        <v>2022</v>
      </c>
      <c r="F3204" s="74" t="s">
        <v>489</v>
      </c>
      <c r="G3204" s="61">
        <v>1</v>
      </c>
      <c r="H3204" s="45">
        <v>15</v>
      </c>
      <c r="I3204" s="74">
        <v>74</v>
      </c>
    </row>
    <row r="3205" spans="1:9" s="71" customFormat="1" ht="16.5" hidden="1" customHeight="1" outlineLevel="1" x14ac:dyDescent="0.25">
      <c r="A3205" s="74">
        <v>4929</v>
      </c>
      <c r="B3205" s="45" t="s">
        <v>664</v>
      </c>
      <c r="C3205" s="60" t="s">
        <v>2818</v>
      </c>
      <c r="D3205" s="60"/>
      <c r="E3205" s="74">
        <v>2022</v>
      </c>
      <c r="F3205" s="74" t="s">
        <v>489</v>
      </c>
      <c r="G3205" s="61">
        <v>1</v>
      </c>
      <c r="H3205" s="45">
        <v>15</v>
      </c>
      <c r="I3205" s="74">
        <v>76</v>
      </c>
    </row>
    <row r="3206" spans="1:9" s="71" customFormat="1" ht="16.5" hidden="1" customHeight="1" outlineLevel="1" x14ac:dyDescent="0.25">
      <c r="A3206" s="74">
        <v>4559</v>
      </c>
      <c r="B3206" s="45" t="s">
        <v>664</v>
      </c>
      <c r="C3206" s="60" t="s">
        <v>2819</v>
      </c>
      <c r="D3206" s="60"/>
      <c r="E3206" s="74">
        <v>2022</v>
      </c>
      <c r="F3206" s="74" t="s">
        <v>489</v>
      </c>
      <c r="G3206" s="61">
        <v>1</v>
      </c>
      <c r="H3206" s="45">
        <v>12</v>
      </c>
      <c r="I3206" s="74">
        <v>36</v>
      </c>
    </row>
    <row r="3207" spans="1:9" s="71" customFormat="1" ht="16.5" hidden="1" customHeight="1" outlineLevel="1" x14ac:dyDescent="0.25">
      <c r="A3207" s="74">
        <v>4567</v>
      </c>
      <c r="B3207" s="45" t="s">
        <v>664</v>
      </c>
      <c r="C3207" s="60" t="s">
        <v>2820</v>
      </c>
      <c r="D3207" s="60"/>
      <c r="E3207" s="74">
        <v>2022</v>
      </c>
      <c r="F3207" s="74" t="s">
        <v>489</v>
      </c>
      <c r="G3207" s="61">
        <v>1</v>
      </c>
      <c r="H3207" s="45">
        <v>12</v>
      </c>
      <c r="I3207" s="74">
        <v>38</v>
      </c>
    </row>
    <row r="3208" spans="1:9" s="71" customFormat="1" ht="16.5" hidden="1" customHeight="1" outlineLevel="1" x14ac:dyDescent="0.25">
      <c r="A3208" s="74">
        <v>4583</v>
      </c>
      <c r="B3208" s="45" t="s">
        <v>664</v>
      </c>
      <c r="C3208" s="60" t="s">
        <v>2821</v>
      </c>
      <c r="D3208" s="60"/>
      <c r="E3208" s="74">
        <v>2022</v>
      </c>
      <c r="F3208" s="74" t="s">
        <v>489</v>
      </c>
      <c r="G3208" s="61">
        <v>1</v>
      </c>
      <c r="H3208" s="45">
        <v>12</v>
      </c>
      <c r="I3208" s="74">
        <v>25</v>
      </c>
    </row>
    <row r="3209" spans="1:9" s="71" customFormat="1" ht="16.5" hidden="1" customHeight="1" outlineLevel="1" x14ac:dyDescent="0.25">
      <c r="A3209" s="74">
        <v>4584</v>
      </c>
      <c r="B3209" s="45" t="s">
        <v>664</v>
      </c>
      <c r="C3209" s="60" t="s">
        <v>2822</v>
      </c>
      <c r="D3209" s="60"/>
      <c r="E3209" s="74">
        <v>2022</v>
      </c>
      <c r="F3209" s="74" t="s">
        <v>489</v>
      </c>
      <c r="G3209" s="61">
        <v>1</v>
      </c>
      <c r="H3209" s="45">
        <v>15</v>
      </c>
      <c r="I3209" s="74">
        <v>28</v>
      </c>
    </row>
    <row r="3210" spans="1:9" s="71" customFormat="1" ht="16.5" hidden="1" customHeight="1" outlineLevel="1" x14ac:dyDescent="0.25">
      <c r="A3210" s="74">
        <v>4629</v>
      </c>
      <c r="B3210" s="45" t="s">
        <v>664</v>
      </c>
      <c r="C3210" s="60" t="s">
        <v>2823</v>
      </c>
      <c r="D3210" s="60"/>
      <c r="E3210" s="74">
        <v>2022</v>
      </c>
      <c r="F3210" s="74" t="s">
        <v>489</v>
      </c>
      <c r="G3210" s="61">
        <v>1</v>
      </c>
      <c r="H3210" s="45">
        <v>12</v>
      </c>
      <c r="I3210" s="74">
        <v>29</v>
      </c>
    </row>
    <row r="3211" spans="1:9" s="71" customFormat="1" ht="16.5" hidden="1" customHeight="1" outlineLevel="1" x14ac:dyDescent="0.25">
      <c r="A3211" s="74">
        <v>4689</v>
      </c>
      <c r="B3211" s="45" t="s">
        <v>664</v>
      </c>
      <c r="C3211" s="60" t="s">
        <v>2824</v>
      </c>
      <c r="D3211" s="60"/>
      <c r="E3211" s="74">
        <v>2022</v>
      </c>
      <c r="F3211" s="74" t="s">
        <v>489</v>
      </c>
      <c r="G3211" s="61">
        <v>1</v>
      </c>
      <c r="H3211" s="45">
        <v>12</v>
      </c>
      <c r="I3211" s="74">
        <v>29</v>
      </c>
    </row>
    <row r="3212" spans="1:9" s="71" customFormat="1" ht="16.5" hidden="1" customHeight="1" outlineLevel="1" x14ac:dyDescent="0.25">
      <c r="A3212" s="74">
        <v>4712</v>
      </c>
      <c r="B3212" s="45" t="s">
        <v>664</v>
      </c>
      <c r="C3212" s="60" t="s">
        <v>2825</v>
      </c>
      <c r="D3212" s="60"/>
      <c r="E3212" s="74">
        <v>2022</v>
      </c>
      <c r="F3212" s="74" t="s">
        <v>489</v>
      </c>
      <c r="G3212" s="61">
        <v>1</v>
      </c>
      <c r="H3212" s="45">
        <v>15</v>
      </c>
      <c r="I3212" s="74">
        <v>29</v>
      </c>
    </row>
    <row r="3213" spans="1:9" s="71" customFormat="1" ht="16.5" hidden="1" customHeight="1" outlineLevel="1" x14ac:dyDescent="0.25">
      <c r="A3213" s="74">
        <v>4723</v>
      </c>
      <c r="B3213" s="45" t="s">
        <v>664</v>
      </c>
      <c r="C3213" s="60" t="s">
        <v>2826</v>
      </c>
      <c r="D3213" s="60"/>
      <c r="E3213" s="74">
        <v>2022</v>
      </c>
      <c r="F3213" s="74" t="s">
        <v>489</v>
      </c>
      <c r="G3213" s="61">
        <v>1</v>
      </c>
      <c r="H3213" s="45">
        <v>15</v>
      </c>
      <c r="I3213" s="74">
        <v>29</v>
      </c>
    </row>
    <row r="3214" spans="1:9" s="71" customFormat="1" ht="16.5" hidden="1" customHeight="1" outlineLevel="1" x14ac:dyDescent="0.25">
      <c r="A3214" s="74">
        <v>4933</v>
      </c>
      <c r="B3214" s="45" t="s">
        <v>664</v>
      </c>
      <c r="C3214" s="60" t="s">
        <v>2827</v>
      </c>
      <c r="D3214" s="60"/>
      <c r="E3214" s="74">
        <v>2022</v>
      </c>
      <c r="F3214" s="74" t="s">
        <v>489</v>
      </c>
      <c r="G3214" s="61">
        <v>1</v>
      </c>
      <c r="H3214" s="45">
        <v>7.5</v>
      </c>
      <c r="I3214" s="74">
        <v>21</v>
      </c>
    </row>
    <row r="3215" spans="1:9" s="71" customFormat="1" ht="16.5" hidden="1" customHeight="1" outlineLevel="1" x14ac:dyDescent="0.25">
      <c r="A3215" s="74">
        <v>4937</v>
      </c>
      <c r="B3215" s="45" t="s">
        <v>664</v>
      </c>
      <c r="C3215" s="60" t="s">
        <v>2828</v>
      </c>
      <c r="D3215" s="60"/>
      <c r="E3215" s="74">
        <v>2022</v>
      </c>
      <c r="F3215" s="74" t="s">
        <v>489</v>
      </c>
      <c r="G3215" s="61">
        <v>1</v>
      </c>
      <c r="H3215" s="45">
        <v>10</v>
      </c>
      <c r="I3215" s="74">
        <v>20</v>
      </c>
    </row>
    <row r="3216" spans="1:9" s="71" customFormat="1" ht="16.5" hidden="1" customHeight="1" outlineLevel="1" x14ac:dyDescent="0.25">
      <c r="A3216" s="74">
        <v>4938</v>
      </c>
      <c r="B3216" s="45" t="s">
        <v>664</v>
      </c>
      <c r="C3216" s="60" t="s">
        <v>2829</v>
      </c>
      <c r="D3216" s="60"/>
      <c r="E3216" s="74">
        <v>2022</v>
      </c>
      <c r="F3216" s="74" t="s">
        <v>489</v>
      </c>
      <c r="G3216" s="61">
        <v>1</v>
      </c>
      <c r="H3216" s="45">
        <v>10</v>
      </c>
      <c r="I3216" s="74">
        <v>20</v>
      </c>
    </row>
    <row r="3217" spans="1:9" s="71" customFormat="1" ht="16.5" hidden="1" customHeight="1" outlineLevel="1" x14ac:dyDescent="0.25">
      <c r="A3217" s="74">
        <v>4939</v>
      </c>
      <c r="B3217" s="45" t="s">
        <v>664</v>
      </c>
      <c r="C3217" s="60" t="s">
        <v>2830</v>
      </c>
      <c r="D3217" s="60"/>
      <c r="E3217" s="74">
        <v>2022</v>
      </c>
      <c r="F3217" s="74" t="s">
        <v>489</v>
      </c>
      <c r="G3217" s="61">
        <v>1</v>
      </c>
      <c r="H3217" s="45">
        <v>10</v>
      </c>
      <c r="I3217" s="74">
        <v>21</v>
      </c>
    </row>
    <row r="3218" spans="1:9" s="71" customFormat="1" ht="16.5" hidden="1" customHeight="1" outlineLevel="1" x14ac:dyDescent="0.25">
      <c r="A3218" s="74">
        <v>4941</v>
      </c>
      <c r="B3218" s="45" t="s">
        <v>664</v>
      </c>
      <c r="C3218" s="60" t="s">
        <v>2831</v>
      </c>
      <c r="D3218" s="60"/>
      <c r="E3218" s="74">
        <v>2022</v>
      </c>
      <c r="F3218" s="74" t="s">
        <v>489</v>
      </c>
      <c r="G3218" s="61">
        <v>1</v>
      </c>
      <c r="H3218" s="45">
        <v>15</v>
      </c>
      <c r="I3218" s="74">
        <v>21</v>
      </c>
    </row>
    <row r="3219" spans="1:9" s="71" customFormat="1" ht="16.5" hidden="1" customHeight="1" outlineLevel="1" x14ac:dyDescent="0.25">
      <c r="A3219" s="74">
        <v>4942</v>
      </c>
      <c r="B3219" s="45" t="s">
        <v>664</v>
      </c>
      <c r="C3219" s="60" t="s">
        <v>2832</v>
      </c>
      <c r="D3219" s="60"/>
      <c r="E3219" s="74">
        <v>2022</v>
      </c>
      <c r="F3219" s="74" t="s">
        <v>489</v>
      </c>
      <c r="G3219" s="61">
        <v>1</v>
      </c>
      <c r="H3219" s="45">
        <v>10</v>
      </c>
      <c r="I3219" s="74">
        <v>20</v>
      </c>
    </row>
    <row r="3220" spans="1:9" s="71" customFormat="1" ht="16.5" hidden="1" customHeight="1" outlineLevel="1" x14ac:dyDescent="0.25">
      <c r="A3220" s="74">
        <v>4944</v>
      </c>
      <c r="B3220" s="45" t="s">
        <v>664</v>
      </c>
      <c r="C3220" s="60" t="s">
        <v>608</v>
      </c>
      <c r="D3220" s="60"/>
      <c r="E3220" s="74">
        <v>2022</v>
      </c>
      <c r="F3220" s="74" t="s">
        <v>489</v>
      </c>
      <c r="G3220" s="61">
        <v>2</v>
      </c>
      <c r="H3220" s="45">
        <v>25</v>
      </c>
      <c r="I3220" s="74">
        <v>123</v>
      </c>
    </row>
    <row r="3221" spans="1:9" s="71" customFormat="1" ht="16.5" hidden="1" customHeight="1" outlineLevel="1" x14ac:dyDescent="0.25">
      <c r="A3221" s="74">
        <v>4830</v>
      </c>
      <c r="B3221" s="45" t="s">
        <v>664</v>
      </c>
      <c r="C3221" s="60" t="s">
        <v>2833</v>
      </c>
      <c r="D3221" s="60"/>
      <c r="E3221" s="74">
        <v>2022</v>
      </c>
      <c r="F3221" s="74" t="s">
        <v>489</v>
      </c>
      <c r="G3221" s="61">
        <v>1</v>
      </c>
      <c r="H3221" s="45">
        <v>15</v>
      </c>
      <c r="I3221" s="74">
        <v>54</v>
      </c>
    </row>
    <row r="3222" spans="1:9" s="71" customFormat="1" ht="16.5" hidden="1" customHeight="1" outlineLevel="1" x14ac:dyDescent="0.25">
      <c r="A3222" s="74">
        <v>4943</v>
      </c>
      <c r="B3222" s="45" t="s">
        <v>664</v>
      </c>
      <c r="C3222" s="60" t="s">
        <v>2834</v>
      </c>
      <c r="D3222" s="60"/>
      <c r="E3222" s="74">
        <v>2022</v>
      </c>
      <c r="F3222" s="74" t="s">
        <v>489</v>
      </c>
      <c r="G3222" s="61">
        <v>1</v>
      </c>
      <c r="H3222" s="45">
        <v>15</v>
      </c>
      <c r="I3222" s="74">
        <v>72</v>
      </c>
    </row>
    <row r="3223" spans="1:9" s="71" customFormat="1" ht="16.5" hidden="1" customHeight="1" outlineLevel="1" x14ac:dyDescent="0.25">
      <c r="A3223" s="74">
        <v>4940</v>
      </c>
      <c r="B3223" s="45" t="s">
        <v>664</v>
      </c>
      <c r="C3223" s="60" t="s">
        <v>2835</v>
      </c>
      <c r="D3223" s="60"/>
      <c r="E3223" s="74">
        <v>2022</v>
      </c>
      <c r="F3223" s="74" t="s">
        <v>489</v>
      </c>
      <c r="G3223" s="61">
        <v>1</v>
      </c>
      <c r="H3223" s="45">
        <v>7.5</v>
      </c>
      <c r="I3223" s="74">
        <v>22.2</v>
      </c>
    </row>
    <row r="3224" spans="1:9" s="71" customFormat="1" ht="16.5" hidden="1" customHeight="1" outlineLevel="1" x14ac:dyDescent="0.25">
      <c r="A3224" s="74">
        <v>4715</v>
      </c>
      <c r="B3224" s="45" t="s">
        <v>664</v>
      </c>
      <c r="C3224" s="60" t="s">
        <v>2836</v>
      </c>
      <c r="D3224" s="60"/>
      <c r="E3224" s="74">
        <v>2022</v>
      </c>
      <c r="F3224" s="74" t="s">
        <v>489</v>
      </c>
      <c r="G3224" s="61">
        <v>1</v>
      </c>
      <c r="H3224" s="45">
        <v>15</v>
      </c>
      <c r="I3224" s="74">
        <v>45.35</v>
      </c>
    </row>
    <row r="3225" spans="1:9" s="71" customFormat="1" ht="16.5" hidden="1" customHeight="1" outlineLevel="1" x14ac:dyDescent="0.25">
      <c r="A3225" s="74">
        <v>4858</v>
      </c>
      <c r="B3225" s="45" t="s">
        <v>664</v>
      </c>
      <c r="C3225" s="60" t="s">
        <v>2837</v>
      </c>
      <c r="D3225" s="60"/>
      <c r="E3225" s="74">
        <v>2022</v>
      </c>
      <c r="F3225" s="74" t="s">
        <v>489</v>
      </c>
      <c r="G3225" s="61">
        <v>1</v>
      </c>
      <c r="H3225" s="45">
        <v>15</v>
      </c>
      <c r="I3225" s="74">
        <v>45.519999999999996</v>
      </c>
    </row>
    <row r="3226" spans="1:9" s="71" customFormat="1" ht="16.5" hidden="1" customHeight="1" outlineLevel="1" x14ac:dyDescent="0.25">
      <c r="A3226" s="74">
        <v>4859</v>
      </c>
      <c r="B3226" s="45" t="s">
        <v>664</v>
      </c>
      <c r="C3226" s="60" t="s">
        <v>2838</v>
      </c>
      <c r="D3226" s="60"/>
      <c r="E3226" s="74">
        <v>2022</v>
      </c>
      <c r="F3226" s="74" t="s">
        <v>489</v>
      </c>
      <c r="G3226" s="61">
        <v>1</v>
      </c>
      <c r="H3226" s="45">
        <v>15</v>
      </c>
      <c r="I3226" s="74">
        <v>45.847999999999999</v>
      </c>
    </row>
    <row r="3227" spans="1:9" s="71" customFormat="1" ht="16.5" hidden="1" customHeight="1" outlineLevel="1" x14ac:dyDescent="0.25">
      <c r="A3227" s="74">
        <v>4861</v>
      </c>
      <c r="B3227" s="45" t="s">
        <v>664</v>
      </c>
      <c r="C3227" s="60" t="s">
        <v>2839</v>
      </c>
      <c r="D3227" s="60"/>
      <c r="E3227" s="74">
        <v>2022</v>
      </c>
      <c r="F3227" s="74" t="s">
        <v>489</v>
      </c>
      <c r="G3227" s="61">
        <v>1</v>
      </c>
      <c r="H3227" s="45">
        <v>15</v>
      </c>
      <c r="I3227" s="74">
        <v>45.519999999999996</v>
      </c>
    </row>
    <row r="3228" spans="1:9" s="71" customFormat="1" ht="16.5" hidden="1" customHeight="1" outlineLevel="1" x14ac:dyDescent="0.25">
      <c r="A3228" s="74">
        <v>4862</v>
      </c>
      <c r="B3228" s="45" t="s">
        <v>664</v>
      </c>
      <c r="C3228" s="60" t="s">
        <v>2840</v>
      </c>
      <c r="D3228" s="60"/>
      <c r="E3228" s="74">
        <v>2022</v>
      </c>
      <c r="F3228" s="74" t="s">
        <v>489</v>
      </c>
      <c r="G3228" s="61">
        <v>1</v>
      </c>
      <c r="H3228" s="45">
        <v>15</v>
      </c>
      <c r="I3228" s="74">
        <v>46.209000000000003</v>
      </c>
    </row>
    <row r="3229" spans="1:9" s="71" customFormat="1" ht="16.5" hidden="1" customHeight="1" outlineLevel="1" x14ac:dyDescent="0.25">
      <c r="A3229" s="74">
        <v>4883</v>
      </c>
      <c r="B3229" s="45" t="s">
        <v>664</v>
      </c>
      <c r="C3229" s="60" t="s">
        <v>2841</v>
      </c>
      <c r="D3229" s="60"/>
      <c r="E3229" s="74">
        <v>2022</v>
      </c>
      <c r="F3229" s="74" t="s">
        <v>489</v>
      </c>
      <c r="G3229" s="61">
        <v>1</v>
      </c>
      <c r="H3229" s="45">
        <v>15</v>
      </c>
      <c r="I3229" s="74">
        <v>45.866999999999997</v>
      </c>
    </row>
    <row r="3230" spans="1:9" s="71" customFormat="1" ht="16.5" hidden="1" customHeight="1" outlineLevel="1" x14ac:dyDescent="0.25">
      <c r="A3230" s="74">
        <v>4884</v>
      </c>
      <c r="B3230" s="45" t="s">
        <v>664</v>
      </c>
      <c r="C3230" s="60" t="s">
        <v>2842</v>
      </c>
      <c r="D3230" s="60"/>
      <c r="E3230" s="74">
        <v>2022</v>
      </c>
      <c r="F3230" s="74" t="s">
        <v>489</v>
      </c>
      <c r="G3230" s="61">
        <v>1</v>
      </c>
      <c r="H3230" s="45">
        <v>15</v>
      </c>
      <c r="I3230" s="74">
        <v>45.866999999999997</v>
      </c>
    </row>
    <row r="3231" spans="1:9" s="71" customFormat="1" ht="16.5" hidden="1" customHeight="1" outlineLevel="1" x14ac:dyDescent="0.25">
      <c r="A3231" s="74">
        <v>4885</v>
      </c>
      <c r="B3231" s="45" t="s">
        <v>664</v>
      </c>
      <c r="C3231" s="60" t="s">
        <v>2843</v>
      </c>
      <c r="D3231" s="60"/>
      <c r="E3231" s="74">
        <v>2022</v>
      </c>
      <c r="F3231" s="74" t="s">
        <v>489</v>
      </c>
      <c r="G3231" s="61">
        <v>1</v>
      </c>
      <c r="H3231" s="45">
        <v>15</v>
      </c>
      <c r="I3231" s="74">
        <v>46.078000000000003</v>
      </c>
    </row>
    <row r="3232" spans="1:9" s="71" customFormat="1" ht="16.5" hidden="1" customHeight="1" outlineLevel="1" x14ac:dyDescent="0.25">
      <c r="A3232" s="74">
        <v>4886</v>
      </c>
      <c r="B3232" s="45" t="s">
        <v>664</v>
      </c>
      <c r="C3232" s="60" t="s">
        <v>2844</v>
      </c>
      <c r="D3232" s="60"/>
      <c r="E3232" s="74">
        <v>2022</v>
      </c>
      <c r="F3232" s="74" t="s">
        <v>489</v>
      </c>
      <c r="G3232" s="61">
        <v>1</v>
      </c>
      <c r="H3232" s="45">
        <v>15</v>
      </c>
      <c r="I3232" s="74">
        <v>46.078000000000003</v>
      </c>
    </row>
    <row r="3233" spans="1:9" s="71" customFormat="1" ht="16.5" hidden="1" customHeight="1" outlineLevel="1" x14ac:dyDescent="0.25">
      <c r="A3233" s="74">
        <v>4887</v>
      </c>
      <c r="B3233" s="45" t="s">
        <v>664</v>
      </c>
      <c r="C3233" s="60" t="s">
        <v>2845</v>
      </c>
      <c r="D3233" s="60"/>
      <c r="E3233" s="74">
        <v>2022</v>
      </c>
      <c r="F3233" s="74" t="s">
        <v>489</v>
      </c>
      <c r="G3233" s="61">
        <v>1</v>
      </c>
      <c r="H3233" s="45">
        <v>15</v>
      </c>
      <c r="I3233" s="74">
        <v>46.097000000000001</v>
      </c>
    </row>
    <row r="3234" spans="1:9" s="71" customFormat="1" ht="16.5" hidden="1" customHeight="1" outlineLevel="1" x14ac:dyDescent="0.25">
      <c r="A3234" s="74">
        <v>4969</v>
      </c>
      <c r="B3234" s="45" t="s">
        <v>664</v>
      </c>
      <c r="C3234" s="60" t="s">
        <v>2846</v>
      </c>
      <c r="D3234" s="60"/>
      <c r="E3234" s="74">
        <v>2022</v>
      </c>
      <c r="F3234" s="74" t="s">
        <v>489</v>
      </c>
      <c r="G3234" s="61">
        <v>1</v>
      </c>
      <c r="H3234" s="45">
        <v>15</v>
      </c>
      <c r="I3234" s="74">
        <v>37.923999999999999</v>
      </c>
    </row>
    <row r="3235" spans="1:9" s="71" customFormat="1" ht="16.5" hidden="1" customHeight="1" outlineLevel="1" x14ac:dyDescent="0.25">
      <c r="A3235" s="74">
        <v>4987</v>
      </c>
      <c r="B3235" s="45" t="s">
        <v>664</v>
      </c>
      <c r="C3235" s="60" t="s">
        <v>2847</v>
      </c>
      <c r="D3235" s="60"/>
      <c r="E3235" s="74">
        <v>2022</v>
      </c>
      <c r="F3235" s="74" t="s">
        <v>489</v>
      </c>
      <c r="G3235" s="61">
        <v>1</v>
      </c>
      <c r="H3235" s="45">
        <v>15</v>
      </c>
      <c r="I3235" s="74">
        <v>38.155000000000001</v>
      </c>
    </row>
    <row r="3236" spans="1:9" s="71" customFormat="1" ht="16.5" hidden="1" customHeight="1" outlineLevel="1" x14ac:dyDescent="0.25">
      <c r="A3236" s="74">
        <v>4988</v>
      </c>
      <c r="B3236" s="45" t="s">
        <v>664</v>
      </c>
      <c r="C3236" s="60" t="s">
        <v>2848</v>
      </c>
      <c r="D3236" s="60"/>
      <c r="E3236" s="74">
        <v>2022</v>
      </c>
      <c r="F3236" s="74" t="s">
        <v>489</v>
      </c>
      <c r="G3236" s="61">
        <v>1</v>
      </c>
      <c r="H3236" s="45">
        <v>10</v>
      </c>
      <c r="I3236" s="74">
        <v>38.154000000000003</v>
      </c>
    </row>
    <row r="3237" spans="1:9" s="71" customFormat="1" ht="16.5" hidden="1" customHeight="1" outlineLevel="1" x14ac:dyDescent="0.25">
      <c r="A3237" s="74">
        <v>4989</v>
      </c>
      <c r="B3237" s="45" t="s">
        <v>664</v>
      </c>
      <c r="C3237" s="60" t="s">
        <v>2849</v>
      </c>
      <c r="D3237" s="60"/>
      <c r="E3237" s="74">
        <v>2022</v>
      </c>
      <c r="F3237" s="74" t="s">
        <v>489</v>
      </c>
      <c r="G3237" s="61">
        <v>1</v>
      </c>
      <c r="H3237" s="45">
        <v>15</v>
      </c>
      <c r="I3237" s="74">
        <v>38.154000000000003</v>
      </c>
    </row>
    <row r="3238" spans="1:9" s="71" customFormat="1" ht="16.5" hidden="1" customHeight="1" outlineLevel="1" x14ac:dyDescent="0.25">
      <c r="A3238" s="74">
        <v>5007</v>
      </c>
      <c r="B3238" s="45" t="s">
        <v>664</v>
      </c>
      <c r="C3238" s="60" t="s">
        <v>2850</v>
      </c>
      <c r="D3238" s="60"/>
      <c r="E3238" s="74">
        <v>2022</v>
      </c>
      <c r="F3238" s="74" t="s">
        <v>489</v>
      </c>
      <c r="G3238" s="61">
        <v>1</v>
      </c>
      <c r="H3238" s="45">
        <v>15</v>
      </c>
      <c r="I3238" s="74">
        <v>37.923999999999999</v>
      </c>
    </row>
    <row r="3239" spans="1:9" s="71" customFormat="1" ht="16.5" hidden="1" customHeight="1" outlineLevel="1" x14ac:dyDescent="0.25">
      <c r="A3239" s="74">
        <v>5014</v>
      </c>
      <c r="B3239" s="45" t="s">
        <v>664</v>
      </c>
      <c r="C3239" s="60" t="s">
        <v>2851</v>
      </c>
      <c r="D3239" s="60"/>
      <c r="E3239" s="74">
        <v>2022</v>
      </c>
      <c r="F3239" s="74" t="s">
        <v>489</v>
      </c>
      <c r="G3239" s="61">
        <v>1</v>
      </c>
      <c r="H3239" s="45">
        <v>15</v>
      </c>
      <c r="I3239" s="74">
        <v>38.384</v>
      </c>
    </row>
    <row r="3240" spans="1:9" s="71" customFormat="1" ht="16.5" hidden="1" customHeight="1" outlineLevel="1" x14ac:dyDescent="0.25">
      <c r="A3240" s="74">
        <v>5021</v>
      </c>
      <c r="B3240" s="45" t="s">
        <v>664</v>
      </c>
      <c r="C3240" s="60" t="s">
        <v>609</v>
      </c>
      <c r="D3240" s="60"/>
      <c r="E3240" s="74">
        <v>2022</v>
      </c>
      <c r="F3240" s="74" t="s">
        <v>489</v>
      </c>
      <c r="G3240" s="61">
        <v>1</v>
      </c>
      <c r="H3240" s="45">
        <v>50</v>
      </c>
      <c r="I3240" s="74">
        <v>74.801000000000002</v>
      </c>
    </row>
    <row r="3241" spans="1:9" s="71" customFormat="1" ht="16.5" hidden="1" customHeight="1" outlineLevel="1" x14ac:dyDescent="0.25">
      <c r="A3241" s="74">
        <v>4836</v>
      </c>
      <c r="B3241" s="45" t="s">
        <v>664</v>
      </c>
      <c r="C3241" s="60" t="s">
        <v>2852</v>
      </c>
      <c r="D3241" s="60"/>
      <c r="E3241" s="74">
        <v>2022</v>
      </c>
      <c r="F3241" s="74" t="s">
        <v>489</v>
      </c>
      <c r="G3241" s="61">
        <v>1</v>
      </c>
      <c r="H3241" s="45">
        <v>14</v>
      </c>
      <c r="I3241" s="74">
        <v>49.994</v>
      </c>
    </row>
    <row r="3242" spans="1:9" s="71" customFormat="1" ht="16.5" hidden="1" customHeight="1" outlineLevel="1" x14ac:dyDescent="0.25">
      <c r="A3242" s="74">
        <v>4837</v>
      </c>
      <c r="B3242" s="45" t="s">
        <v>664</v>
      </c>
      <c r="C3242" s="60" t="s">
        <v>2853</v>
      </c>
      <c r="D3242" s="60"/>
      <c r="E3242" s="74">
        <v>2022</v>
      </c>
      <c r="F3242" s="74" t="s">
        <v>489</v>
      </c>
      <c r="G3242" s="61">
        <v>1</v>
      </c>
      <c r="H3242" s="45">
        <v>14</v>
      </c>
      <c r="I3242" s="74">
        <v>48.34</v>
      </c>
    </row>
    <row r="3243" spans="1:9" s="71" customFormat="1" ht="16.5" hidden="1" customHeight="1" outlineLevel="1" x14ac:dyDescent="0.25">
      <c r="A3243" s="74">
        <v>4838</v>
      </c>
      <c r="B3243" s="45" t="s">
        <v>664</v>
      </c>
      <c r="C3243" s="60" t="s">
        <v>2854</v>
      </c>
      <c r="D3243" s="60"/>
      <c r="E3243" s="74">
        <v>2022</v>
      </c>
      <c r="F3243" s="74" t="s">
        <v>489</v>
      </c>
      <c r="G3243" s="61">
        <v>1</v>
      </c>
      <c r="H3243" s="45">
        <v>14</v>
      </c>
      <c r="I3243" s="74">
        <v>47.484999999999999</v>
      </c>
    </row>
    <row r="3244" spans="1:9" s="71" customFormat="1" ht="16.5" hidden="1" customHeight="1" outlineLevel="1" x14ac:dyDescent="0.25">
      <c r="A3244" s="74">
        <v>4839</v>
      </c>
      <c r="B3244" s="45" t="s">
        <v>664</v>
      </c>
      <c r="C3244" s="60" t="s">
        <v>2855</v>
      </c>
      <c r="D3244" s="60"/>
      <c r="E3244" s="74">
        <v>2022</v>
      </c>
      <c r="F3244" s="74" t="s">
        <v>489</v>
      </c>
      <c r="G3244" s="61">
        <v>1</v>
      </c>
      <c r="H3244" s="45">
        <v>14</v>
      </c>
      <c r="I3244" s="74">
        <v>47.489999999999995</v>
      </c>
    </row>
    <row r="3245" spans="1:9" s="71" customFormat="1" ht="16.5" hidden="1" customHeight="1" outlineLevel="1" x14ac:dyDescent="0.25">
      <c r="A3245" s="74">
        <v>4947</v>
      </c>
      <c r="B3245" s="45" t="s">
        <v>664</v>
      </c>
      <c r="C3245" s="60" t="s">
        <v>2856</v>
      </c>
      <c r="D3245" s="60"/>
      <c r="E3245" s="74">
        <v>2022</v>
      </c>
      <c r="F3245" s="74" t="s">
        <v>489</v>
      </c>
      <c r="G3245" s="61">
        <v>1</v>
      </c>
      <c r="H3245" s="45">
        <v>12</v>
      </c>
      <c r="I3245" s="74">
        <v>68</v>
      </c>
    </row>
    <row r="3246" spans="1:9" s="71" customFormat="1" ht="16.5" hidden="1" customHeight="1" outlineLevel="1" x14ac:dyDescent="0.25">
      <c r="A3246" s="74">
        <v>5011</v>
      </c>
      <c r="B3246" s="45" t="s">
        <v>664</v>
      </c>
      <c r="C3246" s="60" t="s">
        <v>2857</v>
      </c>
      <c r="D3246" s="60"/>
      <c r="E3246" s="74">
        <v>2022</v>
      </c>
      <c r="F3246" s="74" t="s">
        <v>489</v>
      </c>
      <c r="G3246" s="61">
        <v>1</v>
      </c>
      <c r="H3246" s="45">
        <v>15</v>
      </c>
      <c r="I3246" s="74">
        <v>37.238</v>
      </c>
    </row>
    <row r="3247" spans="1:9" s="71" customFormat="1" ht="16.5" hidden="1" customHeight="1" outlineLevel="1" x14ac:dyDescent="0.25">
      <c r="A3247" s="74">
        <v>5020</v>
      </c>
      <c r="B3247" s="45" t="s">
        <v>664</v>
      </c>
      <c r="C3247" s="60" t="s">
        <v>2858</v>
      </c>
      <c r="D3247" s="60"/>
      <c r="E3247" s="74">
        <v>2022</v>
      </c>
      <c r="F3247" s="74" t="s">
        <v>489</v>
      </c>
      <c r="G3247" s="61">
        <v>1</v>
      </c>
      <c r="H3247" s="45">
        <v>15</v>
      </c>
      <c r="I3247" s="74">
        <v>68.35199999999999</v>
      </c>
    </row>
    <row r="3248" spans="1:9" s="71" customFormat="1" ht="16.5" hidden="1" customHeight="1" outlineLevel="1" x14ac:dyDescent="0.25">
      <c r="A3248" s="74">
        <v>4897</v>
      </c>
      <c r="B3248" s="45" t="s">
        <v>664</v>
      </c>
      <c r="C3248" s="60" t="s">
        <v>2859</v>
      </c>
      <c r="D3248" s="60"/>
      <c r="E3248" s="74">
        <v>2022</v>
      </c>
      <c r="F3248" s="74" t="s">
        <v>489</v>
      </c>
      <c r="G3248" s="61">
        <v>1</v>
      </c>
      <c r="H3248" s="45">
        <v>10</v>
      </c>
      <c r="I3248" s="74">
        <v>53.707999999999998</v>
      </c>
    </row>
    <row r="3249" spans="1:9" s="71" customFormat="1" ht="16.5" hidden="1" customHeight="1" outlineLevel="1" x14ac:dyDescent="0.25">
      <c r="A3249" s="74">
        <v>4916</v>
      </c>
      <c r="B3249" s="45" t="s">
        <v>664</v>
      </c>
      <c r="C3249" s="60" t="s">
        <v>2860</v>
      </c>
      <c r="D3249" s="60"/>
      <c r="E3249" s="74">
        <v>2022</v>
      </c>
      <c r="F3249" s="74" t="s">
        <v>489</v>
      </c>
      <c r="G3249" s="61">
        <v>1</v>
      </c>
      <c r="H3249" s="45">
        <v>15</v>
      </c>
      <c r="I3249" s="74">
        <v>79.559000000000012</v>
      </c>
    </row>
    <row r="3250" spans="1:9" s="71" customFormat="1" ht="16.5" hidden="1" customHeight="1" outlineLevel="1" x14ac:dyDescent="0.25">
      <c r="A3250" s="74">
        <v>4922</v>
      </c>
      <c r="B3250" s="45" t="s">
        <v>664</v>
      </c>
      <c r="C3250" s="60" t="s">
        <v>2861</v>
      </c>
      <c r="D3250" s="60"/>
      <c r="E3250" s="74">
        <v>2022</v>
      </c>
      <c r="F3250" s="74" t="s">
        <v>489</v>
      </c>
      <c r="G3250" s="61">
        <v>1</v>
      </c>
      <c r="H3250" s="45">
        <v>15</v>
      </c>
      <c r="I3250" s="74">
        <v>78.635999999999996</v>
      </c>
    </row>
    <row r="3251" spans="1:9" s="71" customFormat="1" ht="16.5" hidden="1" customHeight="1" outlineLevel="1" x14ac:dyDescent="0.25">
      <c r="A3251" s="74">
        <v>4923</v>
      </c>
      <c r="B3251" s="45" t="s">
        <v>664</v>
      </c>
      <c r="C3251" s="60" t="s">
        <v>2862</v>
      </c>
      <c r="D3251" s="60"/>
      <c r="E3251" s="74">
        <v>2022</v>
      </c>
      <c r="F3251" s="74" t="s">
        <v>489</v>
      </c>
      <c r="G3251" s="61">
        <v>1</v>
      </c>
      <c r="H3251" s="45">
        <v>15</v>
      </c>
      <c r="I3251" s="74">
        <v>71.019000000000005</v>
      </c>
    </row>
    <row r="3252" spans="1:9" s="71" customFormat="1" ht="16.5" hidden="1" customHeight="1" outlineLevel="1" x14ac:dyDescent="0.25">
      <c r="A3252" s="74">
        <v>4945</v>
      </c>
      <c r="B3252" s="45" t="s">
        <v>664</v>
      </c>
      <c r="C3252" s="60" t="s">
        <v>2863</v>
      </c>
      <c r="D3252" s="60"/>
      <c r="E3252" s="74">
        <v>2022</v>
      </c>
      <c r="F3252" s="74" t="s">
        <v>489</v>
      </c>
      <c r="G3252" s="61">
        <v>1</v>
      </c>
      <c r="H3252" s="45">
        <v>10</v>
      </c>
      <c r="I3252" s="74">
        <v>76.709999999999994</v>
      </c>
    </row>
    <row r="3253" spans="1:9" s="71" customFormat="1" ht="16.5" hidden="1" customHeight="1" outlineLevel="1" x14ac:dyDescent="0.25">
      <c r="A3253" s="74">
        <v>4983</v>
      </c>
      <c r="B3253" s="45" t="s">
        <v>664</v>
      </c>
      <c r="C3253" s="60" t="s">
        <v>2864</v>
      </c>
      <c r="D3253" s="60"/>
      <c r="E3253" s="74">
        <v>2022</v>
      </c>
      <c r="F3253" s="74" t="s">
        <v>489</v>
      </c>
      <c r="G3253" s="61">
        <v>1</v>
      </c>
      <c r="H3253" s="45">
        <v>15</v>
      </c>
      <c r="I3253" s="74">
        <v>45.338000000000001</v>
      </c>
    </row>
    <row r="3254" spans="1:9" s="71" customFormat="1" ht="16.5" hidden="1" customHeight="1" outlineLevel="1" x14ac:dyDescent="0.25">
      <c r="A3254" s="74">
        <v>4984</v>
      </c>
      <c r="B3254" s="45" t="s">
        <v>664</v>
      </c>
      <c r="C3254" s="60" t="s">
        <v>2865</v>
      </c>
      <c r="D3254" s="60"/>
      <c r="E3254" s="74">
        <v>2022</v>
      </c>
      <c r="F3254" s="74" t="s">
        <v>489</v>
      </c>
      <c r="G3254" s="61">
        <v>1</v>
      </c>
      <c r="H3254" s="45">
        <v>10</v>
      </c>
      <c r="I3254" s="74">
        <v>45.206999999999994</v>
      </c>
    </row>
    <row r="3255" spans="1:9" s="71" customFormat="1" ht="16.5" hidden="1" customHeight="1" outlineLevel="1" x14ac:dyDescent="0.25">
      <c r="A3255" s="74">
        <v>4985</v>
      </c>
      <c r="B3255" s="45" t="s">
        <v>664</v>
      </c>
      <c r="C3255" s="60" t="s">
        <v>2866</v>
      </c>
      <c r="D3255" s="60"/>
      <c r="E3255" s="74">
        <v>2022</v>
      </c>
      <c r="F3255" s="74" t="s">
        <v>489</v>
      </c>
      <c r="G3255" s="61">
        <v>1</v>
      </c>
      <c r="H3255" s="45">
        <v>10</v>
      </c>
      <c r="I3255" s="74">
        <v>52.256999999999998</v>
      </c>
    </row>
    <row r="3256" spans="1:9" s="71" customFormat="1" ht="16.5" hidden="1" customHeight="1" outlineLevel="1" x14ac:dyDescent="0.25">
      <c r="A3256" s="74">
        <v>4994</v>
      </c>
      <c r="B3256" s="45" t="s">
        <v>664</v>
      </c>
      <c r="C3256" s="60" t="s">
        <v>2867</v>
      </c>
      <c r="D3256" s="60"/>
      <c r="E3256" s="74">
        <v>2022</v>
      </c>
      <c r="F3256" s="74" t="s">
        <v>489</v>
      </c>
      <c r="G3256" s="61">
        <v>1</v>
      </c>
      <c r="H3256" s="45">
        <v>10</v>
      </c>
      <c r="I3256" s="74">
        <v>47.667999999999999</v>
      </c>
    </row>
    <row r="3257" spans="1:9" s="71" customFormat="1" ht="16.5" hidden="1" customHeight="1" outlineLevel="1" x14ac:dyDescent="0.25">
      <c r="A3257" s="74">
        <v>4995</v>
      </c>
      <c r="B3257" s="45" t="s">
        <v>664</v>
      </c>
      <c r="C3257" s="60" t="s">
        <v>2868</v>
      </c>
      <c r="D3257" s="60"/>
      <c r="E3257" s="74">
        <v>2022</v>
      </c>
      <c r="F3257" s="74" t="s">
        <v>489</v>
      </c>
      <c r="G3257" s="61">
        <v>1</v>
      </c>
      <c r="H3257" s="45">
        <v>15</v>
      </c>
      <c r="I3257" s="74">
        <v>45.239000000000004</v>
      </c>
    </row>
    <row r="3258" spans="1:9" s="71" customFormat="1" ht="16.5" hidden="1" customHeight="1" outlineLevel="1" x14ac:dyDescent="0.25">
      <c r="A3258" s="74">
        <v>4996</v>
      </c>
      <c r="B3258" s="45" t="s">
        <v>664</v>
      </c>
      <c r="C3258" s="60" t="s">
        <v>2869</v>
      </c>
      <c r="D3258" s="60"/>
      <c r="E3258" s="74">
        <v>2022</v>
      </c>
      <c r="F3258" s="74" t="s">
        <v>489</v>
      </c>
      <c r="G3258" s="61">
        <v>1</v>
      </c>
      <c r="H3258" s="45">
        <v>10</v>
      </c>
      <c r="I3258" s="74">
        <v>42.613</v>
      </c>
    </row>
    <row r="3259" spans="1:9" s="71" customFormat="1" ht="16.5" hidden="1" customHeight="1" outlineLevel="1" x14ac:dyDescent="0.25">
      <c r="A3259" s="74">
        <v>4997</v>
      </c>
      <c r="B3259" s="45" t="s">
        <v>664</v>
      </c>
      <c r="C3259" s="60" t="s">
        <v>2870</v>
      </c>
      <c r="D3259" s="60"/>
      <c r="E3259" s="74">
        <v>2022</v>
      </c>
      <c r="F3259" s="74" t="s">
        <v>489</v>
      </c>
      <c r="G3259" s="61">
        <v>1</v>
      </c>
      <c r="H3259" s="45">
        <v>10</v>
      </c>
      <c r="I3259" s="74">
        <v>42.744</v>
      </c>
    </row>
    <row r="3260" spans="1:9" s="71" customFormat="1" ht="16.5" hidden="1" customHeight="1" outlineLevel="1" x14ac:dyDescent="0.25">
      <c r="A3260" s="74">
        <v>4998</v>
      </c>
      <c r="B3260" s="45" t="s">
        <v>664</v>
      </c>
      <c r="C3260" s="60" t="s">
        <v>2871</v>
      </c>
      <c r="D3260" s="60"/>
      <c r="E3260" s="74">
        <v>2022</v>
      </c>
      <c r="F3260" s="74" t="s">
        <v>489</v>
      </c>
      <c r="G3260" s="61">
        <v>1</v>
      </c>
      <c r="H3260" s="45">
        <v>15</v>
      </c>
      <c r="I3260" s="74">
        <v>52.256999999999998</v>
      </c>
    </row>
    <row r="3261" spans="1:9" s="71" customFormat="1" ht="16.5" hidden="1" customHeight="1" outlineLevel="1" x14ac:dyDescent="0.25">
      <c r="A3261" s="74">
        <v>5019</v>
      </c>
      <c r="B3261" s="45" t="s">
        <v>664</v>
      </c>
      <c r="C3261" s="60" t="s">
        <v>2872</v>
      </c>
      <c r="D3261" s="60"/>
      <c r="E3261" s="74">
        <v>2022</v>
      </c>
      <c r="F3261" s="74" t="s">
        <v>489</v>
      </c>
      <c r="G3261" s="61">
        <v>1</v>
      </c>
      <c r="H3261" s="45">
        <v>10</v>
      </c>
      <c r="I3261" s="74">
        <v>45.10772</v>
      </c>
    </row>
    <row r="3262" spans="1:9" s="71" customFormat="1" ht="16.5" hidden="1" customHeight="1" outlineLevel="1" x14ac:dyDescent="0.25">
      <c r="A3262" s="74">
        <v>4857</v>
      </c>
      <c r="B3262" s="45" t="s">
        <v>664</v>
      </c>
      <c r="C3262" s="60" t="s">
        <v>2873</v>
      </c>
      <c r="D3262" s="60"/>
      <c r="E3262" s="74">
        <v>2022</v>
      </c>
      <c r="F3262" s="74" t="s">
        <v>489</v>
      </c>
      <c r="G3262" s="61">
        <v>1</v>
      </c>
      <c r="H3262" s="45">
        <v>15</v>
      </c>
      <c r="I3262" s="74">
        <v>61.674999999999997</v>
      </c>
    </row>
    <row r="3263" spans="1:9" s="71" customFormat="1" ht="16.5" hidden="1" customHeight="1" outlineLevel="1" x14ac:dyDescent="0.25">
      <c r="A3263" s="74">
        <v>4907</v>
      </c>
      <c r="B3263" s="45" t="s">
        <v>664</v>
      </c>
      <c r="C3263" s="60" t="s">
        <v>2874</v>
      </c>
      <c r="D3263" s="60"/>
      <c r="E3263" s="74">
        <v>2022</v>
      </c>
      <c r="F3263" s="74" t="s">
        <v>489</v>
      </c>
      <c r="G3263" s="61">
        <v>1</v>
      </c>
      <c r="H3263" s="45">
        <v>10</v>
      </c>
      <c r="I3263" s="74">
        <v>75.194999999999993</v>
      </c>
    </row>
    <row r="3264" spans="1:9" s="71" customFormat="1" ht="16.5" hidden="1" customHeight="1" outlineLevel="1" x14ac:dyDescent="0.25">
      <c r="A3264" s="74">
        <v>5008</v>
      </c>
      <c r="B3264" s="45" t="s">
        <v>664</v>
      </c>
      <c r="C3264" s="60" t="s">
        <v>2875</v>
      </c>
      <c r="D3264" s="60"/>
      <c r="E3264" s="74">
        <v>2022</v>
      </c>
      <c r="F3264" s="74" t="s">
        <v>489</v>
      </c>
      <c r="G3264" s="61">
        <v>1</v>
      </c>
      <c r="H3264" s="45">
        <v>10</v>
      </c>
      <c r="I3264" s="74">
        <v>38.536999999999999</v>
      </c>
    </row>
    <row r="3265" spans="1:9" s="71" customFormat="1" ht="16.5" hidden="1" customHeight="1" outlineLevel="1" x14ac:dyDescent="0.25">
      <c r="A3265" s="74">
        <v>4705</v>
      </c>
      <c r="B3265" s="45" t="s">
        <v>664</v>
      </c>
      <c r="C3265" s="60" t="s">
        <v>2876</v>
      </c>
      <c r="D3265" s="60"/>
      <c r="E3265" s="74">
        <v>2022</v>
      </c>
      <c r="F3265" s="74" t="s">
        <v>489</v>
      </c>
      <c r="G3265" s="61">
        <v>1</v>
      </c>
      <c r="H3265" s="45">
        <v>13</v>
      </c>
      <c r="I3265" s="74">
        <v>47.313000000000002</v>
      </c>
    </row>
    <row r="3266" spans="1:9" s="71" customFormat="1" ht="16.5" hidden="1" customHeight="1" outlineLevel="1" x14ac:dyDescent="0.25">
      <c r="A3266" s="74">
        <v>4866</v>
      </c>
      <c r="B3266" s="45" t="s">
        <v>664</v>
      </c>
      <c r="C3266" s="60" t="s">
        <v>2877</v>
      </c>
      <c r="D3266" s="60"/>
      <c r="E3266" s="74">
        <v>2022</v>
      </c>
      <c r="F3266" s="74" t="s">
        <v>489</v>
      </c>
      <c r="G3266" s="61">
        <v>1</v>
      </c>
      <c r="H3266" s="45">
        <v>15</v>
      </c>
      <c r="I3266" s="74">
        <v>48.974999999999994</v>
      </c>
    </row>
    <row r="3267" spans="1:9" s="71" customFormat="1" ht="16.5" hidden="1" customHeight="1" outlineLevel="1" x14ac:dyDescent="0.25">
      <c r="A3267" s="74">
        <v>4867</v>
      </c>
      <c r="B3267" s="45" t="s">
        <v>664</v>
      </c>
      <c r="C3267" s="60" t="s">
        <v>2878</v>
      </c>
      <c r="D3267" s="60"/>
      <c r="E3267" s="74">
        <v>2022</v>
      </c>
      <c r="F3267" s="74" t="s">
        <v>489</v>
      </c>
      <c r="G3267" s="61">
        <v>1</v>
      </c>
      <c r="H3267" s="45">
        <v>60.7</v>
      </c>
      <c r="I3267" s="74">
        <v>45.752000000000002</v>
      </c>
    </row>
    <row r="3268" spans="1:9" s="71" customFormat="1" ht="16.5" hidden="1" customHeight="1" outlineLevel="1" x14ac:dyDescent="0.25">
      <c r="A3268" s="74">
        <v>4905</v>
      </c>
      <c r="B3268" s="45" t="s">
        <v>664</v>
      </c>
      <c r="C3268" s="60" t="s">
        <v>2879</v>
      </c>
      <c r="D3268" s="60"/>
      <c r="E3268" s="74">
        <v>2022</v>
      </c>
      <c r="F3268" s="74" t="s">
        <v>489</v>
      </c>
      <c r="G3268" s="61">
        <v>1</v>
      </c>
      <c r="H3268" s="45">
        <v>15</v>
      </c>
      <c r="I3268" s="74">
        <v>68.899000000000001</v>
      </c>
    </row>
    <row r="3269" spans="1:9" s="71" customFormat="1" ht="16.5" hidden="1" customHeight="1" outlineLevel="1" x14ac:dyDescent="0.25">
      <c r="A3269" s="74">
        <v>4946</v>
      </c>
      <c r="B3269" s="45" t="s">
        <v>664</v>
      </c>
      <c r="C3269" s="60" t="s">
        <v>2880</v>
      </c>
      <c r="D3269" s="60"/>
      <c r="E3269" s="74">
        <v>2022</v>
      </c>
      <c r="F3269" s="74" t="s">
        <v>489</v>
      </c>
      <c r="G3269" s="61">
        <v>1</v>
      </c>
      <c r="H3269" s="45">
        <v>10</v>
      </c>
      <c r="I3269" s="74">
        <v>71.884</v>
      </c>
    </row>
    <row r="3270" spans="1:9" s="71" customFormat="1" ht="16.5" hidden="1" customHeight="1" outlineLevel="1" x14ac:dyDescent="0.25">
      <c r="A3270" s="74">
        <v>5002</v>
      </c>
      <c r="B3270" s="45" t="s">
        <v>664</v>
      </c>
      <c r="C3270" s="60" t="s">
        <v>2881</v>
      </c>
      <c r="D3270" s="60"/>
      <c r="E3270" s="74">
        <v>2022</v>
      </c>
      <c r="F3270" s="74" t="s">
        <v>489</v>
      </c>
      <c r="G3270" s="61">
        <v>1</v>
      </c>
      <c r="H3270" s="45">
        <v>10</v>
      </c>
      <c r="I3270" s="74">
        <v>38.299999999999997</v>
      </c>
    </row>
    <row r="3271" spans="1:9" s="71" customFormat="1" ht="16.5" hidden="1" customHeight="1" outlineLevel="1" x14ac:dyDescent="0.25">
      <c r="A3271" s="74">
        <v>5003</v>
      </c>
      <c r="B3271" s="45" t="s">
        <v>664</v>
      </c>
      <c r="C3271" s="60" t="s">
        <v>2882</v>
      </c>
      <c r="D3271" s="60"/>
      <c r="E3271" s="74">
        <v>2022</v>
      </c>
      <c r="F3271" s="74" t="s">
        <v>489</v>
      </c>
      <c r="G3271" s="61">
        <v>1</v>
      </c>
      <c r="H3271" s="45">
        <v>10</v>
      </c>
      <c r="I3271" s="74">
        <v>38.738</v>
      </c>
    </row>
    <row r="3272" spans="1:9" s="71" customFormat="1" ht="16.5" hidden="1" customHeight="1" outlineLevel="1" x14ac:dyDescent="0.25">
      <c r="A3272" s="74">
        <v>5004</v>
      </c>
      <c r="B3272" s="45" t="s">
        <v>664</v>
      </c>
      <c r="C3272" s="60" t="s">
        <v>2883</v>
      </c>
      <c r="D3272" s="60"/>
      <c r="E3272" s="74">
        <v>2022</v>
      </c>
      <c r="F3272" s="74" t="s">
        <v>489</v>
      </c>
      <c r="G3272" s="61">
        <v>1</v>
      </c>
      <c r="H3272" s="45">
        <v>10</v>
      </c>
      <c r="I3272" s="74">
        <v>39.247999999999998</v>
      </c>
    </row>
    <row r="3273" spans="1:9" s="71" customFormat="1" ht="16.5" hidden="1" customHeight="1" outlineLevel="1" x14ac:dyDescent="0.25">
      <c r="A3273" s="74">
        <v>5005</v>
      </c>
      <c r="B3273" s="45" t="s">
        <v>664</v>
      </c>
      <c r="C3273" s="60" t="s">
        <v>2884</v>
      </c>
      <c r="D3273" s="60"/>
      <c r="E3273" s="74">
        <v>2022</v>
      </c>
      <c r="F3273" s="74" t="s">
        <v>489</v>
      </c>
      <c r="G3273" s="61">
        <v>1</v>
      </c>
      <c r="H3273" s="45">
        <v>10</v>
      </c>
      <c r="I3273" s="74">
        <v>38.326999999999998</v>
      </c>
    </row>
    <row r="3274" spans="1:9" s="71" customFormat="1" ht="16.5" hidden="1" customHeight="1" outlineLevel="1" x14ac:dyDescent="0.25">
      <c r="A3274" s="74">
        <v>5009</v>
      </c>
      <c r="B3274" s="45" t="s">
        <v>664</v>
      </c>
      <c r="C3274" s="60" t="s">
        <v>2885</v>
      </c>
      <c r="D3274" s="60"/>
      <c r="E3274" s="74">
        <v>2022</v>
      </c>
      <c r="F3274" s="74" t="s">
        <v>489</v>
      </c>
      <c r="G3274" s="61">
        <v>1</v>
      </c>
      <c r="H3274" s="45">
        <v>10</v>
      </c>
      <c r="I3274" s="74">
        <v>38.635999999999996</v>
      </c>
    </row>
    <row r="3275" spans="1:9" s="71" customFormat="1" ht="16.5" hidden="1" customHeight="1" outlineLevel="1" x14ac:dyDescent="0.25">
      <c r="A3275" s="74">
        <v>5012</v>
      </c>
      <c r="B3275" s="45" t="s">
        <v>664</v>
      </c>
      <c r="C3275" s="60" t="s">
        <v>2886</v>
      </c>
      <c r="D3275" s="60"/>
      <c r="E3275" s="74">
        <v>2022</v>
      </c>
      <c r="F3275" s="74" t="s">
        <v>489</v>
      </c>
      <c r="G3275" s="61">
        <v>1</v>
      </c>
      <c r="H3275" s="45">
        <v>10</v>
      </c>
      <c r="I3275" s="74">
        <v>38.788000000000004</v>
      </c>
    </row>
    <row r="3276" spans="1:9" s="71" customFormat="1" ht="16.5" hidden="1" customHeight="1" outlineLevel="1" x14ac:dyDescent="0.25">
      <c r="A3276" s="74">
        <v>5018</v>
      </c>
      <c r="B3276" s="45" t="s">
        <v>664</v>
      </c>
      <c r="C3276" s="60" t="s">
        <v>2887</v>
      </c>
      <c r="D3276" s="60"/>
      <c r="E3276" s="74">
        <v>2022</v>
      </c>
      <c r="F3276" s="74" t="s">
        <v>489</v>
      </c>
      <c r="G3276" s="61">
        <v>1</v>
      </c>
      <c r="H3276" s="45">
        <v>15</v>
      </c>
      <c r="I3276" s="74">
        <v>38.837000000000003</v>
      </c>
    </row>
    <row r="3277" spans="1:9" s="71" customFormat="1" ht="16.5" hidden="1" customHeight="1" outlineLevel="1" x14ac:dyDescent="0.25">
      <c r="A3277" s="74">
        <v>4888</v>
      </c>
      <c r="B3277" s="45" t="s">
        <v>664</v>
      </c>
      <c r="C3277" s="60" t="s">
        <v>2888</v>
      </c>
      <c r="D3277" s="60"/>
      <c r="E3277" s="74">
        <v>2022</v>
      </c>
      <c r="F3277" s="74" t="s">
        <v>489</v>
      </c>
      <c r="G3277" s="61">
        <v>1</v>
      </c>
      <c r="H3277" s="45">
        <v>15</v>
      </c>
      <c r="I3277" s="74">
        <v>49.320999999999998</v>
      </c>
    </row>
    <row r="3278" spans="1:9" s="71" customFormat="1" ht="16.5" hidden="1" customHeight="1" outlineLevel="1" x14ac:dyDescent="0.25">
      <c r="A3278" s="74">
        <v>4952</v>
      </c>
      <c r="B3278" s="45" t="s">
        <v>664</v>
      </c>
      <c r="C3278" s="60" t="s">
        <v>2889</v>
      </c>
      <c r="D3278" s="60"/>
      <c r="E3278" s="74">
        <v>2022</v>
      </c>
      <c r="F3278" s="74" t="s">
        <v>489</v>
      </c>
      <c r="G3278" s="61">
        <v>1</v>
      </c>
      <c r="H3278" s="45">
        <v>15</v>
      </c>
      <c r="I3278" s="74">
        <v>41.247999999999998</v>
      </c>
    </row>
    <row r="3279" spans="1:9" s="71" customFormat="1" ht="16.5" hidden="1" customHeight="1" outlineLevel="1" x14ac:dyDescent="0.25">
      <c r="A3279" s="74">
        <v>4982</v>
      </c>
      <c r="B3279" s="45" t="s">
        <v>664</v>
      </c>
      <c r="C3279" s="60" t="s">
        <v>2890</v>
      </c>
      <c r="D3279" s="60"/>
      <c r="E3279" s="74">
        <v>2022</v>
      </c>
      <c r="F3279" s="74" t="s">
        <v>489</v>
      </c>
      <c r="G3279" s="61">
        <v>1</v>
      </c>
      <c r="H3279" s="45">
        <v>15</v>
      </c>
      <c r="I3279" s="74">
        <v>40.984999999999999</v>
      </c>
    </row>
    <row r="3280" spans="1:9" s="71" customFormat="1" ht="16.5" hidden="1" customHeight="1" outlineLevel="1" x14ac:dyDescent="0.25">
      <c r="A3280" s="74">
        <v>4990</v>
      </c>
      <c r="B3280" s="45" t="s">
        <v>664</v>
      </c>
      <c r="C3280" s="60" t="s">
        <v>2891</v>
      </c>
      <c r="D3280" s="60"/>
      <c r="E3280" s="74">
        <v>2022</v>
      </c>
      <c r="F3280" s="74" t="s">
        <v>489</v>
      </c>
      <c r="G3280" s="61">
        <v>1</v>
      </c>
      <c r="H3280" s="45">
        <v>15</v>
      </c>
      <c r="I3280" s="74">
        <v>40.919829999999997</v>
      </c>
    </row>
    <row r="3281" spans="1:9" s="71" customFormat="1" ht="16.5" hidden="1" customHeight="1" outlineLevel="1" x14ac:dyDescent="0.25">
      <c r="A3281" s="74">
        <v>4991</v>
      </c>
      <c r="B3281" s="45" t="s">
        <v>664</v>
      </c>
      <c r="C3281" s="60" t="s">
        <v>2892</v>
      </c>
      <c r="D3281" s="60"/>
      <c r="E3281" s="74">
        <v>2022</v>
      </c>
      <c r="F3281" s="74" t="s">
        <v>489</v>
      </c>
      <c r="G3281" s="61">
        <v>1</v>
      </c>
      <c r="H3281" s="45">
        <v>15</v>
      </c>
      <c r="I3281" s="74">
        <v>40.723299999999995</v>
      </c>
    </row>
    <row r="3282" spans="1:9" s="71" customFormat="1" ht="16.5" hidden="1" customHeight="1" outlineLevel="1" x14ac:dyDescent="0.25">
      <c r="A3282" s="74">
        <v>4993</v>
      </c>
      <c r="B3282" s="45" t="s">
        <v>664</v>
      </c>
      <c r="C3282" s="60" t="s">
        <v>2893</v>
      </c>
      <c r="D3282" s="60"/>
      <c r="E3282" s="74">
        <v>2022</v>
      </c>
      <c r="F3282" s="74" t="s">
        <v>489</v>
      </c>
      <c r="G3282" s="61">
        <v>1</v>
      </c>
      <c r="H3282" s="45">
        <v>15</v>
      </c>
      <c r="I3282" s="74">
        <v>41.378</v>
      </c>
    </row>
    <row r="3283" spans="1:9" s="71" customFormat="1" ht="16.5" hidden="1" customHeight="1" outlineLevel="1" x14ac:dyDescent="0.25">
      <c r="A3283" s="74">
        <v>5010</v>
      </c>
      <c r="B3283" s="45" t="s">
        <v>664</v>
      </c>
      <c r="C3283" s="60" t="s">
        <v>2894</v>
      </c>
      <c r="D3283" s="60"/>
      <c r="E3283" s="74">
        <v>2022</v>
      </c>
      <c r="F3283" s="74" t="s">
        <v>489</v>
      </c>
      <c r="G3283" s="61">
        <v>1</v>
      </c>
      <c r="H3283" s="45">
        <v>15</v>
      </c>
      <c r="I3283" s="74">
        <v>40.789000000000001</v>
      </c>
    </row>
    <row r="3284" spans="1:9" s="71" customFormat="1" ht="16.5" hidden="1" customHeight="1" outlineLevel="1" x14ac:dyDescent="0.25">
      <c r="A3284" s="74">
        <v>4847</v>
      </c>
      <c r="B3284" s="45" t="s">
        <v>664</v>
      </c>
      <c r="C3284" s="60" t="s">
        <v>2895</v>
      </c>
      <c r="D3284" s="60"/>
      <c r="E3284" s="74">
        <v>2022</v>
      </c>
      <c r="F3284" s="74" t="s">
        <v>489</v>
      </c>
      <c r="G3284" s="61">
        <v>1</v>
      </c>
      <c r="H3284" s="45">
        <v>7.5</v>
      </c>
      <c r="I3284" s="74">
        <v>50.215000000000003</v>
      </c>
    </row>
    <row r="3285" spans="1:9" s="71" customFormat="1" ht="16.5" hidden="1" customHeight="1" outlineLevel="1" x14ac:dyDescent="0.25">
      <c r="A3285" s="74">
        <v>4875</v>
      </c>
      <c r="B3285" s="45" t="s">
        <v>664</v>
      </c>
      <c r="C3285" s="60" t="s">
        <v>2896</v>
      </c>
      <c r="D3285" s="60"/>
      <c r="E3285" s="74">
        <v>2022</v>
      </c>
      <c r="F3285" s="74" t="s">
        <v>489</v>
      </c>
      <c r="G3285" s="61">
        <v>1</v>
      </c>
      <c r="H3285" s="45">
        <v>15</v>
      </c>
      <c r="I3285" s="74">
        <v>44.689</v>
      </c>
    </row>
    <row r="3286" spans="1:9" s="71" customFormat="1" ht="16.5" hidden="1" customHeight="1" outlineLevel="1" x14ac:dyDescent="0.25">
      <c r="A3286" s="74">
        <v>4968</v>
      </c>
      <c r="B3286" s="45" t="s">
        <v>664</v>
      </c>
      <c r="C3286" s="60" t="s">
        <v>2897</v>
      </c>
      <c r="D3286" s="60"/>
      <c r="E3286" s="74">
        <v>2022</v>
      </c>
      <c r="F3286" s="74" t="s">
        <v>489</v>
      </c>
      <c r="G3286" s="61">
        <v>1</v>
      </c>
      <c r="H3286" s="45">
        <v>10</v>
      </c>
      <c r="I3286" s="74">
        <v>37.524000000000001</v>
      </c>
    </row>
    <row r="3287" spans="1:9" s="71" customFormat="1" ht="16.5" hidden="1" customHeight="1" outlineLevel="1" x14ac:dyDescent="0.25">
      <c r="A3287" s="74">
        <v>5006</v>
      </c>
      <c r="B3287" s="45" t="s">
        <v>664</v>
      </c>
      <c r="C3287" s="60" t="s">
        <v>2898</v>
      </c>
      <c r="D3287" s="60"/>
      <c r="E3287" s="74">
        <v>2022</v>
      </c>
      <c r="F3287" s="74" t="s">
        <v>489</v>
      </c>
      <c r="G3287" s="61">
        <v>1</v>
      </c>
      <c r="H3287" s="45">
        <v>10</v>
      </c>
      <c r="I3287" s="74">
        <v>38.125</v>
      </c>
    </row>
    <row r="3288" spans="1:9" s="71" customFormat="1" ht="16.5" hidden="1" customHeight="1" outlineLevel="1" x14ac:dyDescent="0.25">
      <c r="A3288" s="74">
        <v>5016</v>
      </c>
      <c r="B3288" s="45" t="s">
        <v>664</v>
      </c>
      <c r="C3288" s="60" t="s">
        <v>2899</v>
      </c>
      <c r="D3288" s="60"/>
      <c r="E3288" s="74">
        <v>2022</v>
      </c>
      <c r="F3288" s="74" t="s">
        <v>489</v>
      </c>
      <c r="G3288" s="61">
        <v>1</v>
      </c>
      <c r="H3288" s="45">
        <v>15</v>
      </c>
      <c r="I3288" s="74">
        <v>41.295000000000002</v>
      </c>
    </row>
    <row r="3289" spans="1:9" s="71" customFormat="1" ht="16.5" hidden="1" customHeight="1" outlineLevel="1" x14ac:dyDescent="0.25">
      <c r="A3289" s="74">
        <v>4849</v>
      </c>
      <c r="B3289" s="45" t="s">
        <v>664</v>
      </c>
      <c r="C3289" s="60" t="s">
        <v>2900</v>
      </c>
      <c r="D3289" s="60"/>
      <c r="E3289" s="74">
        <v>2022</v>
      </c>
      <c r="F3289" s="74" t="s">
        <v>489</v>
      </c>
      <c r="G3289" s="61">
        <v>1</v>
      </c>
      <c r="H3289" s="45">
        <v>10</v>
      </c>
      <c r="I3289" s="74">
        <v>42.515000000000001</v>
      </c>
    </row>
    <row r="3290" spans="1:9" s="71" customFormat="1" ht="16.5" hidden="1" customHeight="1" outlineLevel="1" x14ac:dyDescent="0.25">
      <c r="A3290" s="74">
        <v>4850</v>
      </c>
      <c r="B3290" s="45" t="s">
        <v>664</v>
      </c>
      <c r="C3290" s="60" t="s">
        <v>2901</v>
      </c>
      <c r="D3290" s="60"/>
      <c r="E3290" s="74">
        <v>2022</v>
      </c>
      <c r="F3290" s="74" t="s">
        <v>489</v>
      </c>
      <c r="G3290" s="61">
        <v>1</v>
      </c>
      <c r="H3290" s="45">
        <v>10</v>
      </c>
      <c r="I3290" s="74">
        <v>42.530999999999999</v>
      </c>
    </row>
    <row r="3291" spans="1:9" s="71" customFormat="1" ht="16.5" hidden="1" customHeight="1" outlineLevel="1" x14ac:dyDescent="0.25">
      <c r="A3291" s="74">
        <v>4851</v>
      </c>
      <c r="B3291" s="45" t="s">
        <v>664</v>
      </c>
      <c r="C3291" s="60" t="s">
        <v>2902</v>
      </c>
      <c r="D3291" s="60"/>
      <c r="E3291" s="74">
        <v>2022</v>
      </c>
      <c r="F3291" s="74" t="s">
        <v>489</v>
      </c>
      <c r="G3291" s="61">
        <v>1</v>
      </c>
      <c r="H3291" s="45">
        <v>15</v>
      </c>
      <c r="I3291" s="74">
        <v>42.530999999999999</v>
      </c>
    </row>
    <row r="3292" spans="1:9" s="71" customFormat="1" ht="16.5" hidden="1" customHeight="1" outlineLevel="1" x14ac:dyDescent="0.25">
      <c r="A3292" s="74">
        <v>4964</v>
      </c>
      <c r="B3292" s="45" t="s">
        <v>664</v>
      </c>
      <c r="C3292" s="60" t="s">
        <v>2903</v>
      </c>
      <c r="D3292" s="60"/>
      <c r="E3292" s="74">
        <v>2022</v>
      </c>
      <c r="F3292" s="74" t="s">
        <v>489</v>
      </c>
      <c r="G3292" s="61">
        <v>1</v>
      </c>
      <c r="H3292" s="45">
        <v>10</v>
      </c>
      <c r="I3292" s="74">
        <v>61.604750000000003</v>
      </c>
    </row>
    <row r="3293" spans="1:9" s="71" customFormat="1" ht="16.5" hidden="1" customHeight="1" outlineLevel="1" x14ac:dyDescent="0.25">
      <c r="A3293" s="74">
        <v>4965</v>
      </c>
      <c r="B3293" s="45" t="s">
        <v>664</v>
      </c>
      <c r="C3293" s="60" t="s">
        <v>2904</v>
      </c>
      <c r="D3293" s="60"/>
      <c r="E3293" s="74">
        <v>2022</v>
      </c>
      <c r="F3293" s="74" t="s">
        <v>489</v>
      </c>
      <c r="G3293" s="61">
        <v>1</v>
      </c>
      <c r="H3293" s="45">
        <v>10</v>
      </c>
      <c r="I3293" s="74">
        <v>38.961539999999999</v>
      </c>
    </row>
    <row r="3294" spans="1:9" s="71" customFormat="1" ht="16.5" hidden="1" customHeight="1" outlineLevel="1" x14ac:dyDescent="0.25">
      <c r="A3294" s="74">
        <v>4966</v>
      </c>
      <c r="B3294" s="45" t="s">
        <v>664</v>
      </c>
      <c r="C3294" s="60" t="s">
        <v>2905</v>
      </c>
      <c r="D3294" s="60"/>
      <c r="E3294" s="74">
        <v>2022</v>
      </c>
      <c r="F3294" s="74" t="s">
        <v>489</v>
      </c>
      <c r="G3294" s="61">
        <v>1</v>
      </c>
      <c r="H3294" s="45">
        <v>10</v>
      </c>
      <c r="I3294" s="74">
        <v>38.961539999999999</v>
      </c>
    </row>
    <row r="3295" spans="1:9" s="71" customFormat="1" ht="16.5" hidden="1" customHeight="1" outlineLevel="1" x14ac:dyDescent="0.25">
      <c r="A3295" s="74">
        <v>4967</v>
      </c>
      <c r="B3295" s="45" t="s">
        <v>664</v>
      </c>
      <c r="C3295" s="60" t="s">
        <v>2906</v>
      </c>
      <c r="D3295" s="60"/>
      <c r="E3295" s="74">
        <v>2022</v>
      </c>
      <c r="F3295" s="74" t="s">
        <v>489</v>
      </c>
      <c r="G3295" s="61">
        <v>1</v>
      </c>
      <c r="H3295" s="45">
        <v>15</v>
      </c>
      <c r="I3295" s="74">
        <v>39.288999999999994</v>
      </c>
    </row>
    <row r="3296" spans="1:9" s="71" customFormat="1" ht="16.5" hidden="1" customHeight="1" outlineLevel="1" x14ac:dyDescent="0.25">
      <c r="A3296" s="74">
        <v>4970</v>
      </c>
      <c r="B3296" s="45" t="s">
        <v>664</v>
      </c>
      <c r="C3296" s="60" t="s">
        <v>2907</v>
      </c>
      <c r="D3296" s="60"/>
      <c r="E3296" s="74">
        <v>2022</v>
      </c>
      <c r="F3296" s="74" t="s">
        <v>489</v>
      </c>
      <c r="G3296" s="61">
        <v>1</v>
      </c>
      <c r="H3296" s="45">
        <v>10</v>
      </c>
      <c r="I3296" s="74">
        <v>38.386000000000003</v>
      </c>
    </row>
    <row r="3297" spans="1:9" s="71" customFormat="1" ht="16.5" hidden="1" customHeight="1" outlineLevel="1" x14ac:dyDescent="0.25">
      <c r="A3297" s="74">
        <v>4971</v>
      </c>
      <c r="B3297" s="45" t="s">
        <v>664</v>
      </c>
      <c r="C3297" s="60" t="s">
        <v>2908</v>
      </c>
      <c r="D3297" s="60"/>
      <c r="E3297" s="74">
        <v>2022</v>
      </c>
      <c r="F3297" s="74" t="s">
        <v>489</v>
      </c>
      <c r="G3297" s="61">
        <v>1</v>
      </c>
      <c r="H3297" s="45">
        <v>15</v>
      </c>
      <c r="I3297" s="74">
        <v>38.961500000000001</v>
      </c>
    </row>
    <row r="3298" spans="1:9" s="71" customFormat="1" ht="16.5" hidden="1" customHeight="1" outlineLevel="1" x14ac:dyDescent="0.25">
      <c r="A3298" s="74">
        <v>4972</v>
      </c>
      <c r="B3298" s="45" t="s">
        <v>664</v>
      </c>
      <c r="C3298" s="60" t="s">
        <v>2909</v>
      </c>
      <c r="D3298" s="60"/>
      <c r="E3298" s="74">
        <v>2022</v>
      </c>
      <c r="F3298" s="74" t="s">
        <v>489</v>
      </c>
      <c r="G3298" s="61">
        <v>1</v>
      </c>
      <c r="H3298" s="45">
        <v>10</v>
      </c>
      <c r="I3298" s="74">
        <v>39.288999999999994</v>
      </c>
    </row>
    <row r="3299" spans="1:9" s="71" customFormat="1" ht="16.5" hidden="1" customHeight="1" outlineLevel="1" x14ac:dyDescent="0.25">
      <c r="A3299" s="74">
        <v>4973</v>
      </c>
      <c r="B3299" s="45" t="s">
        <v>664</v>
      </c>
      <c r="C3299" s="60" t="s">
        <v>2910</v>
      </c>
      <c r="D3299" s="60"/>
      <c r="E3299" s="74">
        <v>2022</v>
      </c>
      <c r="F3299" s="74" t="s">
        <v>489</v>
      </c>
      <c r="G3299" s="61">
        <v>1</v>
      </c>
      <c r="H3299" s="45">
        <v>10</v>
      </c>
      <c r="I3299" s="74">
        <v>39.288999999999994</v>
      </c>
    </row>
    <row r="3300" spans="1:9" s="71" customFormat="1" ht="16.5" hidden="1" customHeight="1" outlineLevel="1" x14ac:dyDescent="0.25">
      <c r="A3300" s="74">
        <v>4974</v>
      </c>
      <c r="B3300" s="45" t="s">
        <v>664</v>
      </c>
      <c r="C3300" s="60" t="s">
        <v>2911</v>
      </c>
      <c r="D3300" s="60"/>
      <c r="E3300" s="74">
        <v>2022</v>
      </c>
      <c r="F3300" s="74" t="s">
        <v>489</v>
      </c>
      <c r="G3300" s="61">
        <v>1</v>
      </c>
      <c r="H3300" s="45">
        <v>10</v>
      </c>
      <c r="I3300" s="74">
        <v>38.634</v>
      </c>
    </row>
    <row r="3301" spans="1:9" s="71" customFormat="1" ht="16.5" hidden="1" customHeight="1" outlineLevel="1" x14ac:dyDescent="0.25">
      <c r="A3301" s="74">
        <v>4975</v>
      </c>
      <c r="B3301" s="45" t="s">
        <v>664</v>
      </c>
      <c r="C3301" s="60" t="s">
        <v>2912</v>
      </c>
      <c r="D3301" s="60"/>
      <c r="E3301" s="74">
        <v>2022</v>
      </c>
      <c r="F3301" s="74" t="s">
        <v>489</v>
      </c>
      <c r="G3301" s="61">
        <v>1</v>
      </c>
      <c r="H3301" s="45">
        <v>15</v>
      </c>
      <c r="I3301" s="74">
        <v>38.961530000000003</v>
      </c>
    </row>
    <row r="3302" spans="1:9" s="71" customFormat="1" ht="16.5" hidden="1" customHeight="1" outlineLevel="1" x14ac:dyDescent="0.25">
      <c r="A3302" s="74">
        <v>4976</v>
      </c>
      <c r="B3302" s="45" t="s">
        <v>664</v>
      </c>
      <c r="C3302" s="60" t="s">
        <v>2913</v>
      </c>
      <c r="D3302" s="60"/>
      <c r="E3302" s="74">
        <v>2022</v>
      </c>
      <c r="F3302" s="74" t="s">
        <v>489</v>
      </c>
      <c r="G3302" s="61">
        <v>1</v>
      </c>
      <c r="H3302" s="45">
        <v>15</v>
      </c>
      <c r="I3302" s="74">
        <v>38.634</v>
      </c>
    </row>
    <row r="3303" spans="1:9" s="71" customFormat="1" ht="16.5" hidden="1" customHeight="1" outlineLevel="1" x14ac:dyDescent="0.25">
      <c r="A3303" s="74">
        <v>4977</v>
      </c>
      <c r="B3303" s="45" t="s">
        <v>664</v>
      </c>
      <c r="C3303" s="60" t="s">
        <v>2914</v>
      </c>
      <c r="D3303" s="60"/>
      <c r="E3303" s="74">
        <v>2022</v>
      </c>
      <c r="F3303" s="74" t="s">
        <v>489</v>
      </c>
      <c r="G3303" s="61">
        <v>1</v>
      </c>
      <c r="H3303" s="45">
        <v>15</v>
      </c>
      <c r="I3303" s="74">
        <v>39.288999999999994</v>
      </c>
    </row>
    <row r="3304" spans="1:9" s="71" customFormat="1" ht="16.5" hidden="1" customHeight="1" outlineLevel="1" x14ac:dyDescent="0.25">
      <c r="A3304" s="74">
        <v>4978</v>
      </c>
      <c r="B3304" s="45" t="s">
        <v>664</v>
      </c>
      <c r="C3304" s="60" t="s">
        <v>2915</v>
      </c>
      <c r="D3304" s="60"/>
      <c r="E3304" s="74">
        <v>2022</v>
      </c>
      <c r="F3304" s="74" t="s">
        <v>489</v>
      </c>
      <c r="G3304" s="61">
        <v>1</v>
      </c>
      <c r="H3304" s="45">
        <v>10</v>
      </c>
      <c r="I3304" s="74">
        <v>38.386000000000003</v>
      </c>
    </row>
    <row r="3305" spans="1:9" s="71" customFormat="1" ht="16.5" hidden="1" customHeight="1" outlineLevel="1" x14ac:dyDescent="0.25">
      <c r="A3305" s="74">
        <v>4979</v>
      </c>
      <c r="B3305" s="45" t="s">
        <v>664</v>
      </c>
      <c r="C3305" s="60" t="s">
        <v>2916</v>
      </c>
      <c r="D3305" s="60"/>
      <c r="E3305" s="74">
        <v>2022</v>
      </c>
      <c r="F3305" s="74" t="s">
        <v>489</v>
      </c>
      <c r="G3305" s="61">
        <v>1</v>
      </c>
      <c r="H3305" s="45">
        <v>15</v>
      </c>
      <c r="I3305" s="74">
        <v>39.288999999999994</v>
      </c>
    </row>
    <row r="3306" spans="1:9" s="71" customFormat="1" ht="16.5" hidden="1" customHeight="1" outlineLevel="1" x14ac:dyDescent="0.25">
      <c r="A3306" s="74">
        <v>4980</v>
      </c>
      <c r="B3306" s="45" t="s">
        <v>664</v>
      </c>
      <c r="C3306" s="60" t="s">
        <v>2917</v>
      </c>
      <c r="D3306" s="60"/>
      <c r="E3306" s="74">
        <v>2022</v>
      </c>
      <c r="F3306" s="74" t="s">
        <v>489</v>
      </c>
      <c r="G3306" s="61">
        <v>1</v>
      </c>
      <c r="H3306" s="45">
        <v>15</v>
      </c>
      <c r="I3306" s="74">
        <v>39.288999999999994</v>
      </c>
    </row>
    <row r="3307" spans="1:9" s="71" customFormat="1" ht="16.5" hidden="1" customHeight="1" outlineLevel="1" x14ac:dyDescent="0.25">
      <c r="A3307" s="74">
        <v>4981</v>
      </c>
      <c r="B3307" s="45" t="s">
        <v>664</v>
      </c>
      <c r="C3307" s="60" t="s">
        <v>2918</v>
      </c>
      <c r="D3307" s="60"/>
      <c r="E3307" s="74">
        <v>2022</v>
      </c>
      <c r="F3307" s="74" t="s">
        <v>489</v>
      </c>
      <c r="G3307" s="61">
        <v>1</v>
      </c>
      <c r="H3307" s="45">
        <v>15</v>
      </c>
      <c r="I3307" s="74">
        <v>38.059000000000005</v>
      </c>
    </row>
    <row r="3308" spans="1:9" s="71" customFormat="1" ht="16.5" hidden="1" customHeight="1" outlineLevel="1" x14ac:dyDescent="0.25">
      <c r="A3308" s="74">
        <v>4999</v>
      </c>
      <c r="B3308" s="45" t="s">
        <v>664</v>
      </c>
      <c r="C3308" s="60" t="s">
        <v>2919</v>
      </c>
      <c r="D3308" s="60"/>
      <c r="E3308" s="74">
        <v>2022</v>
      </c>
      <c r="F3308" s="74" t="s">
        <v>489</v>
      </c>
      <c r="G3308" s="61">
        <v>1</v>
      </c>
      <c r="H3308" s="45">
        <v>15</v>
      </c>
      <c r="I3308" s="74">
        <v>38.961999999999996</v>
      </c>
    </row>
    <row r="3309" spans="1:9" s="71" customFormat="1" ht="16.5" hidden="1" customHeight="1" outlineLevel="1" x14ac:dyDescent="0.25">
      <c r="A3309" s="74">
        <v>5000</v>
      </c>
      <c r="B3309" s="45" t="s">
        <v>664</v>
      </c>
      <c r="C3309" s="60" t="s">
        <v>2920</v>
      </c>
      <c r="D3309" s="60"/>
      <c r="E3309" s="74">
        <v>2022</v>
      </c>
      <c r="F3309" s="74" t="s">
        <v>489</v>
      </c>
      <c r="G3309" s="61">
        <v>1</v>
      </c>
      <c r="H3309" s="45">
        <v>15</v>
      </c>
      <c r="I3309" s="74">
        <v>38.961000000000006</v>
      </c>
    </row>
    <row r="3310" spans="1:9" s="71" customFormat="1" ht="16.5" hidden="1" customHeight="1" outlineLevel="1" x14ac:dyDescent="0.25">
      <c r="A3310" s="74">
        <v>5001</v>
      </c>
      <c r="B3310" s="45" t="s">
        <v>664</v>
      </c>
      <c r="C3310" s="60" t="s">
        <v>2921</v>
      </c>
      <c r="D3310" s="60"/>
      <c r="E3310" s="74">
        <v>2022</v>
      </c>
      <c r="F3310" s="74" t="s">
        <v>489</v>
      </c>
      <c r="G3310" s="61">
        <v>1</v>
      </c>
      <c r="H3310" s="45">
        <v>15</v>
      </c>
      <c r="I3310" s="74">
        <v>39.288999999999994</v>
      </c>
    </row>
    <row r="3311" spans="1:9" s="71" customFormat="1" ht="16.5" hidden="1" customHeight="1" outlineLevel="1" x14ac:dyDescent="0.25">
      <c r="A3311" s="74">
        <v>5013</v>
      </c>
      <c r="B3311" s="45" t="s">
        <v>664</v>
      </c>
      <c r="C3311" s="60" t="s">
        <v>2922</v>
      </c>
      <c r="D3311" s="60"/>
      <c r="E3311" s="74">
        <v>2022</v>
      </c>
      <c r="F3311" s="74" t="s">
        <v>489</v>
      </c>
      <c r="G3311" s="61">
        <v>1</v>
      </c>
      <c r="H3311" s="45">
        <v>40.200000000000003</v>
      </c>
      <c r="I3311" s="74">
        <v>38.961000000000006</v>
      </c>
    </row>
    <row r="3312" spans="1:9" s="71" customFormat="1" ht="16.5" hidden="1" customHeight="1" outlineLevel="1" x14ac:dyDescent="0.25">
      <c r="A3312" s="74">
        <v>4880</v>
      </c>
      <c r="B3312" s="45" t="s">
        <v>664</v>
      </c>
      <c r="C3312" s="60" t="s">
        <v>2923</v>
      </c>
      <c r="D3312" s="60"/>
      <c r="E3312" s="74">
        <v>2022</v>
      </c>
      <c r="F3312" s="74" t="s">
        <v>489</v>
      </c>
      <c r="G3312" s="61">
        <v>1</v>
      </c>
      <c r="H3312" s="45">
        <v>15</v>
      </c>
      <c r="I3312" s="74">
        <v>69.734000000000009</v>
      </c>
    </row>
    <row r="3313" spans="1:9" s="71" customFormat="1" ht="16.5" hidden="1" customHeight="1" outlineLevel="1" x14ac:dyDescent="0.25">
      <c r="A3313" s="74">
        <v>5023</v>
      </c>
      <c r="B3313" s="45" t="s">
        <v>664</v>
      </c>
      <c r="C3313" s="60" t="s">
        <v>2924</v>
      </c>
      <c r="D3313" s="60"/>
      <c r="E3313" s="74">
        <v>2022</v>
      </c>
      <c r="F3313" s="74" t="s">
        <v>489</v>
      </c>
      <c r="G3313" s="61">
        <v>1</v>
      </c>
      <c r="H3313" s="45">
        <v>14</v>
      </c>
      <c r="I3313" s="74">
        <v>41.550700000000006</v>
      </c>
    </row>
    <row r="3314" spans="1:9" s="71" customFormat="1" ht="16.5" hidden="1" customHeight="1" outlineLevel="1" x14ac:dyDescent="0.25">
      <c r="A3314" s="74">
        <v>5028</v>
      </c>
      <c r="B3314" s="45" t="s">
        <v>664</v>
      </c>
      <c r="C3314" s="60" t="s">
        <v>2925</v>
      </c>
      <c r="D3314" s="60"/>
      <c r="E3314" s="74">
        <v>2022</v>
      </c>
      <c r="F3314" s="74" t="s">
        <v>489</v>
      </c>
      <c r="G3314" s="61">
        <v>1</v>
      </c>
      <c r="H3314" s="45">
        <v>14</v>
      </c>
      <c r="I3314" s="74">
        <v>41.582300000000004</v>
      </c>
    </row>
    <row r="3315" spans="1:9" s="71" customFormat="1" ht="16.5" hidden="1" customHeight="1" outlineLevel="1" x14ac:dyDescent="0.25">
      <c r="A3315" s="74">
        <v>5029</v>
      </c>
      <c r="B3315" s="45" t="s">
        <v>664</v>
      </c>
      <c r="C3315" s="60" t="s">
        <v>2926</v>
      </c>
      <c r="D3315" s="60"/>
      <c r="E3315" s="74">
        <v>2022</v>
      </c>
      <c r="F3315" s="74" t="s">
        <v>489</v>
      </c>
      <c r="G3315" s="61">
        <v>1</v>
      </c>
      <c r="H3315" s="45">
        <v>14</v>
      </c>
      <c r="I3315" s="74">
        <v>41.069500000000005</v>
      </c>
    </row>
    <row r="3316" spans="1:9" s="71" customFormat="1" ht="16.5" hidden="1" customHeight="1" outlineLevel="1" x14ac:dyDescent="0.25">
      <c r="A3316" s="74">
        <v>5040</v>
      </c>
      <c r="B3316" s="45" t="s">
        <v>664</v>
      </c>
      <c r="C3316" s="60" t="s">
        <v>2927</v>
      </c>
      <c r="D3316" s="60"/>
      <c r="E3316" s="74">
        <v>2022</v>
      </c>
      <c r="F3316" s="74" t="s">
        <v>489</v>
      </c>
      <c r="G3316" s="61">
        <v>1</v>
      </c>
      <c r="H3316" s="45">
        <v>15</v>
      </c>
      <c r="I3316" s="74">
        <v>41.069500000000005</v>
      </c>
    </row>
    <row r="3317" spans="1:9" s="71" customFormat="1" ht="16.5" hidden="1" customHeight="1" outlineLevel="1" x14ac:dyDescent="0.25">
      <c r="A3317" s="74">
        <v>4917</v>
      </c>
      <c r="B3317" s="45" t="s">
        <v>664</v>
      </c>
      <c r="C3317" s="60" t="s">
        <v>2928</v>
      </c>
      <c r="D3317" s="60"/>
      <c r="E3317" s="74">
        <v>2022</v>
      </c>
      <c r="F3317" s="74" t="s">
        <v>489</v>
      </c>
      <c r="G3317" s="61">
        <v>1</v>
      </c>
      <c r="H3317" s="45">
        <v>10</v>
      </c>
      <c r="I3317" s="74">
        <v>81.466999999999999</v>
      </c>
    </row>
    <row r="3318" spans="1:9" s="71" customFormat="1" ht="16.5" hidden="1" customHeight="1" outlineLevel="1" x14ac:dyDescent="0.25">
      <c r="A3318" s="74">
        <v>5022</v>
      </c>
      <c r="B3318" s="45" t="s">
        <v>664</v>
      </c>
      <c r="C3318" s="60" t="s">
        <v>2929</v>
      </c>
      <c r="D3318" s="60"/>
      <c r="E3318" s="74">
        <v>2022</v>
      </c>
      <c r="F3318" s="74" t="s">
        <v>489</v>
      </c>
      <c r="G3318" s="61">
        <v>1</v>
      </c>
      <c r="H3318" s="45">
        <v>14.2</v>
      </c>
      <c r="I3318" s="74">
        <v>46.305600000000005</v>
      </c>
    </row>
    <row r="3319" spans="1:9" s="71" customFormat="1" ht="16.5" hidden="1" customHeight="1" outlineLevel="1" x14ac:dyDescent="0.25">
      <c r="A3319" s="74">
        <v>5030</v>
      </c>
      <c r="B3319" s="45" t="s">
        <v>664</v>
      </c>
      <c r="C3319" s="60" t="s">
        <v>2930</v>
      </c>
      <c r="D3319" s="60"/>
      <c r="E3319" s="74">
        <v>2022</v>
      </c>
      <c r="F3319" s="74" t="s">
        <v>489</v>
      </c>
      <c r="G3319" s="61">
        <v>1</v>
      </c>
      <c r="H3319" s="45">
        <v>10.1</v>
      </c>
      <c r="I3319" s="74">
        <v>38.784999999999997</v>
      </c>
    </row>
    <row r="3320" spans="1:9" s="71" customFormat="1" ht="16.5" hidden="1" customHeight="1" outlineLevel="1" x14ac:dyDescent="0.25">
      <c r="A3320" s="74">
        <v>5031</v>
      </c>
      <c r="B3320" s="45" t="s">
        <v>664</v>
      </c>
      <c r="C3320" s="60" t="s">
        <v>2931</v>
      </c>
      <c r="D3320" s="60"/>
      <c r="E3320" s="74">
        <v>2022</v>
      </c>
      <c r="F3320" s="74" t="s">
        <v>489</v>
      </c>
      <c r="G3320" s="61">
        <v>1</v>
      </c>
      <c r="H3320" s="45">
        <v>15</v>
      </c>
      <c r="I3320" s="74">
        <v>38.85</v>
      </c>
    </row>
    <row r="3321" spans="1:9" s="71" customFormat="1" ht="16.5" hidden="1" customHeight="1" outlineLevel="1" x14ac:dyDescent="0.25">
      <c r="A3321" s="74">
        <v>5043</v>
      </c>
      <c r="B3321" s="45" t="s">
        <v>664</v>
      </c>
      <c r="C3321" s="60" t="s">
        <v>2932</v>
      </c>
      <c r="D3321" s="60"/>
      <c r="E3321" s="74">
        <v>2022</v>
      </c>
      <c r="F3321" s="74" t="s">
        <v>489</v>
      </c>
      <c r="G3321" s="61">
        <v>1</v>
      </c>
      <c r="H3321" s="45">
        <v>10</v>
      </c>
      <c r="I3321" s="74">
        <v>46.448</v>
      </c>
    </row>
    <row r="3322" spans="1:9" s="71" customFormat="1" ht="16.5" hidden="1" customHeight="1" outlineLevel="1" x14ac:dyDescent="0.25">
      <c r="A3322" s="74">
        <v>5044</v>
      </c>
      <c r="B3322" s="45" t="s">
        <v>664</v>
      </c>
      <c r="C3322" s="60" t="s">
        <v>2933</v>
      </c>
      <c r="D3322" s="60"/>
      <c r="E3322" s="74">
        <v>2022</v>
      </c>
      <c r="F3322" s="74" t="s">
        <v>489</v>
      </c>
      <c r="G3322" s="61">
        <v>1</v>
      </c>
      <c r="H3322" s="45">
        <v>9</v>
      </c>
      <c r="I3322" s="74">
        <v>46.305</v>
      </c>
    </row>
    <row r="3323" spans="1:9" s="71" customFormat="1" ht="16.5" hidden="1" customHeight="1" outlineLevel="1" x14ac:dyDescent="0.25">
      <c r="A3323" s="74">
        <v>5045</v>
      </c>
      <c r="B3323" s="45" t="s">
        <v>664</v>
      </c>
      <c r="C3323" s="60" t="s">
        <v>2934</v>
      </c>
      <c r="D3323" s="60"/>
      <c r="E3323" s="74">
        <v>2022</v>
      </c>
      <c r="F3323" s="74" t="s">
        <v>489</v>
      </c>
      <c r="G3323" s="61">
        <v>1</v>
      </c>
      <c r="H3323" s="45">
        <v>15</v>
      </c>
      <c r="I3323" s="74">
        <v>38.862000000000002</v>
      </c>
    </row>
    <row r="3324" spans="1:9" s="71" customFormat="1" ht="16.5" hidden="1" customHeight="1" outlineLevel="1" x14ac:dyDescent="0.25">
      <c r="A3324" s="74">
        <v>5047</v>
      </c>
      <c r="B3324" s="45" t="s">
        <v>664</v>
      </c>
      <c r="C3324" s="60" t="s">
        <v>2935</v>
      </c>
      <c r="D3324" s="60"/>
      <c r="E3324" s="74">
        <v>2022</v>
      </c>
      <c r="F3324" s="74" t="s">
        <v>489</v>
      </c>
      <c r="G3324" s="61">
        <v>1</v>
      </c>
      <c r="H3324" s="45">
        <v>15</v>
      </c>
      <c r="I3324" s="74">
        <v>38.914999999999999</v>
      </c>
    </row>
    <row r="3325" spans="1:9" s="71" customFormat="1" ht="16.5" hidden="1" customHeight="1" outlineLevel="1" x14ac:dyDescent="0.25">
      <c r="A3325" s="74">
        <v>5050</v>
      </c>
      <c r="B3325" s="45" t="s">
        <v>664</v>
      </c>
      <c r="C3325" s="60" t="s">
        <v>2936</v>
      </c>
      <c r="D3325" s="60"/>
      <c r="E3325" s="74">
        <v>2022</v>
      </c>
      <c r="F3325" s="74" t="s">
        <v>489</v>
      </c>
      <c r="G3325" s="61">
        <v>2</v>
      </c>
      <c r="H3325" s="45">
        <v>20</v>
      </c>
      <c r="I3325" s="74">
        <v>166.97</v>
      </c>
    </row>
    <row r="3326" spans="1:9" s="71" customFormat="1" ht="16.5" hidden="1" customHeight="1" outlineLevel="1" x14ac:dyDescent="0.25">
      <c r="A3326" s="74">
        <v>5052</v>
      </c>
      <c r="B3326" s="45" t="s">
        <v>664</v>
      </c>
      <c r="C3326" s="60" t="s">
        <v>2937</v>
      </c>
      <c r="D3326" s="60"/>
      <c r="E3326" s="74">
        <v>2022</v>
      </c>
      <c r="F3326" s="74" t="s">
        <v>489</v>
      </c>
      <c r="G3326" s="61">
        <v>1</v>
      </c>
      <c r="H3326" s="45">
        <v>10</v>
      </c>
      <c r="I3326" s="74">
        <v>79.320000000000007</v>
      </c>
    </row>
    <row r="3327" spans="1:9" s="71" customFormat="1" ht="16.5" hidden="1" customHeight="1" outlineLevel="1" x14ac:dyDescent="0.25">
      <c r="A3327" s="74">
        <v>5053</v>
      </c>
      <c r="B3327" s="45" t="s">
        <v>664</v>
      </c>
      <c r="C3327" s="60" t="s">
        <v>2938</v>
      </c>
      <c r="D3327" s="60"/>
      <c r="E3327" s="74">
        <v>2022</v>
      </c>
      <c r="F3327" s="74" t="s">
        <v>489</v>
      </c>
      <c r="G3327" s="61">
        <v>1</v>
      </c>
      <c r="H3327" s="45">
        <v>10</v>
      </c>
      <c r="I3327" s="74">
        <v>79.680000000000007</v>
      </c>
    </row>
    <row r="3328" spans="1:9" s="71" customFormat="1" ht="16.5" hidden="1" customHeight="1" outlineLevel="1" x14ac:dyDescent="0.25">
      <c r="A3328" s="74">
        <v>5055</v>
      </c>
      <c r="B3328" s="45" t="s">
        <v>664</v>
      </c>
      <c r="C3328" s="60" t="s">
        <v>2939</v>
      </c>
      <c r="D3328" s="60"/>
      <c r="E3328" s="74">
        <v>2022</v>
      </c>
      <c r="F3328" s="74" t="s">
        <v>489</v>
      </c>
      <c r="G3328" s="61">
        <v>1</v>
      </c>
      <c r="H3328" s="45">
        <v>10</v>
      </c>
      <c r="I3328" s="74">
        <v>87.573999999999998</v>
      </c>
    </row>
    <row r="3329" spans="1:9" s="71" customFormat="1" ht="16.5" hidden="1" customHeight="1" outlineLevel="1" x14ac:dyDescent="0.25">
      <c r="A3329" s="74">
        <v>4800</v>
      </c>
      <c r="B3329" s="45" t="s">
        <v>664</v>
      </c>
      <c r="C3329" s="60" t="s">
        <v>2940</v>
      </c>
      <c r="D3329" s="60"/>
      <c r="E3329" s="74">
        <v>2022</v>
      </c>
      <c r="F3329" s="74" t="s">
        <v>489</v>
      </c>
      <c r="G3329" s="61">
        <v>1</v>
      </c>
      <c r="H3329" s="45">
        <v>15</v>
      </c>
      <c r="I3329" s="74">
        <v>62.144999999999996</v>
      </c>
    </row>
    <row r="3330" spans="1:9" s="71" customFormat="1" ht="16.5" hidden="1" customHeight="1" outlineLevel="1" x14ac:dyDescent="0.25">
      <c r="A3330" s="74">
        <v>5054</v>
      </c>
      <c r="B3330" s="45" t="s">
        <v>664</v>
      </c>
      <c r="C3330" s="60" t="s">
        <v>2941</v>
      </c>
      <c r="D3330" s="60"/>
      <c r="E3330" s="74">
        <v>2022</v>
      </c>
      <c r="F3330" s="74" t="s">
        <v>489</v>
      </c>
      <c r="G3330" s="61">
        <v>1</v>
      </c>
      <c r="H3330" s="45">
        <v>15</v>
      </c>
      <c r="I3330" s="74">
        <v>91.715000000000003</v>
      </c>
    </row>
    <row r="3331" spans="1:9" s="71" customFormat="1" ht="16.5" hidden="1" customHeight="1" outlineLevel="1" x14ac:dyDescent="0.25">
      <c r="A3331" s="74">
        <v>4913</v>
      </c>
      <c r="B3331" s="45" t="s">
        <v>664</v>
      </c>
      <c r="C3331" s="60" t="s">
        <v>2942</v>
      </c>
      <c r="D3331" s="60"/>
      <c r="E3331" s="74">
        <v>2022</v>
      </c>
      <c r="F3331" s="74" t="s">
        <v>489</v>
      </c>
      <c r="G3331" s="61">
        <v>2</v>
      </c>
      <c r="H3331" s="45">
        <v>20</v>
      </c>
      <c r="I3331" s="74">
        <v>123.482</v>
      </c>
    </row>
    <row r="3332" spans="1:9" s="71" customFormat="1" ht="16.5" hidden="1" customHeight="1" outlineLevel="1" x14ac:dyDescent="0.25">
      <c r="A3332" s="74">
        <v>4948</v>
      </c>
      <c r="B3332" s="45" t="s">
        <v>664</v>
      </c>
      <c r="C3332" s="60" t="s">
        <v>2943</v>
      </c>
      <c r="D3332" s="60"/>
      <c r="E3332" s="74">
        <v>2022</v>
      </c>
      <c r="F3332" s="74" t="s">
        <v>489</v>
      </c>
      <c r="G3332" s="61">
        <v>1</v>
      </c>
      <c r="H3332" s="45">
        <v>15</v>
      </c>
      <c r="I3332" s="74">
        <v>75.962000000000003</v>
      </c>
    </row>
    <row r="3333" spans="1:9" s="71" customFormat="1" ht="16.5" hidden="1" customHeight="1" outlineLevel="1" x14ac:dyDescent="0.25">
      <c r="A3333" s="74">
        <v>5024</v>
      </c>
      <c r="B3333" s="45" t="s">
        <v>664</v>
      </c>
      <c r="C3333" s="60" t="s">
        <v>2944</v>
      </c>
      <c r="D3333" s="60"/>
      <c r="E3333" s="74">
        <v>2022</v>
      </c>
      <c r="F3333" s="74" t="s">
        <v>489</v>
      </c>
      <c r="G3333" s="61">
        <v>1</v>
      </c>
      <c r="H3333" s="45">
        <v>15</v>
      </c>
      <c r="I3333" s="74">
        <v>38.234499999999997</v>
      </c>
    </row>
    <row r="3334" spans="1:9" s="71" customFormat="1" ht="16.5" hidden="1" customHeight="1" outlineLevel="1" x14ac:dyDescent="0.25">
      <c r="A3334" s="74">
        <v>5026</v>
      </c>
      <c r="B3334" s="45" t="s">
        <v>664</v>
      </c>
      <c r="C3334" s="60" t="s">
        <v>2945</v>
      </c>
      <c r="D3334" s="60"/>
      <c r="E3334" s="74">
        <v>2022</v>
      </c>
      <c r="F3334" s="74" t="s">
        <v>489</v>
      </c>
      <c r="G3334" s="61">
        <v>1</v>
      </c>
      <c r="H3334" s="45">
        <v>10</v>
      </c>
      <c r="I3334" s="74">
        <v>38.209699999999998</v>
      </c>
    </row>
    <row r="3335" spans="1:9" s="71" customFormat="1" ht="16.5" hidden="1" customHeight="1" outlineLevel="1" x14ac:dyDescent="0.25">
      <c r="A3335" s="74">
        <v>5032</v>
      </c>
      <c r="B3335" s="45" t="s">
        <v>664</v>
      </c>
      <c r="C3335" s="60" t="s">
        <v>2946</v>
      </c>
      <c r="D3335" s="60"/>
      <c r="E3335" s="74">
        <v>2022</v>
      </c>
      <c r="F3335" s="74" t="s">
        <v>489</v>
      </c>
      <c r="G3335" s="61">
        <v>1</v>
      </c>
      <c r="H3335" s="45">
        <v>10</v>
      </c>
      <c r="I3335" s="74">
        <v>37.637999999999998</v>
      </c>
    </row>
    <row r="3336" spans="1:9" s="71" customFormat="1" ht="16.5" hidden="1" customHeight="1" outlineLevel="1" x14ac:dyDescent="0.25">
      <c r="A3336" s="74">
        <v>5035</v>
      </c>
      <c r="B3336" s="45" t="s">
        <v>664</v>
      </c>
      <c r="C3336" s="60" t="s">
        <v>2947</v>
      </c>
      <c r="D3336" s="60"/>
      <c r="E3336" s="74">
        <v>2022</v>
      </c>
      <c r="F3336" s="74" t="s">
        <v>489</v>
      </c>
      <c r="G3336" s="61">
        <v>1</v>
      </c>
      <c r="H3336" s="45">
        <v>10</v>
      </c>
      <c r="I3336" s="74">
        <v>38.146999999999998</v>
      </c>
    </row>
    <row r="3337" spans="1:9" s="71" customFormat="1" ht="16.5" hidden="1" customHeight="1" outlineLevel="1" x14ac:dyDescent="0.25">
      <c r="A3337" s="74">
        <v>5037</v>
      </c>
      <c r="B3337" s="45" t="s">
        <v>664</v>
      </c>
      <c r="C3337" s="60" t="s">
        <v>2948</v>
      </c>
      <c r="D3337" s="60"/>
      <c r="E3337" s="74">
        <v>2022</v>
      </c>
      <c r="F3337" s="74" t="s">
        <v>489</v>
      </c>
      <c r="G3337" s="61">
        <v>1</v>
      </c>
      <c r="H3337" s="45">
        <v>15</v>
      </c>
      <c r="I3337" s="74">
        <v>35.825000000000003</v>
      </c>
    </row>
    <row r="3338" spans="1:9" s="71" customFormat="1" ht="16.5" hidden="1" customHeight="1" outlineLevel="1" x14ac:dyDescent="0.25">
      <c r="A3338" s="74">
        <v>5038</v>
      </c>
      <c r="B3338" s="45" t="s">
        <v>664</v>
      </c>
      <c r="C3338" s="60" t="s">
        <v>2949</v>
      </c>
      <c r="D3338" s="60"/>
      <c r="E3338" s="74">
        <v>2022</v>
      </c>
      <c r="F3338" s="74" t="s">
        <v>489</v>
      </c>
      <c r="G3338" s="61">
        <v>1</v>
      </c>
      <c r="H3338" s="45">
        <v>10</v>
      </c>
      <c r="I3338" s="74">
        <v>36.401000000000003</v>
      </c>
    </row>
    <row r="3339" spans="1:9" s="71" customFormat="1" ht="16.5" hidden="1" customHeight="1" outlineLevel="1" x14ac:dyDescent="0.25">
      <c r="A3339" s="74">
        <v>5039</v>
      </c>
      <c r="B3339" s="45" t="s">
        <v>664</v>
      </c>
      <c r="C3339" s="60" t="s">
        <v>2950</v>
      </c>
      <c r="D3339" s="60"/>
      <c r="E3339" s="74">
        <v>2022</v>
      </c>
      <c r="F3339" s="74" t="s">
        <v>489</v>
      </c>
      <c r="G3339" s="61">
        <v>1</v>
      </c>
      <c r="H3339" s="45">
        <v>10</v>
      </c>
      <c r="I3339" s="74">
        <v>36.15</v>
      </c>
    </row>
    <row r="3340" spans="1:9" s="71" customFormat="1" ht="16.5" hidden="1" customHeight="1" outlineLevel="1" x14ac:dyDescent="0.25">
      <c r="A3340" s="74">
        <v>5041</v>
      </c>
      <c r="B3340" s="45" t="s">
        <v>664</v>
      </c>
      <c r="C3340" s="60" t="s">
        <v>2951</v>
      </c>
      <c r="D3340" s="60"/>
      <c r="E3340" s="74">
        <v>2022</v>
      </c>
      <c r="F3340" s="74" t="s">
        <v>489</v>
      </c>
      <c r="G3340" s="61">
        <v>1</v>
      </c>
      <c r="H3340" s="45">
        <v>10</v>
      </c>
      <c r="I3340" s="74">
        <v>37.461500000000001</v>
      </c>
    </row>
    <row r="3341" spans="1:9" s="71" customFormat="1" ht="16.5" hidden="1" customHeight="1" outlineLevel="1" x14ac:dyDescent="0.25">
      <c r="A3341" s="74">
        <v>5042</v>
      </c>
      <c r="B3341" s="45" t="s">
        <v>664</v>
      </c>
      <c r="C3341" s="60" t="s">
        <v>2952</v>
      </c>
      <c r="D3341" s="60"/>
      <c r="E3341" s="74">
        <v>2022</v>
      </c>
      <c r="F3341" s="74" t="s">
        <v>489</v>
      </c>
      <c r="G3341" s="61">
        <v>1</v>
      </c>
      <c r="H3341" s="45">
        <v>10</v>
      </c>
      <c r="I3341" s="74">
        <v>37.591999999999999</v>
      </c>
    </row>
    <row r="3342" spans="1:9" s="71" customFormat="1" ht="16.5" hidden="1" customHeight="1" outlineLevel="1" x14ac:dyDescent="0.25">
      <c r="A3342" s="74">
        <v>5046</v>
      </c>
      <c r="B3342" s="45" t="s">
        <v>664</v>
      </c>
      <c r="C3342" s="60" t="s">
        <v>2953</v>
      </c>
      <c r="D3342" s="60"/>
      <c r="E3342" s="74">
        <v>2022</v>
      </c>
      <c r="F3342" s="74" t="s">
        <v>489</v>
      </c>
      <c r="G3342" s="61">
        <v>1</v>
      </c>
      <c r="H3342" s="45">
        <v>10</v>
      </c>
      <c r="I3342" s="74">
        <v>35.280999999999999</v>
      </c>
    </row>
    <row r="3343" spans="1:9" s="71" customFormat="1" ht="16.5" hidden="1" customHeight="1" outlineLevel="1" x14ac:dyDescent="0.25">
      <c r="A3343" s="74">
        <v>4842</v>
      </c>
      <c r="B3343" s="45" t="s">
        <v>664</v>
      </c>
      <c r="C3343" s="60" t="s">
        <v>2954</v>
      </c>
      <c r="D3343" s="60"/>
      <c r="E3343" s="74">
        <v>2022</v>
      </c>
      <c r="F3343" s="74" t="s">
        <v>489</v>
      </c>
      <c r="G3343" s="61">
        <v>1</v>
      </c>
      <c r="H3343" s="45">
        <v>6</v>
      </c>
      <c r="I3343" s="74">
        <v>51.774000000000001</v>
      </c>
    </row>
    <row r="3344" spans="1:9" s="71" customFormat="1" ht="16.5" hidden="1" customHeight="1" outlineLevel="1" x14ac:dyDescent="0.25">
      <c r="A3344" s="74">
        <v>4674</v>
      </c>
      <c r="B3344" s="45" t="s">
        <v>664</v>
      </c>
      <c r="C3344" s="60" t="s">
        <v>2955</v>
      </c>
      <c r="D3344" s="60"/>
      <c r="E3344" s="74">
        <v>2022</v>
      </c>
      <c r="F3344" s="74" t="s">
        <v>489</v>
      </c>
      <c r="G3344" s="61">
        <v>1</v>
      </c>
      <c r="H3344" s="45">
        <v>45.5</v>
      </c>
      <c r="I3344" s="74">
        <v>60.219000000000001</v>
      </c>
    </row>
    <row r="3345" spans="1:9" s="71" customFormat="1" ht="16.5" hidden="1" customHeight="1" outlineLevel="1" x14ac:dyDescent="0.25">
      <c r="A3345" s="74">
        <v>4799</v>
      </c>
      <c r="B3345" s="45" t="s">
        <v>664</v>
      </c>
      <c r="C3345" s="60" t="s">
        <v>2956</v>
      </c>
      <c r="D3345" s="60"/>
      <c r="E3345" s="74">
        <v>2022</v>
      </c>
      <c r="F3345" s="74" t="s">
        <v>489</v>
      </c>
      <c r="G3345" s="61">
        <v>1</v>
      </c>
      <c r="H3345" s="45">
        <v>15</v>
      </c>
      <c r="I3345" s="74">
        <v>59.102000000000004</v>
      </c>
    </row>
    <row r="3346" spans="1:9" s="71" customFormat="1" ht="16.5" hidden="1" customHeight="1" outlineLevel="1" x14ac:dyDescent="0.25">
      <c r="A3346" s="74">
        <v>5049</v>
      </c>
      <c r="B3346" s="45" t="s">
        <v>664</v>
      </c>
      <c r="C3346" s="60" t="s">
        <v>2957</v>
      </c>
      <c r="D3346" s="60"/>
      <c r="E3346" s="74">
        <v>2022</v>
      </c>
      <c r="F3346" s="74" t="s">
        <v>489</v>
      </c>
      <c r="G3346" s="61">
        <v>1</v>
      </c>
      <c r="H3346" s="45">
        <v>15</v>
      </c>
      <c r="I3346" s="74">
        <v>79.228000000000009</v>
      </c>
    </row>
    <row r="3347" spans="1:9" s="71" customFormat="1" ht="16.5" hidden="1" customHeight="1" outlineLevel="1" x14ac:dyDescent="0.25">
      <c r="A3347" s="74">
        <v>5025</v>
      </c>
      <c r="B3347" s="45" t="s">
        <v>664</v>
      </c>
      <c r="C3347" s="60" t="s">
        <v>2958</v>
      </c>
      <c r="D3347" s="60"/>
      <c r="E3347" s="74">
        <v>2022</v>
      </c>
      <c r="F3347" s="74" t="s">
        <v>489</v>
      </c>
      <c r="G3347" s="61">
        <v>1</v>
      </c>
      <c r="H3347" s="45">
        <v>13.9</v>
      </c>
      <c r="I3347" s="74">
        <v>38.036999999999999</v>
      </c>
    </row>
    <row r="3348" spans="1:9" s="71" customFormat="1" ht="16.5" hidden="1" customHeight="1" outlineLevel="1" x14ac:dyDescent="0.25">
      <c r="A3348" s="74">
        <v>5051</v>
      </c>
      <c r="B3348" s="45" t="s">
        <v>664</v>
      </c>
      <c r="C3348" s="60" t="s">
        <v>2959</v>
      </c>
      <c r="D3348" s="60"/>
      <c r="E3348" s="74">
        <v>2022</v>
      </c>
      <c r="F3348" s="74" t="s">
        <v>489</v>
      </c>
      <c r="G3348" s="61">
        <v>1</v>
      </c>
      <c r="H3348" s="45">
        <v>15</v>
      </c>
      <c r="I3348" s="74">
        <v>84.341999999999999</v>
      </c>
    </row>
    <row r="3349" spans="1:9" s="71" customFormat="1" ht="16.5" hidden="1" customHeight="1" outlineLevel="1" x14ac:dyDescent="0.25">
      <c r="A3349" s="74">
        <v>5027</v>
      </c>
      <c r="B3349" s="45" t="s">
        <v>664</v>
      </c>
      <c r="C3349" s="60" t="s">
        <v>2960</v>
      </c>
      <c r="D3349" s="60"/>
      <c r="E3349" s="74">
        <v>2022</v>
      </c>
      <c r="F3349" s="74" t="s">
        <v>489</v>
      </c>
      <c r="G3349" s="61">
        <v>1</v>
      </c>
      <c r="H3349" s="45">
        <v>46</v>
      </c>
      <c r="I3349" s="74">
        <v>35.971000000000004</v>
      </c>
    </row>
    <row r="3350" spans="1:9" s="71" customFormat="1" ht="16.5" hidden="1" customHeight="1" outlineLevel="1" x14ac:dyDescent="0.25">
      <c r="A3350" s="74">
        <v>5036</v>
      </c>
      <c r="B3350" s="45" t="s">
        <v>664</v>
      </c>
      <c r="C3350" s="60" t="s">
        <v>2961</v>
      </c>
      <c r="D3350" s="60"/>
      <c r="E3350" s="74">
        <v>2022</v>
      </c>
      <c r="F3350" s="74" t="s">
        <v>489</v>
      </c>
      <c r="G3350" s="61">
        <v>1</v>
      </c>
      <c r="H3350" s="45">
        <v>14</v>
      </c>
      <c r="I3350" s="74">
        <v>35.977799999999995</v>
      </c>
    </row>
    <row r="3351" spans="1:9" s="71" customFormat="1" ht="16.5" hidden="1" customHeight="1" outlineLevel="1" x14ac:dyDescent="0.25">
      <c r="A3351" s="74">
        <v>4550</v>
      </c>
      <c r="B3351" s="45" t="s">
        <v>664</v>
      </c>
      <c r="C3351" s="60" t="s">
        <v>2962</v>
      </c>
      <c r="D3351" s="60"/>
      <c r="E3351" s="74">
        <v>2022</v>
      </c>
      <c r="F3351" s="74" t="s">
        <v>489</v>
      </c>
      <c r="G3351" s="61">
        <v>1</v>
      </c>
      <c r="H3351" s="45">
        <v>2000</v>
      </c>
      <c r="I3351" s="74">
        <v>368.4</v>
      </c>
    </row>
    <row r="3352" spans="1:9" s="71" customFormat="1" ht="16.5" hidden="1" customHeight="1" outlineLevel="1" x14ac:dyDescent="0.25">
      <c r="A3352" s="74">
        <v>2006</v>
      </c>
      <c r="B3352" s="45" t="s">
        <v>664</v>
      </c>
      <c r="C3352" s="60" t="s">
        <v>2963</v>
      </c>
      <c r="D3352" s="60"/>
      <c r="E3352" s="74">
        <v>2022</v>
      </c>
      <c r="F3352" s="74" t="s">
        <v>489</v>
      </c>
      <c r="G3352" s="61">
        <v>1</v>
      </c>
      <c r="H3352" s="45">
        <v>15</v>
      </c>
      <c r="I3352" s="74">
        <v>42.677999999999997</v>
      </c>
    </row>
    <row r="3353" spans="1:9" s="71" customFormat="1" ht="16.5" hidden="1" customHeight="1" outlineLevel="1" x14ac:dyDescent="0.25">
      <c r="A3353" s="74">
        <v>2066</v>
      </c>
      <c r="B3353" s="45" t="s">
        <v>664</v>
      </c>
      <c r="C3353" s="60" t="s">
        <v>2964</v>
      </c>
      <c r="D3353" s="60"/>
      <c r="E3353" s="74">
        <v>2022</v>
      </c>
      <c r="F3353" s="74" t="s">
        <v>489</v>
      </c>
      <c r="G3353" s="61">
        <v>1</v>
      </c>
      <c r="H3353" s="45">
        <v>80</v>
      </c>
      <c r="I3353" s="74">
        <v>39.92</v>
      </c>
    </row>
    <row r="3354" spans="1:9" s="71" customFormat="1" ht="16.5" hidden="1" customHeight="1" outlineLevel="1" x14ac:dyDescent="0.25">
      <c r="A3354" s="74">
        <v>1944</v>
      </c>
      <c r="B3354" s="45" t="s">
        <v>664</v>
      </c>
      <c r="C3354" s="60" t="s">
        <v>2965</v>
      </c>
      <c r="D3354" s="60"/>
      <c r="E3354" s="74">
        <v>2022</v>
      </c>
      <c r="F3354" s="74" t="s">
        <v>489</v>
      </c>
      <c r="G3354" s="61">
        <v>1</v>
      </c>
      <c r="H3354" s="45">
        <v>40</v>
      </c>
      <c r="I3354" s="74">
        <v>35.625</v>
      </c>
    </row>
    <row r="3355" spans="1:9" s="71" customFormat="1" ht="16.5" hidden="1" customHeight="1" outlineLevel="1" x14ac:dyDescent="0.25">
      <c r="A3355" s="74">
        <v>1891</v>
      </c>
      <c r="B3355" s="45" t="s">
        <v>664</v>
      </c>
      <c r="C3355" s="60" t="s">
        <v>2966</v>
      </c>
      <c r="D3355" s="60"/>
      <c r="E3355" s="74">
        <v>2022</v>
      </c>
      <c r="F3355" s="74" t="s">
        <v>489</v>
      </c>
      <c r="G3355" s="61">
        <v>1</v>
      </c>
      <c r="H3355" s="45">
        <v>150</v>
      </c>
      <c r="I3355" s="74">
        <v>28.065999999999999</v>
      </c>
    </row>
    <row r="3356" spans="1:9" s="71" customFormat="1" ht="16.5" hidden="1" customHeight="1" outlineLevel="1" x14ac:dyDescent="0.25">
      <c r="A3356" s="74">
        <v>2009</v>
      </c>
      <c r="B3356" s="45" t="s">
        <v>664</v>
      </c>
      <c r="C3356" s="60" t="s">
        <v>2967</v>
      </c>
      <c r="D3356" s="60"/>
      <c r="E3356" s="74">
        <v>2022</v>
      </c>
      <c r="F3356" s="74" t="s">
        <v>489</v>
      </c>
      <c r="G3356" s="61">
        <v>1</v>
      </c>
      <c r="H3356" s="45">
        <v>150</v>
      </c>
      <c r="I3356" s="74">
        <v>30.105</v>
      </c>
    </row>
    <row r="3357" spans="1:9" s="71" customFormat="1" ht="16.5" hidden="1" customHeight="1" outlineLevel="1" x14ac:dyDescent="0.25">
      <c r="A3357" s="74">
        <v>2152</v>
      </c>
      <c r="B3357" s="45" t="s">
        <v>664</v>
      </c>
      <c r="C3357" s="60" t="s">
        <v>2968</v>
      </c>
      <c r="D3357" s="60"/>
      <c r="E3357" s="74">
        <v>2022</v>
      </c>
      <c r="F3357" s="74" t="s">
        <v>489</v>
      </c>
      <c r="G3357" s="61">
        <v>1</v>
      </c>
      <c r="H3357" s="45">
        <v>14</v>
      </c>
      <c r="I3357" s="74">
        <v>43.234999999999999</v>
      </c>
    </row>
    <row r="3358" spans="1:9" s="71" customFormat="1" ht="16.5" hidden="1" customHeight="1" outlineLevel="1" x14ac:dyDescent="0.25">
      <c r="A3358" s="74">
        <v>2154</v>
      </c>
      <c r="B3358" s="45" t="s">
        <v>664</v>
      </c>
      <c r="C3358" s="60" t="s">
        <v>2969</v>
      </c>
      <c r="D3358" s="60"/>
      <c r="E3358" s="74">
        <v>2022</v>
      </c>
      <c r="F3358" s="74" t="s">
        <v>489</v>
      </c>
      <c r="G3358" s="61">
        <v>1</v>
      </c>
      <c r="H3358" s="45">
        <v>10</v>
      </c>
      <c r="I3358" s="74">
        <v>36.890999999999998</v>
      </c>
    </row>
    <row r="3359" spans="1:9" s="71" customFormat="1" ht="16.5" hidden="1" customHeight="1" outlineLevel="1" x14ac:dyDescent="0.25">
      <c r="A3359" s="74">
        <v>2155</v>
      </c>
      <c r="B3359" s="45" t="s">
        <v>664</v>
      </c>
      <c r="C3359" s="60" t="s">
        <v>2970</v>
      </c>
      <c r="D3359" s="60"/>
      <c r="E3359" s="74">
        <v>2022</v>
      </c>
      <c r="F3359" s="74" t="s">
        <v>489</v>
      </c>
      <c r="G3359" s="61">
        <v>1</v>
      </c>
      <c r="H3359" s="45">
        <v>8</v>
      </c>
      <c r="I3359" s="74">
        <v>32.186</v>
      </c>
    </row>
    <row r="3360" spans="1:9" s="71" customFormat="1" ht="16.5" hidden="1" customHeight="1" outlineLevel="1" x14ac:dyDescent="0.25">
      <c r="A3360" s="74">
        <v>2156</v>
      </c>
      <c r="B3360" s="45" t="s">
        <v>664</v>
      </c>
      <c r="C3360" s="60" t="s">
        <v>2971</v>
      </c>
      <c r="D3360" s="60"/>
      <c r="E3360" s="74">
        <v>2022</v>
      </c>
      <c r="F3360" s="74" t="s">
        <v>489</v>
      </c>
      <c r="G3360" s="61">
        <v>1</v>
      </c>
      <c r="H3360" s="45">
        <v>15</v>
      </c>
      <c r="I3360" s="74">
        <v>40.241</v>
      </c>
    </row>
    <row r="3361" spans="1:9" s="71" customFormat="1" ht="16.5" hidden="1" customHeight="1" outlineLevel="1" x14ac:dyDescent="0.25">
      <c r="A3361" s="74">
        <v>2159</v>
      </c>
      <c r="B3361" s="45" t="s">
        <v>664</v>
      </c>
      <c r="C3361" s="60" t="s">
        <v>2972</v>
      </c>
      <c r="D3361" s="60"/>
      <c r="E3361" s="74">
        <v>2022</v>
      </c>
      <c r="F3361" s="74" t="s">
        <v>489</v>
      </c>
      <c r="G3361" s="61">
        <v>1</v>
      </c>
      <c r="H3361" s="45">
        <v>1</v>
      </c>
      <c r="I3361" s="74">
        <v>38.44</v>
      </c>
    </row>
    <row r="3362" spans="1:9" s="71" customFormat="1" ht="16.5" hidden="1" customHeight="1" outlineLevel="1" x14ac:dyDescent="0.25">
      <c r="A3362" s="74">
        <v>2161</v>
      </c>
      <c r="B3362" s="45" t="s">
        <v>664</v>
      </c>
      <c r="C3362" s="60" t="s">
        <v>2973</v>
      </c>
      <c r="D3362" s="60"/>
      <c r="E3362" s="74">
        <v>2022</v>
      </c>
      <c r="F3362" s="74" t="s">
        <v>489</v>
      </c>
      <c r="G3362" s="61">
        <v>1</v>
      </c>
      <c r="H3362" s="45">
        <v>10</v>
      </c>
      <c r="I3362" s="74">
        <v>39.097999999999999</v>
      </c>
    </row>
    <row r="3363" spans="1:9" s="71" customFormat="1" ht="16.5" hidden="1" customHeight="1" outlineLevel="1" x14ac:dyDescent="0.25">
      <c r="A3363" s="74">
        <v>2163</v>
      </c>
      <c r="B3363" s="45" t="s">
        <v>664</v>
      </c>
      <c r="C3363" s="60" t="s">
        <v>2974</v>
      </c>
      <c r="D3363" s="60"/>
      <c r="E3363" s="74">
        <v>2022</v>
      </c>
      <c r="F3363" s="74" t="s">
        <v>489</v>
      </c>
      <c r="G3363" s="61">
        <v>1</v>
      </c>
      <c r="H3363" s="45">
        <v>15</v>
      </c>
      <c r="I3363" s="74">
        <v>38.231999999999999</v>
      </c>
    </row>
    <row r="3364" spans="1:9" s="71" customFormat="1" ht="16.5" hidden="1" customHeight="1" outlineLevel="1" x14ac:dyDescent="0.25">
      <c r="A3364" s="74">
        <v>2164</v>
      </c>
      <c r="B3364" s="45" t="s">
        <v>664</v>
      </c>
      <c r="C3364" s="60" t="s">
        <v>2975</v>
      </c>
      <c r="D3364" s="60"/>
      <c r="E3364" s="74">
        <v>2022</v>
      </c>
      <c r="F3364" s="74" t="s">
        <v>489</v>
      </c>
      <c r="G3364" s="61">
        <v>1</v>
      </c>
      <c r="H3364" s="45">
        <v>10</v>
      </c>
      <c r="I3364" s="74">
        <v>46.06</v>
      </c>
    </row>
    <row r="3365" spans="1:9" s="71" customFormat="1" ht="16.5" hidden="1" customHeight="1" outlineLevel="1" x14ac:dyDescent="0.25">
      <c r="A3365" s="74">
        <v>2165</v>
      </c>
      <c r="B3365" s="45" t="s">
        <v>664</v>
      </c>
      <c r="C3365" s="60" t="s">
        <v>2976</v>
      </c>
      <c r="D3365" s="60"/>
      <c r="E3365" s="74">
        <v>2022</v>
      </c>
      <c r="F3365" s="74" t="s">
        <v>489</v>
      </c>
      <c r="G3365" s="61">
        <v>1</v>
      </c>
      <c r="H3365" s="45">
        <v>15</v>
      </c>
      <c r="I3365" s="74">
        <v>41.058</v>
      </c>
    </row>
    <row r="3366" spans="1:9" s="71" customFormat="1" ht="16.5" hidden="1" customHeight="1" outlineLevel="1" x14ac:dyDescent="0.25">
      <c r="A3366" s="74">
        <v>2166</v>
      </c>
      <c r="B3366" s="45" t="s">
        <v>664</v>
      </c>
      <c r="C3366" s="60" t="s">
        <v>2977</v>
      </c>
      <c r="D3366" s="60"/>
      <c r="E3366" s="74">
        <v>2022</v>
      </c>
      <c r="F3366" s="74" t="s">
        <v>489</v>
      </c>
      <c r="G3366" s="61">
        <v>1</v>
      </c>
      <c r="H3366" s="45">
        <v>14</v>
      </c>
      <c r="I3366" s="74">
        <v>35.241</v>
      </c>
    </row>
    <row r="3367" spans="1:9" s="71" customFormat="1" ht="16.5" hidden="1" customHeight="1" outlineLevel="1" x14ac:dyDescent="0.25">
      <c r="A3367" s="74">
        <v>2167</v>
      </c>
      <c r="B3367" s="45" t="s">
        <v>664</v>
      </c>
      <c r="C3367" s="60" t="s">
        <v>2978</v>
      </c>
      <c r="D3367" s="60"/>
      <c r="E3367" s="74">
        <v>2022</v>
      </c>
      <c r="F3367" s="74" t="s">
        <v>489</v>
      </c>
      <c r="G3367" s="61">
        <v>1</v>
      </c>
      <c r="H3367" s="45">
        <v>14</v>
      </c>
      <c r="I3367" s="74">
        <v>43.110999999999997</v>
      </c>
    </row>
    <row r="3368" spans="1:9" s="71" customFormat="1" ht="16.5" hidden="1" customHeight="1" outlineLevel="1" x14ac:dyDescent="0.25">
      <c r="A3368" s="74">
        <v>1838</v>
      </c>
      <c r="B3368" s="45" t="s">
        <v>664</v>
      </c>
      <c r="C3368" s="60" t="s">
        <v>2979</v>
      </c>
      <c r="D3368" s="60"/>
      <c r="E3368" s="74">
        <v>2022</v>
      </c>
      <c r="F3368" s="74" t="s">
        <v>489</v>
      </c>
      <c r="G3368" s="61">
        <v>1</v>
      </c>
      <c r="H3368" s="45">
        <v>15</v>
      </c>
      <c r="I3368" s="74">
        <v>30.209</v>
      </c>
    </row>
    <row r="3369" spans="1:9" s="71" customFormat="1" ht="16.5" hidden="1" customHeight="1" outlineLevel="1" x14ac:dyDescent="0.25">
      <c r="A3369" s="74">
        <v>1871</v>
      </c>
      <c r="B3369" s="45" t="s">
        <v>664</v>
      </c>
      <c r="C3369" s="60" t="s">
        <v>2980</v>
      </c>
      <c r="D3369" s="60"/>
      <c r="E3369" s="74">
        <v>2022</v>
      </c>
      <c r="F3369" s="74" t="s">
        <v>489</v>
      </c>
      <c r="G3369" s="61">
        <v>1</v>
      </c>
      <c r="H3369" s="45">
        <v>10</v>
      </c>
      <c r="I3369" s="74">
        <v>37.267000000000003</v>
      </c>
    </row>
    <row r="3370" spans="1:9" s="71" customFormat="1" ht="16.5" hidden="1" customHeight="1" outlineLevel="1" x14ac:dyDescent="0.25">
      <c r="A3370" s="74">
        <v>1878</v>
      </c>
      <c r="B3370" s="45" t="s">
        <v>664</v>
      </c>
      <c r="C3370" s="60" t="s">
        <v>2981</v>
      </c>
      <c r="D3370" s="60"/>
      <c r="E3370" s="74">
        <v>2022</v>
      </c>
      <c r="F3370" s="74" t="s">
        <v>489</v>
      </c>
      <c r="G3370" s="61">
        <v>5</v>
      </c>
      <c r="H3370" s="45">
        <v>59</v>
      </c>
      <c r="I3370" s="74">
        <v>184.80699999999999</v>
      </c>
    </row>
    <row r="3371" spans="1:9" s="71" customFormat="1" ht="16.5" hidden="1" customHeight="1" outlineLevel="1" x14ac:dyDescent="0.25">
      <c r="A3371" s="74">
        <v>1895</v>
      </c>
      <c r="B3371" s="45" t="s">
        <v>664</v>
      </c>
      <c r="C3371" s="60" t="s">
        <v>2982</v>
      </c>
      <c r="D3371" s="60"/>
      <c r="E3371" s="74">
        <v>2022</v>
      </c>
      <c r="F3371" s="74" t="s">
        <v>489</v>
      </c>
      <c r="G3371" s="61">
        <v>2</v>
      </c>
      <c r="H3371" s="45">
        <v>52</v>
      </c>
      <c r="I3371" s="74">
        <v>77.760000000000005</v>
      </c>
    </row>
    <row r="3372" spans="1:9" s="71" customFormat="1" ht="16.5" hidden="1" customHeight="1" outlineLevel="1" x14ac:dyDescent="0.25">
      <c r="A3372" s="74">
        <v>1896</v>
      </c>
      <c r="B3372" s="45" t="s">
        <v>664</v>
      </c>
      <c r="C3372" s="60" t="s">
        <v>2983</v>
      </c>
      <c r="D3372" s="60"/>
      <c r="E3372" s="74">
        <v>2022</v>
      </c>
      <c r="F3372" s="74" t="s">
        <v>489</v>
      </c>
      <c r="G3372" s="61">
        <v>3</v>
      </c>
      <c r="H3372" s="45">
        <v>22</v>
      </c>
      <c r="I3372" s="74">
        <v>115.16800000000001</v>
      </c>
    </row>
    <row r="3373" spans="1:9" s="71" customFormat="1" ht="16.5" hidden="1" customHeight="1" outlineLevel="1" x14ac:dyDescent="0.25">
      <c r="A3373" s="74">
        <v>1913</v>
      </c>
      <c r="B3373" s="45" t="s">
        <v>664</v>
      </c>
      <c r="C3373" s="60" t="s">
        <v>2984</v>
      </c>
      <c r="D3373" s="60"/>
      <c r="E3373" s="74">
        <v>2022</v>
      </c>
      <c r="F3373" s="74" t="s">
        <v>489</v>
      </c>
      <c r="G3373" s="61">
        <v>1</v>
      </c>
      <c r="H3373" s="45">
        <v>15</v>
      </c>
      <c r="I3373" s="74">
        <v>45.29</v>
      </c>
    </row>
    <row r="3374" spans="1:9" s="71" customFormat="1" ht="16.5" hidden="1" customHeight="1" outlineLevel="1" x14ac:dyDescent="0.25">
      <c r="A3374" s="74">
        <v>1915</v>
      </c>
      <c r="B3374" s="45" t="s">
        <v>664</v>
      </c>
      <c r="C3374" s="60" t="s">
        <v>2985</v>
      </c>
      <c r="D3374" s="60"/>
      <c r="E3374" s="74">
        <v>2022</v>
      </c>
      <c r="F3374" s="74" t="s">
        <v>489</v>
      </c>
      <c r="G3374" s="61">
        <v>1</v>
      </c>
      <c r="H3374" s="45">
        <v>10</v>
      </c>
      <c r="I3374" s="74">
        <v>36.097000000000001</v>
      </c>
    </row>
    <row r="3375" spans="1:9" s="71" customFormat="1" ht="16.5" hidden="1" customHeight="1" outlineLevel="1" x14ac:dyDescent="0.25">
      <c r="A3375" s="74">
        <v>1952</v>
      </c>
      <c r="B3375" s="45" t="s">
        <v>664</v>
      </c>
      <c r="C3375" s="60" t="s">
        <v>2986</v>
      </c>
      <c r="D3375" s="60"/>
      <c r="E3375" s="74">
        <v>2022</v>
      </c>
      <c r="F3375" s="74" t="s">
        <v>489</v>
      </c>
      <c r="G3375" s="61">
        <v>1</v>
      </c>
      <c r="H3375" s="45">
        <v>15</v>
      </c>
      <c r="I3375" s="74">
        <v>40.389000000000003</v>
      </c>
    </row>
    <row r="3376" spans="1:9" s="71" customFormat="1" ht="16.5" hidden="1" customHeight="1" outlineLevel="1" x14ac:dyDescent="0.25">
      <c r="A3376" s="74">
        <v>1960</v>
      </c>
      <c r="B3376" s="45" t="s">
        <v>664</v>
      </c>
      <c r="C3376" s="60" t="s">
        <v>2987</v>
      </c>
      <c r="D3376" s="60"/>
      <c r="E3376" s="74">
        <v>2022</v>
      </c>
      <c r="F3376" s="74" t="s">
        <v>489</v>
      </c>
      <c r="G3376" s="61">
        <v>1</v>
      </c>
      <c r="H3376" s="45">
        <v>15</v>
      </c>
      <c r="I3376" s="74">
        <v>34.713999999999999</v>
      </c>
    </row>
    <row r="3377" spans="1:9" s="71" customFormat="1" ht="16.5" hidden="1" customHeight="1" outlineLevel="1" x14ac:dyDescent="0.25">
      <c r="A3377" s="74">
        <v>1961</v>
      </c>
      <c r="B3377" s="45" t="s">
        <v>664</v>
      </c>
      <c r="C3377" s="60" t="s">
        <v>2988</v>
      </c>
      <c r="D3377" s="60"/>
      <c r="E3377" s="74">
        <v>2022</v>
      </c>
      <c r="F3377" s="74" t="s">
        <v>489</v>
      </c>
      <c r="G3377" s="61">
        <v>1</v>
      </c>
      <c r="H3377" s="45">
        <v>5</v>
      </c>
      <c r="I3377" s="74">
        <v>43.725999999999999</v>
      </c>
    </row>
    <row r="3378" spans="1:9" s="71" customFormat="1" ht="16.5" hidden="1" customHeight="1" outlineLevel="1" x14ac:dyDescent="0.25">
      <c r="A3378" s="74">
        <v>1972</v>
      </c>
      <c r="B3378" s="45" t="s">
        <v>664</v>
      </c>
      <c r="C3378" s="60" t="s">
        <v>2989</v>
      </c>
      <c r="D3378" s="60"/>
      <c r="E3378" s="74">
        <v>2022</v>
      </c>
      <c r="F3378" s="74" t="s">
        <v>489</v>
      </c>
      <c r="G3378" s="61">
        <v>1</v>
      </c>
      <c r="H3378" s="45">
        <v>15</v>
      </c>
      <c r="I3378" s="74">
        <v>34.75</v>
      </c>
    </row>
    <row r="3379" spans="1:9" s="71" customFormat="1" ht="16.5" hidden="1" customHeight="1" outlineLevel="1" x14ac:dyDescent="0.25">
      <c r="A3379" s="74">
        <v>2026</v>
      </c>
      <c r="B3379" s="45" t="s">
        <v>664</v>
      </c>
      <c r="C3379" s="60" t="s">
        <v>2990</v>
      </c>
      <c r="D3379" s="60"/>
      <c r="E3379" s="74">
        <v>2022</v>
      </c>
      <c r="F3379" s="74" t="s">
        <v>489</v>
      </c>
      <c r="G3379" s="61">
        <v>1</v>
      </c>
      <c r="H3379" s="45">
        <v>15</v>
      </c>
      <c r="I3379" s="74">
        <v>37.726999999999997</v>
      </c>
    </row>
    <row r="3380" spans="1:9" s="71" customFormat="1" ht="16.5" hidden="1" customHeight="1" outlineLevel="1" x14ac:dyDescent="0.25">
      <c r="A3380" s="74">
        <v>2028</v>
      </c>
      <c r="B3380" s="45" t="s">
        <v>664</v>
      </c>
      <c r="C3380" s="60" t="s">
        <v>2991</v>
      </c>
      <c r="D3380" s="60"/>
      <c r="E3380" s="74">
        <v>2022</v>
      </c>
      <c r="F3380" s="74" t="s">
        <v>489</v>
      </c>
      <c r="G3380" s="61">
        <v>1</v>
      </c>
      <c r="H3380" s="45">
        <v>15</v>
      </c>
      <c r="I3380" s="74">
        <v>36.497999999999998</v>
      </c>
    </row>
    <row r="3381" spans="1:9" s="71" customFormat="1" ht="16.5" hidden="1" customHeight="1" outlineLevel="1" x14ac:dyDescent="0.25">
      <c r="A3381" s="74">
        <v>2031</v>
      </c>
      <c r="B3381" s="45" t="s">
        <v>664</v>
      </c>
      <c r="C3381" s="60" t="s">
        <v>2992</v>
      </c>
      <c r="D3381" s="60"/>
      <c r="E3381" s="74">
        <v>2022</v>
      </c>
      <c r="F3381" s="74" t="s">
        <v>489</v>
      </c>
      <c r="G3381" s="61">
        <v>1</v>
      </c>
      <c r="H3381" s="45">
        <v>15</v>
      </c>
      <c r="I3381" s="74">
        <v>30.221</v>
      </c>
    </row>
    <row r="3382" spans="1:9" s="71" customFormat="1" ht="16.5" hidden="1" customHeight="1" outlineLevel="1" x14ac:dyDescent="0.25">
      <c r="A3382" s="74">
        <v>2032</v>
      </c>
      <c r="B3382" s="45" t="s">
        <v>664</v>
      </c>
      <c r="C3382" s="60" t="s">
        <v>2993</v>
      </c>
      <c r="D3382" s="60"/>
      <c r="E3382" s="74">
        <v>2022</v>
      </c>
      <c r="F3382" s="74" t="s">
        <v>489</v>
      </c>
      <c r="G3382" s="61">
        <v>1</v>
      </c>
      <c r="H3382" s="45">
        <v>15</v>
      </c>
      <c r="I3382" s="74">
        <v>26.541</v>
      </c>
    </row>
    <row r="3383" spans="1:9" s="71" customFormat="1" ht="16.5" hidden="1" customHeight="1" outlineLevel="1" x14ac:dyDescent="0.25">
      <c r="A3383" s="74">
        <v>2035</v>
      </c>
      <c r="B3383" s="45" t="s">
        <v>664</v>
      </c>
      <c r="C3383" s="60" t="s">
        <v>2994</v>
      </c>
      <c r="D3383" s="60"/>
      <c r="E3383" s="74">
        <v>2022</v>
      </c>
      <c r="F3383" s="74" t="s">
        <v>489</v>
      </c>
      <c r="G3383" s="61">
        <v>1</v>
      </c>
      <c r="H3383" s="45">
        <v>15</v>
      </c>
      <c r="I3383" s="74">
        <v>33.362000000000002</v>
      </c>
    </row>
    <row r="3384" spans="1:9" s="71" customFormat="1" ht="16.5" hidden="1" customHeight="1" outlineLevel="1" x14ac:dyDescent="0.25">
      <c r="A3384" s="74">
        <v>2036</v>
      </c>
      <c r="B3384" s="45" t="s">
        <v>664</v>
      </c>
      <c r="C3384" s="60" t="s">
        <v>2995</v>
      </c>
      <c r="D3384" s="60"/>
      <c r="E3384" s="74">
        <v>2022</v>
      </c>
      <c r="F3384" s="74" t="s">
        <v>489</v>
      </c>
      <c r="G3384" s="61">
        <v>1</v>
      </c>
      <c r="H3384" s="45">
        <v>15</v>
      </c>
      <c r="I3384" s="74">
        <v>33.335999999999999</v>
      </c>
    </row>
    <row r="3385" spans="1:9" s="71" customFormat="1" ht="16.5" hidden="1" customHeight="1" outlineLevel="1" x14ac:dyDescent="0.25">
      <c r="A3385" s="74">
        <v>2038</v>
      </c>
      <c r="B3385" s="45" t="s">
        <v>664</v>
      </c>
      <c r="C3385" s="60" t="s">
        <v>2996</v>
      </c>
      <c r="D3385" s="60"/>
      <c r="E3385" s="74">
        <v>2022</v>
      </c>
      <c r="F3385" s="74" t="s">
        <v>489</v>
      </c>
      <c r="G3385" s="61">
        <v>1</v>
      </c>
      <c r="H3385" s="45">
        <v>10</v>
      </c>
      <c r="I3385" s="74">
        <v>37.01</v>
      </c>
    </row>
    <row r="3386" spans="1:9" s="71" customFormat="1" ht="16.5" hidden="1" customHeight="1" outlineLevel="1" x14ac:dyDescent="0.25">
      <c r="A3386" s="74">
        <v>2042</v>
      </c>
      <c r="B3386" s="45" t="s">
        <v>664</v>
      </c>
      <c r="C3386" s="60" t="s">
        <v>2997</v>
      </c>
      <c r="D3386" s="60"/>
      <c r="E3386" s="74">
        <v>2022</v>
      </c>
      <c r="F3386" s="74" t="s">
        <v>489</v>
      </c>
      <c r="G3386" s="61">
        <v>1</v>
      </c>
      <c r="H3386" s="45">
        <v>15</v>
      </c>
      <c r="I3386" s="74">
        <v>31.364000000000001</v>
      </c>
    </row>
    <row r="3387" spans="1:9" s="71" customFormat="1" ht="16.5" hidden="1" customHeight="1" outlineLevel="1" x14ac:dyDescent="0.25">
      <c r="A3387" s="74">
        <v>2045</v>
      </c>
      <c r="B3387" s="45" t="s">
        <v>664</v>
      </c>
      <c r="C3387" s="60" t="s">
        <v>2998</v>
      </c>
      <c r="D3387" s="60"/>
      <c r="E3387" s="74">
        <v>2022</v>
      </c>
      <c r="F3387" s="74" t="s">
        <v>489</v>
      </c>
      <c r="G3387" s="61">
        <v>1</v>
      </c>
      <c r="H3387" s="45">
        <v>15</v>
      </c>
      <c r="I3387" s="74">
        <v>31.902000000000001</v>
      </c>
    </row>
    <row r="3388" spans="1:9" s="71" customFormat="1" ht="16.5" hidden="1" customHeight="1" outlineLevel="1" x14ac:dyDescent="0.25">
      <c r="A3388" s="74">
        <v>2046</v>
      </c>
      <c r="B3388" s="45" t="s">
        <v>664</v>
      </c>
      <c r="C3388" s="60" t="s">
        <v>2999</v>
      </c>
      <c r="D3388" s="60"/>
      <c r="E3388" s="74">
        <v>2022</v>
      </c>
      <c r="F3388" s="74" t="s">
        <v>489</v>
      </c>
      <c r="G3388" s="61">
        <v>1</v>
      </c>
      <c r="H3388" s="45">
        <v>15</v>
      </c>
      <c r="I3388" s="74">
        <v>37.070999999999998</v>
      </c>
    </row>
    <row r="3389" spans="1:9" s="71" customFormat="1" ht="16.5" hidden="1" customHeight="1" outlineLevel="1" x14ac:dyDescent="0.25">
      <c r="A3389" s="74">
        <v>2076</v>
      </c>
      <c r="B3389" s="45" t="s">
        <v>664</v>
      </c>
      <c r="C3389" s="60" t="s">
        <v>3000</v>
      </c>
      <c r="D3389" s="60"/>
      <c r="E3389" s="74">
        <v>2022</v>
      </c>
      <c r="F3389" s="74" t="s">
        <v>489</v>
      </c>
      <c r="G3389" s="61">
        <v>1</v>
      </c>
      <c r="H3389" s="45">
        <v>10</v>
      </c>
      <c r="I3389" s="74">
        <v>43.029000000000003</v>
      </c>
    </row>
    <row r="3390" spans="1:9" s="71" customFormat="1" ht="16.5" hidden="1" customHeight="1" outlineLevel="1" x14ac:dyDescent="0.25">
      <c r="A3390" s="74">
        <v>2079</v>
      </c>
      <c r="B3390" s="45" t="s">
        <v>664</v>
      </c>
      <c r="C3390" s="60" t="s">
        <v>3001</v>
      </c>
      <c r="D3390" s="60"/>
      <c r="E3390" s="74">
        <v>2022</v>
      </c>
      <c r="F3390" s="74" t="s">
        <v>489</v>
      </c>
      <c r="G3390" s="61">
        <v>1</v>
      </c>
      <c r="H3390" s="45">
        <v>15</v>
      </c>
      <c r="I3390" s="74">
        <v>40.362000000000002</v>
      </c>
    </row>
    <row r="3391" spans="1:9" s="71" customFormat="1" ht="16.5" hidden="1" customHeight="1" outlineLevel="1" x14ac:dyDescent="0.25">
      <c r="A3391" s="74">
        <v>2080</v>
      </c>
      <c r="B3391" s="45" t="s">
        <v>664</v>
      </c>
      <c r="C3391" s="60" t="s">
        <v>3002</v>
      </c>
      <c r="D3391" s="60"/>
      <c r="E3391" s="74">
        <v>2022</v>
      </c>
      <c r="F3391" s="74" t="s">
        <v>489</v>
      </c>
      <c r="G3391" s="61">
        <v>1</v>
      </c>
      <c r="H3391" s="45">
        <v>15</v>
      </c>
      <c r="I3391" s="74">
        <v>39.017000000000003</v>
      </c>
    </row>
    <row r="3392" spans="1:9" s="71" customFormat="1" ht="16.5" hidden="1" customHeight="1" outlineLevel="1" x14ac:dyDescent="0.25">
      <c r="A3392" s="74">
        <v>2087</v>
      </c>
      <c r="B3392" s="45" t="s">
        <v>664</v>
      </c>
      <c r="C3392" s="60" t="s">
        <v>3003</v>
      </c>
      <c r="D3392" s="60"/>
      <c r="E3392" s="74">
        <v>2022</v>
      </c>
      <c r="F3392" s="74" t="s">
        <v>489</v>
      </c>
      <c r="G3392" s="61">
        <v>1</v>
      </c>
      <c r="H3392" s="45">
        <v>15</v>
      </c>
      <c r="I3392" s="74">
        <v>40.362000000000002</v>
      </c>
    </row>
    <row r="3393" spans="1:9" s="71" customFormat="1" ht="16.5" hidden="1" customHeight="1" outlineLevel="1" x14ac:dyDescent="0.25">
      <c r="A3393" s="74">
        <v>2091</v>
      </c>
      <c r="B3393" s="45" t="s">
        <v>664</v>
      </c>
      <c r="C3393" s="60" t="s">
        <v>3004</v>
      </c>
      <c r="D3393" s="60"/>
      <c r="E3393" s="74">
        <v>2022</v>
      </c>
      <c r="F3393" s="74" t="s">
        <v>489</v>
      </c>
      <c r="G3393" s="61">
        <v>1</v>
      </c>
      <c r="H3393" s="45">
        <v>15</v>
      </c>
      <c r="I3393" s="74">
        <v>26.042999999999999</v>
      </c>
    </row>
    <row r="3394" spans="1:9" s="71" customFormat="1" ht="16.5" hidden="1" customHeight="1" outlineLevel="1" x14ac:dyDescent="0.25">
      <c r="A3394" s="74">
        <v>2094</v>
      </c>
      <c r="B3394" s="45" t="s">
        <v>664</v>
      </c>
      <c r="C3394" s="60" t="s">
        <v>3005</v>
      </c>
      <c r="D3394" s="60"/>
      <c r="E3394" s="74">
        <v>2022</v>
      </c>
      <c r="F3394" s="74" t="s">
        <v>489</v>
      </c>
      <c r="G3394" s="61">
        <v>1</v>
      </c>
      <c r="H3394" s="45">
        <v>15</v>
      </c>
      <c r="I3394" s="74">
        <v>31.652000000000001</v>
      </c>
    </row>
    <row r="3395" spans="1:9" s="71" customFormat="1" ht="16.5" hidden="1" customHeight="1" outlineLevel="1" x14ac:dyDescent="0.25">
      <c r="A3395" s="74">
        <v>2095</v>
      </c>
      <c r="B3395" s="45" t="s">
        <v>664</v>
      </c>
      <c r="C3395" s="60" t="s">
        <v>3006</v>
      </c>
      <c r="D3395" s="60"/>
      <c r="E3395" s="74">
        <v>2022</v>
      </c>
      <c r="F3395" s="74" t="s">
        <v>489</v>
      </c>
      <c r="G3395" s="61">
        <v>1</v>
      </c>
      <c r="H3395" s="45">
        <v>15</v>
      </c>
      <c r="I3395" s="74">
        <v>36.276000000000003</v>
      </c>
    </row>
    <row r="3396" spans="1:9" s="71" customFormat="1" ht="16.5" hidden="1" customHeight="1" outlineLevel="1" x14ac:dyDescent="0.25">
      <c r="A3396" s="74">
        <v>2097</v>
      </c>
      <c r="B3396" s="45" t="s">
        <v>664</v>
      </c>
      <c r="C3396" s="60" t="s">
        <v>3007</v>
      </c>
      <c r="D3396" s="60"/>
      <c r="E3396" s="74">
        <v>2022</v>
      </c>
      <c r="F3396" s="74" t="s">
        <v>489</v>
      </c>
      <c r="G3396" s="61">
        <v>1</v>
      </c>
      <c r="H3396" s="45">
        <v>5</v>
      </c>
      <c r="I3396" s="74">
        <v>45.56</v>
      </c>
    </row>
    <row r="3397" spans="1:9" s="71" customFormat="1" ht="16.5" hidden="1" customHeight="1" outlineLevel="1" x14ac:dyDescent="0.25">
      <c r="A3397" s="74">
        <v>2108</v>
      </c>
      <c r="B3397" s="45" t="s">
        <v>664</v>
      </c>
      <c r="C3397" s="60" t="s">
        <v>3008</v>
      </c>
      <c r="D3397" s="60"/>
      <c r="E3397" s="74">
        <v>2022</v>
      </c>
      <c r="F3397" s="74" t="s">
        <v>489</v>
      </c>
      <c r="G3397" s="61">
        <v>1</v>
      </c>
      <c r="H3397" s="45">
        <v>15</v>
      </c>
      <c r="I3397" s="74">
        <v>37.296999999999997</v>
      </c>
    </row>
    <row r="3398" spans="1:9" s="71" customFormat="1" ht="16.5" hidden="1" customHeight="1" outlineLevel="1" x14ac:dyDescent="0.25">
      <c r="A3398" s="74">
        <v>2111</v>
      </c>
      <c r="B3398" s="45" t="s">
        <v>664</v>
      </c>
      <c r="C3398" s="60" t="s">
        <v>3009</v>
      </c>
      <c r="D3398" s="60"/>
      <c r="E3398" s="74">
        <v>2022</v>
      </c>
      <c r="F3398" s="74" t="s">
        <v>489</v>
      </c>
      <c r="G3398" s="61">
        <v>1</v>
      </c>
      <c r="H3398" s="45">
        <v>15</v>
      </c>
      <c r="I3398" s="74">
        <v>36.465000000000003</v>
      </c>
    </row>
    <row r="3399" spans="1:9" s="71" customFormat="1" ht="16.5" hidden="1" customHeight="1" outlineLevel="1" x14ac:dyDescent="0.25">
      <c r="A3399" s="74">
        <v>2116</v>
      </c>
      <c r="B3399" s="45" t="s">
        <v>664</v>
      </c>
      <c r="C3399" s="60" t="s">
        <v>3010</v>
      </c>
      <c r="D3399" s="60"/>
      <c r="E3399" s="74">
        <v>2022</v>
      </c>
      <c r="F3399" s="74" t="s">
        <v>489</v>
      </c>
      <c r="G3399" s="61">
        <v>1</v>
      </c>
      <c r="H3399" s="45">
        <v>10</v>
      </c>
      <c r="I3399" s="74">
        <v>41.395000000000003</v>
      </c>
    </row>
    <row r="3400" spans="1:9" s="71" customFormat="1" ht="16.5" hidden="1" customHeight="1" outlineLevel="1" x14ac:dyDescent="0.25">
      <c r="A3400" s="74">
        <v>2126</v>
      </c>
      <c r="B3400" s="45" t="s">
        <v>664</v>
      </c>
      <c r="C3400" s="60" t="s">
        <v>3011</v>
      </c>
      <c r="D3400" s="60"/>
      <c r="E3400" s="74">
        <v>2022</v>
      </c>
      <c r="F3400" s="74" t="s">
        <v>489</v>
      </c>
      <c r="G3400" s="61">
        <v>1</v>
      </c>
      <c r="H3400" s="45">
        <v>15</v>
      </c>
      <c r="I3400" s="74">
        <v>35.582999999999998</v>
      </c>
    </row>
    <row r="3401" spans="1:9" s="71" customFormat="1" ht="16.5" hidden="1" customHeight="1" outlineLevel="1" x14ac:dyDescent="0.25">
      <c r="A3401" s="74">
        <v>2128</v>
      </c>
      <c r="B3401" s="45" t="s">
        <v>664</v>
      </c>
      <c r="C3401" s="60" t="s">
        <v>3012</v>
      </c>
      <c r="D3401" s="60"/>
      <c r="E3401" s="74">
        <v>2022</v>
      </c>
      <c r="F3401" s="74" t="s">
        <v>489</v>
      </c>
      <c r="G3401" s="61">
        <v>1</v>
      </c>
      <c r="H3401" s="45">
        <v>15</v>
      </c>
      <c r="I3401" s="74">
        <v>31.248999999999999</v>
      </c>
    </row>
    <row r="3402" spans="1:9" s="71" customFormat="1" ht="16.5" hidden="1" customHeight="1" outlineLevel="1" x14ac:dyDescent="0.25">
      <c r="A3402" s="74">
        <v>2130</v>
      </c>
      <c r="B3402" s="45" t="s">
        <v>664</v>
      </c>
      <c r="C3402" s="60" t="s">
        <v>3013</v>
      </c>
      <c r="D3402" s="60"/>
      <c r="E3402" s="74">
        <v>2022</v>
      </c>
      <c r="F3402" s="74" t="s">
        <v>489</v>
      </c>
      <c r="G3402" s="61">
        <v>1</v>
      </c>
      <c r="H3402" s="45">
        <v>15</v>
      </c>
      <c r="I3402" s="74">
        <v>39.618000000000002</v>
      </c>
    </row>
    <row r="3403" spans="1:9" s="71" customFormat="1" ht="16.5" hidden="1" customHeight="1" outlineLevel="1" x14ac:dyDescent="0.25">
      <c r="A3403" s="74">
        <v>2132</v>
      </c>
      <c r="B3403" s="45" t="s">
        <v>664</v>
      </c>
      <c r="C3403" s="60" t="s">
        <v>3014</v>
      </c>
      <c r="D3403" s="60"/>
      <c r="E3403" s="74">
        <v>2022</v>
      </c>
      <c r="F3403" s="74" t="s">
        <v>489</v>
      </c>
      <c r="G3403" s="61">
        <v>1</v>
      </c>
      <c r="H3403" s="45">
        <v>13</v>
      </c>
      <c r="I3403" s="74">
        <v>40.064999999999998</v>
      </c>
    </row>
    <row r="3404" spans="1:9" s="71" customFormat="1" ht="16.5" hidden="1" customHeight="1" outlineLevel="1" x14ac:dyDescent="0.25">
      <c r="A3404" s="74">
        <v>2141</v>
      </c>
      <c r="B3404" s="45" t="s">
        <v>664</v>
      </c>
      <c r="C3404" s="60" t="s">
        <v>3015</v>
      </c>
      <c r="D3404" s="60"/>
      <c r="E3404" s="74">
        <v>2022</v>
      </c>
      <c r="F3404" s="74" t="s">
        <v>489</v>
      </c>
      <c r="G3404" s="61">
        <v>1</v>
      </c>
      <c r="H3404" s="45">
        <v>15</v>
      </c>
      <c r="I3404" s="74">
        <v>32.146000000000001</v>
      </c>
    </row>
    <row r="3405" spans="1:9" s="71" customFormat="1" ht="16.5" hidden="1" customHeight="1" outlineLevel="1" x14ac:dyDescent="0.25">
      <c r="A3405" s="74">
        <v>2224</v>
      </c>
      <c r="B3405" s="45" t="s">
        <v>664</v>
      </c>
      <c r="C3405" s="60" t="s">
        <v>3016</v>
      </c>
      <c r="D3405" s="60"/>
      <c r="E3405" s="74">
        <v>2022</v>
      </c>
      <c r="F3405" s="74" t="s">
        <v>489</v>
      </c>
      <c r="G3405" s="61">
        <v>1</v>
      </c>
      <c r="H3405" s="45">
        <v>15</v>
      </c>
      <c r="I3405" s="74">
        <v>41.838999999999999</v>
      </c>
    </row>
    <row r="3406" spans="1:9" s="71" customFormat="1" ht="16.5" hidden="1" customHeight="1" outlineLevel="1" x14ac:dyDescent="0.25">
      <c r="A3406" s="74">
        <v>2225</v>
      </c>
      <c r="B3406" s="45" t="s">
        <v>664</v>
      </c>
      <c r="C3406" s="60" t="s">
        <v>3017</v>
      </c>
      <c r="D3406" s="60"/>
      <c r="E3406" s="74">
        <v>2022</v>
      </c>
      <c r="F3406" s="74" t="s">
        <v>489</v>
      </c>
      <c r="G3406" s="61">
        <v>1</v>
      </c>
      <c r="H3406" s="45">
        <v>10</v>
      </c>
      <c r="I3406" s="74">
        <v>38.151000000000003</v>
      </c>
    </row>
    <row r="3407" spans="1:9" s="71" customFormat="1" ht="16.5" hidden="1" customHeight="1" outlineLevel="1" x14ac:dyDescent="0.25">
      <c r="A3407" s="74">
        <v>1945</v>
      </c>
      <c r="B3407" s="45" t="s">
        <v>664</v>
      </c>
      <c r="C3407" s="60" t="s">
        <v>3018</v>
      </c>
      <c r="D3407" s="60"/>
      <c r="E3407" s="74">
        <v>2022</v>
      </c>
      <c r="F3407" s="74" t="s">
        <v>489</v>
      </c>
      <c r="G3407" s="61">
        <v>1</v>
      </c>
      <c r="H3407" s="45">
        <v>15</v>
      </c>
      <c r="I3407" s="74">
        <v>30.574999999999999</v>
      </c>
    </row>
    <row r="3408" spans="1:9" s="71" customFormat="1" ht="16.5" hidden="1" customHeight="1" outlineLevel="1" x14ac:dyDescent="0.25">
      <c r="A3408" s="74">
        <v>2226</v>
      </c>
      <c r="B3408" s="45" t="s">
        <v>664</v>
      </c>
      <c r="C3408" s="60" t="s">
        <v>3019</v>
      </c>
      <c r="D3408" s="60"/>
      <c r="E3408" s="74">
        <v>2022</v>
      </c>
      <c r="F3408" s="74" t="s">
        <v>489</v>
      </c>
      <c r="G3408" s="61">
        <v>1</v>
      </c>
      <c r="H3408" s="45">
        <v>30</v>
      </c>
      <c r="I3408" s="74">
        <v>43.281999999999996</v>
      </c>
    </row>
    <row r="3409" spans="1:9" s="71" customFormat="1" ht="16.5" hidden="1" customHeight="1" outlineLevel="1" x14ac:dyDescent="0.25">
      <c r="A3409" s="74">
        <v>2231</v>
      </c>
      <c r="B3409" s="45" t="s">
        <v>664</v>
      </c>
      <c r="C3409" s="60" t="s">
        <v>3020</v>
      </c>
      <c r="D3409" s="60"/>
      <c r="E3409" s="74">
        <v>2022</v>
      </c>
      <c r="F3409" s="74" t="s">
        <v>489</v>
      </c>
      <c r="G3409" s="61">
        <v>1</v>
      </c>
      <c r="H3409" s="45">
        <v>15</v>
      </c>
      <c r="I3409" s="74">
        <v>37.768000000000001</v>
      </c>
    </row>
    <row r="3410" spans="1:9" s="71" customFormat="1" ht="16.5" hidden="1" customHeight="1" outlineLevel="1" x14ac:dyDescent="0.25">
      <c r="A3410" s="74">
        <v>2232</v>
      </c>
      <c r="B3410" s="45" t="s">
        <v>664</v>
      </c>
      <c r="C3410" s="60" t="s">
        <v>3021</v>
      </c>
      <c r="D3410" s="60"/>
      <c r="E3410" s="74">
        <v>2022</v>
      </c>
      <c r="F3410" s="74" t="s">
        <v>489</v>
      </c>
      <c r="G3410" s="61">
        <v>1</v>
      </c>
      <c r="H3410" s="45">
        <v>7</v>
      </c>
      <c r="I3410" s="74">
        <v>36.966000000000001</v>
      </c>
    </row>
    <row r="3411" spans="1:9" s="71" customFormat="1" ht="16.5" hidden="1" customHeight="1" outlineLevel="1" x14ac:dyDescent="0.25">
      <c r="A3411" s="74">
        <v>2233</v>
      </c>
      <c r="B3411" s="45" t="s">
        <v>664</v>
      </c>
      <c r="C3411" s="60" t="s">
        <v>3022</v>
      </c>
      <c r="D3411" s="60"/>
      <c r="E3411" s="74">
        <v>2022</v>
      </c>
      <c r="F3411" s="74" t="s">
        <v>489</v>
      </c>
      <c r="G3411" s="61">
        <v>1</v>
      </c>
      <c r="H3411" s="45">
        <v>15</v>
      </c>
      <c r="I3411" s="74">
        <v>33.244999999999997</v>
      </c>
    </row>
    <row r="3412" spans="1:9" s="71" customFormat="1" ht="16.5" hidden="1" customHeight="1" outlineLevel="1" x14ac:dyDescent="0.25">
      <c r="A3412" s="74">
        <v>2236</v>
      </c>
      <c r="B3412" s="45" t="s">
        <v>664</v>
      </c>
      <c r="C3412" s="60" t="s">
        <v>3023</v>
      </c>
      <c r="D3412" s="60"/>
      <c r="E3412" s="74">
        <v>2022</v>
      </c>
      <c r="F3412" s="74" t="s">
        <v>489</v>
      </c>
      <c r="G3412" s="61">
        <v>1</v>
      </c>
      <c r="H3412" s="45">
        <v>10</v>
      </c>
      <c r="I3412" s="74">
        <v>39.780999999999999</v>
      </c>
    </row>
    <row r="3413" spans="1:9" s="71" customFormat="1" ht="16.5" hidden="1" customHeight="1" outlineLevel="1" x14ac:dyDescent="0.25">
      <c r="A3413" s="74">
        <v>1845</v>
      </c>
      <c r="B3413" s="45" t="s">
        <v>664</v>
      </c>
      <c r="C3413" s="60" t="s">
        <v>3024</v>
      </c>
      <c r="D3413" s="60"/>
      <c r="E3413" s="74">
        <v>2022</v>
      </c>
      <c r="F3413" s="74" t="s">
        <v>489</v>
      </c>
      <c r="G3413" s="61">
        <v>2</v>
      </c>
      <c r="H3413" s="45">
        <v>18</v>
      </c>
      <c r="I3413" s="74">
        <v>61.085999999999999</v>
      </c>
    </row>
    <row r="3414" spans="1:9" s="71" customFormat="1" ht="16.5" hidden="1" customHeight="1" outlineLevel="1" x14ac:dyDescent="0.25">
      <c r="A3414" s="74">
        <v>1868</v>
      </c>
      <c r="B3414" s="45" t="s">
        <v>664</v>
      </c>
      <c r="C3414" s="60" t="s">
        <v>3025</v>
      </c>
      <c r="D3414" s="60"/>
      <c r="E3414" s="74">
        <v>2022</v>
      </c>
      <c r="F3414" s="74" t="s">
        <v>489</v>
      </c>
      <c r="G3414" s="61">
        <v>1</v>
      </c>
      <c r="H3414" s="45">
        <v>15</v>
      </c>
      <c r="I3414" s="74">
        <v>22.603999999999999</v>
      </c>
    </row>
    <row r="3415" spans="1:9" s="71" customFormat="1" ht="16.5" hidden="1" customHeight="1" outlineLevel="1" x14ac:dyDescent="0.25">
      <c r="A3415" s="74">
        <v>1886</v>
      </c>
      <c r="B3415" s="45" t="s">
        <v>664</v>
      </c>
      <c r="C3415" s="60" t="s">
        <v>3026</v>
      </c>
      <c r="D3415" s="60"/>
      <c r="E3415" s="74">
        <v>2022</v>
      </c>
      <c r="F3415" s="74" t="s">
        <v>489</v>
      </c>
      <c r="G3415" s="61">
        <v>1</v>
      </c>
      <c r="H3415" s="45">
        <v>15</v>
      </c>
      <c r="I3415" s="74">
        <v>25.349</v>
      </c>
    </row>
    <row r="3416" spans="1:9" s="71" customFormat="1" ht="16.5" hidden="1" customHeight="1" outlineLevel="1" x14ac:dyDescent="0.25">
      <c r="A3416" s="74">
        <v>1902</v>
      </c>
      <c r="B3416" s="45" t="s">
        <v>664</v>
      </c>
      <c r="C3416" s="60" t="s">
        <v>3027</v>
      </c>
      <c r="D3416" s="60"/>
      <c r="E3416" s="74">
        <v>2022</v>
      </c>
      <c r="F3416" s="74" t="s">
        <v>489</v>
      </c>
      <c r="G3416" s="61">
        <v>3</v>
      </c>
      <c r="H3416" s="45">
        <v>40</v>
      </c>
      <c r="I3416" s="74">
        <v>102.337</v>
      </c>
    </row>
    <row r="3417" spans="1:9" s="71" customFormat="1" ht="16.5" hidden="1" customHeight="1" outlineLevel="1" x14ac:dyDescent="0.25">
      <c r="A3417" s="74">
        <v>1917</v>
      </c>
      <c r="B3417" s="45" t="s">
        <v>664</v>
      </c>
      <c r="C3417" s="60" t="s">
        <v>3028</v>
      </c>
      <c r="D3417" s="60"/>
      <c r="E3417" s="74">
        <v>2022</v>
      </c>
      <c r="F3417" s="74" t="s">
        <v>489</v>
      </c>
      <c r="G3417" s="61">
        <v>1</v>
      </c>
      <c r="H3417" s="45">
        <v>15</v>
      </c>
      <c r="I3417" s="74">
        <v>26.33</v>
      </c>
    </row>
    <row r="3418" spans="1:9" s="71" customFormat="1" ht="16.5" hidden="1" customHeight="1" outlineLevel="1" x14ac:dyDescent="0.25">
      <c r="A3418" s="74">
        <v>1939</v>
      </c>
      <c r="B3418" s="45" t="s">
        <v>664</v>
      </c>
      <c r="C3418" s="60" t="s">
        <v>3029</v>
      </c>
      <c r="D3418" s="60"/>
      <c r="E3418" s="74">
        <v>2022</v>
      </c>
      <c r="F3418" s="74" t="s">
        <v>489</v>
      </c>
      <c r="G3418" s="61">
        <v>1</v>
      </c>
      <c r="H3418" s="45">
        <v>15</v>
      </c>
      <c r="I3418" s="74">
        <v>29.972999999999999</v>
      </c>
    </row>
    <row r="3419" spans="1:9" s="71" customFormat="1" ht="16.5" hidden="1" customHeight="1" outlineLevel="1" x14ac:dyDescent="0.25">
      <c r="A3419" s="74">
        <v>1942</v>
      </c>
      <c r="B3419" s="45" t="s">
        <v>664</v>
      </c>
      <c r="C3419" s="60" t="s">
        <v>3030</v>
      </c>
      <c r="D3419" s="60"/>
      <c r="E3419" s="74">
        <v>2022</v>
      </c>
      <c r="F3419" s="74" t="s">
        <v>489</v>
      </c>
      <c r="G3419" s="61">
        <v>1</v>
      </c>
      <c r="H3419" s="45">
        <v>15</v>
      </c>
      <c r="I3419" s="74">
        <v>50.25</v>
      </c>
    </row>
    <row r="3420" spans="1:9" s="71" customFormat="1" ht="16.5" hidden="1" customHeight="1" outlineLevel="1" x14ac:dyDescent="0.25">
      <c r="A3420" s="74">
        <v>1962</v>
      </c>
      <c r="B3420" s="45" t="s">
        <v>664</v>
      </c>
      <c r="C3420" s="60" t="s">
        <v>3031</v>
      </c>
      <c r="D3420" s="60"/>
      <c r="E3420" s="74">
        <v>2022</v>
      </c>
      <c r="F3420" s="74" t="s">
        <v>489</v>
      </c>
      <c r="G3420" s="61">
        <v>1</v>
      </c>
      <c r="H3420" s="45">
        <v>15</v>
      </c>
      <c r="I3420" s="74">
        <v>32.896000000000001</v>
      </c>
    </row>
    <row r="3421" spans="1:9" s="71" customFormat="1" ht="16.5" hidden="1" customHeight="1" outlineLevel="1" x14ac:dyDescent="0.25">
      <c r="A3421" s="74">
        <v>1979</v>
      </c>
      <c r="B3421" s="45" t="s">
        <v>664</v>
      </c>
      <c r="C3421" s="60" t="s">
        <v>3032</v>
      </c>
      <c r="D3421" s="60"/>
      <c r="E3421" s="74">
        <v>2022</v>
      </c>
      <c r="F3421" s="74" t="s">
        <v>489</v>
      </c>
      <c r="G3421" s="61">
        <v>1</v>
      </c>
      <c r="H3421" s="45">
        <v>15</v>
      </c>
      <c r="I3421" s="74">
        <v>35.609000000000002</v>
      </c>
    </row>
    <row r="3422" spans="1:9" s="71" customFormat="1" ht="16.5" hidden="1" customHeight="1" outlineLevel="1" x14ac:dyDescent="0.25">
      <c r="A3422" s="74">
        <v>2011</v>
      </c>
      <c r="B3422" s="45" t="s">
        <v>664</v>
      </c>
      <c r="C3422" s="60" t="s">
        <v>3033</v>
      </c>
      <c r="D3422" s="60"/>
      <c r="E3422" s="74">
        <v>2022</v>
      </c>
      <c r="F3422" s="74" t="s">
        <v>489</v>
      </c>
      <c r="G3422" s="61">
        <v>1</v>
      </c>
      <c r="H3422" s="45">
        <v>15</v>
      </c>
      <c r="I3422" s="74">
        <v>42.295000000000002</v>
      </c>
    </row>
    <row r="3423" spans="1:9" s="71" customFormat="1" ht="16.5" hidden="1" customHeight="1" outlineLevel="1" x14ac:dyDescent="0.25">
      <c r="A3423" s="74">
        <v>2022</v>
      </c>
      <c r="B3423" s="45" t="s">
        <v>664</v>
      </c>
      <c r="C3423" s="60" t="s">
        <v>3034</v>
      </c>
      <c r="D3423" s="60"/>
      <c r="E3423" s="74">
        <v>2022</v>
      </c>
      <c r="F3423" s="74" t="s">
        <v>489</v>
      </c>
      <c r="G3423" s="61">
        <v>1</v>
      </c>
      <c r="H3423" s="45">
        <v>15</v>
      </c>
      <c r="I3423" s="74">
        <v>29.408999999999999</v>
      </c>
    </row>
    <row r="3424" spans="1:9" s="71" customFormat="1" ht="16.5" hidden="1" customHeight="1" outlineLevel="1" x14ac:dyDescent="0.25">
      <c r="A3424" s="74">
        <v>2023</v>
      </c>
      <c r="B3424" s="45" t="s">
        <v>664</v>
      </c>
      <c r="C3424" s="60" t="s">
        <v>3035</v>
      </c>
      <c r="D3424" s="60"/>
      <c r="E3424" s="74">
        <v>2022</v>
      </c>
      <c r="F3424" s="74" t="s">
        <v>489</v>
      </c>
      <c r="G3424" s="61">
        <v>1</v>
      </c>
      <c r="H3424" s="45">
        <v>10</v>
      </c>
      <c r="I3424" s="74">
        <v>35.357999999999997</v>
      </c>
    </row>
    <row r="3425" spans="1:9" s="71" customFormat="1" ht="16.5" hidden="1" customHeight="1" outlineLevel="1" x14ac:dyDescent="0.25">
      <c r="A3425" s="74">
        <v>2025</v>
      </c>
      <c r="B3425" s="45" t="s">
        <v>664</v>
      </c>
      <c r="C3425" s="60" t="s">
        <v>3036</v>
      </c>
      <c r="D3425" s="60"/>
      <c r="E3425" s="74">
        <v>2022</v>
      </c>
      <c r="F3425" s="74" t="s">
        <v>489</v>
      </c>
      <c r="G3425" s="61">
        <v>1</v>
      </c>
      <c r="H3425" s="45">
        <v>15</v>
      </c>
      <c r="I3425" s="74">
        <v>30.05</v>
      </c>
    </row>
    <row r="3426" spans="1:9" s="71" customFormat="1" ht="16.5" hidden="1" customHeight="1" outlineLevel="1" x14ac:dyDescent="0.25">
      <c r="A3426" s="74">
        <v>2030</v>
      </c>
      <c r="B3426" s="45" t="s">
        <v>664</v>
      </c>
      <c r="C3426" s="60" t="s">
        <v>3037</v>
      </c>
      <c r="D3426" s="60"/>
      <c r="E3426" s="74">
        <v>2022</v>
      </c>
      <c r="F3426" s="74" t="s">
        <v>489</v>
      </c>
      <c r="G3426" s="61">
        <v>1</v>
      </c>
      <c r="H3426" s="45">
        <v>10</v>
      </c>
      <c r="I3426" s="74">
        <v>29.792000000000002</v>
      </c>
    </row>
    <row r="3427" spans="1:9" s="71" customFormat="1" ht="16.5" hidden="1" customHeight="1" outlineLevel="1" x14ac:dyDescent="0.25">
      <c r="A3427" s="74">
        <v>2049</v>
      </c>
      <c r="B3427" s="45" t="s">
        <v>664</v>
      </c>
      <c r="C3427" s="60" t="s">
        <v>3038</v>
      </c>
      <c r="D3427" s="60"/>
      <c r="E3427" s="74">
        <v>2022</v>
      </c>
      <c r="F3427" s="74" t="s">
        <v>489</v>
      </c>
      <c r="G3427" s="61">
        <v>3</v>
      </c>
      <c r="H3427" s="45">
        <v>35</v>
      </c>
      <c r="I3427" s="74">
        <v>101.17100000000001</v>
      </c>
    </row>
    <row r="3428" spans="1:9" s="71" customFormat="1" ht="16.5" hidden="1" customHeight="1" outlineLevel="1" x14ac:dyDescent="0.25">
      <c r="A3428" s="74">
        <v>2054</v>
      </c>
      <c r="B3428" s="45" t="s">
        <v>664</v>
      </c>
      <c r="C3428" s="60" t="s">
        <v>3039</v>
      </c>
      <c r="D3428" s="60"/>
      <c r="E3428" s="74">
        <v>2022</v>
      </c>
      <c r="F3428" s="74" t="s">
        <v>489</v>
      </c>
      <c r="G3428" s="61">
        <v>1</v>
      </c>
      <c r="H3428" s="45">
        <v>15</v>
      </c>
      <c r="I3428" s="74">
        <v>34.375</v>
      </c>
    </row>
    <row r="3429" spans="1:9" s="71" customFormat="1" ht="16.5" hidden="1" customHeight="1" outlineLevel="1" x14ac:dyDescent="0.25">
      <c r="A3429" s="74">
        <v>2067</v>
      </c>
      <c r="B3429" s="45" t="s">
        <v>664</v>
      </c>
      <c r="C3429" s="60" t="s">
        <v>3040</v>
      </c>
      <c r="D3429" s="60"/>
      <c r="E3429" s="74">
        <v>2022</v>
      </c>
      <c r="F3429" s="74" t="s">
        <v>489</v>
      </c>
      <c r="G3429" s="61">
        <v>2</v>
      </c>
      <c r="H3429" s="45">
        <v>145</v>
      </c>
      <c r="I3429" s="74">
        <v>53.756</v>
      </c>
    </row>
    <row r="3430" spans="1:9" s="71" customFormat="1" ht="16.5" hidden="1" customHeight="1" outlineLevel="1" x14ac:dyDescent="0.25">
      <c r="A3430" s="74">
        <v>2084</v>
      </c>
      <c r="B3430" s="45" t="s">
        <v>664</v>
      </c>
      <c r="C3430" s="60" t="s">
        <v>3041</v>
      </c>
      <c r="D3430" s="60"/>
      <c r="E3430" s="74">
        <v>2022</v>
      </c>
      <c r="F3430" s="74" t="s">
        <v>489</v>
      </c>
      <c r="G3430" s="61">
        <v>1</v>
      </c>
      <c r="H3430" s="45">
        <v>10</v>
      </c>
      <c r="I3430" s="74">
        <v>34.706000000000003</v>
      </c>
    </row>
    <row r="3431" spans="1:9" s="71" customFormat="1" ht="16.5" hidden="1" customHeight="1" outlineLevel="1" x14ac:dyDescent="0.25">
      <c r="A3431" s="74">
        <v>2090</v>
      </c>
      <c r="B3431" s="45" t="s">
        <v>664</v>
      </c>
      <c r="C3431" s="60" t="s">
        <v>3042</v>
      </c>
      <c r="D3431" s="60"/>
      <c r="E3431" s="74">
        <v>2022</v>
      </c>
      <c r="F3431" s="74" t="s">
        <v>489</v>
      </c>
      <c r="G3431" s="61">
        <v>1</v>
      </c>
      <c r="H3431" s="45">
        <v>10</v>
      </c>
      <c r="I3431" s="74">
        <v>29.315999999999999</v>
      </c>
    </row>
    <row r="3432" spans="1:9" s="71" customFormat="1" ht="16.5" hidden="1" customHeight="1" outlineLevel="1" x14ac:dyDescent="0.25">
      <c r="A3432" s="74">
        <v>2098</v>
      </c>
      <c r="B3432" s="45" t="s">
        <v>664</v>
      </c>
      <c r="C3432" s="60" t="s">
        <v>3043</v>
      </c>
      <c r="D3432" s="60"/>
      <c r="E3432" s="74">
        <v>2022</v>
      </c>
      <c r="F3432" s="74" t="s">
        <v>489</v>
      </c>
      <c r="G3432" s="61">
        <v>1</v>
      </c>
      <c r="H3432" s="45">
        <v>7</v>
      </c>
      <c r="I3432" s="74">
        <v>37.119999999999997</v>
      </c>
    </row>
    <row r="3433" spans="1:9" s="71" customFormat="1" ht="16.5" hidden="1" customHeight="1" outlineLevel="1" x14ac:dyDescent="0.25">
      <c r="A3433" s="74">
        <v>2100</v>
      </c>
      <c r="B3433" s="45" t="s">
        <v>664</v>
      </c>
      <c r="C3433" s="60" t="s">
        <v>3044</v>
      </c>
      <c r="D3433" s="60"/>
      <c r="E3433" s="74">
        <v>2022</v>
      </c>
      <c r="F3433" s="74" t="s">
        <v>489</v>
      </c>
      <c r="G3433" s="61">
        <v>1</v>
      </c>
      <c r="H3433" s="45">
        <v>15</v>
      </c>
      <c r="I3433" s="74">
        <v>34.712000000000003</v>
      </c>
    </row>
    <row r="3434" spans="1:9" s="71" customFormat="1" ht="16.5" hidden="1" customHeight="1" outlineLevel="1" x14ac:dyDescent="0.25">
      <c r="A3434" s="74">
        <v>2109</v>
      </c>
      <c r="B3434" s="45" t="s">
        <v>664</v>
      </c>
      <c r="C3434" s="60" t="s">
        <v>3045</v>
      </c>
      <c r="D3434" s="60"/>
      <c r="E3434" s="74">
        <v>2022</v>
      </c>
      <c r="F3434" s="74" t="s">
        <v>489</v>
      </c>
      <c r="G3434" s="61">
        <v>1</v>
      </c>
      <c r="H3434" s="45">
        <v>15</v>
      </c>
      <c r="I3434" s="74">
        <v>35.601999999999997</v>
      </c>
    </row>
    <row r="3435" spans="1:9" s="71" customFormat="1" ht="16.5" hidden="1" customHeight="1" outlineLevel="1" x14ac:dyDescent="0.25">
      <c r="A3435" s="74">
        <v>2177</v>
      </c>
      <c r="B3435" s="45" t="s">
        <v>664</v>
      </c>
      <c r="C3435" s="60" t="s">
        <v>3046</v>
      </c>
      <c r="D3435" s="60"/>
      <c r="E3435" s="74">
        <v>2022</v>
      </c>
      <c r="F3435" s="74" t="s">
        <v>489</v>
      </c>
      <c r="G3435" s="61">
        <v>1</v>
      </c>
      <c r="H3435" s="45">
        <v>15</v>
      </c>
      <c r="I3435" s="74">
        <v>29.265999999999998</v>
      </c>
    </row>
    <row r="3436" spans="1:9" s="71" customFormat="1" ht="16.5" hidden="1" customHeight="1" outlineLevel="1" x14ac:dyDescent="0.25">
      <c r="A3436" s="74">
        <v>2187</v>
      </c>
      <c r="B3436" s="45" t="s">
        <v>664</v>
      </c>
      <c r="C3436" s="60" t="s">
        <v>3047</v>
      </c>
      <c r="D3436" s="60"/>
      <c r="E3436" s="74">
        <v>2022</v>
      </c>
      <c r="F3436" s="74" t="s">
        <v>489</v>
      </c>
      <c r="G3436" s="61">
        <v>1</v>
      </c>
      <c r="H3436" s="45">
        <v>15</v>
      </c>
      <c r="I3436" s="74">
        <v>30.263999999999999</v>
      </c>
    </row>
    <row r="3437" spans="1:9" s="71" customFormat="1" ht="16.5" hidden="1" customHeight="1" outlineLevel="1" x14ac:dyDescent="0.25">
      <c r="A3437" s="74">
        <v>2188</v>
      </c>
      <c r="B3437" s="45" t="s">
        <v>664</v>
      </c>
      <c r="C3437" s="60" t="s">
        <v>3048</v>
      </c>
      <c r="D3437" s="60"/>
      <c r="E3437" s="74">
        <v>2022</v>
      </c>
      <c r="F3437" s="74" t="s">
        <v>489</v>
      </c>
      <c r="G3437" s="61">
        <v>1</v>
      </c>
      <c r="H3437" s="45">
        <v>15</v>
      </c>
      <c r="I3437" s="74">
        <v>34.530999999999999</v>
      </c>
    </row>
    <row r="3438" spans="1:9" s="71" customFormat="1" ht="16.5" hidden="1" customHeight="1" outlineLevel="1" x14ac:dyDescent="0.25">
      <c r="A3438" s="74">
        <v>2221</v>
      </c>
      <c r="B3438" s="45" t="s">
        <v>664</v>
      </c>
      <c r="C3438" s="60" t="s">
        <v>3049</v>
      </c>
      <c r="D3438" s="60"/>
      <c r="E3438" s="74">
        <v>2022</v>
      </c>
      <c r="F3438" s="74" t="s">
        <v>489</v>
      </c>
      <c r="G3438" s="61">
        <v>1</v>
      </c>
      <c r="H3438" s="45">
        <v>15</v>
      </c>
      <c r="I3438" s="74">
        <v>28.67</v>
      </c>
    </row>
    <row r="3439" spans="1:9" s="71" customFormat="1" ht="16.5" hidden="1" customHeight="1" outlineLevel="1" x14ac:dyDescent="0.25">
      <c r="A3439" s="74">
        <v>2296</v>
      </c>
      <c r="B3439" s="45" t="s">
        <v>664</v>
      </c>
      <c r="C3439" s="60" t="s">
        <v>3050</v>
      </c>
      <c r="D3439" s="60"/>
      <c r="E3439" s="74">
        <v>2022</v>
      </c>
      <c r="F3439" s="74" t="s">
        <v>489</v>
      </c>
      <c r="G3439" s="61">
        <v>1</v>
      </c>
      <c r="H3439" s="45">
        <v>14</v>
      </c>
      <c r="I3439" s="74">
        <v>33.517000000000003</v>
      </c>
    </row>
    <row r="3440" spans="1:9" s="71" customFormat="1" ht="16.5" hidden="1" customHeight="1" outlineLevel="1" x14ac:dyDescent="0.25">
      <c r="A3440" s="74">
        <v>2297</v>
      </c>
      <c r="B3440" s="45" t="s">
        <v>664</v>
      </c>
      <c r="C3440" s="60" t="s">
        <v>3051</v>
      </c>
      <c r="D3440" s="60"/>
      <c r="E3440" s="74">
        <v>2022</v>
      </c>
      <c r="F3440" s="74" t="s">
        <v>489</v>
      </c>
      <c r="G3440" s="61">
        <v>1</v>
      </c>
      <c r="H3440" s="45">
        <v>14</v>
      </c>
      <c r="I3440" s="74">
        <v>33.445999999999998</v>
      </c>
    </row>
    <row r="3441" spans="1:9" s="71" customFormat="1" ht="16.5" hidden="1" customHeight="1" outlineLevel="1" x14ac:dyDescent="0.25">
      <c r="A3441" s="74">
        <v>2344</v>
      </c>
      <c r="B3441" s="45" t="s">
        <v>664</v>
      </c>
      <c r="C3441" s="60" t="s">
        <v>3052</v>
      </c>
      <c r="D3441" s="60"/>
      <c r="E3441" s="74">
        <v>2022</v>
      </c>
      <c r="F3441" s="74" t="s">
        <v>489</v>
      </c>
      <c r="G3441" s="61">
        <v>1</v>
      </c>
      <c r="H3441" s="45">
        <v>10</v>
      </c>
      <c r="I3441" s="74">
        <v>39.249000000000002</v>
      </c>
    </row>
    <row r="3442" spans="1:9" s="71" customFormat="1" ht="16.5" hidden="1" customHeight="1" outlineLevel="1" x14ac:dyDescent="0.25">
      <c r="A3442" s="74">
        <v>2345</v>
      </c>
      <c r="B3442" s="45" t="s">
        <v>664</v>
      </c>
      <c r="C3442" s="60" t="s">
        <v>3053</v>
      </c>
      <c r="D3442" s="60"/>
      <c r="E3442" s="74">
        <v>2022</v>
      </c>
      <c r="F3442" s="74" t="s">
        <v>489</v>
      </c>
      <c r="G3442" s="61">
        <v>1</v>
      </c>
      <c r="H3442" s="45">
        <v>15</v>
      </c>
      <c r="I3442" s="74">
        <v>38.744</v>
      </c>
    </row>
    <row r="3443" spans="1:9" s="71" customFormat="1" ht="16.5" hidden="1" customHeight="1" outlineLevel="1" x14ac:dyDescent="0.25">
      <c r="A3443" s="74">
        <v>2346</v>
      </c>
      <c r="B3443" s="45" t="s">
        <v>664</v>
      </c>
      <c r="C3443" s="60" t="s">
        <v>3054</v>
      </c>
      <c r="D3443" s="60"/>
      <c r="E3443" s="74">
        <v>2022</v>
      </c>
      <c r="F3443" s="74" t="s">
        <v>489</v>
      </c>
      <c r="G3443" s="61">
        <v>1</v>
      </c>
      <c r="H3443" s="45">
        <v>15</v>
      </c>
      <c r="I3443" s="74">
        <v>38.704999999999998</v>
      </c>
    </row>
    <row r="3444" spans="1:9" s="71" customFormat="1" ht="16.5" hidden="1" customHeight="1" outlineLevel="1" x14ac:dyDescent="0.25">
      <c r="A3444" s="74">
        <v>2347</v>
      </c>
      <c r="B3444" s="45" t="s">
        <v>664</v>
      </c>
      <c r="C3444" s="60" t="s">
        <v>3055</v>
      </c>
      <c r="D3444" s="60"/>
      <c r="E3444" s="74">
        <v>2022</v>
      </c>
      <c r="F3444" s="74" t="s">
        <v>489</v>
      </c>
      <c r="G3444" s="61">
        <v>1</v>
      </c>
      <c r="H3444" s="45">
        <v>15</v>
      </c>
      <c r="I3444" s="74">
        <v>40.511000000000003</v>
      </c>
    </row>
    <row r="3445" spans="1:9" s="71" customFormat="1" ht="16.5" hidden="1" customHeight="1" outlineLevel="1" x14ac:dyDescent="0.25">
      <c r="A3445" s="74">
        <v>2348</v>
      </c>
      <c r="B3445" s="45" t="s">
        <v>664</v>
      </c>
      <c r="C3445" s="60" t="s">
        <v>3056</v>
      </c>
      <c r="D3445" s="60"/>
      <c r="E3445" s="74">
        <v>2022</v>
      </c>
      <c r="F3445" s="74" t="s">
        <v>489</v>
      </c>
      <c r="G3445" s="61">
        <v>1</v>
      </c>
      <c r="H3445" s="45">
        <v>10</v>
      </c>
      <c r="I3445" s="74">
        <v>45.420999999999999</v>
      </c>
    </row>
    <row r="3446" spans="1:9" s="71" customFormat="1" ht="16.5" hidden="1" customHeight="1" outlineLevel="1" x14ac:dyDescent="0.25">
      <c r="A3446" s="74">
        <v>2015</v>
      </c>
      <c r="B3446" s="45" t="s">
        <v>664</v>
      </c>
      <c r="C3446" s="60" t="s">
        <v>3057</v>
      </c>
      <c r="D3446" s="60"/>
      <c r="E3446" s="74">
        <v>2022</v>
      </c>
      <c r="F3446" s="74" t="s">
        <v>489</v>
      </c>
      <c r="G3446" s="61">
        <v>1</v>
      </c>
      <c r="H3446" s="45">
        <v>15</v>
      </c>
      <c r="I3446" s="74">
        <v>39.170999999999999</v>
      </c>
    </row>
    <row r="3447" spans="1:9" s="71" customFormat="1" ht="16.5" hidden="1" customHeight="1" outlineLevel="1" x14ac:dyDescent="0.25">
      <c r="A3447" s="74">
        <v>2064</v>
      </c>
      <c r="B3447" s="45" t="s">
        <v>664</v>
      </c>
      <c r="C3447" s="60" t="s">
        <v>3058</v>
      </c>
      <c r="D3447" s="60"/>
      <c r="E3447" s="74">
        <v>2022</v>
      </c>
      <c r="F3447" s="74" t="s">
        <v>489</v>
      </c>
      <c r="G3447" s="61">
        <v>1</v>
      </c>
      <c r="H3447" s="45">
        <v>15</v>
      </c>
      <c r="I3447" s="74">
        <v>38.042000000000002</v>
      </c>
    </row>
    <row r="3448" spans="1:9" s="71" customFormat="1" ht="16.5" hidden="1" customHeight="1" outlineLevel="1" x14ac:dyDescent="0.25">
      <c r="A3448" s="74">
        <v>2065</v>
      </c>
      <c r="B3448" s="45" t="s">
        <v>664</v>
      </c>
      <c r="C3448" s="60" t="s">
        <v>3059</v>
      </c>
      <c r="D3448" s="60"/>
      <c r="E3448" s="74">
        <v>2022</v>
      </c>
      <c r="F3448" s="74" t="s">
        <v>489</v>
      </c>
      <c r="G3448" s="61">
        <v>1</v>
      </c>
      <c r="H3448" s="45">
        <v>15</v>
      </c>
      <c r="I3448" s="74">
        <v>57.600999999999999</v>
      </c>
    </row>
    <row r="3449" spans="1:9" s="71" customFormat="1" ht="16.5" hidden="1" customHeight="1" outlineLevel="1" x14ac:dyDescent="0.25">
      <c r="A3449" s="74">
        <v>2323</v>
      </c>
      <c r="B3449" s="45" t="s">
        <v>664</v>
      </c>
      <c r="C3449" s="60" t="s">
        <v>3060</v>
      </c>
      <c r="D3449" s="60"/>
      <c r="E3449" s="74">
        <v>2022</v>
      </c>
      <c r="F3449" s="74" t="s">
        <v>489</v>
      </c>
      <c r="G3449" s="61">
        <v>1</v>
      </c>
      <c r="H3449" s="45">
        <v>15</v>
      </c>
      <c r="I3449" s="74">
        <v>60.25</v>
      </c>
    </row>
    <row r="3450" spans="1:9" s="71" customFormat="1" ht="16.5" hidden="1" customHeight="1" outlineLevel="1" x14ac:dyDescent="0.25">
      <c r="A3450" s="74">
        <v>2239</v>
      </c>
      <c r="B3450" s="45" t="s">
        <v>664</v>
      </c>
      <c r="C3450" s="60" t="s">
        <v>3061</v>
      </c>
      <c r="D3450" s="60"/>
      <c r="E3450" s="74">
        <v>2022</v>
      </c>
      <c r="F3450" s="74" t="s">
        <v>489</v>
      </c>
      <c r="G3450" s="61">
        <v>1</v>
      </c>
      <c r="H3450" s="45">
        <v>10</v>
      </c>
      <c r="I3450" s="74">
        <v>29.207999999999998</v>
      </c>
    </row>
    <row r="3451" spans="1:9" s="71" customFormat="1" ht="16.5" hidden="1" customHeight="1" outlineLevel="1" x14ac:dyDescent="0.25">
      <c r="A3451" s="74">
        <v>2349</v>
      </c>
      <c r="B3451" s="45" t="s">
        <v>664</v>
      </c>
      <c r="C3451" s="60" t="s">
        <v>3062</v>
      </c>
      <c r="D3451" s="60"/>
      <c r="E3451" s="74">
        <v>2022</v>
      </c>
      <c r="F3451" s="74" t="s">
        <v>489</v>
      </c>
      <c r="G3451" s="61">
        <v>1</v>
      </c>
      <c r="H3451" s="45">
        <v>15</v>
      </c>
      <c r="I3451" s="74">
        <v>35.109000000000002</v>
      </c>
    </row>
    <row r="3452" spans="1:9" s="71" customFormat="1" ht="16.5" hidden="1" customHeight="1" outlineLevel="1" x14ac:dyDescent="0.25">
      <c r="A3452" s="74">
        <v>2353</v>
      </c>
      <c r="B3452" s="45" t="s">
        <v>664</v>
      </c>
      <c r="C3452" s="60" t="s">
        <v>3063</v>
      </c>
      <c r="D3452" s="60"/>
      <c r="E3452" s="74">
        <v>2022</v>
      </c>
      <c r="F3452" s="74" t="s">
        <v>489</v>
      </c>
      <c r="G3452" s="61">
        <v>1</v>
      </c>
      <c r="H3452" s="45">
        <v>10</v>
      </c>
      <c r="I3452" s="74">
        <v>41.488999999999997</v>
      </c>
    </row>
    <row r="3453" spans="1:9" s="71" customFormat="1" ht="16.5" hidden="1" customHeight="1" outlineLevel="1" x14ac:dyDescent="0.25">
      <c r="A3453" s="74">
        <v>2354</v>
      </c>
      <c r="B3453" s="45" t="s">
        <v>664</v>
      </c>
      <c r="C3453" s="60" t="s">
        <v>3064</v>
      </c>
      <c r="D3453" s="60"/>
      <c r="E3453" s="74">
        <v>2022</v>
      </c>
      <c r="F3453" s="74" t="s">
        <v>489</v>
      </c>
      <c r="G3453" s="61">
        <v>1</v>
      </c>
      <c r="H3453" s="45">
        <v>15</v>
      </c>
      <c r="I3453" s="74">
        <v>41.49</v>
      </c>
    </row>
    <row r="3454" spans="1:9" s="71" customFormat="1" ht="16.5" hidden="1" customHeight="1" outlineLevel="1" x14ac:dyDescent="0.25">
      <c r="A3454" s="74">
        <v>2355</v>
      </c>
      <c r="B3454" s="45" t="s">
        <v>664</v>
      </c>
      <c r="C3454" s="60" t="s">
        <v>3065</v>
      </c>
      <c r="D3454" s="60"/>
      <c r="E3454" s="74">
        <v>2022</v>
      </c>
      <c r="F3454" s="74" t="s">
        <v>489</v>
      </c>
      <c r="G3454" s="61">
        <v>1</v>
      </c>
      <c r="H3454" s="45">
        <v>10</v>
      </c>
      <c r="I3454" s="74">
        <v>38.478000000000002</v>
      </c>
    </row>
    <row r="3455" spans="1:9" s="71" customFormat="1" ht="16.5" hidden="1" customHeight="1" outlineLevel="1" x14ac:dyDescent="0.25">
      <c r="A3455" s="74">
        <v>2357</v>
      </c>
      <c r="B3455" s="45" t="s">
        <v>664</v>
      </c>
      <c r="C3455" s="60" t="s">
        <v>3066</v>
      </c>
      <c r="D3455" s="60"/>
      <c r="E3455" s="74">
        <v>2022</v>
      </c>
      <c r="F3455" s="74" t="s">
        <v>489</v>
      </c>
      <c r="G3455" s="61">
        <v>1</v>
      </c>
      <c r="H3455" s="45">
        <v>15</v>
      </c>
      <c r="I3455" s="74">
        <v>37.692</v>
      </c>
    </row>
    <row r="3456" spans="1:9" s="71" customFormat="1" ht="16.5" hidden="1" customHeight="1" outlineLevel="1" x14ac:dyDescent="0.25">
      <c r="A3456" s="74">
        <v>2360</v>
      </c>
      <c r="B3456" s="45" t="s">
        <v>664</v>
      </c>
      <c r="C3456" s="60" t="s">
        <v>3067</v>
      </c>
      <c r="D3456" s="60"/>
      <c r="E3456" s="74">
        <v>2022</v>
      </c>
      <c r="F3456" s="74" t="s">
        <v>489</v>
      </c>
      <c r="G3456" s="61">
        <v>1</v>
      </c>
      <c r="H3456" s="45">
        <v>15</v>
      </c>
      <c r="I3456" s="74">
        <v>42.057000000000002</v>
      </c>
    </row>
    <row r="3457" spans="1:9" s="71" customFormat="1" ht="16.5" hidden="1" customHeight="1" outlineLevel="1" x14ac:dyDescent="0.25">
      <c r="A3457" s="74">
        <v>2361</v>
      </c>
      <c r="B3457" s="45" t="s">
        <v>664</v>
      </c>
      <c r="C3457" s="60" t="s">
        <v>3068</v>
      </c>
      <c r="D3457" s="60"/>
      <c r="E3457" s="74">
        <v>2022</v>
      </c>
      <c r="F3457" s="74" t="s">
        <v>489</v>
      </c>
      <c r="G3457" s="61">
        <v>1</v>
      </c>
      <c r="H3457" s="45">
        <v>15</v>
      </c>
      <c r="I3457" s="74">
        <v>36.85</v>
      </c>
    </row>
    <row r="3458" spans="1:9" s="71" customFormat="1" ht="16.5" hidden="1" customHeight="1" outlineLevel="1" x14ac:dyDescent="0.25">
      <c r="A3458" s="74">
        <v>1853</v>
      </c>
      <c r="B3458" s="45" t="s">
        <v>664</v>
      </c>
      <c r="C3458" s="60" t="s">
        <v>3069</v>
      </c>
      <c r="D3458" s="60"/>
      <c r="E3458" s="74">
        <v>2022</v>
      </c>
      <c r="F3458" s="74" t="s">
        <v>489</v>
      </c>
      <c r="G3458" s="61">
        <v>3</v>
      </c>
      <c r="H3458" s="45">
        <v>35</v>
      </c>
      <c r="I3458" s="74">
        <v>91.019000000000005</v>
      </c>
    </row>
    <row r="3459" spans="1:9" s="71" customFormat="1" ht="16.5" hidden="1" customHeight="1" outlineLevel="1" x14ac:dyDescent="0.25">
      <c r="A3459" s="74">
        <v>1866</v>
      </c>
      <c r="B3459" s="45" t="s">
        <v>664</v>
      </c>
      <c r="C3459" s="60" t="s">
        <v>3070</v>
      </c>
      <c r="D3459" s="60"/>
      <c r="E3459" s="74">
        <v>2022</v>
      </c>
      <c r="F3459" s="74" t="s">
        <v>489</v>
      </c>
      <c r="G3459" s="61">
        <v>1</v>
      </c>
      <c r="H3459" s="45">
        <v>15</v>
      </c>
      <c r="I3459" s="74">
        <v>32.86</v>
      </c>
    </row>
    <row r="3460" spans="1:9" s="71" customFormat="1" ht="16.5" hidden="1" customHeight="1" outlineLevel="1" x14ac:dyDescent="0.25">
      <c r="A3460" s="74">
        <v>1867</v>
      </c>
      <c r="B3460" s="45" t="s">
        <v>664</v>
      </c>
      <c r="C3460" s="60" t="s">
        <v>3071</v>
      </c>
      <c r="D3460" s="60"/>
      <c r="E3460" s="74">
        <v>2022</v>
      </c>
      <c r="F3460" s="74" t="s">
        <v>489</v>
      </c>
      <c r="G3460" s="61">
        <v>1</v>
      </c>
      <c r="H3460" s="45">
        <v>15</v>
      </c>
      <c r="I3460" s="74">
        <v>34.512999999999998</v>
      </c>
    </row>
    <row r="3461" spans="1:9" s="71" customFormat="1" ht="16.5" hidden="1" customHeight="1" outlineLevel="1" x14ac:dyDescent="0.25">
      <c r="A3461" s="74">
        <v>1896</v>
      </c>
      <c r="B3461" s="45" t="s">
        <v>664</v>
      </c>
      <c r="C3461" s="60" t="s">
        <v>3072</v>
      </c>
      <c r="D3461" s="60"/>
      <c r="E3461" s="74">
        <v>2022</v>
      </c>
      <c r="F3461" s="74" t="s">
        <v>489</v>
      </c>
      <c r="G3461" s="61">
        <v>1</v>
      </c>
      <c r="H3461" s="45">
        <v>22</v>
      </c>
      <c r="I3461" s="74">
        <v>30.15</v>
      </c>
    </row>
    <row r="3462" spans="1:9" s="71" customFormat="1" ht="16.5" hidden="1" customHeight="1" outlineLevel="1" x14ac:dyDescent="0.25">
      <c r="A3462" s="74">
        <v>1888</v>
      </c>
      <c r="B3462" s="45" t="s">
        <v>664</v>
      </c>
      <c r="C3462" s="60" t="s">
        <v>3073</v>
      </c>
      <c r="D3462" s="60"/>
      <c r="E3462" s="74">
        <v>2022</v>
      </c>
      <c r="F3462" s="74" t="s">
        <v>489</v>
      </c>
      <c r="G3462" s="61">
        <v>1</v>
      </c>
      <c r="H3462" s="45">
        <v>15</v>
      </c>
      <c r="I3462" s="74">
        <v>26.236999999999998</v>
      </c>
    </row>
    <row r="3463" spans="1:9" s="71" customFormat="1" ht="16.5" hidden="1" customHeight="1" outlineLevel="1" x14ac:dyDescent="0.25">
      <c r="A3463" s="74">
        <v>1892</v>
      </c>
      <c r="B3463" s="45" t="s">
        <v>664</v>
      </c>
      <c r="C3463" s="60" t="s">
        <v>3074</v>
      </c>
      <c r="D3463" s="60"/>
      <c r="E3463" s="74">
        <v>2022</v>
      </c>
      <c r="F3463" s="74" t="s">
        <v>489</v>
      </c>
      <c r="G3463" s="61">
        <v>1</v>
      </c>
      <c r="H3463" s="45">
        <v>10</v>
      </c>
      <c r="I3463" s="74">
        <v>36.247999999999998</v>
      </c>
    </row>
    <row r="3464" spans="1:9" s="71" customFormat="1" ht="16.5" hidden="1" customHeight="1" outlineLevel="1" x14ac:dyDescent="0.25">
      <c r="A3464" s="74">
        <v>1910</v>
      </c>
      <c r="B3464" s="45" t="s">
        <v>664</v>
      </c>
      <c r="C3464" s="60" t="s">
        <v>3075</v>
      </c>
      <c r="D3464" s="60"/>
      <c r="E3464" s="74">
        <v>2022</v>
      </c>
      <c r="F3464" s="74" t="s">
        <v>489</v>
      </c>
      <c r="G3464" s="61">
        <v>3</v>
      </c>
      <c r="H3464" s="45">
        <v>32</v>
      </c>
      <c r="I3464" s="74">
        <v>104.892</v>
      </c>
    </row>
    <row r="3465" spans="1:9" s="71" customFormat="1" ht="16.5" hidden="1" customHeight="1" outlineLevel="1" x14ac:dyDescent="0.25">
      <c r="A3465" s="74">
        <v>1916</v>
      </c>
      <c r="B3465" s="45" t="s">
        <v>664</v>
      </c>
      <c r="C3465" s="60" t="s">
        <v>3076</v>
      </c>
      <c r="D3465" s="60"/>
      <c r="E3465" s="74">
        <v>2022</v>
      </c>
      <c r="F3465" s="74" t="s">
        <v>489</v>
      </c>
      <c r="G3465" s="61">
        <v>1</v>
      </c>
      <c r="H3465" s="45">
        <v>15</v>
      </c>
      <c r="I3465" s="74">
        <v>34.079000000000001</v>
      </c>
    </row>
    <row r="3466" spans="1:9" s="71" customFormat="1" ht="16.5" hidden="1" customHeight="1" outlineLevel="1" x14ac:dyDescent="0.25">
      <c r="A3466" s="74">
        <v>1928</v>
      </c>
      <c r="B3466" s="45" t="s">
        <v>664</v>
      </c>
      <c r="C3466" s="60" t="s">
        <v>3077</v>
      </c>
      <c r="D3466" s="60"/>
      <c r="E3466" s="74">
        <v>2022</v>
      </c>
      <c r="F3466" s="74" t="s">
        <v>489</v>
      </c>
      <c r="G3466" s="61">
        <v>1</v>
      </c>
      <c r="H3466" s="45">
        <v>10</v>
      </c>
      <c r="I3466" s="74">
        <v>34.655999999999999</v>
      </c>
    </row>
    <row r="3467" spans="1:9" s="71" customFormat="1" ht="16.5" hidden="1" customHeight="1" outlineLevel="1" x14ac:dyDescent="0.25">
      <c r="A3467" s="74">
        <v>1949</v>
      </c>
      <c r="B3467" s="45" t="s">
        <v>664</v>
      </c>
      <c r="C3467" s="60" t="s">
        <v>3078</v>
      </c>
      <c r="D3467" s="60"/>
      <c r="E3467" s="74">
        <v>2022</v>
      </c>
      <c r="F3467" s="74" t="s">
        <v>489</v>
      </c>
      <c r="G3467" s="61">
        <v>2</v>
      </c>
      <c r="H3467" s="45">
        <v>25</v>
      </c>
      <c r="I3467" s="74">
        <v>71.403000000000006</v>
      </c>
    </row>
    <row r="3468" spans="1:9" s="71" customFormat="1" ht="16.5" hidden="1" customHeight="1" outlineLevel="1" x14ac:dyDescent="0.25">
      <c r="A3468" s="74">
        <v>1951</v>
      </c>
      <c r="B3468" s="45" t="s">
        <v>664</v>
      </c>
      <c r="C3468" s="60" t="s">
        <v>3079</v>
      </c>
      <c r="D3468" s="60"/>
      <c r="E3468" s="74">
        <v>2022</v>
      </c>
      <c r="F3468" s="74" t="s">
        <v>489</v>
      </c>
      <c r="G3468" s="61">
        <v>2</v>
      </c>
      <c r="H3468" s="45">
        <v>30</v>
      </c>
      <c r="I3468" s="74">
        <v>60.362000000000002</v>
      </c>
    </row>
    <row r="3469" spans="1:9" s="71" customFormat="1" ht="16.5" hidden="1" customHeight="1" outlineLevel="1" x14ac:dyDescent="0.25">
      <c r="A3469" s="74">
        <v>1977</v>
      </c>
      <c r="B3469" s="45" t="s">
        <v>664</v>
      </c>
      <c r="C3469" s="60" t="s">
        <v>3080</v>
      </c>
      <c r="D3469" s="60"/>
      <c r="E3469" s="74">
        <v>2022</v>
      </c>
      <c r="F3469" s="74" t="s">
        <v>489</v>
      </c>
      <c r="G3469" s="61">
        <v>1</v>
      </c>
      <c r="H3469" s="45">
        <v>15</v>
      </c>
      <c r="I3469" s="74">
        <v>30.719000000000001</v>
      </c>
    </row>
    <row r="3470" spans="1:9" s="71" customFormat="1" ht="16.5" hidden="1" customHeight="1" outlineLevel="1" x14ac:dyDescent="0.25">
      <c r="A3470" s="74">
        <v>1980</v>
      </c>
      <c r="B3470" s="45" t="s">
        <v>664</v>
      </c>
      <c r="C3470" s="60" t="s">
        <v>3081</v>
      </c>
      <c r="D3470" s="60"/>
      <c r="E3470" s="74">
        <v>2022</v>
      </c>
      <c r="F3470" s="74" t="s">
        <v>489</v>
      </c>
      <c r="G3470" s="61">
        <v>1</v>
      </c>
      <c r="H3470" s="45">
        <v>10</v>
      </c>
      <c r="I3470" s="74">
        <v>36.518999999999998</v>
      </c>
    </row>
    <row r="3471" spans="1:9" s="71" customFormat="1" ht="16.5" hidden="1" customHeight="1" outlineLevel="1" x14ac:dyDescent="0.25">
      <c r="A3471" s="74">
        <v>1995</v>
      </c>
      <c r="B3471" s="45" t="s">
        <v>664</v>
      </c>
      <c r="C3471" s="60" t="s">
        <v>3082</v>
      </c>
      <c r="D3471" s="60"/>
      <c r="E3471" s="74">
        <v>2022</v>
      </c>
      <c r="F3471" s="74" t="s">
        <v>489</v>
      </c>
      <c r="G3471" s="61">
        <v>1</v>
      </c>
      <c r="H3471" s="45">
        <v>15</v>
      </c>
      <c r="I3471" s="74">
        <v>35.802</v>
      </c>
    </row>
    <row r="3472" spans="1:9" s="71" customFormat="1" ht="16.5" hidden="1" customHeight="1" outlineLevel="1" x14ac:dyDescent="0.25">
      <c r="A3472" s="74">
        <v>1996</v>
      </c>
      <c r="B3472" s="45" t="s">
        <v>664</v>
      </c>
      <c r="C3472" s="60" t="s">
        <v>3083</v>
      </c>
      <c r="D3472" s="60"/>
      <c r="E3472" s="74">
        <v>2022</v>
      </c>
      <c r="F3472" s="74" t="s">
        <v>489</v>
      </c>
      <c r="G3472" s="61">
        <v>1</v>
      </c>
      <c r="H3472" s="45">
        <v>15</v>
      </c>
      <c r="I3472" s="74">
        <v>36.194000000000003</v>
      </c>
    </row>
    <row r="3473" spans="1:9" s="71" customFormat="1" ht="16.5" hidden="1" customHeight="1" outlineLevel="1" x14ac:dyDescent="0.25">
      <c r="A3473" s="74">
        <v>2008</v>
      </c>
      <c r="B3473" s="45" t="s">
        <v>664</v>
      </c>
      <c r="C3473" s="60" t="s">
        <v>3084</v>
      </c>
      <c r="D3473" s="60"/>
      <c r="E3473" s="74">
        <v>2022</v>
      </c>
      <c r="F3473" s="74" t="s">
        <v>489</v>
      </c>
      <c r="G3473" s="61">
        <v>1</v>
      </c>
      <c r="H3473" s="45">
        <v>10</v>
      </c>
      <c r="I3473" s="74">
        <v>24.262</v>
      </c>
    </row>
    <row r="3474" spans="1:9" s="71" customFormat="1" ht="16.5" hidden="1" customHeight="1" outlineLevel="1" x14ac:dyDescent="0.25">
      <c r="A3474" s="74">
        <v>2010</v>
      </c>
      <c r="B3474" s="45" t="s">
        <v>664</v>
      </c>
      <c r="C3474" s="60" t="s">
        <v>3085</v>
      </c>
      <c r="D3474" s="60"/>
      <c r="E3474" s="74">
        <v>2022</v>
      </c>
      <c r="F3474" s="74" t="s">
        <v>489</v>
      </c>
      <c r="G3474" s="61">
        <v>1</v>
      </c>
      <c r="H3474" s="45">
        <v>15</v>
      </c>
      <c r="I3474" s="74">
        <v>48.543999999999997</v>
      </c>
    </row>
    <row r="3475" spans="1:9" s="71" customFormat="1" ht="16.5" hidden="1" customHeight="1" outlineLevel="1" x14ac:dyDescent="0.25">
      <c r="A3475" s="74">
        <v>2012</v>
      </c>
      <c r="B3475" s="45" t="s">
        <v>664</v>
      </c>
      <c r="C3475" s="60" t="s">
        <v>3086</v>
      </c>
      <c r="D3475" s="60"/>
      <c r="E3475" s="74">
        <v>2022</v>
      </c>
      <c r="F3475" s="74" t="s">
        <v>489</v>
      </c>
      <c r="G3475" s="61">
        <v>1</v>
      </c>
      <c r="H3475" s="45">
        <v>15</v>
      </c>
      <c r="I3475" s="74">
        <v>64.013999999999996</v>
      </c>
    </row>
    <row r="3476" spans="1:9" s="71" customFormat="1" ht="16.5" hidden="1" customHeight="1" outlineLevel="1" x14ac:dyDescent="0.25">
      <c r="A3476" s="74">
        <v>2013</v>
      </c>
      <c r="B3476" s="45" t="s">
        <v>664</v>
      </c>
      <c r="C3476" s="60" t="s">
        <v>3087</v>
      </c>
      <c r="D3476" s="60"/>
      <c r="E3476" s="74">
        <v>2022</v>
      </c>
      <c r="F3476" s="74" t="s">
        <v>489</v>
      </c>
      <c r="G3476" s="61">
        <v>1</v>
      </c>
      <c r="H3476" s="45">
        <v>15</v>
      </c>
      <c r="I3476" s="74">
        <v>38.786999999999999</v>
      </c>
    </row>
    <row r="3477" spans="1:9" s="71" customFormat="1" ht="16.5" hidden="1" customHeight="1" outlineLevel="1" x14ac:dyDescent="0.25">
      <c r="A3477" s="74">
        <v>2014</v>
      </c>
      <c r="B3477" s="45" t="s">
        <v>664</v>
      </c>
      <c r="C3477" s="60" t="s">
        <v>3088</v>
      </c>
      <c r="D3477" s="60"/>
      <c r="E3477" s="74">
        <v>2022</v>
      </c>
      <c r="F3477" s="74" t="s">
        <v>489</v>
      </c>
      <c r="G3477" s="61">
        <v>1</v>
      </c>
      <c r="H3477" s="45">
        <v>15</v>
      </c>
      <c r="I3477" s="74">
        <v>52.276000000000003</v>
      </c>
    </row>
    <row r="3478" spans="1:9" s="71" customFormat="1" ht="16.5" hidden="1" customHeight="1" outlineLevel="1" x14ac:dyDescent="0.25">
      <c r="A3478" s="74">
        <v>2034</v>
      </c>
      <c r="B3478" s="45" t="s">
        <v>664</v>
      </c>
      <c r="C3478" s="60" t="s">
        <v>3089</v>
      </c>
      <c r="D3478" s="60"/>
      <c r="E3478" s="74">
        <v>2022</v>
      </c>
      <c r="F3478" s="74" t="s">
        <v>489</v>
      </c>
      <c r="G3478" s="61">
        <v>1</v>
      </c>
      <c r="H3478" s="45">
        <v>15</v>
      </c>
      <c r="I3478" s="74">
        <v>36.984000000000002</v>
      </c>
    </row>
    <row r="3479" spans="1:9" s="71" customFormat="1" ht="16.5" hidden="1" customHeight="1" outlineLevel="1" x14ac:dyDescent="0.25">
      <c r="A3479" s="74">
        <v>1856</v>
      </c>
      <c r="B3479" s="45" t="s">
        <v>664</v>
      </c>
      <c r="C3479" s="60" t="s">
        <v>3090</v>
      </c>
      <c r="D3479" s="60"/>
      <c r="E3479" s="74">
        <v>2022</v>
      </c>
      <c r="F3479" s="74" t="s">
        <v>489</v>
      </c>
      <c r="G3479" s="61">
        <v>1</v>
      </c>
      <c r="H3479" s="45">
        <v>35</v>
      </c>
      <c r="I3479" s="74">
        <v>37.546999999999997</v>
      </c>
    </row>
    <row r="3480" spans="1:9" s="71" customFormat="1" ht="16.5" hidden="1" customHeight="1" outlineLevel="1" x14ac:dyDescent="0.25">
      <c r="A3480" s="74">
        <v>2075</v>
      </c>
      <c r="B3480" s="45" t="s">
        <v>664</v>
      </c>
      <c r="C3480" s="60" t="s">
        <v>3091</v>
      </c>
      <c r="D3480" s="60"/>
      <c r="E3480" s="74">
        <v>2022</v>
      </c>
      <c r="F3480" s="74" t="s">
        <v>489</v>
      </c>
      <c r="G3480" s="61">
        <v>1</v>
      </c>
      <c r="H3480" s="45">
        <v>8</v>
      </c>
      <c r="I3480" s="74">
        <v>27.891999999999999</v>
      </c>
    </row>
    <row r="3481" spans="1:9" s="71" customFormat="1" ht="16.5" hidden="1" customHeight="1" outlineLevel="1" x14ac:dyDescent="0.25">
      <c r="A3481" s="74">
        <v>2240</v>
      </c>
      <c r="B3481" s="45" t="s">
        <v>664</v>
      </c>
      <c r="C3481" s="60" t="s">
        <v>3092</v>
      </c>
      <c r="D3481" s="60"/>
      <c r="E3481" s="74">
        <v>2022</v>
      </c>
      <c r="F3481" s="74" t="s">
        <v>489</v>
      </c>
      <c r="G3481" s="61">
        <v>1</v>
      </c>
      <c r="H3481" s="45">
        <v>8</v>
      </c>
      <c r="I3481" s="74">
        <v>44.054000000000002</v>
      </c>
    </row>
    <row r="3482" spans="1:9" s="71" customFormat="1" ht="16.5" hidden="1" customHeight="1" outlineLevel="1" x14ac:dyDescent="0.25">
      <c r="A3482" s="74">
        <v>2324</v>
      </c>
      <c r="B3482" s="45" t="s">
        <v>664</v>
      </c>
      <c r="C3482" s="60" t="s">
        <v>3093</v>
      </c>
      <c r="D3482" s="60"/>
      <c r="E3482" s="74">
        <v>2022</v>
      </c>
      <c r="F3482" s="74" t="s">
        <v>489</v>
      </c>
      <c r="G3482" s="61">
        <v>1</v>
      </c>
      <c r="H3482" s="45">
        <v>15</v>
      </c>
      <c r="I3482" s="74">
        <v>32.082000000000001</v>
      </c>
    </row>
    <row r="3483" spans="1:9" s="71" customFormat="1" ht="16.5" hidden="1" customHeight="1" outlineLevel="1" x14ac:dyDescent="0.25">
      <c r="A3483" s="74">
        <v>2034</v>
      </c>
      <c r="B3483" s="45" t="s">
        <v>664</v>
      </c>
      <c r="C3483" s="60" t="s">
        <v>3094</v>
      </c>
      <c r="D3483" s="60"/>
      <c r="E3483" s="74">
        <v>2022</v>
      </c>
      <c r="F3483" s="74" t="s">
        <v>489</v>
      </c>
      <c r="G3483" s="61">
        <v>1</v>
      </c>
      <c r="H3483" s="45">
        <v>15</v>
      </c>
      <c r="I3483" s="74">
        <v>34.591000000000001</v>
      </c>
    </row>
    <row r="3484" spans="1:9" s="71" customFormat="1" ht="16.5" hidden="1" customHeight="1" outlineLevel="1" x14ac:dyDescent="0.25">
      <c r="A3484" s="74">
        <v>1887</v>
      </c>
      <c r="B3484" s="45" t="s">
        <v>664</v>
      </c>
      <c r="C3484" s="60" t="s">
        <v>3095</v>
      </c>
      <c r="D3484" s="60"/>
      <c r="E3484" s="74">
        <v>2022</v>
      </c>
      <c r="F3484" s="74" t="s">
        <v>489</v>
      </c>
      <c r="G3484" s="61">
        <v>1</v>
      </c>
      <c r="H3484" s="45">
        <v>15</v>
      </c>
      <c r="I3484" s="74">
        <v>32.145000000000003</v>
      </c>
    </row>
    <row r="3485" spans="1:9" s="71" customFormat="1" ht="16.5" hidden="1" customHeight="1" outlineLevel="1" x14ac:dyDescent="0.25">
      <c r="A3485" s="74">
        <v>1922</v>
      </c>
      <c r="B3485" s="45" t="s">
        <v>664</v>
      </c>
      <c r="C3485" s="60" t="s">
        <v>3096</v>
      </c>
      <c r="D3485" s="60"/>
      <c r="E3485" s="74">
        <v>2022</v>
      </c>
      <c r="F3485" s="74" t="s">
        <v>489</v>
      </c>
      <c r="G3485" s="61">
        <v>1</v>
      </c>
      <c r="H3485" s="45">
        <v>15</v>
      </c>
      <c r="I3485" s="74">
        <v>34.706000000000003</v>
      </c>
    </row>
    <row r="3486" spans="1:9" s="71" customFormat="1" ht="16.5" hidden="1" customHeight="1" outlineLevel="1" x14ac:dyDescent="0.25">
      <c r="A3486" s="74">
        <v>1938</v>
      </c>
      <c r="B3486" s="45" t="s">
        <v>664</v>
      </c>
      <c r="C3486" s="60" t="s">
        <v>3097</v>
      </c>
      <c r="D3486" s="60"/>
      <c r="E3486" s="74">
        <v>2022</v>
      </c>
      <c r="F3486" s="74" t="s">
        <v>489</v>
      </c>
      <c r="G3486" s="61">
        <v>3</v>
      </c>
      <c r="H3486" s="45">
        <v>45</v>
      </c>
      <c r="I3486" s="74">
        <v>75.497</v>
      </c>
    </row>
    <row r="3487" spans="1:9" s="71" customFormat="1" ht="16.5" hidden="1" customHeight="1" outlineLevel="1" x14ac:dyDescent="0.25">
      <c r="A3487" s="74">
        <v>1941</v>
      </c>
      <c r="B3487" s="45" t="s">
        <v>664</v>
      </c>
      <c r="C3487" s="60" t="s">
        <v>3098</v>
      </c>
      <c r="D3487" s="60"/>
      <c r="E3487" s="74">
        <v>2022</v>
      </c>
      <c r="F3487" s="74" t="s">
        <v>489</v>
      </c>
      <c r="G3487" s="61">
        <v>1</v>
      </c>
      <c r="H3487" s="45">
        <v>15</v>
      </c>
      <c r="I3487" s="74">
        <v>35.744999999999997</v>
      </c>
    </row>
    <row r="3488" spans="1:9" s="71" customFormat="1" ht="16.5" hidden="1" customHeight="1" outlineLevel="1" x14ac:dyDescent="0.25">
      <c r="A3488" s="74">
        <v>1943</v>
      </c>
      <c r="B3488" s="45" t="s">
        <v>664</v>
      </c>
      <c r="C3488" s="60" t="s">
        <v>3099</v>
      </c>
      <c r="D3488" s="60"/>
      <c r="E3488" s="74">
        <v>2022</v>
      </c>
      <c r="F3488" s="74" t="s">
        <v>489</v>
      </c>
      <c r="G3488" s="61">
        <v>1</v>
      </c>
      <c r="H3488" s="45">
        <v>15</v>
      </c>
      <c r="I3488" s="74">
        <v>67.024000000000001</v>
      </c>
    </row>
    <row r="3489" spans="1:9" s="71" customFormat="1" ht="16.5" hidden="1" customHeight="1" outlineLevel="1" x14ac:dyDescent="0.25">
      <c r="A3489" s="74">
        <v>1947</v>
      </c>
      <c r="B3489" s="45" t="s">
        <v>664</v>
      </c>
      <c r="C3489" s="60" t="s">
        <v>3100</v>
      </c>
      <c r="D3489" s="60"/>
      <c r="E3489" s="74">
        <v>2022</v>
      </c>
      <c r="F3489" s="74" t="s">
        <v>489</v>
      </c>
      <c r="G3489" s="61">
        <v>3</v>
      </c>
      <c r="H3489" s="45">
        <v>40</v>
      </c>
      <c r="I3489" s="74">
        <v>99.182000000000002</v>
      </c>
    </row>
    <row r="3490" spans="1:9" s="71" customFormat="1" ht="16.5" hidden="1" customHeight="1" outlineLevel="1" x14ac:dyDescent="0.25">
      <c r="A3490" s="74">
        <v>1967</v>
      </c>
      <c r="B3490" s="45" t="s">
        <v>664</v>
      </c>
      <c r="C3490" s="60" t="s">
        <v>3101</v>
      </c>
      <c r="D3490" s="60"/>
      <c r="E3490" s="74">
        <v>2022</v>
      </c>
      <c r="F3490" s="74" t="s">
        <v>489</v>
      </c>
      <c r="G3490" s="61">
        <v>1</v>
      </c>
      <c r="H3490" s="45">
        <v>15</v>
      </c>
      <c r="I3490" s="74">
        <v>30.672000000000001</v>
      </c>
    </row>
    <row r="3491" spans="1:9" s="71" customFormat="1" ht="16.5" hidden="1" customHeight="1" outlineLevel="1" x14ac:dyDescent="0.25">
      <c r="A3491" s="74">
        <v>1974</v>
      </c>
      <c r="B3491" s="45" t="s">
        <v>664</v>
      </c>
      <c r="C3491" s="60" t="s">
        <v>3102</v>
      </c>
      <c r="D3491" s="60"/>
      <c r="E3491" s="74">
        <v>2022</v>
      </c>
      <c r="F3491" s="74" t="s">
        <v>489</v>
      </c>
      <c r="G3491" s="61">
        <v>1</v>
      </c>
      <c r="H3491" s="45">
        <v>11</v>
      </c>
      <c r="I3491" s="74">
        <v>31.904</v>
      </c>
    </row>
    <row r="3492" spans="1:9" s="71" customFormat="1" ht="16.5" hidden="1" customHeight="1" outlineLevel="1" x14ac:dyDescent="0.25">
      <c r="A3492" s="74">
        <v>1984</v>
      </c>
      <c r="B3492" s="45" t="s">
        <v>664</v>
      </c>
      <c r="C3492" s="60" t="s">
        <v>3103</v>
      </c>
      <c r="D3492" s="60"/>
      <c r="E3492" s="74">
        <v>2022</v>
      </c>
      <c r="F3492" s="74" t="s">
        <v>489</v>
      </c>
      <c r="G3492" s="61">
        <v>1</v>
      </c>
      <c r="H3492" s="45">
        <v>15</v>
      </c>
      <c r="I3492" s="74">
        <v>34.999000000000002</v>
      </c>
    </row>
    <row r="3493" spans="1:9" s="71" customFormat="1" ht="16.5" hidden="1" customHeight="1" outlineLevel="1" x14ac:dyDescent="0.25">
      <c r="A3493" s="74">
        <v>1997</v>
      </c>
      <c r="B3493" s="45" t="s">
        <v>664</v>
      </c>
      <c r="C3493" s="60" t="s">
        <v>3104</v>
      </c>
      <c r="D3493" s="60"/>
      <c r="E3493" s="74">
        <v>2022</v>
      </c>
      <c r="F3493" s="74" t="s">
        <v>489</v>
      </c>
      <c r="G3493" s="61">
        <v>1</v>
      </c>
      <c r="H3493" s="45">
        <v>15</v>
      </c>
      <c r="I3493" s="74">
        <v>37.082000000000001</v>
      </c>
    </row>
    <row r="3494" spans="1:9" s="71" customFormat="1" ht="16.5" hidden="1" customHeight="1" outlineLevel="1" x14ac:dyDescent="0.25">
      <c r="A3494" s="74">
        <v>2005</v>
      </c>
      <c r="B3494" s="45" t="s">
        <v>664</v>
      </c>
      <c r="C3494" s="60" t="s">
        <v>3105</v>
      </c>
      <c r="D3494" s="60"/>
      <c r="E3494" s="74">
        <v>2022</v>
      </c>
      <c r="F3494" s="74" t="s">
        <v>489</v>
      </c>
      <c r="G3494" s="61">
        <v>1</v>
      </c>
      <c r="H3494" s="45">
        <v>15</v>
      </c>
      <c r="I3494" s="74">
        <v>34.9</v>
      </c>
    </row>
    <row r="3495" spans="1:9" s="71" customFormat="1" ht="16.5" hidden="1" customHeight="1" outlineLevel="1" x14ac:dyDescent="0.25">
      <c r="A3495" s="74">
        <v>2021</v>
      </c>
      <c r="B3495" s="45" t="s">
        <v>664</v>
      </c>
      <c r="C3495" s="60" t="s">
        <v>3106</v>
      </c>
      <c r="D3495" s="60"/>
      <c r="E3495" s="74">
        <v>2022</v>
      </c>
      <c r="F3495" s="74" t="s">
        <v>489</v>
      </c>
      <c r="G3495" s="61">
        <v>1</v>
      </c>
      <c r="H3495" s="45">
        <v>15</v>
      </c>
      <c r="I3495" s="74">
        <v>34.872999999999998</v>
      </c>
    </row>
    <row r="3496" spans="1:9" s="71" customFormat="1" ht="16.5" hidden="1" customHeight="1" outlineLevel="1" x14ac:dyDescent="0.25">
      <c r="A3496" s="74">
        <v>2033</v>
      </c>
      <c r="B3496" s="45" t="s">
        <v>664</v>
      </c>
      <c r="C3496" s="60" t="s">
        <v>3107</v>
      </c>
      <c r="D3496" s="60"/>
      <c r="E3496" s="74">
        <v>2022</v>
      </c>
      <c r="F3496" s="74" t="s">
        <v>489</v>
      </c>
      <c r="G3496" s="61">
        <v>1</v>
      </c>
      <c r="H3496" s="45">
        <v>7</v>
      </c>
      <c r="I3496" s="74">
        <v>30.5</v>
      </c>
    </row>
    <row r="3497" spans="1:9" s="71" customFormat="1" ht="16.5" hidden="1" customHeight="1" outlineLevel="1" x14ac:dyDescent="0.25">
      <c r="A3497" s="74">
        <v>2041</v>
      </c>
      <c r="B3497" s="45" t="s">
        <v>664</v>
      </c>
      <c r="C3497" s="60" t="s">
        <v>3108</v>
      </c>
      <c r="D3497" s="60"/>
      <c r="E3497" s="74">
        <v>2022</v>
      </c>
      <c r="F3497" s="74" t="s">
        <v>489</v>
      </c>
      <c r="G3497" s="61">
        <v>1</v>
      </c>
      <c r="H3497" s="45">
        <v>10</v>
      </c>
      <c r="I3497" s="74">
        <v>31.129000000000001</v>
      </c>
    </row>
    <row r="3498" spans="1:9" s="71" customFormat="1" ht="16.5" hidden="1" customHeight="1" outlineLevel="1" x14ac:dyDescent="0.25">
      <c r="A3498" s="74">
        <v>2070</v>
      </c>
      <c r="B3498" s="45" t="s">
        <v>664</v>
      </c>
      <c r="C3498" s="60" t="s">
        <v>634</v>
      </c>
      <c r="D3498" s="60"/>
      <c r="E3498" s="74">
        <v>2022</v>
      </c>
      <c r="F3498" s="74" t="s">
        <v>489</v>
      </c>
      <c r="G3498" s="61">
        <v>1</v>
      </c>
      <c r="H3498" s="45">
        <v>150</v>
      </c>
      <c r="I3498" s="74">
        <v>20.788</v>
      </c>
    </row>
    <row r="3499" spans="1:9" s="71" customFormat="1" ht="16.5" hidden="1" customHeight="1" outlineLevel="1" x14ac:dyDescent="0.25">
      <c r="A3499" s="74">
        <v>2077</v>
      </c>
      <c r="B3499" s="45" t="s">
        <v>664</v>
      </c>
      <c r="C3499" s="60" t="s">
        <v>3109</v>
      </c>
      <c r="D3499" s="60"/>
      <c r="E3499" s="74">
        <v>2022</v>
      </c>
      <c r="F3499" s="74" t="s">
        <v>489</v>
      </c>
      <c r="G3499" s="61">
        <v>1</v>
      </c>
      <c r="H3499" s="45">
        <v>15</v>
      </c>
      <c r="I3499" s="74">
        <v>29.852</v>
      </c>
    </row>
    <row r="3500" spans="1:9" s="71" customFormat="1" ht="16.5" hidden="1" customHeight="1" outlineLevel="1" x14ac:dyDescent="0.25">
      <c r="A3500" s="74">
        <v>2082</v>
      </c>
      <c r="B3500" s="45" t="s">
        <v>664</v>
      </c>
      <c r="C3500" s="60" t="s">
        <v>3110</v>
      </c>
      <c r="D3500" s="60"/>
      <c r="E3500" s="74">
        <v>2022</v>
      </c>
      <c r="F3500" s="74" t="s">
        <v>489</v>
      </c>
      <c r="G3500" s="61">
        <v>1</v>
      </c>
      <c r="H3500" s="45">
        <v>5</v>
      </c>
      <c r="I3500" s="74">
        <v>36.101999999999997</v>
      </c>
    </row>
    <row r="3501" spans="1:9" s="71" customFormat="1" ht="16.5" hidden="1" customHeight="1" outlineLevel="1" x14ac:dyDescent="0.25">
      <c r="A3501" s="74">
        <v>2086</v>
      </c>
      <c r="B3501" s="45" t="s">
        <v>664</v>
      </c>
      <c r="C3501" s="60" t="s">
        <v>3111</v>
      </c>
      <c r="D3501" s="60"/>
      <c r="E3501" s="74">
        <v>2022</v>
      </c>
      <c r="F3501" s="74" t="s">
        <v>489</v>
      </c>
      <c r="G3501" s="61">
        <v>1</v>
      </c>
      <c r="H3501" s="45">
        <v>15</v>
      </c>
      <c r="I3501" s="74">
        <v>30.256</v>
      </c>
    </row>
    <row r="3502" spans="1:9" s="71" customFormat="1" ht="16.5" hidden="1" customHeight="1" outlineLevel="1" x14ac:dyDescent="0.25">
      <c r="A3502" s="74">
        <v>2114</v>
      </c>
      <c r="B3502" s="45" t="s">
        <v>664</v>
      </c>
      <c r="C3502" s="60" t="s">
        <v>3112</v>
      </c>
      <c r="D3502" s="60"/>
      <c r="E3502" s="74">
        <v>2022</v>
      </c>
      <c r="F3502" s="74" t="s">
        <v>489</v>
      </c>
      <c r="G3502" s="61">
        <v>1</v>
      </c>
      <c r="H3502" s="45">
        <v>15</v>
      </c>
      <c r="I3502" s="74">
        <v>35.064999999999998</v>
      </c>
    </row>
    <row r="3503" spans="1:9" s="71" customFormat="1" ht="16.5" hidden="1" customHeight="1" outlineLevel="1" x14ac:dyDescent="0.25">
      <c r="A3503" s="74">
        <v>2122</v>
      </c>
      <c r="B3503" s="45" t="s">
        <v>664</v>
      </c>
      <c r="C3503" s="60" t="s">
        <v>3113</v>
      </c>
      <c r="D3503" s="60"/>
      <c r="E3503" s="74">
        <v>2022</v>
      </c>
      <c r="F3503" s="74" t="s">
        <v>489</v>
      </c>
      <c r="G3503" s="61">
        <v>1</v>
      </c>
      <c r="H3503" s="45">
        <v>5</v>
      </c>
      <c r="I3503" s="74">
        <v>35.445</v>
      </c>
    </row>
    <row r="3504" spans="1:9" s="71" customFormat="1" ht="16.5" hidden="1" customHeight="1" outlineLevel="1" x14ac:dyDescent="0.25">
      <c r="A3504" s="74">
        <v>2123</v>
      </c>
      <c r="B3504" s="45" t="s">
        <v>664</v>
      </c>
      <c r="C3504" s="60" t="s">
        <v>3114</v>
      </c>
      <c r="D3504" s="60"/>
      <c r="E3504" s="74">
        <v>2022</v>
      </c>
      <c r="F3504" s="74" t="s">
        <v>489</v>
      </c>
      <c r="G3504" s="61">
        <v>1</v>
      </c>
      <c r="H3504" s="45">
        <v>15</v>
      </c>
      <c r="I3504" s="74">
        <v>30.100999999999999</v>
      </c>
    </row>
    <row r="3505" spans="1:9" s="71" customFormat="1" ht="16.5" hidden="1" customHeight="1" outlineLevel="1" x14ac:dyDescent="0.25">
      <c r="A3505" s="74">
        <v>2125</v>
      </c>
      <c r="B3505" s="45" t="s">
        <v>664</v>
      </c>
      <c r="C3505" s="60" t="s">
        <v>3115</v>
      </c>
      <c r="D3505" s="60"/>
      <c r="E3505" s="74">
        <v>2022</v>
      </c>
      <c r="F3505" s="74" t="s">
        <v>489</v>
      </c>
      <c r="G3505" s="61">
        <v>1</v>
      </c>
      <c r="H3505" s="45">
        <v>5</v>
      </c>
      <c r="I3505" s="74">
        <v>36.734999999999999</v>
      </c>
    </row>
    <row r="3506" spans="1:9" s="71" customFormat="1" ht="16.5" hidden="1" customHeight="1" outlineLevel="1" x14ac:dyDescent="0.25">
      <c r="A3506" s="74">
        <v>2127</v>
      </c>
      <c r="B3506" s="45" t="s">
        <v>664</v>
      </c>
      <c r="C3506" s="60" t="s">
        <v>3116</v>
      </c>
      <c r="D3506" s="60"/>
      <c r="E3506" s="74">
        <v>2022</v>
      </c>
      <c r="F3506" s="74" t="s">
        <v>489</v>
      </c>
      <c r="G3506" s="61">
        <v>1</v>
      </c>
      <c r="H3506" s="45">
        <v>15</v>
      </c>
      <c r="I3506" s="74">
        <v>36.712000000000003</v>
      </c>
    </row>
    <row r="3507" spans="1:9" s="71" customFormat="1" ht="16.5" hidden="1" customHeight="1" outlineLevel="1" x14ac:dyDescent="0.25">
      <c r="A3507" s="74">
        <v>2133</v>
      </c>
      <c r="B3507" s="45" t="s">
        <v>664</v>
      </c>
      <c r="C3507" s="60" t="s">
        <v>3117</v>
      </c>
      <c r="D3507" s="60"/>
      <c r="E3507" s="74">
        <v>2022</v>
      </c>
      <c r="F3507" s="74" t="s">
        <v>489</v>
      </c>
      <c r="G3507" s="61">
        <v>1</v>
      </c>
      <c r="H3507" s="45">
        <v>15</v>
      </c>
      <c r="I3507" s="74">
        <v>35.445</v>
      </c>
    </row>
    <row r="3508" spans="1:9" s="71" customFormat="1" ht="16.5" hidden="1" customHeight="1" outlineLevel="1" x14ac:dyDescent="0.25">
      <c r="A3508" s="74">
        <v>2134</v>
      </c>
      <c r="B3508" s="45" t="s">
        <v>664</v>
      </c>
      <c r="C3508" s="60" t="s">
        <v>3118</v>
      </c>
      <c r="D3508" s="60"/>
      <c r="E3508" s="74">
        <v>2022</v>
      </c>
      <c r="F3508" s="74" t="s">
        <v>489</v>
      </c>
      <c r="G3508" s="61">
        <v>1</v>
      </c>
      <c r="H3508" s="45">
        <v>10</v>
      </c>
      <c r="I3508" s="74">
        <v>36.078000000000003</v>
      </c>
    </row>
    <row r="3509" spans="1:9" s="71" customFormat="1" ht="16.5" hidden="1" customHeight="1" outlineLevel="1" x14ac:dyDescent="0.25">
      <c r="A3509" s="74">
        <v>2136</v>
      </c>
      <c r="B3509" s="45" t="s">
        <v>664</v>
      </c>
      <c r="C3509" s="60" t="s">
        <v>3119</v>
      </c>
      <c r="D3509" s="60"/>
      <c r="E3509" s="74">
        <v>2022</v>
      </c>
      <c r="F3509" s="74" t="s">
        <v>489</v>
      </c>
      <c r="G3509" s="61">
        <v>1</v>
      </c>
      <c r="H3509" s="45">
        <v>10</v>
      </c>
      <c r="I3509" s="74">
        <v>35.469000000000001</v>
      </c>
    </row>
    <row r="3510" spans="1:9" s="71" customFormat="1" ht="16.5" hidden="1" customHeight="1" outlineLevel="1" x14ac:dyDescent="0.25">
      <c r="A3510" s="74">
        <v>2137</v>
      </c>
      <c r="B3510" s="45" t="s">
        <v>664</v>
      </c>
      <c r="C3510" s="60" t="s">
        <v>3120</v>
      </c>
      <c r="D3510" s="60"/>
      <c r="E3510" s="74">
        <v>2022</v>
      </c>
      <c r="F3510" s="74" t="s">
        <v>489</v>
      </c>
      <c r="G3510" s="61">
        <v>1</v>
      </c>
      <c r="H3510" s="45">
        <v>7.5</v>
      </c>
      <c r="I3510" s="74">
        <v>35.395000000000003</v>
      </c>
    </row>
    <row r="3511" spans="1:9" s="71" customFormat="1" ht="16.5" hidden="1" customHeight="1" outlineLevel="1" x14ac:dyDescent="0.25">
      <c r="A3511" s="74">
        <v>2138</v>
      </c>
      <c r="B3511" s="45" t="s">
        <v>664</v>
      </c>
      <c r="C3511" s="60" t="s">
        <v>3121</v>
      </c>
      <c r="D3511" s="60"/>
      <c r="E3511" s="74">
        <v>2022</v>
      </c>
      <c r="F3511" s="74" t="s">
        <v>489</v>
      </c>
      <c r="G3511" s="61">
        <v>1</v>
      </c>
      <c r="H3511" s="45">
        <v>5</v>
      </c>
      <c r="I3511" s="74">
        <v>30.181000000000001</v>
      </c>
    </row>
    <row r="3512" spans="1:9" s="71" customFormat="1" ht="16.5" hidden="1" customHeight="1" outlineLevel="1" x14ac:dyDescent="0.25">
      <c r="A3512" s="74">
        <v>2143</v>
      </c>
      <c r="B3512" s="45" t="s">
        <v>664</v>
      </c>
      <c r="C3512" s="60" t="s">
        <v>3122</v>
      </c>
      <c r="D3512" s="60"/>
      <c r="E3512" s="74">
        <v>2022</v>
      </c>
      <c r="F3512" s="74" t="s">
        <v>489</v>
      </c>
      <c r="G3512" s="61">
        <v>1</v>
      </c>
      <c r="H3512" s="45">
        <v>15</v>
      </c>
      <c r="I3512" s="74">
        <v>36.712000000000003</v>
      </c>
    </row>
    <row r="3513" spans="1:9" s="71" customFormat="1" ht="16.5" hidden="1" customHeight="1" outlineLevel="1" x14ac:dyDescent="0.25">
      <c r="A3513" s="74">
        <v>2149</v>
      </c>
      <c r="B3513" s="45" t="s">
        <v>664</v>
      </c>
      <c r="C3513" s="60" t="s">
        <v>3123</v>
      </c>
      <c r="D3513" s="60"/>
      <c r="E3513" s="74">
        <v>2022</v>
      </c>
      <c r="F3513" s="74" t="s">
        <v>489</v>
      </c>
      <c r="G3513" s="61">
        <v>1</v>
      </c>
      <c r="H3513" s="45">
        <v>15</v>
      </c>
      <c r="I3513" s="74">
        <v>35.015000000000001</v>
      </c>
    </row>
    <row r="3514" spans="1:9" s="71" customFormat="1" ht="16.5" hidden="1" customHeight="1" outlineLevel="1" x14ac:dyDescent="0.25">
      <c r="A3514" s="74">
        <v>2150</v>
      </c>
      <c r="B3514" s="45" t="s">
        <v>664</v>
      </c>
      <c r="C3514" s="60" t="s">
        <v>3124</v>
      </c>
      <c r="D3514" s="60"/>
      <c r="E3514" s="74">
        <v>2022</v>
      </c>
      <c r="F3514" s="74" t="s">
        <v>489</v>
      </c>
      <c r="G3514" s="61">
        <v>1</v>
      </c>
      <c r="H3514" s="45">
        <v>15</v>
      </c>
      <c r="I3514" s="74">
        <v>35.015000000000001</v>
      </c>
    </row>
    <row r="3515" spans="1:9" s="71" customFormat="1" ht="16.5" hidden="1" customHeight="1" outlineLevel="1" x14ac:dyDescent="0.25">
      <c r="A3515" s="74">
        <v>2242</v>
      </c>
      <c r="B3515" s="45" t="s">
        <v>664</v>
      </c>
      <c r="C3515" s="60" t="s">
        <v>3125</v>
      </c>
      <c r="D3515" s="60"/>
      <c r="E3515" s="74">
        <v>2022</v>
      </c>
      <c r="F3515" s="74" t="s">
        <v>489</v>
      </c>
      <c r="G3515" s="61">
        <v>1</v>
      </c>
      <c r="H3515" s="45">
        <v>15</v>
      </c>
      <c r="I3515" s="74">
        <v>29.725999999999999</v>
      </c>
    </row>
    <row r="3516" spans="1:9" s="71" customFormat="1" ht="16.5" hidden="1" customHeight="1" outlineLevel="1" x14ac:dyDescent="0.25">
      <c r="A3516" s="74">
        <v>2248</v>
      </c>
      <c r="B3516" s="45" t="s">
        <v>664</v>
      </c>
      <c r="C3516" s="60" t="s">
        <v>3126</v>
      </c>
      <c r="D3516" s="60"/>
      <c r="E3516" s="74">
        <v>2022</v>
      </c>
      <c r="F3516" s="74" t="s">
        <v>489</v>
      </c>
      <c r="G3516" s="61">
        <v>1</v>
      </c>
      <c r="H3516" s="45">
        <v>15</v>
      </c>
      <c r="I3516" s="74">
        <v>66.087999999999994</v>
      </c>
    </row>
    <row r="3517" spans="1:9" s="71" customFormat="1" ht="16.5" hidden="1" customHeight="1" outlineLevel="1" x14ac:dyDescent="0.25">
      <c r="A3517" s="74">
        <v>2251</v>
      </c>
      <c r="B3517" s="45" t="s">
        <v>664</v>
      </c>
      <c r="C3517" s="60" t="s">
        <v>3127</v>
      </c>
      <c r="D3517" s="60"/>
      <c r="E3517" s="74">
        <v>2022</v>
      </c>
      <c r="F3517" s="74" t="s">
        <v>489</v>
      </c>
      <c r="G3517" s="61">
        <v>1</v>
      </c>
      <c r="H3517" s="45">
        <v>15</v>
      </c>
      <c r="I3517" s="74">
        <v>47.835999999999999</v>
      </c>
    </row>
    <row r="3518" spans="1:9" s="71" customFormat="1" ht="16.5" hidden="1" customHeight="1" outlineLevel="1" x14ac:dyDescent="0.25">
      <c r="A3518" s="74">
        <v>2252</v>
      </c>
      <c r="B3518" s="45" t="s">
        <v>664</v>
      </c>
      <c r="C3518" s="60" t="s">
        <v>3128</v>
      </c>
      <c r="D3518" s="60"/>
      <c r="E3518" s="74">
        <v>2022</v>
      </c>
      <c r="F3518" s="74" t="s">
        <v>489</v>
      </c>
      <c r="G3518" s="61">
        <v>1</v>
      </c>
      <c r="H3518" s="45">
        <v>15</v>
      </c>
      <c r="I3518" s="74">
        <v>48.884</v>
      </c>
    </row>
    <row r="3519" spans="1:9" s="71" customFormat="1" ht="16.5" hidden="1" customHeight="1" outlineLevel="1" x14ac:dyDescent="0.25">
      <c r="A3519" s="74">
        <v>2255</v>
      </c>
      <c r="B3519" s="45" t="s">
        <v>664</v>
      </c>
      <c r="C3519" s="60" t="s">
        <v>3129</v>
      </c>
      <c r="D3519" s="60"/>
      <c r="E3519" s="74">
        <v>2022</v>
      </c>
      <c r="F3519" s="74" t="s">
        <v>489</v>
      </c>
      <c r="G3519" s="61">
        <v>1</v>
      </c>
      <c r="H3519" s="45">
        <v>10</v>
      </c>
      <c r="I3519" s="74">
        <v>52.35</v>
      </c>
    </row>
    <row r="3520" spans="1:9" s="71" customFormat="1" ht="16.5" hidden="1" customHeight="1" outlineLevel="1" x14ac:dyDescent="0.25">
      <c r="A3520" s="74">
        <v>2315</v>
      </c>
      <c r="B3520" s="45" t="s">
        <v>664</v>
      </c>
      <c r="C3520" s="60" t="s">
        <v>3130</v>
      </c>
      <c r="D3520" s="60"/>
      <c r="E3520" s="74">
        <v>2022</v>
      </c>
      <c r="F3520" s="74" t="s">
        <v>489</v>
      </c>
      <c r="G3520" s="61">
        <v>1</v>
      </c>
      <c r="H3520" s="45">
        <v>15</v>
      </c>
      <c r="I3520" s="74">
        <v>103.27800000000001</v>
      </c>
    </row>
    <row r="3521" spans="1:9" s="71" customFormat="1" ht="16.5" hidden="1" customHeight="1" outlineLevel="1" x14ac:dyDescent="0.25">
      <c r="A3521" s="74">
        <v>2321</v>
      </c>
      <c r="B3521" s="45" t="s">
        <v>664</v>
      </c>
      <c r="C3521" s="60" t="s">
        <v>3131</v>
      </c>
      <c r="D3521" s="60"/>
      <c r="E3521" s="74">
        <v>2022</v>
      </c>
      <c r="F3521" s="74" t="s">
        <v>489</v>
      </c>
      <c r="G3521" s="61">
        <v>1</v>
      </c>
      <c r="H3521" s="45">
        <v>15</v>
      </c>
      <c r="I3521" s="74">
        <v>26.981999999999999</v>
      </c>
    </row>
    <row r="3522" spans="1:9" s="71" customFormat="1" ht="16.5" hidden="1" customHeight="1" outlineLevel="1" x14ac:dyDescent="0.25">
      <c r="A3522" s="74">
        <v>2364</v>
      </c>
      <c r="B3522" s="45" t="s">
        <v>664</v>
      </c>
      <c r="C3522" s="60" t="s">
        <v>3132</v>
      </c>
      <c r="D3522" s="60"/>
      <c r="E3522" s="74">
        <v>2022</v>
      </c>
      <c r="F3522" s="74" t="s">
        <v>489</v>
      </c>
      <c r="G3522" s="61">
        <v>1</v>
      </c>
      <c r="H3522" s="45">
        <v>15</v>
      </c>
      <c r="I3522" s="74">
        <v>31.140999999999998</v>
      </c>
    </row>
    <row r="3523" spans="1:9" s="71" customFormat="1" ht="16.5" hidden="1" customHeight="1" outlineLevel="1" x14ac:dyDescent="0.25">
      <c r="A3523" s="74">
        <v>2369</v>
      </c>
      <c r="B3523" s="45" t="s">
        <v>664</v>
      </c>
      <c r="C3523" s="60" t="s">
        <v>3133</v>
      </c>
      <c r="D3523" s="60"/>
      <c r="E3523" s="74">
        <v>2022</v>
      </c>
      <c r="F3523" s="74" t="s">
        <v>489</v>
      </c>
      <c r="G3523" s="61">
        <v>1</v>
      </c>
      <c r="H3523" s="45">
        <v>15</v>
      </c>
      <c r="I3523" s="74">
        <v>27.54</v>
      </c>
    </row>
    <row r="3524" spans="1:9" s="71" customFormat="1" ht="16.5" hidden="1" customHeight="1" outlineLevel="1" x14ac:dyDescent="0.25">
      <c r="A3524" s="74">
        <v>1846</v>
      </c>
      <c r="B3524" s="45" t="s">
        <v>664</v>
      </c>
      <c r="C3524" s="60" t="s">
        <v>3134</v>
      </c>
      <c r="D3524" s="60"/>
      <c r="E3524" s="74">
        <v>2022</v>
      </c>
      <c r="F3524" s="74" t="s">
        <v>489</v>
      </c>
      <c r="G3524" s="61">
        <v>1</v>
      </c>
      <c r="H3524" s="45">
        <v>50</v>
      </c>
      <c r="I3524" s="74">
        <v>32.71848</v>
      </c>
    </row>
    <row r="3525" spans="1:9" s="71" customFormat="1" ht="16.5" hidden="1" customHeight="1" outlineLevel="1" x14ac:dyDescent="0.25">
      <c r="A3525" s="74">
        <v>1912</v>
      </c>
      <c r="B3525" s="45" t="s">
        <v>664</v>
      </c>
      <c r="C3525" s="60" t="s">
        <v>3135</v>
      </c>
      <c r="D3525" s="60"/>
      <c r="E3525" s="74">
        <v>2022</v>
      </c>
      <c r="F3525" s="74" t="s">
        <v>489</v>
      </c>
      <c r="G3525" s="61">
        <v>1</v>
      </c>
      <c r="H3525" s="45">
        <v>15</v>
      </c>
      <c r="I3525" s="74">
        <v>35.978749999999998</v>
      </c>
    </row>
    <row r="3526" spans="1:9" s="71" customFormat="1" ht="16.5" hidden="1" customHeight="1" outlineLevel="1" x14ac:dyDescent="0.25">
      <c r="A3526" s="74">
        <v>2002</v>
      </c>
      <c r="B3526" s="45" t="s">
        <v>664</v>
      </c>
      <c r="C3526" s="60" t="s">
        <v>3136</v>
      </c>
      <c r="D3526" s="60"/>
      <c r="E3526" s="74">
        <v>2022</v>
      </c>
      <c r="F3526" s="74" t="s">
        <v>489</v>
      </c>
      <c r="G3526" s="61">
        <v>1</v>
      </c>
      <c r="H3526" s="45">
        <v>15</v>
      </c>
      <c r="I3526" s="74">
        <v>36.031589999999994</v>
      </c>
    </row>
    <row r="3527" spans="1:9" s="71" customFormat="1" ht="16.5" hidden="1" customHeight="1" outlineLevel="1" x14ac:dyDescent="0.25">
      <c r="A3527" s="74">
        <v>2056</v>
      </c>
      <c r="B3527" s="45" t="s">
        <v>664</v>
      </c>
      <c r="C3527" s="60" t="s">
        <v>3137</v>
      </c>
      <c r="D3527" s="60"/>
      <c r="E3527" s="74">
        <v>2022</v>
      </c>
      <c r="F3527" s="74" t="s">
        <v>489</v>
      </c>
      <c r="G3527" s="61">
        <v>1</v>
      </c>
      <c r="H3527" s="45">
        <v>10</v>
      </c>
      <c r="I3527" s="74">
        <v>30.036359999999998</v>
      </c>
    </row>
    <row r="3528" spans="1:9" s="71" customFormat="1" ht="16.5" hidden="1" customHeight="1" outlineLevel="1" x14ac:dyDescent="0.25">
      <c r="A3528" s="74">
        <v>2063</v>
      </c>
      <c r="B3528" s="45" t="s">
        <v>664</v>
      </c>
      <c r="C3528" s="60" t="s">
        <v>3138</v>
      </c>
      <c r="D3528" s="60"/>
      <c r="E3528" s="74">
        <v>2022</v>
      </c>
      <c r="F3528" s="74" t="s">
        <v>489</v>
      </c>
      <c r="G3528" s="61">
        <v>3</v>
      </c>
      <c r="H3528" s="45">
        <v>45</v>
      </c>
      <c r="I3528" s="74">
        <v>122.75753</v>
      </c>
    </row>
    <row r="3529" spans="1:9" s="71" customFormat="1" ht="16.5" hidden="1" customHeight="1" outlineLevel="1" x14ac:dyDescent="0.25">
      <c r="A3529" s="74">
        <v>2129</v>
      </c>
      <c r="B3529" s="45" t="s">
        <v>664</v>
      </c>
      <c r="C3529" s="60" t="s">
        <v>3139</v>
      </c>
      <c r="D3529" s="60"/>
      <c r="E3529" s="74">
        <v>2022</v>
      </c>
      <c r="F3529" s="74" t="s">
        <v>489</v>
      </c>
      <c r="G3529" s="61">
        <v>1</v>
      </c>
      <c r="H3529" s="45">
        <v>15</v>
      </c>
      <c r="I3529" s="74">
        <v>29.89085</v>
      </c>
    </row>
    <row r="3530" spans="1:9" s="71" customFormat="1" ht="16.5" hidden="1" customHeight="1" outlineLevel="1" x14ac:dyDescent="0.25">
      <c r="A3530" s="74">
        <v>2241</v>
      </c>
      <c r="B3530" s="45" t="s">
        <v>664</v>
      </c>
      <c r="C3530" s="60" t="s">
        <v>3140</v>
      </c>
      <c r="D3530" s="60"/>
      <c r="E3530" s="74">
        <v>2022</v>
      </c>
      <c r="F3530" s="74" t="s">
        <v>489</v>
      </c>
      <c r="G3530" s="61">
        <v>1</v>
      </c>
      <c r="H3530" s="45">
        <v>15</v>
      </c>
      <c r="I3530" s="74">
        <v>39.296640000000004</v>
      </c>
    </row>
    <row r="3531" spans="1:9" s="71" customFormat="1" ht="16.5" hidden="1" customHeight="1" outlineLevel="1" x14ac:dyDescent="0.25">
      <c r="A3531" s="74">
        <v>2243</v>
      </c>
      <c r="B3531" s="45" t="s">
        <v>664</v>
      </c>
      <c r="C3531" s="60" t="s">
        <v>3141</v>
      </c>
      <c r="D3531" s="60"/>
      <c r="E3531" s="74">
        <v>2022</v>
      </c>
      <c r="F3531" s="74" t="s">
        <v>489</v>
      </c>
      <c r="G3531" s="61">
        <v>1</v>
      </c>
      <c r="H3531" s="45">
        <v>100</v>
      </c>
      <c r="I3531" s="74">
        <v>15.663369999999999</v>
      </c>
    </row>
    <row r="3532" spans="1:9" s="71" customFormat="1" ht="16.5" hidden="1" customHeight="1" outlineLevel="1" x14ac:dyDescent="0.25">
      <c r="A3532" s="74">
        <v>2320</v>
      </c>
      <c r="B3532" s="45" t="s">
        <v>664</v>
      </c>
      <c r="C3532" s="60" t="s">
        <v>3142</v>
      </c>
      <c r="D3532" s="60"/>
      <c r="E3532" s="74">
        <v>2022</v>
      </c>
      <c r="F3532" s="74" t="s">
        <v>489</v>
      </c>
      <c r="G3532" s="61">
        <v>1</v>
      </c>
      <c r="H3532" s="45">
        <v>15</v>
      </c>
      <c r="I3532" s="74">
        <v>33.324959999999997</v>
      </c>
    </row>
    <row r="3533" spans="1:9" s="71" customFormat="1" ht="16.5" hidden="1" customHeight="1" outlineLevel="1" x14ac:dyDescent="0.25">
      <c r="A3533" s="74">
        <v>2326</v>
      </c>
      <c r="B3533" s="45" t="s">
        <v>664</v>
      </c>
      <c r="C3533" s="60" t="s">
        <v>3143</v>
      </c>
      <c r="D3533" s="60"/>
      <c r="E3533" s="74">
        <v>2022</v>
      </c>
      <c r="F3533" s="74" t="s">
        <v>489</v>
      </c>
      <c r="G3533" s="61">
        <v>1</v>
      </c>
      <c r="H3533" s="45">
        <v>10</v>
      </c>
      <c r="I3533" s="74">
        <v>29.68149</v>
      </c>
    </row>
    <row r="3534" spans="1:9" s="71" customFormat="1" ht="16.5" hidden="1" customHeight="1" outlineLevel="1" x14ac:dyDescent="0.25">
      <c r="A3534" s="74">
        <v>2366</v>
      </c>
      <c r="B3534" s="45" t="s">
        <v>664</v>
      </c>
      <c r="C3534" s="60" t="s">
        <v>3144</v>
      </c>
      <c r="D3534" s="60"/>
      <c r="E3534" s="74">
        <v>2022</v>
      </c>
      <c r="F3534" s="74" t="s">
        <v>489</v>
      </c>
      <c r="G3534" s="61">
        <v>1</v>
      </c>
      <c r="H3534" s="45">
        <v>49</v>
      </c>
      <c r="I3534" s="74">
        <v>32.411290000000001</v>
      </c>
    </row>
    <row r="3535" spans="1:9" s="71" customFormat="1" ht="16.5" hidden="1" customHeight="1" outlineLevel="1" x14ac:dyDescent="0.25">
      <c r="A3535" s="74">
        <v>2376</v>
      </c>
      <c r="B3535" s="45" t="s">
        <v>664</v>
      </c>
      <c r="C3535" s="60" t="s">
        <v>3145</v>
      </c>
      <c r="D3535" s="60"/>
      <c r="E3535" s="74">
        <v>2022</v>
      </c>
      <c r="F3535" s="74" t="s">
        <v>489</v>
      </c>
      <c r="G3535" s="61">
        <v>1</v>
      </c>
      <c r="H3535" s="45">
        <v>15</v>
      </c>
      <c r="I3535" s="74">
        <v>28.629180000000002</v>
      </c>
    </row>
    <row r="3536" spans="1:9" s="71" customFormat="1" ht="16.5" hidden="1" customHeight="1" outlineLevel="1" x14ac:dyDescent="0.25">
      <c r="A3536" s="74">
        <v>2409</v>
      </c>
      <c r="B3536" s="45" t="s">
        <v>664</v>
      </c>
      <c r="C3536" s="60" t="s">
        <v>3146</v>
      </c>
      <c r="D3536" s="60"/>
      <c r="E3536" s="74">
        <v>2022</v>
      </c>
      <c r="F3536" s="74" t="s">
        <v>489</v>
      </c>
      <c r="G3536" s="61">
        <v>1</v>
      </c>
      <c r="H3536" s="45">
        <v>15</v>
      </c>
      <c r="I3536" s="74">
        <v>29.9</v>
      </c>
    </row>
    <row r="3537" spans="1:9" s="71" customFormat="1" ht="16.5" hidden="1" customHeight="1" outlineLevel="1" x14ac:dyDescent="0.25">
      <c r="A3537" s="74">
        <v>2410</v>
      </c>
      <c r="B3537" s="45" t="s">
        <v>664</v>
      </c>
      <c r="C3537" s="60" t="s">
        <v>3147</v>
      </c>
      <c r="D3537" s="60"/>
      <c r="E3537" s="74">
        <v>2022</v>
      </c>
      <c r="F3537" s="74" t="s">
        <v>489</v>
      </c>
      <c r="G3537" s="61">
        <v>6</v>
      </c>
      <c r="H3537" s="45">
        <v>600</v>
      </c>
      <c r="I3537" s="74">
        <v>201.04767000000001</v>
      </c>
    </row>
    <row r="3538" spans="1:9" s="71" customFormat="1" ht="16.5" hidden="1" customHeight="1" outlineLevel="1" x14ac:dyDescent="0.25">
      <c r="A3538" s="74">
        <v>1893</v>
      </c>
      <c r="B3538" s="45" t="s">
        <v>664</v>
      </c>
      <c r="C3538" s="60" t="s">
        <v>3148</v>
      </c>
      <c r="D3538" s="60"/>
      <c r="E3538" s="74">
        <v>2022</v>
      </c>
      <c r="F3538" s="74" t="s">
        <v>489</v>
      </c>
      <c r="G3538" s="61">
        <v>2</v>
      </c>
      <c r="H3538" s="45">
        <v>30</v>
      </c>
      <c r="I3538" s="74">
        <v>85.101100000000002</v>
      </c>
    </row>
    <row r="3539" spans="1:9" s="71" customFormat="1" ht="16.5" hidden="1" customHeight="1" outlineLevel="1" x14ac:dyDescent="0.25">
      <c r="A3539" s="74">
        <v>1903</v>
      </c>
      <c r="B3539" s="45" t="s">
        <v>664</v>
      </c>
      <c r="C3539" s="60" t="s">
        <v>3149</v>
      </c>
      <c r="D3539" s="60"/>
      <c r="E3539" s="74">
        <v>2022</v>
      </c>
      <c r="F3539" s="74" t="s">
        <v>489</v>
      </c>
      <c r="G3539" s="61">
        <v>2</v>
      </c>
      <c r="H3539" s="45">
        <v>30</v>
      </c>
      <c r="I3539" s="74">
        <v>91.667240000000007</v>
      </c>
    </row>
    <row r="3540" spans="1:9" s="71" customFormat="1" ht="16.5" hidden="1" customHeight="1" outlineLevel="1" x14ac:dyDescent="0.25">
      <c r="A3540" s="74">
        <v>1905</v>
      </c>
      <c r="B3540" s="45" t="s">
        <v>664</v>
      </c>
      <c r="C3540" s="60" t="s">
        <v>3150</v>
      </c>
      <c r="D3540" s="60"/>
      <c r="E3540" s="74">
        <v>2022</v>
      </c>
      <c r="F3540" s="74" t="s">
        <v>489</v>
      </c>
      <c r="G3540" s="61">
        <v>3</v>
      </c>
      <c r="H3540" s="45">
        <v>45</v>
      </c>
      <c r="I3540" s="74">
        <v>106.72153999999999</v>
      </c>
    </row>
    <row r="3541" spans="1:9" s="71" customFormat="1" ht="16.5" hidden="1" customHeight="1" outlineLevel="1" x14ac:dyDescent="0.25">
      <c r="A3541" s="74">
        <v>1911</v>
      </c>
      <c r="B3541" s="45" t="s">
        <v>664</v>
      </c>
      <c r="C3541" s="60" t="s">
        <v>3151</v>
      </c>
      <c r="D3541" s="60"/>
      <c r="E3541" s="74">
        <v>2022</v>
      </c>
      <c r="F3541" s="74" t="s">
        <v>489</v>
      </c>
      <c r="G3541" s="61">
        <v>3</v>
      </c>
      <c r="H3541" s="45">
        <v>45</v>
      </c>
      <c r="I3541" s="74">
        <v>119.50789</v>
      </c>
    </row>
    <row r="3542" spans="1:9" s="71" customFormat="1" ht="16.5" hidden="1" customHeight="1" outlineLevel="1" x14ac:dyDescent="0.25">
      <c r="A3542" s="74">
        <v>1950</v>
      </c>
      <c r="B3542" s="45" t="s">
        <v>664</v>
      </c>
      <c r="C3542" s="60" t="s">
        <v>3152</v>
      </c>
      <c r="D3542" s="60"/>
      <c r="E3542" s="74">
        <v>2022</v>
      </c>
      <c r="F3542" s="74" t="s">
        <v>489</v>
      </c>
      <c r="G3542" s="61">
        <v>2</v>
      </c>
      <c r="H3542" s="45">
        <v>30</v>
      </c>
      <c r="I3542" s="74">
        <v>78.343299999999999</v>
      </c>
    </row>
    <row r="3543" spans="1:9" s="71" customFormat="1" ht="16.5" hidden="1" customHeight="1" outlineLevel="1" x14ac:dyDescent="0.25">
      <c r="A3543" s="74">
        <v>2048</v>
      </c>
      <c r="B3543" s="45" t="s">
        <v>664</v>
      </c>
      <c r="C3543" s="60" t="s">
        <v>3153</v>
      </c>
      <c r="D3543" s="60"/>
      <c r="E3543" s="74">
        <v>2022</v>
      </c>
      <c r="F3543" s="74" t="s">
        <v>489</v>
      </c>
      <c r="G3543" s="61">
        <v>3</v>
      </c>
      <c r="H3543" s="45">
        <v>40</v>
      </c>
      <c r="I3543" s="74">
        <v>100.51335</v>
      </c>
    </row>
    <row r="3544" spans="1:9" s="71" customFormat="1" ht="16.5" hidden="1" customHeight="1" outlineLevel="1" x14ac:dyDescent="0.25">
      <c r="A3544" s="74">
        <v>2261</v>
      </c>
      <c r="B3544" s="45" t="s">
        <v>664</v>
      </c>
      <c r="C3544" s="60" t="s">
        <v>3154</v>
      </c>
      <c r="D3544" s="60"/>
      <c r="E3544" s="74">
        <v>2022</v>
      </c>
      <c r="F3544" s="74" t="s">
        <v>489</v>
      </c>
      <c r="G3544" s="61">
        <v>2</v>
      </c>
      <c r="H3544" s="45">
        <v>18</v>
      </c>
      <c r="I3544" s="74">
        <v>70.063500000000005</v>
      </c>
    </row>
    <row r="3545" spans="1:9" s="71" customFormat="1" ht="16.5" hidden="1" customHeight="1" outlineLevel="1" x14ac:dyDescent="0.25">
      <c r="A3545" s="74">
        <v>2374</v>
      </c>
      <c r="B3545" s="45" t="s">
        <v>664</v>
      </c>
      <c r="C3545" s="60" t="s">
        <v>3155</v>
      </c>
      <c r="D3545" s="60"/>
      <c r="E3545" s="74">
        <v>2022</v>
      </c>
      <c r="F3545" s="74" t="s">
        <v>489</v>
      </c>
      <c r="G3545" s="61">
        <v>1</v>
      </c>
      <c r="H3545" s="45">
        <v>15</v>
      </c>
      <c r="I3545" s="74">
        <v>32.580110000000005</v>
      </c>
    </row>
    <row r="3546" spans="1:9" s="71" customFormat="1" ht="16.5" hidden="1" customHeight="1" outlineLevel="1" x14ac:dyDescent="0.25">
      <c r="A3546" s="74">
        <v>2375</v>
      </c>
      <c r="B3546" s="45" t="s">
        <v>664</v>
      </c>
      <c r="C3546" s="60" t="s">
        <v>3156</v>
      </c>
      <c r="D3546" s="60"/>
      <c r="E3546" s="74">
        <v>2022</v>
      </c>
      <c r="F3546" s="74" t="s">
        <v>489</v>
      </c>
      <c r="G3546" s="61">
        <v>1</v>
      </c>
      <c r="H3546" s="45">
        <v>15</v>
      </c>
      <c r="I3546" s="74">
        <v>27.469259999999998</v>
      </c>
    </row>
    <row r="3547" spans="1:9" s="71" customFormat="1" ht="16.5" hidden="1" customHeight="1" outlineLevel="1" x14ac:dyDescent="0.25">
      <c r="A3547" s="74">
        <v>2421</v>
      </c>
      <c r="B3547" s="45" t="s">
        <v>664</v>
      </c>
      <c r="C3547" s="60" t="s">
        <v>3157</v>
      </c>
      <c r="D3547" s="60"/>
      <c r="E3547" s="74">
        <v>2022</v>
      </c>
      <c r="F3547" s="74" t="s">
        <v>489</v>
      </c>
      <c r="G3547" s="61">
        <v>1</v>
      </c>
      <c r="H3547" s="45">
        <v>10</v>
      </c>
      <c r="I3547" s="74">
        <v>20.471730000000001</v>
      </c>
    </row>
    <row r="3548" spans="1:9" s="71" customFormat="1" ht="16.5" hidden="1" customHeight="1" outlineLevel="1" x14ac:dyDescent="0.25">
      <c r="A3548" s="74">
        <v>2422</v>
      </c>
      <c r="B3548" s="45" t="s">
        <v>664</v>
      </c>
      <c r="C3548" s="60" t="s">
        <v>3158</v>
      </c>
      <c r="D3548" s="60"/>
      <c r="E3548" s="74">
        <v>2022</v>
      </c>
      <c r="F3548" s="74" t="s">
        <v>489</v>
      </c>
      <c r="G3548" s="61">
        <v>1</v>
      </c>
      <c r="H3548" s="45">
        <v>15</v>
      </c>
      <c r="I3548" s="74">
        <v>20.471739999999997</v>
      </c>
    </row>
    <row r="3549" spans="1:9" s="71" customFormat="1" ht="16.5" hidden="1" customHeight="1" outlineLevel="1" x14ac:dyDescent="0.25">
      <c r="A3549" s="74">
        <v>2423</v>
      </c>
      <c r="B3549" s="45" t="s">
        <v>664</v>
      </c>
      <c r="C3549" s="60" t="s">
        <v>3159</v>
      </c>
      <c r="D3549" s="60"/>
      <c r="E3549" s="74">
        <v>2022</v>
      </c>
      <c r="F3549" s="74" t="s">
        <v>489</v>
      </c>
      <c r="G3549" s="61">
        <v>1</v>
      </c>
      <c r="H3549" s="45">
        <v>15</v>
      </c>
      <c r="I3549" s="74">
        <v>21.746689999999997</v>
      </c>
    </row>
    <row r="3550" spans="1:9" s="71" customFormat="1" ht="16.5" hidden="1" customHeight="1" outlineLevel="1" x14ac:dyDescent="0.25">
      <c r="A3550" s="74">
        <v>2424</v>
      </c>
      <c r="B3550" s="45" t="s">
        <v>664</v>
      </c>
      <c r="C3550" s="60" t="s">
        <v>3160</v>
      </c>
      <c r="D3550" s="60"/>
      <c r="E3550" s="74">
        <v>2022</v>
      </c>
      <c r="F3550" s="74" t="s">
        <v>489</v>
      </c>
      <c r="G3550" s="61">
        <v>1</v>
      </c>
      <c r="H3550" s="45">
        <v>10</v>
      </c>
      <c r="I3550" s="74">
        <v>17.980260000000001</v>
      </c>
    </row>
    <row r="3551" spans="1:9" s="71" customFormat="1" ht="16.5" hidden="1" customHeight="1" outlineLevel="1" x14ac:dyDescent="0.25">
      <c r="A3551" s="74">
        <v>2425</v>
      </c>
      <c r="B3551" s="45" t="s">
        <v>664</v>
      </c>
      <c r="C3551" s="60" t="s">
        <v>3161</v>
      </c>
      <c r="D3551" s="60"/>
      <c r="E3551" s="74">
        <v>2022</v>
      </c>
      <c r="F3551" s="74" t="s">
        <v>489</v>
      </c>
      <c r="G3551" s="61">
        <v>1</v>
      </c>
      <c r="H3551" s="45">
        <v>12</v>
      </c>
      <c r="I3551" s="74">
        <v>19.264819999999997</v>
      </c>
    </row>
    <row r="3552" spans="1:9" s="71" customFormat="1" ht="16.5" hidden="1" customHeight="1" outlineLevel="1" x14ac:dyDescent="0.25">
      <c r="A3552" s="74">
        <v>2426</v>
      </c>
      <c r="B3552" s="45" t="s">
        <v>664</v>
      </c>
      <c r="C3552" s="60" t="s">
        <v>3162</v>
      </c>
      <c r="D3552" s="60"/>
      <c r="E3552" s="74">
        <v>2022</v>
      </c>
      <c r="F3552" s="74" t="s">
        <v>489</v>
      </c>
      <c r="G3552" s="61">
        <v>1</v>
      </c>
      <c r="H3552" s="45">
        <v>10</v>
      </c>
      <c r="I3552" s="74">
        <v>17.970659999999999</v>
      </c>
    </row>
    <row r="3553" spans="1:9" s="71" customFormat="1" ht="16.5" hidden="1" customHeight="1" outlineLevel="1" x14ac:dyDescent="0.25">
      <c r="A3553" s="74">
        <v>1830</v>
      </c>
      <c r="B3553" s="45" t="s">
        <v>664</v>
      </c>
      <c r="C3553" s="60" t="s">
        <v>3163</v>
      </c>
      <c r="D3553" s="60"/>
      <c r="E3553" s="74">
        <v>2022</v>
      </c>
      <c r="F3553" s="74" t="s">
        <v>489</v>
      </c>
      <c r="G3553" s="61">
        <v>1</v>
      </c>
      <c r="H3553" s="45">
        <v>15</v>
      </c>
      <c r="I3553" s="74">
        <v>34.524819999999998</v>
      </c>
    </row>
    <row r="3554" spans="1:9" s="71" customFormat="1" ht="16.5" hidden="1" customHeight="1" outlineLevel="1" x14ac:dyDescent="0.25">
      <c r="A3554" s="74">
        <v>1831</v>
      </c>
      <c r="B3554" s="45" t="s">
        <v>664</v>
      </c>
      <c r="C3554" s="60" t="s">
        <v>3164</v>
      </c>
      <c r="D3554" s="60"/>
      <c r="E3554" s="74">
        <v>2022</v>
      </c>
      <c r="F3554" s="74" t="s">
        <v>489</v>
      </c>
      <c r="G3554" s="61">
        <v>1</v>
      </c>
      <c r="H3554" s="45">
        <v>7</v>
      </c>
      <c r="I3554" s="74">
        <v>24.873820000000002</v>
      </c>
    </row>
    <row r="3555" spans="1:9" s="71" customFormat="1" ht="16.5" hidden="1" customHeight="1" outlineLevel="1" x14ac:dyDescent="0.25">
      <c r="A3555" s="74">
        <v>1832</v>
      </c>
      <c r="B3555" s="45" t="s">
        <v>664</v>
      </c>
      <c r="C3555" s="60" t="s">
        <v>3165</v>
      </c>
      <c r="D3555" s="60"/>
      <c r="E3555" s="74">
        <v>2022</v>
      </c>
      <c r="F3555" s="74" t="s">
        <v>489</v>
      </c>
      <c r="G3555" s="61">
        <v>1</v>
      </c>
      <c r="H3555" s="45">
        <v>15</v>
      </c>
      <c r="I3555" s="74">
        <v>30.114520000000006</v>
      </c>
    </row>
    <row r="3556" spans="1:9" s="71" customFormat="1" ht="16.5" hidden="1" customHeight="1" outlineLevel="1" x14ac:dyDescent="0.25">
      <c r="A3556" s="74">
        <v>1833</v>
      </c>
      <c r="B3556" s="45" t="s">
        <v>664</v>
      </c>
      <c r="C3556" s="60" t="s">
        <v>3166</v>
      </c>
      <c r="D3556" s="60"/>
      <c r="E3556" s="74">
        <v>2022</v>
      </c>
      <c r="F3556" s="74" t="s">
        <v>489</v>
      </c>
      <c r="G3556" s="61">
        <v>1</v>
      </c>
      <c r="H3556" s="45">
        <v>10</v>
      </c>
      <c r="I3556" s="74">
        <v>29.966760000000001</v>
      </c>
    </row>
    <row r="3557" spans="1:9" s="71" customFormat="1" ht="16.5" hidden="1" customHeight="1" outlineLevel="1" x14ac:dyDescent="0.25">
      <c r="A3557" s="74">
        <v>1836</v>
      </c>
      <c r="B3557" s="45" t="s">
        <v>664</v>
      </c>
      <c r="C3557" s="60" t="s">
        <v>3167</v>
      </c>
      <c r="D3557" s="60"/>
      <c r="E3557" s="74">
        <v>2022</v>
      </c>
      <c r="F3557" s="74" t="s">
        <v>489</v>
      </c>
      <c r="G3557" s="61">
        <v>1</v>
      </c>
      <c r="H3557" s="45">
        <v>10</v>
      </c>
      <c r="I3557" s="74">
        <v>30.03199</v>
      </c>
    </row>
    <row r="3558" spans="1:9" s="71" customFormat="1" ht="16.5" hidden="1" customHeight="1" outlineLevel="1" x14ac:dyDescent="0.25">
      <c r="A3558" s="74">
        <v>1837</v>
      </c>
      <c r="B3558" s="45" t="s">
        <v>664</v>
      </c>
      <c r="C3558" s="60" t="s">
        <v>3168</v>
      </c>
      <c r="D3558" s="60"/>
      <c r="E3558" s="74">
        <v>2022</v>
      </c>
      <c r="F3558" s="74" t="s">
        <v>489</v>
      </c>
      <c r="G3558" s="61">
        <v>1</v>
      </c>
      <c r="H3558" s="45">
        <v>10</v>
      </c>
      <c r="I3558" s="74">
        <v>25.087599999999998</v>
      </c>
    </row>
    <row r="3559" spans="1:9" s="71" customFormat="1" ht="16.5" hidden="1" customHeight="1" outlineLevel="1" x14ac:dyDescent="0.25">
      <c r="A3559" s="74">
        <v>1839</v>
      </c>
      <c r="B3559" s="45" t="s">
        <v>664</v>
      </c>
      <c r="C3559" s="60" t="s">
        <v>3169</v>
      </c>
      <c r="D3559" s="60"/>
      <c r="E3559" s="74">
        <v>2022</v>
      </c>
      <c r="F3559" s="74" t="s">
        <v>489</v>
      </c>
      <c r="G3559" s="61">
        <v>1</v>
      </c>
      <c r="H3559" s="45">
        <v>8.9499999999999993</v>
      </c>
      <c r="I3559" s="74">
        <v>24.647189999999998</v>
      </c>
    </row>
    <row r="3560" spans="1:9" s="71" customFormat="1" ht="16.5" hidden="1" customHeight="1" outlineLevel="1" x14ac:dyDescent="0.25">
      <c r="A3560" s="74">
        <v>1840</v>
      </c>
      <c r="B3560" s="45" t="s">
        <v>664</v>
      </c>
      <c r="C3560" s="60" t="s">
        <v>3170</v>
      </c>
      <c r="D3560" s="60"/>
      <c r="E3560" s="74">
        <v>2022</v>
      </c>
      <c r="F3560" s="74" t="s">
        <v>489</v>
      </c>
      <c r="G3560" s="61">
        <v>1</v>
      </c>
      <c r="H3560" s="45">
        <v>10</v>
      </c>
      <c r="I3560" s="74">
        <v>30.253550000000001</v>
      </c>
    </row>
    <row r="3561" spans="1:9" s="71" customFormat="1" ht="16.5" hidden="1" customHeight="1" outlineLevel="1" x14ac:dyDescent="0.25">
      <c r="A3561" s="74">
        <v>1841</v>
      </c>
      <c r="B3561" s="45" t="s">
        <v>664</v>
      </c>
      <c r="C3561" s="60" t="s">
        <v>3171</v>
      </c>
      <c r="D3561" s="60"/>
      <c r="E3561" s="74">
        <v>2022</v>
      </c>
      <c r="F3561" s="74" t="s">
        <v>489</v>
      </c>
      <c r="G3561" s="61">
        <v>1</v>
      </c>
      <c r="H3561" s="45">
        <v>15</v>
      </c>
      <c r="I3561" s="74">
        <v>26.416259999999998</v>
      </c>
    </row>
    <row r="3562" spans="1:9" s="71" customFormat="1" ht="16.5" hidden="1" customHeight="1" outlineLevel="1" x14ac:dyDescent="0.25">
      <c r="A3562" s="74">
        <v>1842</v>
      </c>
      <c r="B3562" s="45" t="s">
        <v>664</v>
      </c>
      <c r="C3562" s="60" t="s">
        <v>3172</v>
      </c>
      <c r="D3562" s="60"/>
      <c r="E3562" s="74">
        <v>2022</v>
      </c>
      <c r="F3562" s="74" t="s">
        <v>489</v>
      </c>
      <c r="G3562" s="61">
        <v>1</v>
      </c>
      <c r="H3562" s="45">
        <v>15</v>
      </c>
      <c r="I3562" s="74">
        <v>25.160609999999998</v>
      </c>
    </row>
    <row r="3563" spans="1:9" s="71" customFormat="1" ht="16.5" hidden="1" customHeight="1" outlineLevel="1" x14ac:dyDescent="0.25">
      <c r="A3563" s="74">
        <v>1848</v>
      </c>
      <c r="B3563" s="45" t="s">
        <v>664</v>
      </c>
      <c r="C3563" s="60" t="s">
        <v>3173</v>
      </c>
      <c r="D3563" s="60"/>
      <c r="E3563" s="74">
        <v>2022</v>
      </c>
      <c r="F3563" s="74" t="s">
        <v>489</v>
      </c>
      <c r="G3563" s="61">
        <v>8</v>
      </c>
      <c r="H3563" s="45">
        <v>115</v>
      </c>
      <c r="I3563" s="74">
        <v>213.74481</v>
      </c>
    </row>
    <row r="3564" spans="1:9" s="71" customFormat="1" ht="16.5" hidden="1" customHeight="1" outlineLevel="1" x14ac:dyDescent="0.25">
      <c r="A3564" s="74">
        <v>1883</v>
      </c>
      <c r="B3564" s="45" t="s">
        <v>664</v>
      </c>
      <c r="C3564" s="60" t="s">
        <v>3174</v>
      </c>
      <c r="D3564" s="60"/>
      <c r="E3564" s="74">
        <v>2022</v>
      </c>
      <c r="F3564" s="74" t="s">
        <v>489</v>
      </c>
      <c r="G3564" s="61">
        <v>1</v>
      </c>
      <c r="H3564" s="45">
        <v>60</v>
      </c>
      <c r="I3564" s="74">
        <v>26.676479999999998</v>
      </c>
    </row>
    <row r="3565" spans="1:9" s="71" customFormat="1" ht="16.5" hidden="1" customHeight="1" outlineLevel="1" x14ac:dyDescent="0.25">
      <c r="A3565" s="74">
        <v>1884</v>
      </c>
      <c r="B3565" s="45" t="s">
        <v>664</v>
      </c>
      <c r="C3565" s="60" t="s">
        <v>3175</v>
      </c>
      <c r="D3565" s="60"/>
      <c r="E3565" s="74">
        <v>2022</v>
      </c>
      <c r="F3565" s="74" t="s">
        <v>489</v>
      </c>
      <c r="G3565" s="61">
        <v>1</v>
      </c>
      <c r="H3565" s="45">
        <v>10</v>
      </c>
      <c r="I3565" s="74">
        <v>29.605399999999999</v>
      </c>
    </row>
    <row r="3566" spans="1:9" s="71" customFormat="1" ht="16.5" hidden="1" customHeight="1" outlineLevel="1" x14ac:dyDescent="0.25">
      <c r="A3566" s="74">
        <v>1897</v>
      </c>
      <c r="B3566" s="45" t="s">
        <v>664</v>
      </c>
      <c r="C3566" s="60" t="s">
        <v>3176</v>
      </c>
      <c r="D3566" s="60"/>
      <c r="E3566" s="74">
        <v>2022</v>
      </c>
      <c r="F3566" s="74" t="s">
        <v>489</v>
      </c>
      <c r="G3566" s="61">
        <v>3</v>
      </c>
      <c r="H3566" s="45">
        <v>45</v>
      </c>
      <c r="I3566" s="74">
        <v>103.92219999999999</v>
      </c>
    </row>
    <row r="3567" spans="1:9" s="71" customFormat="1" ht="16.5" hidden="1" customHeight="1" outlineLevel="1" x14ac:dyDescent="0.25">
      <c r="A3567" s="74">
        <v>1898</v>
      </c>
      <c r="B3567" s="45" t="s">
        <v>664</v>
      </c>
      <c r="C3567" s="60" t="s">
        <v>3177</v>
      </c>
      <c r="D3567" s="60"/>
      <c r="E3567" s="74">
        <v>2022</v>
      </c>
      <c r="F3567" s="74" t="s">
        <v>489</v>
      </c>
      <c r="G3567" s="61">
        <v>3</v>
      </c>
      <c r="H3567" s="45">
        <v>45</v>
      </c>
      <c r="I3567" s="74">
        <v>107.47707000000001</v>
      </c>
    </row>
    <row r="3568" spans="1:9" s="71" customFormat="1" ht="16.5" hidden="1" customHeight="1" outlineLevel="1" x14ac:dyDescent="0.25">
      <c r="A3568" s="74">
        <v>1920</v>
      </c>
      <c r="B3568" s="45" t="s">
        <v>664</v>
      </c>
      <c r="C3568" s="60" t="s">
        <v>3178</v>
      </c>
      <c r="D3568" s="60"/>
      <c r="E3568" s="74">
        <v>2022</v>
      </c>
      <c r="F3568" s="74" t="s">
        <v>489</v>
      </c>
      <c r="G3568" s="61">
        <v>1</v>
      </c>
      <c r="H3568" s="45">
        <v>15</v>
      </c>
      <c r="I3568" s="74">
        <v>31.97617</v>
      </c>
    </row>
    <row r="3569" spans="1:9" s="71" customFormat="1" ht="16.5" hidden="1" customHeight="1" outlineLevel="1" x14ac:dyDescent="0.25">
      <c r="A3569" s="74">
        <v>1927</v>
      </c>
      <c r="B3569" s="45" t="s">
        <v>664</v>
      </c>
      <c r="C3569" s="60" t="s">
        <v>3179</v>
      </c>
      <c r="D3569" s="60"/>
      <c r="E3569" s="74">
        <v>2022</v>
      </c>
      <c r="F3569" s="74" t="s">
        <v>489</v>
      </c>
      <c r="G3569" s="61">
        <v>1</v>
      </c>
      <c r="H3569" s="45">
        <v>10</v>
      </c>
      <c r="I3569" s="74">
        <v>27.837260000000001</v>
      </c>
    </row>
    <row r="3570" spans="1:9" s="71" customFormat="1" ht="16.5" hidden="1" customHeight="1" outlineLevel="1" x14ac:dyDescent="0.25">
      <c r="A3570" s="74">
        <v>1929</v>
      </c>
      <c r="B3570" s="45" t="s">
        <v>664</v>
      </c>
      <c r="C3570" s="60" t="s">
        <v>3180</v>
      </c>
      <c r="D3570" s="60"/>
      <c r="E3570" s="74">
        <v>2022</v>
      </c>
      <c r="F3570" s="74" t="s">
        <v>489</v>
      </c>
      <c r="G3570" s="61">
        <v>1</v>
      </c>
      <c r="H3570" s="45">
        <v>15</v>
      </c>
      <c r="I3570" s="74">
        <v>29.89181</v>
      </c>
    </row>
    <row r="3571" spans="1:9" s="71" customFormat="1" ht="16.5" hidden="1" customHeight="1" outlineLevel="1" x14ac:dyDescent="0.25">
      <c r="A3571" s="74">
        <v>1931</v>
      </c>
      <c r="B3571" s="45" t="s">
        <v>664</v>
      </c>
      <c r="C3571" s="60" t="s">
        <v>3181</v>
      </c>
      <c r="D3571" s="60"/>
      <c r="E3571" s="74">
        <v>2022</v>
      </c>
      <c r="F3571" s="74" t="s">
        <v>489</v>
      </c>
      <c r="G3571" s="61">
        <v>1</v>
      </c>
      <c r="H3571" s="45">
        <v>15</v>
      </c>
      <c r="I3571" s="74">
        <v>27.615639999999999</v>
      </c>
    </row>
    <row r="3572" spans="1:9" s="71" customFormat="1" ht="16.5" hidden="1" customHeight="1" outlineLevel="1" x14ac:dyDescent="0.25">
      <c r="A3572" s="74">
        <v>1932</v>
      </c>
      <c r="B3572" s="45" t="s">
        <v>664</v>
      </c>
      <c r="C3572" s="60" t="s">
        <v>3182</v>
      </c>
      <c r="D3572" s="60"/>
      <c r="E3572" s="74">
        <v>2022</v>
      </c>
      <c r="F3572" s="74" t="s">
        <v>489</v>
      </c>
      <c r="G3572" s="61">
        <v>1</v>
      </c>
      <c r="H3572" s="45">
        <v>15</v>
      </c>
      <c r="I3572" s="74">
        <v>31.230450000000001</v>
      </c>
    </row>
    <row r="3573" spans="1:9" s="71" customFormat="1" ht="16.5" hidden="1" customHeight="1" outlineLevel="1" x14ac:dyDescent="0.25">
      <c r="A3573" s="74">
        <v>1933</v>
      </c>
      <c r="B3573" s="45" t="s">
        <v>664</v>
      </c>
      <c r="C3573" s="60" t="s">
        <v>3183</v>
      </c>
      <c r="D3573" s="60"/>
      <c r="E3573" s="74">
        <v>2022</v>
      </c>
      <c r="F3573" s="74" t="s">
        <v>489</v>
      </c>
      <c r="G3573" s="61">
        <v>1</v>
      </c>
      <c r="H3573" s="45">
        <v>10</v>
      </c>
      <c r="I3573" s="74">
        <v>22.741790000000002</v>
      </c>
    </row>
    <row r="3574" spans="1:9" s="71" customFormat="1" ht="16.5" hidden="1" customHeight="1" outlineLevel="1" x14ac:dyDescent="0.25">
      <c r="A3574" s="74">
        <v>1935</v>
      </c>
      <c r="B3574" s="45" t="s">
        <v>664</v>
      </c>
      <c r="C3574" s="60" t="s">
        <v>3184</v>
      </c>
      <c r="D3574" s="60"/>
      <c r="E3574" s="74">
        <v>2022</v>
      </c>
      <c r="F3574" s="74" t="s">
        <v>489</v>
      </c>
      <c r="G3574" s="61">
        <v>1</v>
      </c>
      <c r="H3574" s="45">
        <v>15</v>
      </c>
      <c r="I3574" s="74">
        <v>27.467939999999999</v>
      </c>
    </row>
    <row r="3575" spans="1:9" s="71" customFormat="1" ht="16.5" hidden="1" customHeight="1" outlineLevel="1" x14ac:dyDescent="0.25">
      <c r="A3575" s="74">
        <v>1953</v>
      </c>
      <c r="B3575" s="45" t="s">
        <v>664</v>
      </c>
      <c r="C3575" s="60" t="s">
        <v>3185</v>
      </c>
      <c r="D3575" s="60"/>
      <c r="E3575" s="74">
        <v>2022</v>
      </c>
      <c r="F3575" s="74" t="s">
        <v>489</v>
      </c>
      <c r="G3575" s="61">
        <v>1</v>
      </c>
      <c r="H3575" s="45">
        <v>15</v>
      </c>
      <c r="I3575" s="74">
        <v>27.67972</v>
      </c>
    </row>
    <row r="3576" spans="1:9" s="71" customFormat="1" ht="16.5" hidden="1" customHeight="1" outlineLevel="1" x14ac:dyDescent="0.25">
      <c r="A3576" s="74">
        <v>1955</v>
      </c>
      <c r="B3576" s="45" t="s">
        <v>664</v>
      </c>
      <c r="C3576" s="60" t="s">
        <v>3186</v>
      </c>
      <c r="D3576" s="60"/>
      <c r="E3576" s="74">
        <v>2022</v>
      </c>
      <c r="F3576" s="74" t="s">
        <v>489</v>
      </c>
      <c r="G3576" s="61">
        <v>1</v>
      </c>
      <c r="H3576" s="45">
        <v>15</v>
      </c>
      <c r="I3576" s="74">
        <v>31.229649999999999</v>
      </c>
    </row>
    <row r="3577" spans="1:9" s="71" customFormat="1" ht="16.5" hidden="1" customHeight="1" outlineLevel="1" x14ac:dyDescent="0.25">
      <c r="A3577" s="74">
        <v>1969</v>
      </c>
      <c r="B3577" s="45" t="s">
        <v>664</v>
      </c>
      <c r="C3577" s="60" t="s">
        <v>3187</v>
      </c>
      <c r="D3577" s="60"/>
      <c r="E3577" s="74">
        <v>2022</v>
      </c>
      <c r="F3577" s="74" t="s">
        <v>489</v>
      </c>
      <c r="G3577" s="61">
        <v>1</v>
      </c>
      <c r="H3577" s="45">
        <v>10</v>
      </c>
      <c r="I3577" s="74">
        <v>30.869620000000001</v>
      </c>
    </row>
    <row r="3578" spans="1:9" s="71" customFormat="1" ht="16.5" hidden="1" customHeight="1" outlineLevel="1" x14ac:dyDescent="0.25">
      <c r="A3578" s="74">
        <v>1970</v>
      </c>
      <c r="B3578" s="45" t="s">
        <v>664</v>
      </c>
      <c r="C3578" s="60" t="s">
        <v>3188</v>
      </c>
      <c r="D3578" s="60"/>
      <c r="E3578" s="74">
        <v>2022</v>
      </c>
      <c r="F3578" s="74" t="s">
        <v>489</v>
      </c>
      <c r="G3578" s="61">
        <v>1</v>
      </c>
      <c r="H3578" s="45">
        <v>15</v>
      </c>
      <c r="I3578" s="74">
        <v>32.954970000000003</v>
      </c>
    </row>
    <row r="3579" spans="1:9" s="71" customFormat="1" ht="16.5" hidden="1" customHeight="1" outlineLevel="1" x14ac:dyDescent="0.25">
      <c r="A3579" s="74">
        <v>1971</v>
      </c>
      <c r="B3579" s="45" t="s">
        <v>664</v>
      </c>
      <c r="C3579" s="60" t="s">
        <v>3189</v>
      </c>
      <c r="D3579" s="60"/>
      <c r="E3579" s="74">
        <v>2022</v>
      </c>
      <c r="F3579" s="74" t="s">
        <v>489</v>
      </c>
      <c r="G3579" s="61">
        <v>1</v>
      </c>
      <c r="H3579" s="45">
        <v>15</v>
      </c>
      <c r="I3579" s="74">
        <v>29.11196</v>
      </c>
    </row>
    <row r="3580" spans="1:9" s="71" customFormat="1" ht="16.5" hidden="1" customHeight="1" outlineLevel="1" x14ac:dyDescent="0.25">
      <c r="A3580" s="74">
        <v>1976</v>
      </c>
      <c r="B3580" s="45" t="s">
        <v>664</v>
      </c>
      <c r="C3580" s="60" t="s">
        <v>3190</v>
      </c>
      <c r="D3580" s="60"/>
      <c r="E3580" s="74">
        <v>2022</v>
      </c>
      <c r="F3580" s="74" t="s">
        <v>489</v>
      </c>
      <c r="G3580" s="61">
        <v>1</v>
      </c>
      <c r="H3580" s="45">
        <v>15</v>
      </c>
      <c r="I3580" s="74">
        <v>29.795200000000001</v>
      </c>
    </row>
    <row r="3581" spans="1:9" s="71" customFormat="1" ht="16.5" hidden="1" customHeight="1" outlineLevel="1" x14ac:dyDescent="0.25">
      <c r="A3581" s="74">
        <v>1981</v>
      </c>
      <c r="B3581" s="45" t="s">
        <v>664</v>
      </c>
      <c r="C3581" s="60" t="s">
        <v>3191</v>
      </c>
      <c r="D3581" s="60"/>
      <c r="E3581" s="74">
        <v>2022</v>
      </c>
      <c r="F3581" s="74" t="s">
        <v>489</v>
      </c>
      <c r="G3581" s="61">
        <v>1</v>
      </c>
      <c r="H3581" s="45">
        <v>15</v>
      </c>
      <c r="I3581" s="74">
        <v>30.18741</v>
      </c>
    </row>
    <row r="3582" spans="1:9" s="71" customFormat="1" ht="16.5" hidden="1" customHeight="1" outlineLevel="1" x14ac:dyDescent="0.25">
      <c r="A3582" s="74">
        <v>1991</v>
      </c>
      <c r="B3582" s="45" t="s">
        <v>664</v>
      </c>
      <c r="C3582" s="60" t="s">
        <v>3192</v>
      </c>
      <c r="D3582" s="60"/>
      <c r="E3582" s="74">
        <v>2022</v>
      </c>
      <c r="F3582" s="74" t="s">
        <v>489</v>
      </c>
      <c r="G3582" s="61">
        <v>1</v>
      </c>
      <c r="H3582" s="45">
        <v>15</v>
      </c>
      <c r="I3582" s="74">
        <v>30.332229999999999</v>
      </c>
    </row>
    <row r="3583" spans="1:9" s="71" customFormat="1" ht="16.5" hidden="1" customHeight="1" outlineLevel="1" x14ac:dyDescent="0.25">
      <c r="A3583" s="74">
        <v>1992</v>
      </c>
      <c r="B3583" s="45" t="s">
        <v>664</v>
      </c>
      <c r="C3583" s="60" t="s">
        <v>3193</v>
      </c>
      <c r="D3583" s="60"/>
      <c r="E3583" s="74">
        <v>2022</v>
      </c>
      <c r="F3583" s="74" t="s">
        <v>489</v>
      </c>
      <c r="G3583" s="61">
        <v>1</v>
      </c>
      <c r="H3583" s="45">
        <v>15</v>
      </c>
      <c r="I3583" s="74">
        <v>31.295389999999998</v>
      </c>
    </row>
    <row r="3584" spans="1:9" s="71" customFormat="1" ht="16.5" hidden="1" customHeight="1" outlineLevel="1" x14ac:dyDescent="0.25">
      <c r="A3584" s="74">
        <v>1993</v>
      </c>
      <c r="B3584" s="45" t="s">
        <v>664</v>
      </c>
      <c r="C3584" s="60" t="s">
        <v>3194</v>
      </c>
      <c r="D3584" s="60"/>
      <c r="E3584" s="74">
        <v>2022</v>
      </c>
      <c r="F3584" s="74" t="s">
        <v>489</v>
      </c>
      <c r="G3584" s="61">
        <v>1</v>
      </c>
      <c r="H3584" s="45">
        <v>15</v>
      </c>
      <c r="I3584" s="74">
        <v>30.948049999999999</v>
      </c>
    </row>
    <row r="3585" spans="1:9" s="71" customFormat="1" ht="16.5" hidden="1" customHeight="1" outlineLevel="1" x14ac:dyDescent="0.25">
      <c r="A3585" s="74">
        <v>1998</v>
      </c>
      <c r="B3585" s="45" t="s">
        <v>664</v>
      </c>
      <c r="C3585" s="60" t="s">
        <v>3195</v>
      </c>
      <c r="D3585" s="60"/>
      <c r="E3585" s="74">
        <v>2022</v>
      </c>
      <c r="F3585" s="74" t="s">
        <v>489</v>
      </c>
      <c r="G3585" s="61">
        <v>1</v>
      </c>
      <c r="H3585" s="45">
        <v>15</v>
      </c>
      <c r="I3585" s="74">
        <v>32.087650000000004</v>
      </c>
    </row>
    <row r="3586" spans="1:9" s="71" customFormat="1" ht="16.5" hidden="1" customHeight="1" outlineLevel="1" x14ac:dyDescent="0.25">
      <c r="A3586" s="74">
        <v>1999</v>
      </c>
      <c r="B3586" s="45" t="s">
        <v>664</v>
      </c>
      <c r="C3586" s="60" t="s">
        <v>3196</v>
      </c>
      <c r="D3586" s="60"/>
      <c r="E3586" s="74">
        <v>2022</v>
      </c>
      <c r="F3586" s="74" t="s">
        <v>489</v>
      </c>
      <c r="G3586" s="61">
        <v>1</v>
      </c>
      <c r="H3586" s="45">
        <v>15</v>
      </c>
      <c r="I3586" s="74">
        <v>30.488859999999999</v>
      </c>
    </row>
    <row r="3587" spans="1:9" s="71" customFormat="1" ht="16.5" hidden="1" customHeight="1" outlineLevel="1" x14ac:dyDescent="0.25">
      <c r="A3587" s="74">
        <v>2000</v>
      </c>
      <c r="B3587" s="45" t="s">
        <v>664</v>
      </c>
      <c r="C3587" s="60" t="s">
        <v>3197</v>
      </c>
      <c r="D3587" s="60"/>
      <c r="E3587" s="74">
        <v>2022</v>
      </c>
      <c r="F3587" s="74" t="s">
        <v>489</v>
      </c>
      <c r="G3587" s="61">
        <v>1</v>
      </c>
      <c r="H3587" s="45">
        <v>15</v>
      </c>
      <c r="I3587" s="74">
        <v>21.789490000000001</v>
      </c>
    </row>
    <row r="3588" spans="1:9" s="71" customFormat="1" ht="16.5" hidden="1" customHeight="1" outlineLevel="1" x14ac:dyDescent="0.25">
      <c r="A3588" s="74">
        <v>2003</v>
      </c>
      <c r="B3588" s="45" t="s">
        <v>664</v>
      </c>
      <c r="C3588" s="60" t="s">
        <v>3198</v>
      </c>
      <c r="D3588" s="60"/>
      <c r="E3588" s="74">
        <v>2022</v>
      </c>
      <c r="F3588" s="74" t="s">
        <v>489</v>
      </c>
      <c r="G3588" s="61">
        <v>1</v>
      </c>
      <c r="H3588" s="45">
        <v>15</v>
      </c>
      <c r="I3588" s="74">
        <v>29.750150000000001</v>
      </c>
    </row>
    <row r="3589" spans="1:9" s="71" customFormat="1" ht="16.5" hidden="1" customHeight="1" outlineLevel="1" x14ac:dyDescent="0.25">
      <c r="A3589" s="74">
        <v>2004</v>
      </c>
      <c r="B3589" s="45" t="s">
        <v>664</v>
      </c>
      <c r="C3589" s="60" t="s">
        <v>3199</v>
      </c>
      <c r="D3589" s="60"/>
      <c r="E3589" s="74">
        <v>2022</v>
      </c>
      <c r="F3589" s="74" t="s">
        <v>489</v>
      </c>
      <c r="G3589" s="61">
        <v>1</v>
      </c>
      <c r="H3589" s="45">
        <v>15</v>
      </c>
      <c r="I3589" s="74">
        <v>29.602429999999998</v>
      </c>
    </row>
    <row r="3590" spans="1:9" s="71" customFormat="1" ht="16.5" hidden="1" customHeight="1" outlineLevel="1" x14ac:dyDescent="0.25">
      <c r="A3590" s="74">
        <v>2018</v>
      </c>
      <c r="B3590" s="45" t="s">
        <v>664</v>
      </c>
      <c r="C3590" s="60" t="s">
        <v>3200</v>
      </c>
      <c r="D3590" s="60"/>
      <c r="E3590" s="74">
        <v>2022</v>
      </c>
      <c r="F3590" s="74" t="s">
        <v>489</v>
      </c>
      <c r="G3590" s="61">
        <v>1</v>
      </c>
      <c r="H3590" s="45">
        <v>15</v>
      </c>
      <c r="I3590" s="74">
        <v>28.667099999999998</v>
      </c>
    </row>
    <row r="3591" spans="1:9" s="71" customFormat="1" ht="16.5" hidden="1" customHeight="1" outlineLevel="1" x14ac:dyDescent="0.25">
      <c r="A3591" s="74">
        <v>2019</v>
      </c>
      <c r="B3591" s="45" t="s">
        <v>664</v>
      </c>
      <c r="C3591" s="60" t="s">
        <v>3201</v>
      </c>
      <c r="D3591" s="60"/>
      <c r="E3591" s="74">
        <v>2022</v>
      </c>
      <c r="F3591" s="74" t="s">
        <v>489</v>
      </c>
      <c r="G3591" s="61">
        <v>1</v>
      </c>
      <c r="H3591" s="45">
        <v>10</v>
      </c>
      <c r="I3591" s="74">
        <v>30.264570000000003</v>
      </c>
    </row>
    <row r="3592" spans="1:9" s="71" customFormat="1" ht="16.5" hidden="1" customHeight="1" outlineLevel="1" x14ac:dyDescent="0.25">
      <c r="A3592" s="74">
        <v>2020</v>
      </c>
      <c r="B3592" s="45" t="s">
        <v>664</v>
      </c>
      <c r="C3592" s="60" t="s">
        <v>3202</v>
      </c>
      <c r="D3592" s="60"/>
      <c r="E3592" s="74">
        <v>2022</v>
      </c>
      <c r="F3592" s="74" t="s">
        <v>489</v>
      </c>
      <c r="G3592" s="61">
        <v>1</v>
      </c>
      <c r="H3592" s="45">
        <v>15</v>
      </c>
      <c r="I3592" s="74">
        <v>30.388500000000001</v>
      </c>
    </row>
    <row r="3593" spans="1:9" s="71" customFormat="1" ht="16.5" hidden="1" customHeight="1" outlineLevel="1" x14ac:dyDescent="0.25">
      <c r="A3593" s="74">
        <v>2024</v>
      </c>
      <c r="B3593" s="45" t="s">
        <v>664</v>
      </c>
      <c r="C3593" s="60" t="s">
        <v>3203</v>
      </c>
      <c r="D3593" s="60"/>
      <c r="E3593" s="74">
        <v>2022</v>
      </c>
      <c r="F3593" s="74" t="s">
        <v>489</v>
      </c>
      <c r="G3593" s="61">
        <v>1</v>
      </c>
      <c r="H3593" s="45">
        <v>10</v>
      </c>
      <c r="I3593" s="74">
        <v>32.525689999999997</v>
      </c>
    </row>
    <row r="3594" spans="1:9" s="71" customFormat="1" ht="16.5" hidden="1" customHeight="1" outlineLevel="1" x14ac:dyDescent="0.25">
      <c r="A3594" s="74">
        <v>2039</v>
      </c>
      <c r="B3594" s="45" t="s">
        <v>664</v>
      </c>
      <c r="C3594" s="60" t="s">
        <v>3204</v>
      </c>
      <c r="D3594" s="60"/>
      <c r="E3594" s="74">
        <v>2022</v>
      </c>
      <c r="F3594" s="74" t="s">
        <v>489</v>
      </c>
      <c r="G3594" s="61">
        <v>1</v>
      </c>
      <c r="H3594" s="45">
        <v>15</v>
      </c>
      <c r="I3594" s="74">
        <v>25.81277</v>
      </c>
    </row>
    <row r="3595" spans="1:9" s="71" customFormat="1" ht="16.5" hidden="1" customHeight="1" outlineLevel="1" x14ac:dyDescent="0.25">
      <c r="A3595" s="74">
        <v>2052</v>
      </c>
      <c r="B3595" s="45" t="s">
        <v>664</v>
      </c>
      <c r="C3595" s="60" t="s">
        <v>3205</v>
      </c>
      <c r="D3595" s="60"/>
      <c r="E3595" s="74">
        <v>2022</v>
      </c>
      <c r="F3595" s="74" t="s">
        <v>489</v>
      </c>
      <c r="G3595" s="61">
        <v>1</v>
      </c>
      <c r="H3595" s="45">
        <v>15</v>
      </c>
      <c r="I3595" s="74">
        <v>30.524709999999999</v>
      </c>
    </row>
    <row r="3596" spans="1:9" s="71" customFormat="1" ht="16.5" hidden="1" customHeight="1" outlineLevel="1" x14ac:dyDescent="0.25">
      <c r="A3596" s="74">
        <v>2057</v>
      </c>
      <c r="B3596" s="45" t="s">
        <v>664</v>
      </c>
      <c r="C3596" s="60" t="s">
        <v>3206</v>
      </c>
      <c r="D3596" s="60"/>
      <c r="E3596" s="74">
        <v>2022</v>
      </c>
      <c r="F3596" s="74" t="s">
        <v>489</v>
      </c>
      <c r="G3596" s="61">
        <v>1</v>
      </c>
      <c r="H3596" s="45">
        <v>15</v>
      </c>
      <c r="I3596" s="74">
        <v>26.03689</v>
      </c>
    </row>
    <row r="3597" spans="1:9" s="71" customFormat="1" ht="16.5" hidden="1" customHeight="1" outlineLevel="1" x14ac:dyDescent="0.25">
      <c r="A3597" s="74">
        <v>2078</v>
      </c>
      <c r="B3597" s="45" t="s">
        <v>664</v>
      </c>
      <c r="C3597" s="60" t="s">
        <v>3207</v>
      </c>
      <c r="D3597" s="60"/>
      <c r="E3597" s="74">
        <v>2022</v>
      </c>
      <c r="F3597" s="74" t="s">
        <v>489</v>
      </c>
      <c r="G3597" s="61">
        <v>1</v>
      </c>
      <c r="H3597" s="45">
        <v>15</v>
      </c>
      <c r="I3597" s="74">
        <v>29.782509999999998</v>
      </c>
    </row>
    <row r="3598" spans="1:9" s="71" customFormat="1" ht="16.5" hidden="1" customHeight="1" outlineLevel="1" x14ac:dyDescent="0.25">
      <c r="A3598" s="74">
        <v>2089</v>
      </c>
      <c r="B3598" s="45" t="s">
        <v>664</v>
      </c>
      <c r="C3598" s="60" t="s">
        <v>3208</v>
      </c>
      <c r="D3598" s="60"/>
      <c r="E3598" s="74">
        <v>2022</v>
      </c>
      <c r="F3598" s="74" t="s">
        <v>489</v>
      </c>
      <c r="G3598" s="61">
        <v>1</v>
      </c>
      <c r="H3598" s="45">
        <v>15</v>
      </c>
      <c r="I3598" s="74">
        <v>25.585540000000002</v>
      </c>
    </row>
    <row r="3599" spans="1:9" s="71" customFormat="1" ht="16.5" hidden="1" customHeight="1" outlineLevel="1" x14ac:dyDescent="0.25">
      <c r="A3599" s="74">
        <v>2092</v>
      </c>
      <c r="B3599" s="45" t="s">
        <v>664</v>
      </c>
      <c r="C3599" s="60" t="s">
        <v>3209</v>
      </c>
      <c r="D3599" s="60"/>
      <c r="E3599" s="74">
        <v>2022</v>
      </c>
      <c r="F3599" s="74" t="s">
        <v>489</v>
      </c>
      <c r="G3599" s="61">
        <v>1</v>
      </c>
      <c r="H3599" s="45">
        <v>5</v>
      </c>
      <c r="I3599" s="74">
        <v>26.693509999999996</v>
      </c>
    </row>
    <row r="3600" spans="1:9" s="71" customFormat="1" ht="16.5" hidden="1" customHeight="1" outlineLevel="1" x14ac:dyDescent="0.25">
      <c r="A3600" s="74">
        <v>2093</v>
      </c>
      <c r="B3600" s="45" t="s">
        <v>664</v>
      </c>
      <c r="C3600" s="60" t="s">
        <v>3210</v>
      </c>
      <c r="D3600" s="60"/>
      <c r="E3600" s="74">
        <v>2022</v>
      </c>
      <c r="F3600" s="74" t="s">
        <v>489</v>
      </c>
      <c r="G3600" s="61">
        <v>1</v>
      </c>
      <c r="H3600" s="45">
        <v>15</v>
      </c>
      <c r="I3600" s="74">
        <v>25.95486</v>
      </c>
    </row>
    <row r="3601" spans="1:9" s="71" customFormat="1" ht="16.5" hidden="1" customHeight="1" outlineLevel="1" x14ac:dyDescent="0.25">
      <c r="A3601" s="74">
        <v>2099</v>
      </c>
      <c r="B3601" s="45" t="s">
        <v>664</v>
      </c>
      <c r="C3601" s="60" t="s">
        <v>3211</v>
      </c>
      <c r="D3601" s="60"/>
      <c r="E3601" s="74">
        <v>2022</v>
      </c>
      <c r="F3601" s="74" t="s">
        <v>489</v>
      </c>
      <c r="G3601" s="61">
        <v>1</v>
      </c>
      <c r="H3601" s="45">
        <v>10</v>
      </c>
      <c r="I3601" s="74">
        <v>30.415800000000001</v>
      </c>
    </row>
    <row r="3602" spans="1:9" s="71" customFormat="1" ht="16.5" hidden="1" customHeight="1" outlineLevel="1" x14ac:dyDescent="0.25">
      <c r="A3602" s="74">
        <v>2104</v>
      </c>
      <c r="B3602" s="45" t="s">
        <v>664</v>
      </c>
      <c r="C3602" s="60" t="s">
        <v>3212</v>
      </c>
      <c r="D3602" s="60"/>
      <c r="E3602" s="74">
        <v>2022</v>
      </c>
      <c r="F3602" s="74" t="s">
        <v>489</v>
      </c>
      <c r="G3602" s="61">
        <v>1</v>
      </c>
      <c r="H3602" s="45">
        <v>15</v>
      </c>
      <c r="I3602" s="74">
        <v>30.082840000000001</v>
      </c>
    </row>
    <row r="3603" spans="1:9" s="71" customFormat="1" ht="16.5" hidden="1" customHeight="1" outlineLevel="1" x14ac:dyDescent="0.25">
      <c r="A3603" s="74">
        <v>2105</v>
      </c>
      <c r="B3603" s="45" t="s">
        <v>664</v>
      </c>
      <c r="C3603" s="60" t="s">
        <v>3213</v>
      </c>
      <c r="D3603" s="60"/>
      <c r="E3603" s="74">
        <v>2022</v>
      </c>
      <c r="F3603" s="74" t="s">
        <v>489</v>
      </c>
      <c r="G3603" s="61">
        <v>1</v>
      </c>
      <c r="H3603" s="45">
        <v>15</v>
      </c>
      <c r="I3603" s="74">
        <v>31.190799999999999</v>
      </c>
    </row>
    <row r="3604" spans="1:9" s="71" customFormat="1" ht="16.5" hidden="1" customHeight="1" outlineLevel="1" x14ac:dyDescent="0.25">
      <c r="A3604" s="74">
        <v>2106</v>
      </c>
      <c r="B3604" s="45" t="s">
        <v>664</v>
      </c>
      <c r="C3604" s="60" t="s">
        <v>3214</v>
      </c>
      <c r="D3604" s="60"/>
      <c r="E3604" s="74">
        <v>2022</v>
      </c>
      <c r="F3604" s="74" t="s">
        <v>489</v>
      </c>
      <c r="G3604" s="61">
        <v>1</v>
      </c>
      <c r="H3604" s="45">
        <v>15</v>
      </c>
      <c r="I3604" s="74">
        <v>30.8903</v>
      </c>
    </row>
    <row r="3605" spans="1:9" s="71" customFormat="1" ht="16.5" hidden="1" customHeight="1" outlineLevel="1" x14ac:dyDescent="0.25">
      <c r="A3605" s="74">
        <v>2112</v>
      </c>
      <c r="B3605" s="45" t="s">
        <v>664</v>
      </c>
      <c r="C3605" s="60" t="s">
        <v>3215</v>
      </c>
      <c r="D3605" s="60"/>
      <c r="E3605" s="74">
        <v>2022</v>
      </c>
      <c r="F3605" s="74" t="s">
        <v>489</v>
      </c>
      <c r="G3605" s="61">
        <v>1</v>
      </c>
      <c r="H3605" s="45">
        <v>3</v>
      </c>
      <c r="I3605" s="74">
        <v>25.137379999999997</v>
      </c>
    </row>
    <row r="3606" spans="1:9" s="71" customFormat="1" ht="16.5" hidden="1" customHeight="1" outlineLevel="1" x14ac:dyDescent="0.25">
      <c r="A3606" s="74">
        <v>2113</v>
      </c>
      <c r="B3606" s="45" t="s">
        <v>664</v>
      </c>
      <c r="C3606" s="60" t="s">
        <v>3216</v>
      </c>
      <c r="D3606" s="60"/>
      <c r="E3606" s="74">
        <v>2022</v>
      </c>
      <c r="F3606" s="74" t="s">
        <v>489</v>
      </c>
      <c r="G3606" s="61">
        <v>1</v>
      </c>
      <c r="H3606" s="45">
        <v>15</v>
      </c>
      <c r="I3606" s="74">
        <v>30.520979999999998</v>
      </c>
    </row>
    <row r="3607" spans="1:9" s="71" customFormat="1" ht="16.5" hidden="1" customHeight="1" outlineLevel="1" x14ac:dyDescent="0.25">
      <c r="A3607" s="74">
        <v>2120</v>
      </c>
      <c r="B3607" s="45" t="s">
        <v>664</v>
      </c>
      <c r="C3607" s="60" t="s">
        <v>3217</v>
      </c>
      <c r="D3607" s="60"/>
      <c r="E3607" s="74">
        <v>2022</v>
      </c>
      <c r="F3607" s="74" t="s">
        <v>489</v>
      </c>
      <c r="G3607" s="61">
        <v>1</v>
      </c>
      <c r="H3607" s="45">
        <v>15</v>
      </c>
      <c r="I3607" s="74">
        <v>30.392700000000001</v>
      </c>
    </row>
    <row r="3608" spans="1:9" s="71" customFormat="1" ht="16.5" hidden="1" customHeight="1" outlineLevel="1" x14ac:dyDescent="0.25">
      <c r="A3608" s="74">
        <v>2148</v>
      </c>
      <c r="B3608" s="45" t="s">
        <v>664</v>
      </c>
      <c r="C3608" s="60" t="s">
        <v>3218</v>
      </c>
      <c r="D3608" s="60"/>
      <c r="E3608" s="74">
        <v>2022</v>
      </c>
      <c r="F3608" s="74" t="s">
        <v>489</v>
      </c>
      <c r="G3608" s="61">
        <v>1</v>
      </c>
      <c r="H3608" s="45">
        <v>15</v>
      </c>
      <c r="I3608" s="74">
        <v>31.434259999999998</v>
      </c>
    </row>
    <row r="3609" spans="1:9" s="71" customFormat="1" ht="16.5" hidden="1" customHeight="1" outlineLevel="1" x14ac:dyDescent="0.25">
      <c r="A3609" s="74">
        <v>2170</v>
      </c>
      <c r="B3609" s="45" t="s">
        <v>664</v>
      </c>
      <c r="C3609" s="60" t="s">
        <v>3219</v>
      </c>
      <c r="D3609" s="60"/>
      <c r="E3609" s="74">
        <v>2022</v>
      </c>
      <c r="F3609" s="74" t="s">
        <v>489</v>
      </c>
      <c r="G3609" s="61">
        <v>1</v>
      </c>
      <c r="H3609" s="45">
        <v>15</v>
      </c>
      <c r="I3609" s="74">
        <v>29.95326</v>
      </c>
    </row>
    <row r="3610" spans="1:9" s="71" customFormat="1" ht="16.5" hidden="1" customHeight="1" outlineLevel="1" x14ac:dyDescent="0.25">
      <c r="A3610" s="74">
        <v>2172</v>
      </c>
      <c r="B3610" s="45" t="s">
        <v>664</v>
      </c>
      <c r="C3610" s="60" t="s">
        <v>3220</v>
      </c>
      <c r="D3610" s="60"/>
      <c r="E3610" s="74">
        <v>2022</v>
      </c>
      <c r="F3610" s="74" t="s">
        <v>489</v>
      </c>
      <c r="G3610" s="61">
        <v>1</v>
      </c>
      <c r="H3610" s="45">
        <v>10</v>
      </c>
      <c r="I3610" s="74">
        <v>33.519449999999999</v>
      </c>
    </row>
    <row r="3611" spans="1:9" s="71" customFormat="1" ht="16.5" hidden="1" customHeight="1" outlineLevel="1" x14ac:dyDescent="0.25">
      <c r="A3611" s="74">
        <v>2176</v>
      </c>
      <c r="B3611" s="45" t="s">
        <v>664</v>
      </c>
      <c r="C3611" s="60" t="s">
        <v>3221</v>
      </c>
      <c r="D3611" s="60"/>
      <c r="E3611" s="74">
        <v>2022</v>
      </c>
      <c r="F3611" s="74" t="s">
        <v>489</v>
      </c>
      <c r="G3611" s="61">
        <v>1</v>
      </c>
      <c r="H3611" s="45">
        <v>15</v>
      </c>
      <c r="I3611" s="74">
        <v>30.521050000000002</v>
      </c>
    </row>
    <row r="3612" spans="1:9" s="71" customFormat="1" ht="16.5" hidden="1" customHeight="1" outlineLevel="1" x14ac:dyDescent="0.25">
      <c r="A3612" s="74">
        <v>2178</v>
      </c>
      <c r="B3612" s="45" t="s">
        <v>664</v>
      </c>
      <c r="C3612" s="60" t="s">
        <v>3222</v>
      </c>
      <c r="D3612" s="60"/>
      <c r="E3612" s="74">
        <v>2022</v>
      </c>
      <c r="F3612" s="74" t="s">
        <v>489</v>
      </c>
      <c r="G3612" s="61">
        <v>1</v>
      </c>
      <c r="H3612" s="45">
        <v>15</v>
      </c>
      <c r="I3612" s="74">
        <v>30.949279999999998</v>
      </c>
    </row>
    <row r="3613" spans="1:9" s="71" customFormat="1" ht="16.5" hidden="1" customHeight="1" outlineLevel="1" x14ac:dyDescent="0.25">
      <c r="A3613" s="74">
        <v>2179</v>
      </c>
      <c r="B3613" s="45" t="s">
        <v>664</v>
      </c>
      <c r="C3613" s="60" t="s">
        <v>3223</v>
      </c>
      <c r="D3613" s="60"/>
      <c r="E3613" s="74">
        <v>2022</v>
      </c>
      <c r="F3613" s="74" t="s">
        <v>489</v>
      </c>
      <c r="G3613" s="61">
        <v>1</v>
      </c>
      <c r="H3613" s="45">
        <v>15</v>
      </c>
      <c r="I3613" s="74">
        <v>30.913519999999998</v>
      </c>
    </row>
    <row r="3614" spans="1:9" s="71" customFormat="1" ht="16.5" hidden="1" customHeight="1" outlineLevel="1" x14ac:dyDescent="0.25">
      <c r="A3614" s="74">
        <v>2180</v>
      </c>
      <c r="B3614" s="45" t="s">
        <v>664</v>
      </c>
      <c r="C3614" s="60" t="s">
        <v>3224</v>
      </c>
      <c r="D3614" s="60"/>
      <c r="E3614" s="74">
        <v>2022</v>
      </c>
      <c r="F3614" s="74" t="s">
        <v>489</v>
      </c>
      <c r="G3614" s="61">
        <v>1</v>
      </c>
      <c r="H3614" s="45">
        <v>15</v>
      </c>
      <c r="I3614" s="74">
        <v>30.588080000000001</v>
      </c>
    </row>
    <row r="3615" spans="1:9" s="71" customFormat="1" ht="16.5" hidden="1" customHeight="1" outlineLevel="1" x14ac:dyDescent="0.25">
      <c r="A3615" s="74">
        <v>2190</v>
      </c>
      <c r="B3615" s="45" t="s">
        <v>664</v>
      </c>
      <c r="C3615" s="60" t="s">
        <v>3225</v>
      </c>
      <c r="D3615" s="60"/>
      <c r="E3615" s="74">
        <v>2022</v>
      </c>
      <c r="F3615" s="74" t="s">
        <v>489</v>
      </c>
      <c r="G3615" s="61">
        <v>1</v>
      </c>
      <c r="H3615" s="45">
        <v>15</v>
      </c>
      <c r="I3615" s="74">
        <v>30.003869999999999</v>
      </c>
    </row>
    <row r="3616" spans="1:9" s="71" customFormat="1" ht="16.5" hidden="1" customHeight="1" outlineLevel="1" x14ac:dyDescent="0.25">
      <c r="A3616" s="74">
        <v>2193</v>
      </c>
      <c r="B3616" s="45" t="s">
        <v>664</v>
      </c>
      <c r="C3616" s="60" t="s">
        <v>3226</v>
      </c>
      <c r="D3616" s="60"/>
      <c r="E3616" s="74">
        <v>2022</v>
      </c>
      <c r="F3616" s="74" t="s">
        <v>489</v>
      </c>
      <c r="G3616" s="61">
        <v>1</v>
      </c>
      <c r="H3616" s="45">
        <v>15</v>
      </c>
      <c r="I3616" s="74">
        <v>29.486979999999999</v>
      </c>
    </row>
    <row r="3617" spans="1:9" s="71" customFormat="1" ht="16.5" hidden="1" customHeight="1" outlineLevel="1" x14ac:dyDescent="0.25">
      <c r="A3617" s="74">
        <v>2202</v>
      </c>
      <c r="B3617" s="45" t="s">
        <v>664</v>
      </c>
      <c r="C3617" s="60" t="s">
        <v>3227</v>
      </c>
      <c r="D3617" s="60"/>
      <c r="E3617" s="74">
        <v>2022</v>
      </c>
      <c r="F3617" s="74" t="s">
        <v>489</v>
      </c>
      <c r="G3617" s="61">
        <v>1</v>
      </c>
      <c r="H3617" s="45">
        <v>15</v>
      </c>
      <c r="I3617" s="74">
        <v>29.891999999999999</v>
      </c>
    </row>
    <row r="3618" spans="1:9" s="71" customFormat="1" ht="16.5" hidden="1" customHeight="1" outlineLevel="1" x14ac:dyDescent="0.25">
      <c r="A3618" s="74">
        <v>2203</v>
      </c>
      <c r="B3618" s="45" t="s">
        <v>664</v>
      </c>
      <c r="C3618" s="60" t="s">
        <v>3228</v>
      </c>
      <c r="D3618" s="60"/>
      <c r="E3618" s="74">
        <v>2022</v>
      </c>
      <c r="F3618" s="74" t="s">
        <v>489</v>
      </c>
      <c r="G3618" s="61">
        <v>1</v>
      </c>
      <c r="H3618" s="45">
        <v>15</v>
      </c>
      <c r="I3618" s="74">
        <v>41.531419999999997</v>
      </c>
    </row>
    <row r="3619" spans="1:9" s="71" customFormat="1" ht="16.5" hidden="1" customHeight="1" outlineLevel="1" x14ac:dyDescent="0.25">
      <c r="A3619" s="74">
        <v>2204</v>
      </c>
      <c r="B3619" s="45" t="s">
        <v>664</v>
      </c>
      <c r="C3619" s="60" t="s">
        <v>3229</v>
      </c>
      <c r="D3619" s="60"/>
      <c r="E3619" s="74">
        <v>2022</v>
      </c>
      <c r="F3619" s="74" t="s">
        <v>489</v>
      </c>
      <c r="G3619" s="61">
        <v>1</v>
      </c>
      <c r="H3619" s="45">
        <v>15</v>
      </c>
      <c r="I3619" s="74">
        <v>31.259709999999995</v>
      </c>
    </row>
    <row r="3620" spans="1:9" s="71" customFormat="1" ht="16.5" hidden="1" customHeight="1" outlineLevel="1" x14ac:dyDescent="0.25">
      <c r="A3620" s="74">
        <v>2205</v>
      </c>
      <c r="B3620" s="45" t="s">
        <v>664</v>
      </c>
      <c r="C3620" s="60" t="s">
        <v>3230</v>
      </c>
      <c r="D3620" s="60"/>
      <c r="E3620" s="74">
        <v>2022</v>
      </c>
      <c r="F3620" s="74" t="s">
        <v>489</v>
      </c>
      <c r="G3620" s="61">
        <v>1</v>
      </c>
      <c r="H3620" s="45">
        <v>15</v>
      </c>
      <c r="I3620" s="74">
        <v>31.295310000000001</v>
      </c>
    </row>
    <row r="3621" spans="1:9" s="71" customFormat="1" ht="16.5" hidden="1" customHeight="1" outlineLevel="1" x14ac:dyDescent="0.25">
      <c r="A3621" s="74">
        <v>2206</v>
      </c>
      <c r="B3621" s="45" t="s">
        <v>664</v>
      </c>
      <c r="C3621" s="60" t="s">
        <v>3231</v>
      </c>
      <c r="D3621" s="60"/>
      <c r="E3621" s="74">
        <v>2022</v>
      </c>
      <c r="F3621" s="74" t="s">
        <v>489</v>
      </c>
      <c r="G3621" s="61">
        <v>1</v>
      </c>
      <c r="H3621" s="45">
        <v>15</v>
      </c>
      <c r="I3621" s="74">
        <v>30.16348</v>
      </c>
    </row>
    <row r="3622" spans="1:9" s="71" customFormat="1" ht="16.5" hidden="1" customHeight="1" outlineLevel="1" x14ac:dyDescent="0.25">
      <c r="A3622" s="74">
        <v>2208</v>
      </c>
      <c r="B3622" s="45" t="s">
        <v>664</v>
      </c>
      <c r="C3622" s="60" t="s">
        <v>3232</v>
      </c>
      <c r="D3622" s="60"/>
      <c r="E3622" s="74">
        <v>2022</v>
      </c>
      <c r="F3622" s="74" t="s">
        <v>489</v>
      </c>
      <c r="G3622" s="61">
        <v>1</v>
      </c>
      <c r="H3622" s="45">
        <v>15</v>
      </c>
      <c r="I3622" s="74">
        <v>30.520970000000002</v>
      </c>
    </row>
    <row r="3623" spans="1:9" s="71" customFormat="1" ht="16.5" hidden="1" customHeight="1" outlineLevel="1" x14ac:dyDescent="0.25">
      <c r="A3623" s="74">
        <v>2212</v>
      </c>
      <c r="B3623" s="45" t="s">
        <v>664</v>
      </c>
      <c r="C3623" s="60" t="s">
        <v>3233</v>
      </c>
      <c r="D3623" s="60"/>
      <c r="E3623" s="74">
        <v>2022</v>
      </c>
      <c r="F3623" s="74" t="s">
        <v>489</v>
      </c>
      <c r="G3623" s="61">
        <v>1</v>
      </c>
      <c r="H3623" s="45">
        <v>5</v>
      </c>
      <c r="I3623" s="74">
        <v>29.78238</v>
      </c>
    </row>
    <row r="3624" spans="1:9" s="71" customFormat="1" ht="16.5" hidden="1" customHeight="1" outlineLevel="1" x14ac:dyDescent="0.25">
      <c r="A3624" s="74">
        <v>2213</v>
      </c>
      <c r="B3624" s="45" t="s">
        <v>664</v>
      </c>
      <c r="C3624" s="60" t="s">
        <v>3234</v>
      </c>
      <c r="D3624" s="60"/>
      <c r="E3624" s="74">
        <v>2022</v>
      </c>
      <c r="F3624" s="74" t="s">
        <v>489</v>
      </c>
      <c r="G3624" s="61">
        <v>1</v>
      </c>
      <c r="H3624" s="45">
        <v>10</v>
      </c>
      <c r="I3624" s="74">
        <v>31.998350000000002</v>
      </c>
    </row>
    <row r="3625" spans="1:9" s="71" customFormat="1" ht="16.5" hidden="1" customHeight="1" outlineLevel="1" x14ac:dyDescent="0.25">
      <c r="A3625" s="74">
        <v>2214</v>
      </c>
      <c r="B3625" s="45" t="s">
        <v>664</v>
      </c>
      <c r="C3625" s="60" t="s">
        <v>3235</v>
      </c>
      <c r="D3625" s="60"/>
      <c r="E3625" s="74">
        <v>2022</v>
      </c>
      <c r="F3625" s="74" t="s">
        <v>489</v>
      </c>
      <c r="G3625" s="61">
        <v>1</v>
      </c>
      <c r="H3625" s="45">
        <v>15</v>
      </c>
      <c r="I3625" s="74">
        <v>29.89199</v>
      </c>
    </row>
    <row r="3626" spans="1:9" s="71" customFormat="1" ht="16.5" hidden="1" customHeight="1" outlineLevel="1" x14ac:dyDescent="0.25">
      <c r="A3626" s="74">
        <v>2216</v>
      </c>
      <c r="B3626" s="45" t="s">
        <v>664</v>
      </c>
      <c r="C3626" s="60" t="s">
        <v>3236</v>
      </c>
      <c r="D3626" s="60"/>
      <c r="E3626" s="74">
        <v>2022</v>
      </c>
      <c r="F3626" s="74" t="s">
        <v>489</v>
      </c>
      <c r="G3626" s="61">
        <v>1</v>
      </c>
      <c r="H3626" s="45">
        <v>15</v>
      </c>
      <c r="I3626" s="74">
        <v>30.926139999999997</v>
      </c>
    </row>
    <row r="3627" spans="1:9" s="71" customFormat="1" ht="16.5" hidden="1" customHeight="1" outlineLevel="1" x14ac:dyDescent="0.25">
      <c r="A3627" s="74">
        <v>2223</v>
      </c>
      <c r="B3627" s="45" t="s">
        <v>664</v>
      </c>
      <c r="C3627" s="60" t="s">
        <v>3237</v>
      </c>
      <c r="D3627" s="60"/>
      <c r="E3627" s="74">
        <v>2022</v>
      </c>
      <c r="F3627" s="74" t="s">
        <v>489</v>
      </c>
      <c r="G3627" s="61">
        <v>1</v>
      </c>
      <c r="H3627" s="45">
        <v>15</v>
      </c>
      <c r="I3627" s="74">
        <v>29.48696</v>
      </c>
    </row>
    <row r="3628" spans="1:9" s="71" customFormat="1" ht="16.5" hidden="1" customHeight="1" outlineLevel="1" x14ac:dyDescent="0.25">
      <c r="A3628" s="74">
        <v>2256</v>
      </c>
      <c r="B3628" s="45" t="s">
        <v>664</v>
      </c>
      <c r="C3628" s="60" t="s">
        <v>3238</v>
      </c>
      <c r="D3628" s="60"/>
      <c r="E3628" s="74">
        <v>2022</v>
      </c>
      <c r="F3628" s="74" t="s">
        <v>489</v>
      </c>
      <c r="G3628" s="61">
        <v>1</v>
      </c>
      <c r="H3628" s="45">
        <v>14</v>
      </c>
      <c r="I3628" s="74">
        <v>29.782409999999999</v>
      </c>
    </row>
    <row r="3629" spans="1:9" s="71" customFormat="1" ht="16.5" hidden="1" customHeight="1" outlineLevel="1" x14ac:dyDescent="0.25">
      <c r="A3629" s="74">
        <v>2265</v>
      </c>
      <c r="B3629" s="45" t="s">
        <v>664</v>
      </c>
      <c r="C3629" s="60" t="s">
        <v>3239</v>
      </c>
      <c r="D3629" s="60"/>
      <c r="E3629" s="74">
        <v>2022</v>
      </c>
      <c r="F3629" s="74" t="s">
        <v>489</v>
      </c>
      <c r="G3629" s="61">
        <v>1</v>
      </c>
      <c r="H3629" s="45">
        <v>15</v>
      </c>
      <c r="I3629" s="74">
        <v>30.926139999999997</v>
      </c>
    </row>
    <row r="3630" spans="1:9" s="71" customFormat="1" ht="16.5" hidden="1" customHeight="1" outlineLevel="1" x14ac:dyDescent="0.25">
      <c r="A3630" s="74">
        <v>2272</v>
      </c>
      <c r="B3630" s="45" t="s">
        <v>664</v>
      </c>
      <c r="C3630" s="60" t="s">
        <v>3240</v>
      </c>
      <c r="D3630" s="60"/>
      <c r="E3630" s="74">
        <v>2022</v>
      </c>
      <c r="F3630" s="74" t="s">
        <v>489</v>
      </c>
      <c r="G3630" s="61">
        <v>1</v>
      </c>
      <c r="H3630" s="45">
        <v>35</v>
      </c>
      <c r="I3630" s="74">
        <v>116.95592000000001</v>
      </c>
    </row>
    <row r="3631" spans="1:9" s="71" customFormat="1" ht="16.5" hidden="1" customHeight="1" outlineLevel="1" x14ac:dyDescent="0.25">
      <c r="A3631" s="74">
        <v>2293</v>
      </c>
      <c r="B3631" s="45" t="s">
        <v>664</v>
      </c>
      <c r="C3631" s="60" t="s">
        <v>3241</v>
      </c>
      <c r="D3631" s="60"/>
      <c r="E3631" s="74">
        <v>2022</v>
      </c>
      <c r="F3631" s="74" t="s">
        <v>489</v>
      </c>
      <c r="G3631" s="61">
        <v>3</v>
      </c>
      <c r="H3631" s="45">
        <v>45</v>
      </c>
      <c r="I3631" s="74">
        <v>109.42644</v>
      </c>
    </row>
    <row r="3632" spans="1:9" s="71" customFormat="1" ht="16.5" hidden="1" customHeight="1" outlineLevel="1" x14ac:dyDescent="0.25">
      <c r="A3632" s="74">
        <v>2299</v>
      </c>
      <c r="B3632" s="45" t="s">
        <v>664</v>
      </c>
      <c r="C3632" s="60" t="s">
        <v>3242</v>
      </c>
      <c r="D3632" s="60"/>
      <c r="E3632" s="74">
        <v>2022</v>
      </c>
      <c r="F3632" s="74" t="s">
        <v>489</v>
      </c>
      <c r="G3632" s="61">
        <v>1</v>
      </c>
      <c r="H3632" s="45">
        <v>10</v>
      </c>
      <c r="I3632" s="74">
        <v>37.328970000000005</v>
      </c>
    </row>
    <row r="3633" spans="1:9" s="71" customFormat="1" ht="16.5" hidden="1" customHeight="1" outlineLevel="1" x14ac:dyDescent="0.25">
      <c r="A3633" s="74">
        <v>2336</v>
      </c>
      <c r="B3633" s="45" t="s">
        <v>664</v>
      </c>
      <c r="C3633" s="60" t="s">
        <v>3243</v>
      </c>
      <c r="D3633" s="60"/>
      <c r="E3633" s="74">
        <v>2022</v>
      </c>
      <c r="F3633" s="74" t="s">
        <v>489</v>
      </c>
      <c r="G3633" s="61">
        <v>1</v>
      </c>
      <c r="H3633" s="45">
        <v>50</v>
      </c>
      <c r="I3633" s="74">
        <v>29.509620000000005</v>
      </c>
    </row>
    <row r="3634" spans="1:9" s="71" customFormat="1" ht="16.5" hidden="1" customHeight="1" outlineLevel="1" x14ac:dyDescent="0.25">
      <c r="A3634" s="74">
        <v>2351</v>
      </c>
      <c r="B3634" s="45" t="s">
        <v>664</v>
      </c>
      <c r="C3634" s="60" t="s">
        <v>3244</v>
      </c>
      <c r="D3634" s="60"/>
      <c r="E3634" s="74">
        <v>2022</v>
      </c>
      <c r="F3634" s="74" t="s">
        <v>489</v>
      </c>
      <c r="G3634" s="61">
        <v>1</v>
      </c>
      <c r="H3634" s="45">
        <v>10</v>
      </c>
      <c r="I3634" s="74">
        <v>32.825580000000002</v>
      </c>
    </row>
    <row r="3635" spans="1:9" s="71" customFormat="1" ht="16.5" hidden="1" customHeight="1" outlineLevel="1" x14ac:dyDescent="0.25">
      <c r="A3635" s="74">
        <v>2352</v>
      </c>
      <c r="B3635" s="45" t="s">
        <v>664</v>
      </c>
      <c r="C3635" s="60" t="s">
        <v>3245</v>
      </c>
      <c r="D3635" s="60"/>
      <c r="E3635" s="74">
        <v>2022</v>
      </c>
      <c r="F3635" s="74" t="s">
        <v>489</v>
      </c>
      <c r="G3635" s="61">
        <v>1</v>
      </c>
      <c r="H3635" s="45">
        <v>15</v>
      </c>
      <c r="I3635" s="74">
        <v>33.356739999999995</v>
      </c>
    </row>
    <row r="3636" spans="1:9" s="71" customFormat="1" ht="16.5" hidden="1" customHeight="1" outlineLevel="1" x14ac:dyDescent="0.25">
      <c r="A3636" s="74">
        <v>2384</v>
      </c>
      <c r="B3636" s="45" t="s">
        <v>664</v>
      </c>
      <c r="C3636" s="60" t="s">
        <v>3246</v>
      </c>
      <c r="D3636" s="60"/>
      <c r="E3636" s="74">
        <v>2022</v>
      </c>
      <c r="F3636" s="74" t="s">
        <v>489</v>
      </c>
      <c r="G3636" s="61">
        <v>1</v>
      </c>
      <c r="H3636" s="45">
        <v>80</v>
      </c>
      <c r="I3636" s="74">
        <v>23.148209999999999</v>
      </c>
    </row>
    <row r="3637" spans="1:9" s="71" customFormat="1" ht="16.5" hidden="1" customHeight="1" outlineLevel="1" x14ac:dyDescent="0.25">
      <c r="A3637" s="74">
        <v>2440</v>
      </c>
      <c r="B3637" s="45" t="s">
        <v>664</v>
      </c>
      <c r="C3637" s="60" t="s">
        <v>3247</v>
      </c>
      <c r="D3637" s="60"/>
      <c r="E3637" s="74">
        <v>2022</v>
      </c>
      <c r="F3637" s="74" t="s">
        <v>489</v>
      </c>
      <c r="G3637" s="61">
        <v>1</v>
      </c>
      <c r="H3637" s="45">
        <v>15</v>
      </c>
      <c r="I3637" s="74">
        <v>18.79899</v>
      </c>
    </row>
    <row r="3638" spans="1:9" s="71" customFormat="1" ht="16.5" hidden="1" customHeight="1" outlineLevel="1" x14ac:dyDescent="0.25">
      <c r="A3638" s="74">
        <v>2441</v>
      </c>
      <c r="B3638" s="45" t="s">
        <v>664</v>
      </c>
      <c r="C3638" s="60" t="s">
        <v>3248</v>
      </c>
      <c r="D3638" s="60"/>
      <c r="E3638" s="74">
        <v>2022</v>
      </c>
      <c r="F3638" s="74" t="s">
        <v>489</v>
      </c>
      <c r="G3638" s="61">
        <v>1</v>
      </c>
      <c r="H3638" s="45">
        <v>10</v>
      </c>
      <c r="I3638" s="74">
        <v>20.075470000000003</v>
      </c>
    </row>
    <row r="3639" spans="1:9" s="71" customFormat="1" ht="16.5" hidden="1" customHeight="1" outlineLevel="1" x14ac:dyDescent="0.25">
      <c r="A3639" s="74">
        <v>2442</v>
      </c>
      <c r="B3639" s="45" t="s">
        <v>664</v>
      </c>
      <c r="C3639" s="60" t="s">
        <v>3249</v>
      </c>
      <c r="D3639" s="60"/>
      <c r="E3639" s="74">
        <v>2022</v>
      </c>
      <c r="F3639" s="74" t="s">
        <v>489</v>
      </c>
      <c r="G3639" s="61">
        <v>1</v>
      </c>
      <c r="H3639" s="45">
        <v>15</v>
      </c>
      <c r="I3639" s="74">
        <v>18.82742</v>
      </c>
    </row>
    <row r="3640" spans="1:9" s="71" customFormat="1" ht="16.5" hidden="1" customHeight="1" outlineLevel="1" x14ac:dyDescent="0.25">
      <c r="A3640" s="74">
        <v>2443</v>
      </c>
      <c r="B3640" s="45" t="s">
        <v>664</v>
      </c>
      <c r="C3640" s="60" t="s">
        <v>3250</v>
      </c>
      <c r="D3640" s="60"/>
      <c r="E3640" s="74">
        <v>2022</v>
      </c>
      <c r="F3640" s="74" t="s">
        <v>489</v>
      </c>
      <c r="G3640" s="61">
        <v>1</v>
      </c>
      <c r="H3640" s="45">
        <v>10</v>
      </c>
      <c r="I3640" s="74">
        <v>18.827419999999996</v>
      </c>
    </row>
    <row r="3641" spans="1:9" s="71" customFormat="1" ht="16.5" hidden="1" customHeight="1" outlineLevel="1" x14ac:dyDescent="0.25">
      <c r="A3641" s="74">
        <v>2444</v>
      </c>
      <c r="B3641" s="45" t="s">
        <v>664</v>
      </c>
      <c r="C3641" s="60" t="s">
        <v>3251</v>
      </c>
      <c r="D3641" s="60"/>
      <c r="E3641" s="74">
        <v>2022</v>
      </c>
      <c r="F3641" s="74" t="s">
        <v>489</v>
      </c>
      <c r="G3641" s="61">
        <v>1</v>
      </c>
      <c r="H3641" s="45">
        <v>15</v>
      </c>
      <c r="I3641" s="74">
        <v>17.683330000000002</v>
      </c>
    </row>
    <row r="3642" spans="1:9" s="71" customFormat="1" ht="16.5" hidden="1" customHeight="1" outlineLevel="1" x14ac:dyDescent="0.25">
      <c r="A3642" s="74">
        <v>2445</v>
      </c>
      <c r="B3642" s="45" t="s">
        <v>664</v>
      </c>
      <c r="C3642" s="60" t="s">
        <v>3252</v>
      </c>
      <c r="D3642" s="60"/>
      <c r="E3642" s="74">
        <v>2022</v>
      </c>
      <c r="F3642" s="74" t="s">
        <v>489</v>
      </c>
      <c r="G3642" s="61">
        <v>1</v>
      </c>
      <c r="H3642" s="45">
        <v>15</v>
      </c>
      <c r="I3642" s="74">
        <v>20.075470000000003</v>
      </c>
    </row>
    <row r="3643" spans="1:9" s="71" customFormat="1" ht="16.5" hidden="1" customHeight="1" outlineLevel="1" x14ac:dyDescent="0.25">
      <c r="A3643" s="74">
        <v>2446</v>
      </c>
      <c r="B3643" s="45" t="s">
        <v>664</v>
      </c>
      <c r="C3643" s="60" t="s">
        <v>3253</v>
      </c>
      <c r="D3643" s="60"/>
      <c r="E3643" s="74">
        <v>2022</v>
      </c>
      <c r="F3643" s="74" t="s">
        <v>489</v>
      </c>
      <c r="G3643" s="61">
        <v>1</v>
      </c>
      <c r="H3643" s="45">
        <v>15</v>
      </c>
      <c r="I3643" s="74">
        <v>19.86739</v>
      </c>
    </row>
    <row r="3644" spans="1:9" s="71" customFormat="1" ht="16.5" hidden="1" customHeight="1" outlineLevel="1" x14ac:dyDescent="0.25">
      <c r="A3644" s="74">
        <v>2447</v>
      </c>
      <c r="B3644" s="45" t="s">
        <v>664</v>
      </c>
      <c r="C3644" s="60" t="s">
        <v>3254</v>
      </c>
      <c r="D3644" s="60"/>
      <c r="E3644" s="74">
        <v>2022</v>
      </c>
      <c r="F3644" s="74" t="s">
        <v>489</v>
      </c>
      <c r="G3644" s="61">
        <v>1</v>
      </c>
      <c r="H3644" s="45">
        <v>15</v>
      </c>
      <c r="I3644" s="74">
        <v>18.827419999999996</v>
      </c>
    </row>
    <row r="3645" spans="1:9" s="71" customFormat="1" ht="16.5" hidden="1" customHeight="1" outlineLevel="1" x14ac:dyDescent="0.25">
      <c r="A3645" s="74">
        <v>2448</v>
      </c>
      <c r="B3645" s="45" t="s">
        <v>664</v>
      </c>
      <c r="C3645" s="60" t="s">
        <v>3255</v>
      </c>
      <c r="D3645" s="60"/>
      <c r="E3645" s="74">
        <v>2022</v>
      </c>
      <c r="F3645" s="74" t="s">
        <v>489</v>
      </c>
      <c r="G3645" s="61">
        <v>1</v>
      </c>
      <c r="H3645" s="45">
        <v>1</v>
      </c>
      <c r="I3645" s="74">
        <v>20.387269999999997</v>
      </c>
    </row>
    <row r="3646" spans="1:9" s="71" customFormat="1" ht="16.5" hidden="1" customHeight="1" outlineLevel="1" x14ac:dyDescent="0.25">
      <c r="A3646" s="74">
        <v>2449</v>
      </c>
      <c r="B3646" s="45" t="s">
        <v>664</v>
      </c>
      <c r="C3646" s="60" t="s">
        <v>3256</v>
      </c>
      <c r="D3646" s="60"/>
      <c r="E3646" s="74">
        <v>2022</v>
      </c>
      <c r="F3646" s="74" t="s">
        <v>489</v>
      </c>
      <c r="G3646" s="61">
        <v>1</v>
      </c>
      <c r="H3646" s="45">
        <v>15</v>
      </c>
      <c r="I3646" s="74">
        <v>17.683230000000002</v>
      </c>
    </row>
    <row r="3647" spans="1:9" s="71" customFormat="1" ht="16.5" hidden="1" customHeight="1" outlineLevel="1" x14ac:dyDescent="0.25">
      <c r="A3647" s="74">
        <v>2450</v>
      </c>
      <c r="B3647" s="45" t="s">
        <v>664</v>
      </c>
      <c r="C3647" s="60" t="s">
        <v>3257</v>
      </c>
      <c r="D3647" s="60"/>
      <c r="E3647" s="74">
        <v>2022</v>
      </c>
      <c r="F3647" s="74" t="s">
        <v>489</v>
      </c>
      <c r="G3647" s="61">
        <v>1</v>
      </c>
      <c r="H3647" s="45">
        <v>15</v>
      </c>
      <c r="I3647" s="74">
        <v>18.252939999999999</v>
      </c>
    </row>
    <row r="3648" spans="1:9" s="71" customFormat="1" ht="16.5" hidden="1" customHeight="1" outlineLevel="1" x14ac:dyDescent="0.25">
      <c r="A3648" s="74">
        <v>2451</v>
      </c>
      <c r="B3648" s="45" t="s">
        <v>664</v>
      </c>
      <c r="C3648" s="60" t="s">
        <v>3258</v>
      </c>
      <c r="D3648" s="60"/>
      <c r="E3648" s="74">
        <v>2022</v>
      </c>
      <c r="F3648" s="74" t="s">
        <v>489</v>
      </c>
      <c r="G3648" s="61">
        <v>1</v>
      </c>
      <c r="H3648" s="45">
        <v>15</v>
      </c>
      <c r="I3648" s="74">
        <v>18.092880000000001</v>
      </c>
    </row>
    <row r="3649" spans="1:9" s="71" customFormat="1" ht="16.5" hidden="1" customHeight="1" outlineLevel="1" x14ac:dyDescent="0.25">
      <c r="A3649" s="74">
        <v>2452</v>
      </c>
      <c r="B3649" s="45" t="s">
        <v>664</v>
      </c>
      <c r="C3649" s="60" t="s">
        <v>3259</v>
      </c>
      <c r="D3649" s="60"/>
      <c r="E3649" s="74">
        <v>2022</v>
      </c>
      <c r="F3649" s="74" t="s">
        <v>489</v>
      </c>
      <c r="G3649" s="61">
        <v>1</v>
      </c>
      <c r="H3649" s="45">
        <v>3</v>
      </c>
      <c r="I3649" s="74">
        <v>20.27711</v>
      </c>
    </row>
    <row r="3650" spans="1:9" s="71" customFormat="1" ht="16.5" hidden="1" customHeight="1" outlineLevel="1" x14ac:dyDescent="0.25">
      <c r="A3650" s="74">
        <v>2453</v>
      </c>
      <c r="B3650" s="45" t="s">
        <v>664</v>
      </c>
      <c r="C3650" s="60" t="s">
        <v>3260</v>
      </c>
      <c r="D3650" s="60"/>
      <c r="E3650" s="74">
        <v>2022</v>
      </c>
      <c r="F3650" s="74" t="s">
        <v>489</v>
      </c>
      <c r="G3650" s="61">
        <v>1</v>
      </c>
      <c r="H3650" s="45">
        <v>15</v>
      </c>
      <c r="I3650" s="74">
        <v>21.421950000000002</v>
      </c>
    </row>
    <row r="3651" spans="1:9" s="71" customFormat="1" ht="16.5" hidden="1" customHeight="1" outlineLevel="1" x14ac:dyDescent="0.25">
      <c r="A3651" s="74">
        <v>1937</v>
      </c>
      <c r="B3651" s="45" t="s">
        <v>664</v>
      </c>
      <c r="C3651" s="60" t="s">
        <v>3261</v>
      </c>
      <c r="D3651" s="60"/>
      <c r="E3651" s="74">
        <v>2022</v>
      </c>
      <c r="F3651" s="74" t="s">
        <v>489</v>
      </c>
      <c r="G3651" s="61">
        <v>1</v>
      </c>
      <c r="H3651" s="45">
        <v>40</v>
      </c>
      <c r="I3651" s="74">
        <v>25.166</v>
      </c>
    </row>
    <row r="3652" spans="1:9" s="71" customFormat="1" ht="16.5" hidden="1" customHeight="1" outlineLevel="1" x14ac:dyDescent="0.25">
      <c r="A3652" s="74">
        <v>2072</v>
      </c>
      <c r="B3652" s="45" t="s">
        <v>664</v>
      </c>
      <c r="C3652" s="60" t="s">
        <v>3262</v>
      </c>
      <c r="D3652" s="60"/>
      <c r="E3652" s="74">
        <v>2022</v>
      </c>
      <c r="F3652" s="74" t="s">
        <v>489</v>
      </c>
      <c r="G3652" s="61">
        <v>1</v>
      </c>
      <c r="H3652" s="45">
        <v>15</v>
      </c>
      <c r="I3652" s="74">
        <v>26.568000000000001</v>
      </c>
    </row>
    <row r="3653" spans="1:9" s="71" customFormat="1" ht="16.5" hidden="1" customHeight="1" outlineLevel="1" x14ac:dyDescent="0.25">
      <c r="A3653" s="74">
        <v>2073</v>
      </c>
      <c r="B3653" s="45" t="s">
        <v>664</v>
      </c>
      <c r="C3653" s="60" t="s">
        <v>3263</v>
      </c>
      <c r="D3653" s="60"/>
      <c r="E3653" s="74">
        <v>2022</v>
      </c>
      <c r="F3653" s="74" t="s">
        <v>489</v>
      </c>
      <c r="G3653" s="61">
        <v>1</v>
      </c>
      <c r="H3653" s="45">
        <v>15</v>
      </c>
      <c r="I3653" s="74">
        <v>37.318999999999996</v>
      </c>
    </row>
    <row r="3654" spans="1:9" s="71" customFormat="1" ht="16.5" hidden="1" customHeight="1" outlineLevel="1" x14ac:dyDescent="0.25">
      <c r="A3654" s="74">
        <v>2171</v>
      </c>
      <c r="B3654" s="45" t="s">
        <v>664</v>
      </c>
      <c r="C3654" s="60" t="s">
        <v>3264</v>
      </c>
      <c r="D3654" s="60"/>
      <c r="E3654" s="74">
        <v>2022</v>
      </c>
      <c r="F3654" s="74" t="s">
        <v>489</v>
      </c>
      <c r="G3654" s="61">
        <v>1</v>
      </c>
      <c r="H3654" s="45">
        <v>15</v>
      </c>
      <c r="I3654" s="74">
        <v>22.96049</v>
      </c>
    </row>
    <row r="3655" spans="1:9" s="71" customFormat="1" ht="16.5" hidden="1" customHeight="1" outlineLevel="1" x14ac:dyDescent="0.25">
      <c r="A3655" s="74">
        <v>2181</v>
      </c>
      <c r="B3655" s="45" t="s">
        <v>664</v>
      </c>
      <c r="C3655" s="60" t="s">
        <v>3265</v>
      </c>
      <c r="D3655" s="60"/>
      <c r="E3655" s="74">
        <v>2022</v>
      </c>
      <c r="F3655" s="74" t="s">
        <v>489</v>
      </c>
      <c r="G3655" s="61">
        <v>1</v>
      </c>
      <c r="H3655" s="45">
        <v>12</v>
      </c>
      <c r="I3655" s="74">
        <v>22.960380000000001</v>
      </c>
    </row>
    <row r="3656" spans="1:9" s="71" customFormat="1" ht="16.5" hidden="1" customHeight="1" outlineLevel="1" x14ac:dyDescent="0.25">
      <c r="A3656" s="74">
        <v>2184</v>
      </c>
      <c r="B3656" s="45" t="s">
        <v>664</v>
      </c>
      <c r="C3656" s="60" t="s">
        <v>3266</v>
      </c>
      <c r="D3656" s="60"/>
      <c r="E3656" s="74">
        <v>2022</v>
      </c>
      <c r="F3656" s="74" t="s">
        <v>489</v>
      </c>
      <c r="G3656" s="61">
        <v>1</v>
      </c>
      <c r="H3656" s="45">
        <v>15</v>
      </c>
      <c r="I3656" s="74">
        <v>23.452880000000004</v>
      </c>
    </row>
    <row r="3657" spans="1:9" s="71" customFormat="1" ht="16.5" hidden="1" customHeight="1" outlineLevel="1" x14ac:dyDescent="0.25">
      <c r="A3657" s="74">
        <v>2185</v>
      </c>
      <c r="B3657" s="45" t="s">
        <v>664</v>
      </c>
      <c r="C3657" s="60" t="s">
        <v>3267</v>
      </c>
      <c r="D3657" s="60"/>
      <c r="E3657" s="74">
        <v>2022</v>
      </c>
      <c r="F3657" s="74" t="s">
        <v>489</v>
      </c>
      <c r="G3657" s="61">
        <v>1</v>
      </c>
      <c r="H3657" s="45">
        <v>15</v>
      </c>
      <c r="I3657" s="74">
        <v>22.960380000000001</v>
      </c>
    </row>
    <row r="3658" spans="1:9" s="71" customFormat="1" ht="16.5" hidden="1" customHeight="1" outlineLevel="1" x14ac:dyDescent="0.25">
      <c r="A3658" s="74">
        <v>2191</v>
      </c>
      <c r="B3658" s="45" t="s">
        <v>664</v>
      </c>
      <c r="C3658" s="60" t="s">
        <v>3268</v>
      </c>
      <c r="D3658" s="60"/>
      <c r="E3658" s="74">
        <v>2022</v>
      </c>
      <c r="F3658" s="74" t="s">
        <v>489</v>
      </c>
      <c r="G3658" s="61">
        <v>1</v>
      </c>
      <c r="H3658" s="45">
        <v>14</v>
      </c>
      <c r="I3658" s="74">
        <v>24.191599999999998</v>
      </c>
    </row>
    <row r="3659" spans="1:9" s="71" customFormat="1" ht="16.5" hidden="1" customHeight="1" outlineLevel="1" x14ac:dyDescent="0.25">
      <c r="A3659" s="74">
        <v>2194</v>
      </c>
      <c r="B3659" s="45" t="s">
        <v>664</v>
      </c>
      <c r="C3659" s="60" t="s">
        <v>3269</v>
      </c>
      <c r="D3659" s="60"/>
      <c r="E3659" s="74">
        <v>2022</v>
      </c>
      <c r="F3659" s="74" t="s">
        <v>489</v>
      </c>
      <c r="G3659" s="61">
        <v>1</v>
      </c>
      <c r="H3659" s="45">
        <v>15</v>
      </c>
      <c r="I3659" s="74">
        <v>22.960369999999998</v>
      </c>
    </row>
    <row r="3660" spans="1:9" s="71" customFormat="1" ht="16.5" hidden="1" customHeight="1" outlineLevel="1" x14ac:dyDescent="0.25">
      <c r="A3660" s="74">
        <v>2195</v>
      </c>
      <c r="B3660" s="45" t="s">
        <v>664</v>
      </c>
      <c r="C3660" s="60" t="s">
        <v>3270</v>
      </c>
      <c r="D3660" s="60"/>
      <c r="E3660" s="74">
        <v>2022</v>
      </c>
      <c r="F3660" s="74" t="s">
        <v>489</v>
      </c>
      <c r="G3660" s="61">
        <v>1</v>
      </c>
      <c r="H3660" s="45">
        <v>3</v>
      </c>
      <c r="I3660" s="74">
        <v>22.960450000000002</v>
      </c>
    </row>
    <row r="3661" spans="1:9" s="71" customFormat="1" ht="16.5" hidden="1" customHeight="1" outlineLevel="1" x14ac:dyDescent="0.25">
      <c r="A3661" s="74">
        <v>2198</v>
      </c>
      <c r="B3661" s="45" t="s">
        <v>664</v>
      </c>
      <c r="C3661" s="60" t="s">
        <v>3271</v>
      </c>
      <c r="D3661" s="60"/>
      <c r="E3661" s="74">
        <v>2022</v>
      </c>
      <c r="F3661" s="74" t="s">
        <v>489</v>
      </c>
      <c r="G3661" s="61">
        <v>1</v>
      </c>
      <c r="H3661" s="45">
        <v>15</v>
      </c>
      <c r="I3661" s="74">
        <v>22.960369999999998</v>
      </c>
    </row>
    <row r="3662" spans="1:9" s="71" customFormat="1" ht="16.5" hidden="1" customHeight="1" outlineLevel="1" x14ac:dyDescent="0.25">
      <c r="A3662" s="74">
        <v>2199</v>
      </c>
      <c r="B3662" s="45" t="s">
        <v>664</v>
      </c>
      <c r="C3662" s="60" t="s">
        <v>3272</v>
      </c>
      <c r="D3662" s="60"/>
      <c r="E3662" s="74">
        <v>2022</v>
      </c>
      <c r="F3662" s="74" t="s">
        <v>489</v>
      </c>
      <c r="G3662" s="61">
        <v>1</v>
      </c>
      <c r="H3662" s="45">
        <v>8</v>
      </c>
      <c r="I3662" s="74">
        <v>22.960429999999999</v>
      </c>
    </row>
    <row r="3663" spans="1:9" s="71" customFormat="1" ht="16.5" hidden="1" customHeight="1" outlineLevel="1" x14ac:dyDescent="0.25">
      <c r="A3663" s="74">
        <v>2218</v>
      </c>
      <c r="B3663" s="45" t="s">
        <v>664</v>
      </c>
      <c r="C3663" s="60" t="s">
        <v>3273</v>
      </c>
      <c r="D3663" s="60"/>
      <c r="E3663" s="74">
        <v>2022</v>
      </c>
      <c r="F3663" s="74" t="s">
        <v>489</v>
      </c>
      <c r="G3663" s="61">
        <v>1</v>
      </c>
      <c r="H3663" s="45">
        <v>9</v>
      </c>
      <c r="I3663" s="74">
        <v>23.57602</v>
      </c>
    </row>
    <row r="3664" spans="1:9" s="71" customFormat="1" ht="16.5" hidden="1" customHeight="1" outlineLevel="1" x14ac:dyDescent="0.25">
      <c r="A3664" s="74">
        <v>2249</v>
      </c>
      <c r="B3664" s="45" t="s">
        <v>664</v>
      </c>
      <c r="C3664" s="60" t="s">
        <v>3274</v>
      </c>
      <c r="D3664" s="60"/>
      <c r="E3664" s="74">
        <v>2022</v>
      </c>
      <c r="F3664" s="74" t="s">
        <v>489</v>
      </c>
      <c r="G3664" s="61">
        <v>1</v>
      </c>
      <c r="H3664" s="45">
        <v>15</v>
      </c>
      <c r="I3664" s="74">
        <v>28.934000000000001</v>
      </c>
    </row>
    <row r="3665" spans="1:9" s="71" customFormat="1" ht="16.5" hidden="1" customHeight="1" outlineLevel="1" x14ac:dyDescent="0.25">
      <c r="A3665" s="74">
        <v>2257</v>
      </c>
      <c r="B3665" s="45" t="s">
        <v>664</v>
      </c>
      <c r="C3665" s="60" t="s">
        <v>3275</v>
      </c>
      <c r="D3665" s="60"/>
      <c r="E3665" s="74">
        <v>2022</v>
      </c>
      <c r="F3665" s="74" t="s">
        <v>489</v>
      </c>
      <c r="G3665" s="61">
        <v>1</v>
      </c>
      <c r="H3665" s="45">
        <v>15</v>
      </c>
      <c r="I3665" s="74">
        <v>22.960479999999997</v>
      </c>
    </row>
    <row r="3666" spans="1:9" s="71" customFormat="1" ht="16.5" hidden="1" customHeight="1" outlineLevel="1" x14ac:dyDescent="0.25">
      <c r="A3666" s="74">
        <v>2259</v>
      </c>
      <c r="B3666" s="45" t="s">
        <v>664</v>
      </c>
      <c r="C3666" s="60" t="s">
        <v>3276</v>
      </c>
      <c r="D3666" s="60"/>
      <c r="E3666" s="74">
        <v>2022</v>
      </c>
      <c r="F3666" s="74" t="s">
        <v>489</v>
      </c>
      <c r="G3666" s="61">
        <v>1</v>
      </c>
      <c r="H3666" s="45">
        <v>15</v>
      </c>
      <c r="I3666" s="74">
        <v>22.960359999999998</v>
      </c>
    </row>
    <row r="3667" spans="1:9" s="71" customFormat="1" ht="16.5" hidden="1" customHeight="1" outlineLevel="1" x14ac:dyDescent="0.25">
      <c r="A3667" s="74">
        <v>2266</v>
      </c>
      <c r="B3667" s="45" t="s">
        <v>664</v>
      </c>
      <c r="C3667" s="60" t="s">
        <v>3277</v>
      </c>
      <c r="D3667" s="60"/>
      <c r="E3667" s="74">
        <v>2022</v>
      </c>
      <c r="F3667" s="74" t="s">
        <v>489</v>
      </c>
      <c r="G3667" s="61">
        <v>1</v>
      </c>
      <c r="H3667" s="45">
        <v>15</v>
      </c>
      <c r="I3667" s="74">
        <v>23.576009999999997</v>
      </c>
    </row>
    <row r="3668" spans="1:9" s="71" customFormat="1" ht="16.5" hidden="1" customHeight="1" outlineLevel="1" x14ac:dyDescent="0.25">
      <c r="A3668" s="74">
        <v>2267</v>
      </c>
      <c r="B3668" s="45" t="s">
        <v>664</v>
      </c>
      <c r="C3668" s="60" t="s">
        <v>3278</v>
      </c>
      <c r="D3668" s="60"/>
      <c r="E3668" s="74">
        <v>2022</v>
      </c>
      <c r="F3668" s="74" t="s">
        <v>489</v>
      </c>
      <c r="G3668" s="61">
        <v>1</v>
      </c>
      <c r="H3668" s="45">
        <v>15</v>
      </c>
      <c r="I3668" s="74">
        <v>23.576009999999997</v>
      </c>
    </row>
    <row r="3669" spans="1:9" s="71" customFormat="1" ht="16.5" hidden="1" customHeight="1" outlineLevel="1" x14ac:dyDescent="0.25">
      <c r="A3669" s="74">
        <v>2268</v>
      </c>
      <c r="B3669" s="45" t="s">
        <v>664</v>
      </c>
      <c r="C3669" s="60" t="s">
        <v>3279</v>
      </c>
      <c r="D3669" s="60"/>
      <c r="E3669" s="74">
        <v>2022</v>
      </c>
      <c r="F3669" s="74" t="s">
        <v>489</v>
      </c>
      <c r="G3669" s="61">
        <v>1</v>
      </c>
      <c r="H3669" s="45">
        <v>10</v>
      </c>
      <c r="I3669" s="74">
        <v>24.191549999999999</v>
      </c>
    </row>
    <row r="3670" spans="1:9" s="71" customFormat="1" ht="16.5" hidden="1" customHeight="1" outlineLevel="1" x14ac:dyDescent="0.25">
      <c r="A3670" s="74">
        <v>2271</v>
      </c>
      <c r="B3670" s="45" t="s">
        <v>664</v>
      </c>
      <c r="C3670" s="60" t="s">
        <v>3280</v>
      </c>
      <c r="D3670" s="60"/>
      <c r="E3670" s="74">
        <v>2022</v>
      </c>
      <c r="F3670" s="74" t="s">
        <v>489</v>
      </c>
      <c r="G3670" s="61">
        <v>1</v>
      </c>
      <c r="H3670" s="45">
        <v>15</v>
      </c>
      <c r="I3670" s="74">
        <v>21.85238</v>
      </c>
    </row>
    <row r="3671" spans="1:9" s="71" customFormat="1" ht="16.5" hidden="1" customHeight="1" outlineLevel="1" x14ac:dyDescent="0.25">
      <c r="A3671" s="74">
        <v>2273</v>
      </c>
      <c r="B3671" s="45" t="s">
        <v>664</v>
      </c>
      <c r="C3671" s="60" t="s">
        <v>3281</v>
      </c>
      <c r="D3671" s="60"/>
      <c r="E3671" s="74">
        <v>2022</v>
      </c>
      <c r="F3671" s="74" t="s">
        <v>489</v>
      </c>
      <c r="G3671" s="61">
        <v>1</v>
      </c>
      <c r="H3671" s="45">
        <v>10</v>
      </c>
      <c r="I3671" s="74">
        <v>22.960369999999998</v>
      </c>
    </row>
    <row r="3672" spans="1:9" s="71" customFormat="1" ht="16.5" hidden="1" customHeight="1" outlineLevel="1" x14ac:dyDescent="0.25">
      <c r="A3672" s="74">
        <v>2274</v>
      </c>
      <c r="B3672" s="45" t="s">
        <v>664</v>
      </c>
      <c r="C3672" s="60" t="s">
        <v>3282</v>
      </c>
      <c r="D3672" s="60"/>
      <c r="E3672" s="74">
        <v>2022</v>
      </c>
      <c r="F3672" s="74" t="s">
        <v>489</v>
      </c>
      <c r="G3672" s="61">
        <v>1</v>
      </c>
      <c r="H3672" s="45">
        <v>7</v>
      </c>
      <c r="I3672" s="74">
        <v>24.19154</v>
      </c>
    </row>
    <row r="3673" spans="1:9" s="71" customFormat="1" ht="16.5" hidden="1" customHeight="1" outlineLevel="1" x14ac:dyDescent="0.25">
      <c r="A3673" s="74">
        <v>2275</v>
      </c>
      <c r="B3673" s="45" t="s">
        <v>664</v>
      </c>
      <c r="C3673" s="60" t="s">
        <v>3283</v>
      </c>
      <c r="D3673" s="60"/>
      <c r="E3673" s="74">
        <v>2022</v>
      </c>
      <c r="F3673" s="74" t="s">
        <v>489</v>
      </c>
      <c r="G3673" s="61">
        <v>1</v>
      </c>
      <c r="H3673" s="45">
        <v>7</v>
      </c>
      <c r="I3673" s="74">
        <v>22.960380000000001</v>
      </c>
    </row>
    <row r="3674" spans="1:9" s="71" customFormat="1" ht="16.5" hidden="1" customHeight="1" outlineLevel="1" x14ac:dyDescent="0.25">
      <c r="A3674" s="74">
        <v>2276</v>
      </c>
      <c r="B3674" s="45" t="s">
        <v>664</v>
      </c>
      <c r="C3674" s="60" t="s">
        <v>3284</v>
      </c>
      <c r="D3674" s="60"/>
      <c r="E3674" s="74">
        <v>2022</v>
      </c>
      <c r="F3674" s="74" t="s">
        <v>489</v>
      </c>
      <c r="G3674" s="61">
        <v>1</v>
      </c>
      <c r="H3674" s="45">
        <v>15</v>
      </c>
      <c r="I3674" s="74">
        <v>22.960419999999999</v>
      </c>
    </row>
    <row r="3675" spans="1:9" s="71" customFormat="1" ht="16.5" hidden="1" customHeight="1" outlineLevel="1" x14ac:dyDescent="0.25">
      <c r="A3675" s="74">
        <v>2277</v>
      </c>
      <c r="B3675" s="45" t="s">
        <v>664</v>
      </c>
      <c r="C3675" s="60" t="s">
        <v>3285</v>
      </c>
      <c r="D3675" s="60"/>
      <c r="E3675" s="74">
        <v>2022</v>
      </c>
      <c r="F3675" s="74" t="s">
        <v>489</v>
      </c>
      <c r="G3675" s="61">
        <v>1</v>
      </c>
      <c r="H3675" s="45">
        <v>15</v>
      </c>
      <c r="I3675" s="74">
        <v>22.960380000000001</v>
      </c>
    </row>
    <row r="3676" spans="1:9" s="71" customFormat="1" ht="16.5" hidden="1" customHeight="1" outlineLevel="1" x14ac:dyDescent="0.25">
      <c r="A3676" s="74">
        <v>2278</v>
      </c>
      <c r="B3676" s="45" t="s">
        <v>664</v>
      </c>
      <c r="C3676" s="60" t="s">
        <v>3286</v>
      </c>
      <c r="D3676" s="60"/>
      <c r="E3676" s="74">
        <v>2022</v>
      </c>
      <c r="F3676" s="74" t="s">
        <v>489</v>
      </c>
      <c r="G3676" s="61">
        <v>1</v>
      </c>
      <c r="H3676" s="45">
        <v>9</v>
      </c>
      <c r="I3676" s="74">
        <v>23.576009999999997</v>
      </c>
    </row>
    <row r="3677" spans="1:9" s="71" customFormat="1" ht="16.5" hidden="1" customHeight="1" outlineLevel="1" x14ac:dyDescent="0.25">
      <c r="A3677" s="74">
        <v>2280</v>
      </c>
      <c r="B3677" s="45" t="s">
        <v>664</v>
      </c>
      <c r="C3677" s="60" t="s">
        <v>3287</v>
      </c>
      <c r="D3677" s="60"/>
      <c r="E3677" s="74">
        <v>2022</v>
      </c>
      <c r="F3677" s="74" t="s">
        <v>489</v>
      </c>
      <c r="G3677" s="61">
        <v>1</v>
      </c>
      <c r="H3677" s="45">
        <v>15</v>
      </c>
      <c r="I3677" s="74">
        <v>22.960429999999999</v>
      </c>
    </row>
    <row r="3678" spans="1:9" s="71" customFormat="1" ht="16.5" hidden="1" customHeight="1" outlineLevel="1" x14ac:dyDescent="0.25">
      <c r="A3678" s="74">
        <v>2283</v>
      </c>
      <c r="B3678" s="45" t="s">
        <v>664</v>
      </c>
      <c r="C3678" s="60" t="s">
        <v>3288</v>
      </c>
      <c r="D3678" s="60"/>
      <c r="E3678" s="74">
        <v>2022</v>
      </c>
      <c r="F3678" s="74" t="s">
        <v>489</v>
      </c>
      <c r="G3678" s="61">
        <v>1</v>
      </c>
      <c r="H3678" s="45">
        <v>15</v>
      </c>
      <c r="I3678" s="74">
        <v>22.960369999999998</v>
      </c>
    </row>
    <row r="3679" spans="1:9" s="71" customFormat="1" ht="16.5" hidden="1" customHeight="1" outlineLevel="1" x14ac:dyDescent="0.25">
      <c r="A3679" s="74">
        <v>2284</v>
      </c>
      <c r="B3679" s="45" t="s">
        <v>664</v>
      </c>
      <c r="C3679" s="60" t="s">
        <v>3289</v>
      </c>
      <c r="D3679" s="60"/>
      <c r="E3679" s="74">
        <v>2022</v>
      </c>
      <c r="F3679" s="74" t="s">
        <v>489</v>
      </c>
      <c r="G3679" s="61">
        <v>1</v>
      </c>
      <c r="H3679" s="45">
        <v>15</v>
      </c>
      <c r="I3679" s="74">
        <v>22.960380000000001</v>
      </c>
    </row>
    <row r="3680" spans="1:9" s="71" customFormat="1" ht="16.5" hidden="1" customHeight="1" outlineLevel="1" x14ac:dyDescent="0.25">
      <c r="A3680" s="74">
        <v>2286</v>
      </c>
      <c r="B3680" s="45" t="s">
        <v>664</v>
      </c>
      <c r="C3680" s="60" t="s">
        <v>3290</v>
      </c>
      <c r="D3680" s="60"/>
      <c r="E3680" s="74">
        <v>2022</v>
      </c>
      <c r="F3680" s="74" t="s">
        <v>489</v>
      </c>
      <c r="G3680" s="61">
        <v>1</v>
      </c>
      <c r="H3680" s="45">
        <v>15</v>
      </c>
      <c r="I3680" s="74">
        <v>22.960380000000001</v>
      </c>
    </row>
    <row r="3681" spans="1:9" s="71" customFormat="1" ht="16.5" hidden="1" customHeight="1" outlineLevel="1" x14ac:dyDescent="0.25">
      <c r="A3681" s="74">
        <v>2287</v>
      </c>
      <c r="B3681" s="45" t="s">
        <v>664</v>
      </c>
      <c r="C3681" s="60" t="s">
        <v>3291</v>
      </c>
      <c r="D3681" s="60"/>
      <c r="E3681" s="74">
        <v>2022</v>
      </c>
      <c r="F3681" s="74" t="s">
        <v>489</v>
      </c>
      <c r="G3681" s="61">
        <v>1</v>
      </c>
      <c r="H3681" s="45">
        <v>15</v>
      </c>
      <c r="I3681" s="74">
        <v>22.960380000000001</v>
      </c>
    </row>
    <row r="3682" spans="1:9" s="71" customFormat="1" ht="16.5" hidden="1" customHeight="1" outlineLevel="1" x14ac:dyDescent="0.25">
      <c r="A3682" s="74">
        <v>2289</v>
      </c>
      <c r="B3682" s="45" t="s">
        <v>664</v>
      </c>
      <c r="C3682" s="60" t="s">
        <v>3292</v>
      </c>
      <c r="D3682" s="60"/>
      <c r="E3682" s="74">
        <v>2022</v>
      </c>
      <c r="F3682" s="74" t="s">
        <v>489</v>
      </c>
      <c r="G3682" s="61">
        <v>1</v>
      </c>
      <c r="H3682" s="45">
        <v>15</v>
      </c>
      <c r="I3682" s="74">
        <v>22.96039</v>
      </c>
    </row>
    <row r="3683" spans="1:9" s="71" customFormat="1" ht="16.5" hidden="1" customHeight="1" outlineLevel="1" x14ac:dyDescent="0.25">
      <c r="A3683" s="74">
        <v>2290</v>
      </c>
      <c r="B3683" s="45" t="s">
        <v>664</v>
      </c>
      <c r="C3683" s="60" t="s">
        <v>3293</v>
      </c>
      <c r="D3683" s="60"/>
      <c r="E3683" s="74">
        <v>2022</v>
      </c>
      <c r="F3683" s="74" t="s">
        <v>489</v>
      </c>
      <c r="G3683" s="61">
        <v>1</v>
      </c>
      <c r="H3683" s="45">
        <v>15</v>
      </c>
      <c r="I3683" s="74">
        <v>22.960369999999998</v>
      </c>
    </row>
    <row r="3684" spans="1:9" s="71" customFormat="1" ht="16.5" hidden="1" customHeight="1" outlineLevel="1" x14ac:dyDescent="0.25">
      <c r="A3684" s="74">
        <v>2292</v>
      </c>
      <c r="B3684" s="45" t="s">
        <v>664</v>
      </c>
      <c r="C3684" s="60" t="s">
        <v>3294</v>
      </c>
      <c r="D3684" s="60"/>
      <c r="E3684" s="74">
        <v>2022</v>
      </c>
      <c r="F3684" s="74" t="s">
        <v>489</v>
      </c>
      <c r="G3684" s="61">
        <v>1</v>
      </c>
      <c r="H3684" s="45">
        <v>15</v>
      </c>
      <c r="I3684" s="74">
        <v>22.960380000000001</v>
      </c>
    </row>
    <row r="3685" spans="1:9" s="71" customFormat="1" ht="16.5" hidden="1" customHeight="1" outlineLevel="1" x14ac:dyDescent="0.25">
      <c r="A3685" s="74">
        <v>2294</v>
      </c>
      <c r="B3685" s="45" t="s">
        <v>664</v>
      </c>
      <c r="C3685" s="60" t="s">
        <v>3295</v>
      </c>
      <c r="D3685" s="60"/>
      <c r="E3685" s="74">
        <v>2022</v>
      </c>
      <c r="F3685" s="74" t="s">
        <v>489</v>
      </c>
      <c r="G3685" s="61">
        <v>1</v>
      </c>
      <c r="H3685" s="45">
        <v>10</v>
      </c>
      <c r="I3685" s="74">
        <v>22.960369999999998</v>
      </c>
    </row>
    <row r="3686" spans="1:9" s="71" customFormat="1" ht="16.5" hidden="1" customHeight="1" outlineLevel="1" x14ac:dyDescent="0.25">
      <c r="A3686" s="74">
        <v>2304</v>
      </c>
      <c r="B3686" s="45" t="s">
        <v>664</v>
      </c>
      <c r="C3686" s="60" t="s">
        <v>3296</v>
      </c>
      <c r="D3686" s="60"/>
      <c r="E3686" s="74">
        <v>2022</v>
      </c>
      <c r="F3686" s="74" t="s">
        <v>489</v>
      </c>
      <c r="G3686" s="61">
        <v>1</v>
      </c>
      <c r="H3686" s="45">
        <v>10</v>
      </c>
      <c r="I3686" s="74">
        <v>31.474669999999996</v>
      </c>
    </row>
    <row r="3687" spans="1:9" s="71" customFormat="1" ht="16.5" hidden="1" customHeight="1" outlineLevel="1" x14ac:dyDescent="0.25">
      <c r="A3687" s="74">
        <v>2317</v>
      </c>
      <c r="B3687" s="45" t="s">
        <v>664</v>
      </c>
      <c r="C3687" s="60" t="s">
        <v>3297</v>
      </c>
      <c r="D3687" s="60"/>
      <c r="E3687" s="74">
        <v>2022</v>
      </c>
      <c r="F3687" s="74" t="s">
        <v>489</v>
      </c>
      <c r="G3687" s="61">
        <v>1</v>
      </c>
      <c r="H3687" s="45">
        <v>15</v>
      </c>
      <c r="I3687" s="74">
        <v>28.213069999999998</v>
      </c>
    </row>
    <row r="3688" spans="1:9" s="71" customFormat="1" ht="16.5" hidden="1" customHeight="1" outlineLevel="1" x14ac:dyDescent="0.25">
      <c r="A3688" s="74">
        <v>2356</v>
      </c>
      <c r="B3688" s="45" t="s">
        <v>664</v>
      </c>
      <c r="C3688" s="60" t="s">
        <v>3298</v>
      </c>
      <c r="D3688" s="60"/>
      <c r="E3688" s="74">
        <v>2022</v>
      </c>
      <c r="F3688" s="74" t="s">
        <v>489</v>
      </c>
      <c r="G3688" s="61">
        <v>1</v>
      </c>
      <c r="H3688" s="45">
        <v>10</v>
      </c>
      <c r="I3688" s="74">
        <v>35.151949999999992</v>
      </c>
    </row>
    <row r="3689" spans="1:9" s="71" customFormat="1" ht="16.5" hidden="1" customHeight="1" outlineLevel="1" x14ac:dyDescent="0.25">
      <c r="A3689" s="74">
        <v>2363</v>
      </c>
      <c r="B3689" s="45" t="s">
        <v>664</v>
      </c>
      <c r="C3689" s="60" t="s">
        <v>3299</v>
      </c>
      <c r="D3689" s="60"/>
      <c r="E3689" s="74">
        <v>2022</v>
      </c>
      <c r="F3689" s="74" t="s">
        <v>489</v>
      </c>
      <c r="G3689" s="61">
        <v>1</v>
      </c>
      <c r="H3689" s="45">
        <v>15</v>
      </c>
      <c r="I3689" s="74">
        <v>25.719720000000002</v>
      </c>
    </row>
    <row r="3690" spans="1:9" s="71" customFormat="1" ht="16.5" hidden="1" customHeight="1" outlineLevel="1" x14ac:dyDescent="0.25">
      <c r="A3690" s="74">
        <v>2398</v>
      </c>
      <c r="B3690" s="45" t="s">
        <v>664</v>
      </c>
      <c r="C3690" s="60" t="s">
        <v>3300</v>
      </c>
      <c r="D3690" s="60"/>
      <c r="E3690" s="74">
        <v>2022</v>
      </c>
      <c r="F3690" s="74" t="s">
        <v>489</v>
      </c>
      <c r="G3690" s="61">
        <v>1</v>
      </c>
      <c r="H3690" s="45">
        <v>85</v>
      </c>
      <c r="I3690" s="74">
        <v>53.759389999999996</v>
      </c>
    </row>
    <row r="3691" spans="1:9" s="71" customFormat="1" ht="16.5" hidden="1" customHeight="1" outlineLevel="1" x14ac:dyDescent="0.25">
      <c r="A3691" s="74">
        <v>2404</v>
      </c>
      <c r="B3691" s="45" t="s">
        <v>664</v>
      </c>
      <c r="C3691" s="60" t="s">
        <v>3301</v>
      </c>
      <c r="D3691" s="60"/>
      <c r="E3691" s="74">
        <v>2022</v>
      </c>
      <c r="F3691" s="74" t="s">
        <v>489</v>
      </c>
      <c r="G3691" s="61">
        <v>1</v>
      </c>
      <c r="H3691" s="45">
        <v>15</v>
      </c>
      <c r="I3691" s="74">
        <v>27.735849999999999</v>
      </c>
    </row>
    <row r="3692" spans="1:9" s="71" customFormat="1" ht="16.5" hidden="1" customHeight="1" outlineLevel="1" x14ac:dyDescent="0.25">
      <c r="A3692" s="74">
        <v>2406</v>
      </c>
      <c r="B3692" s="45" t="s">
        <v>664</v>
      </c>
      <c r="C3692" s="60" t="s">
        <v>3302</v>
      </c>
      <c r="D3692" s="60"/>
      <c r="E3692" s="74">
        <v>2022</v>
      </c>
      <c r="F3692" s="74" t="s">
        <v>489</v>
      </c>
      <c r="G3692" s="61">
        <v>1</v>
      </c>
      <c r="H3692" s="45">
        <v>30</v>
      </c>
      <c r="I3692" s="74">
        <v>24.94</v>
      </c>
    </row>
    <row r="3693" spans="1:9" s="71" customFormat="1" ht="16.5" hidden="1" customHeight="1" outlineLevel="1" x14ac:dyDescent="0.25">
      <c r="A3693" s="74">
        <v>2407</v>
      </c>
      <c r="B3693" s="45" t="s">
        <v>664</v>
      </c>
      <c r="C3693" s="60" t="s">
        <v>3303</v>
      </c>
      <c r="D3693" s="60"/>
      <c r="E3693" s="74">
        <v>2022</v>
      </c>
      <c r="F3693" s="74" t="s">
        <v>489</v>
      </c>
      <c r="G3693" s="61">
        <v>1</v>
      </c>
      <c r="H3693" s="45">
        <v>15</v>
      </c>
      <c r="I3693" s="74">
        <v>25.57695</v>
      </c>
    </row>
    <row r="3694" spans="1:9" s="71" customFormat="1" ht="16.5" hidden="1" customHeight="1" outlineLevel="1" x14ac:dyDescent="0.25">
      <c r="A3694" s="74">
        <v>2411</v>
      </c>
      <c r="B3694" s="45" t="s">
        <v>664</v>
      </c>
      <c r="C3694" s="60" t="s">
        <v>3304</v>
      </c>
      <c r="D3694" s="60"/>
      <c r="E3694" s="74">
        <v>2022</v>
      </c>
      <c r="F3694" s="74" t="s">
        <v>489</v>
      </c>
      <c r="G3694" s="61">
        <v>1</v>
      </c>
      <c r="H3694" s="45">
        <v>15</v>
      </c>
      <c r="I3694" s="74">
        <v>24.441000000000003</v>
      </c>
    </row>
    <row r="3695" spans="1:9" s="71" customFormat="1" ht="16.5" hidden="1" customHeight="1" outlineLevel="1" x14ac:dyDescent="0.25">
      <c r="A3695" s="74">
        <v>2419</v>
      </c>
      <c r="B3695" s="45" t="s">
        <v>664</v>
      </c>
      <c r="C3695" s="60" t="s">
        <v>3305</v>
      </c>
      <c r="D3695" s="60"/>
      <c r="E3695" s="74">
        <v>2022</v>
      </c>
      <c r="F3695" s="74" t="s">
        <v>489</v>
      </c>
      <c r="G3695" s="61">
        <v>1</v>
      </c>
      <c r="H3695" s="45">
        <v>15</v>
      </c>
      <c r="I3695" s="74">
        <v>31.012999999999998</v>
      </c>
    </row>
    <row r="3696" spans="1:9" s="71" customFormat="1" ht="16.5" hidden="1" customHeight="1" outlineLevel="1" x14ac:dyDescent="0.25">
      <c r="A3696" s="74">
        <v>2457</v>
      </c>
      <c r="B3696" s="45" t="s">
        <v>664</v>
      </c>
      <c r="C3696" s="60" t="s">
        <v>3306</v>
      </c>
      <c r="D3696" s="60"/>
      <c r="E3696" s="74">
        <v>2022</v>
      </c>
      <c r="F3696" s="74" t="s">
        <v>489</v>
      </c>
      <c r="G3696" s="61">
        <v>1</v>
      </c>
      <c r="H3696" s="45">
        <v>10</v>
      </c>
      <c r="I3696" s="74">
        <v>19.34084</v>
      </c>
    </row>
    <row r="3697" spans="1:9" s="71" customFormat="1" ht="16.5" hidden="1" customHeight="1" outlineLevel="1" x14ac:dyDescent="0.25">
      <c r="A3697" s="74">
        <v>2458</v>
      </c>
      <c r="B3697" s="45" t="s">
        <v>664</v>
      </c>
      <c r="C3697" s="60" t="s">
        <v>3307</v>
      </c>
      <c r="D3697" s="60"/>
      <c r="E3697" s="74">
        <v>2022</v>
      </c>
      <c r="F3697" s="74" t="s">
        <v>489</v>
      </c>
      <c r="G3697" s="61">
        <v>1</v>
      </c>
      <c r="H3697" s="45">
        <v>10</v>
      </c>
      <c r="I3697" s="74">
        <v>19.499970000000001</v>
      </c>
    </row>
    <row r="3698" spans="1:9" s="71" customFormat="1" ht="16.5" hidden="1" customHeight="1" outlineLevel="1" x14ac:dyDescent="0.25">
      <c r="A3698" s="74">
        <v>2459</v>
      </c>
      <c r="B3698" s="45" t="s">
        <v>664</v>
      </c>
      <c r="C3698" s="60" t="s">
        <v>3308</v>
      </c>
      <c r="D3698" s="60"/>
      <c r="E3698" s="74">
        <v>2022</v>
      </c>
      <c r="F3698" s="74" t="s">
        <v>489</v>
      </c>
      <c r="G3698" s="61">
        <v>1</v>
      </c>
      <c r="H3698" s="45">
        <v>15</v>
      </c>
      <c r="I3698" s="74">
        <v>23.566099999999999</v>
      </c>
    </row>
    <row r="3699" spans="1:9" s="71" customFormat="1" ht="16.5" hidden="1" customHeight="1" outlineLevel="1" x14ac:dyDescent="0.25">
      <c r="A3699" s="74">
        <v>2460</v>
      </c>
      <c r="B3699" s="45" t="s">
        <v>664</v>
      </c>
      <c r="C3699" s="60" t="s">
        <v>3309</v>
      </c>
      <c r="D3699" s="60"/>
      <c r="E3699" s="74">
        <v>2022</v>
      </c>
      <c r="F3699" s="74" t="s">
        <v>489</v>
      </c>
      <c r="G3699" s="61">
        <v>1</v>
      </c>
      <c r="H3699" s="45">
        <v>10</v>
      </c>
      <c r="I3699" s="74">
        <v>19.49532</v>
      </c>
    </row>
    <row r="3700" spans="1:9" s="71" customFormat="1" ht="16.5" hidden="1" customHeight="1" outlineLevel="1" x14ac:dyDescent="0.25">
      <c r="A3700" s="74">
        <v>2461</v>
      </c>
      <c r="B3700" s="45" t="s">
        <v>664</v>
      </c>
      <c r="C3700" s="60" t="s">
        <v>3310</v>
      </c>
      <c r="D3700" s="60"/>
      <c r="E3700" s="74">
        <v>2022</v>
      </c>
      <c r="F3700" s="74" t="s">
        <v>489</v>
      </c>
      <c r="G3700" s="61">
        <v>1</v>
      </c>
      <c r="H3700" s="45">
        <v>15</v>
      </c>
      <c r="I3700" s="74">
        <v>19.790459999999999</v>
      </c>
    </row>
    <row r="3701" spans="1:9" s="71" customFormat="1" ht="16.5" hidden="1" customHeight="1" outlineLevel="1" x14ac:dyDescent="0.25">
      <c r="A3701" s="74">
        <v>2462</v>
      </c>
      <c r="B3701" s="45" t="s">
        <v>664</v>
      </c>
      <c r="C3701" s="60" t="s">
        <v>3311</v>
      </c>
      <c r="D3701" s="60"/>
      <c r="E3701" s="74">
        <v>2022</v>
      </c>
      <c r="F3701" s="74" t="s">
        <v>489</v>
      </c>
      <c r="G3701" s="61">
        <v>1</v>
      </c>
      <c r="H3701" s="45">
        <v>15</v>
      </c>
      <c r="I3701" s="74">
        <v>22.161750000000001</v>
      </c>
    </row>
    <row r="3702" spans="1:9" s="71" customFormat="1" ht="16.5" hidden="1" customHeight="1" outlineLevel="1" x14ac:dyDescent="0.25">
      <c r="A3702" s="74">
        <v>2463</v>
      </c>
      <c r="B3702" s="45" t="s">
        <v>664</v>
      </c>
      <c r="C3702" s="60" t="s">
        <v>3312</v>
      </c>
      <c r="D3702" s="60"/>
      <c r="E3702" s="74">
        <v>2022</v>
      </c>
      <c r="F3702" s="74" t="s">
        <v>489</v>
      </c>
      <c r="G3702" s="61">
        <v>1</v>
      </c>
      <c r="H3702" s="45">
        <v>15</v>
      </c>
      <c r="I3702" s="74">
        <v>21.044750000000001</v>
      </c>
    </row>
    <row r="3703" spans="1:9" s="71" customFormat="1" ht="16.5" hidden="1" customHeight="1" outlineLevel="1" x14ac:dyDescent="0.25">
      <c r="A3703" s="74">
        <v>2464</v>
      </c>
      <c r="B3703" s="45" t="s">
        <v>664</v>
      </c>
      <c r="C3703" s="60" t="s">
        <v>3313</v>
      </c>
      <c r="D3703" s="60"/>
      <c r="E3703" s="74">
        <v>2022</v>
      </c>
      <c r="F3703" s="74" t="s">
        <v>489</v>
      </c>
      <c r="G3703" s="61">
        <v>1</v>
      </c>
      <c r="H3703" s="45">
        <v>10</v>
      </c>
      <c r="I3703" s="74">
        <v>20.897860000000001</v>
      </c>
    </row>
    <row r="3704" spans="1:9" s="71" customFormat="1" ht="16.5" hidden="1" customHeight="1" outlineLevel="1" x14ac:dyDescent="0.25">
      <c r="A3704" s="74">
        <v>2465</v>
      </c>
      <c r="B3704" s="45" t="s">
        <v>664</v>
      </c>
      <c r="C3704" s="60" t="s">
        <v>3314</v>
      </c>
      <c r="D3704" s="60"/>
      <c r="E3704" s="74">
        <v>2022</v>
      </c>
      <c r="F3704" s="74" t="s">
        <v>489</v>
      </c>
      <c r="G3704" s="61">
        <v>1</v>
      </c>
      <c r="H3704" s="45">
        <v>15</v>
      </c>
      <c r="I3704" s="74">
        <v>19.20036</v>
      </c>
    </row>
    <row r="3705" spans="1:9" s="71" customFormat="1" ht="16.5" hidden="1" customHeight="1" outlineLevel="1" x14ac:dyDescent="0.25">
      <c r="A3705" s="74">
        <v>2466</v>
      </c>
      <c r="B3705" s="45" t="s">
        <v>664</v>
      </c>
      <c r="C3705" s="60" t="s">
        <v>3315</v>
      </c>
      <c r="D3705" s="60"/>
      <c r="E3705" s="74">
        <v>2022</v>
      </c>
      <c r="F3705" s="74" t="s">
        <v>489</v>
      </c>
      <c r="G3705" s="61">
        <v>1</v>
      </c>
      <c r="H3705" s="45">
        <v>10</v>
      </c>
      <c r="I3705" s="74">
        <v>19.493380000000002</v>
      </c>
    </row>
    <row r="3706" spans="1:9" s="71" customFormat="1" ht="16.5" hidden="1" customHeight="1" outlineLevel="1" x14ac:dyDescent="0.25">
      <c r="A3706" s="74">
        <v>2467</v>
      </c>
      <c r="B3706" s="45" t="s">
        <v>664</v>
      </c>
      <c r="C3706" s="60" t="s">
        <v>3316</v>
      </c>
      <c r="D3706" s="60"/>
      <c r="E3706" s="74">
        <v>2022</v>
      </c>
      <c r="F3706" s="74" t="s">
        <v>489</v>
      </c>
      <c r="G3706" s="61">
        <v>1</v>
      </c>
      <c r="H3706" s="45">
        <v>10</v>
      </c>
      <c r="I3706" s="74">
        <v>19.07441</v>
      </c>
    </row>
    <row r="3707" spans="1:9" s="71" customFormat="1" ht="16.5" hidden="1" customHeight="1" outlineLevel="1" x14ac:dyDescent="0.25">
      <c r="A3707" s="74">
        <v>2468</v>
      </c>
      <c r="B3707" s="45" t="s">
        <v>664</v>
      </c>
      <c r="C3707" s="60" t="s">
        <v>3317</v>
      </c>
      <c r="D3707" s="60"/>
      <c r="E3707" s="74">
        <v>2022</v>
      </c>
      <c r="F3707" s="74" t="s">
        <v>489</v>
      </c>
      <c r="G3707" s="61">
        <v>1</v>
      </c>
      <c r="H3707" s="45">
        <v>15</v>
      </c>
      <c r="I3707" s="74">
        <v>21.044760000000004</v>
      </c>
    </row>
    <row r="3708" spans="1:9" s="71" customFormat="1" ht="16.5" hidden="1" customHeight="1" outlineLevel="1" x14ac:dyDescent="0.25">
      <c r="A3708" s="74">
        <v>2469</v>
      </c>
      <c r="B3708" s="45" t="s">
        <v>664</v>
      </c>
      <c r="C3708" s="60" t="s">
        <v>3318</v>
      </c>
      <c r="D3708" s="60"/>
      <c r="E3708" s="74">
        <v>2022</v>
      </c>
      <c r="F3708" s="74" t="s">
        <v>489</v>
      </c>
      <c r="G3708" s="61">
        <v>1</v>
      </c>
      <c r="H3708" s="45">
        <v>10</v>
      </c>
      <c r="I3708" s="74">
        <v>21.044650000000001</v>
      </c>
    </row>
    <row r="3709" spans="1:9" s="71" customFormat="1" ht="16.5" hidden="1" customHeight="1" outlineLevel="1" x14ac:dyDescent="0.25">
      <c r="A3709" s="74">
        <v>2470</v>
      </c>
      <c r="B3709" s="45" t="s">
        <v>664</v>
      </c>
      <c r="C3709" s="60" t="s">
        <v>3319</v>
      </c>
      <c r="D3709" s="60"/>
      <c r="E3709" s="74">
        <v>2022</v>
      </c>
      <c r="F3709" s="74" t="s">
        <v>489</v>
      </c>
      <c r="G3709" s="61">
        <v>1</v>
      </c>
      <c r="H3709" s="45">
        <v>15</v>
      </c>
      <c r="I3709" s="74">
        <v>20.89968</v>
      </c>
    </row>
    <row r="3710" spans="1:9" s="71" customFormat="1" ht="16.5" hidden="1" customHeight="1" outlineLevel="1" x14ac:dyDescent="0.25">
      <c r="A3710" s="74">
        <v>2471</v>
      </c>
      <c r="B3710" s="45" t="s">
        <v>664</v>
      </c>
      <c r="C3710" s="60" t="s">
        <v>3320</v>
      </c>
      <c r="D3710" s="60"/>
      <c r="E3710" s="74">
        <v>2022</v>
      </c>
      <c r="F3710" s="74" t="s">
        <v>489</v>
      </c>
      <c r="G3710" s="61">
        <v>1</v>
      </c>
      <c r="H3710" s="45">
        <v>14</v>
      </c>
      <c r="I3710" s="74">
        <v>19.212630000000001</v>
      </c>
    </row>
    <row r="3711" spans="1:9" s="71" customFormat="1" ht="16.5" hidden="1" customHeight="1" outlineLevel="1" x14ac:dyDescent="0.25">
      <c r="A3711" s="74">
        <v>2472</v>
      </c>
      <c r="B3711" s="45" t="s">
        <v>664</v>
      </c>
      <c r="C3711" s="60" t="s">
        <v>3321</v>
      </c>
      <c r="D3711" s="60"/>
      <c r="E3711" s="74">
        <v>2022</v>
      </c>
      <c r="F3711" s="74" t="s">
        <v>489</v>
      </c>
      <c r="G3711" s="61">
        <v>1</v>
      </c>
      <c r="H3711" s="45">
        <v>15</v>
      </c>
      <c r="I3711" s="74">
        <v>20.904349999999997</v>
      </c>
    </row>
    <row r="3712" spans="1:9" s="71" customFormat="1" ht="16.5" hidden="1" customHeight="1" outlineLevel="1" x14ac:dyDescent="0.25">
      <c r="A3712" s="74">
        <v>2473</v>
      </c>
      <c r="B3712" s="45" t="s">
        <v>664</v>
      </c>
      <c r="C3712" s="60" t="s">
        <v>3322</v>
      </c>
      <c r="D3712" s="60"/>
      <c r="E3712" s="74">
        <v>2022</v>
      </c>
      <c r="F3712" s="74" t="s">
        <v>489</v>
      </c>
      <c r="G3712" s="61">
        <v>1</v>
      </c>
      <c r="H3712" s="45">
        <v>15</v>
      </c>
      <c r="I3712" s="74">
        <v>20.329150000000002</v>
      </c>
    </row>
    <row r="3713" spans="1:9" s="71" customFormat="1" ht="16.5" hidden="1" customHeight="1" outlineLevel="1" x14ac:dyDescent="0.25">
      <c r="A3713" s="74">
        <v>2474</v>
      </c>
      <c r="B3713" s="45" t="s">
        <v>664</v>
      </c>
      <c r="C3713" s="60" t="s">
        <v>3323</v>
      </c>
      <c r="D3713" s="60"/>
      <c r="E3713" s="74">
        <v>2022</v>
      </c>
      <c r="F3713" s="74" t="s">
        <v>489</v>
      </c>
      <c r="G3713" s="61">
        <v>1</v>
      </c>
      <c r="H3713" s="45">
        <v>3</v>
      </c>
      <c r="I3713" s="74">
        <v>17.955169999999999</v>
      </c>
    </row>
    <row r="3714" spans="1:9" s="71" customFormat="1" ht="16.5" hidden="1" customHeight="1" outlineLevel="1" x14ac:dyDescent="0.25">
      <c r="A3714" s="74">
        <v>2475</v>
      </c>
      <c r="B3714" s="45" t="s">
        <v>664</v>
      </c>
      <c r="C3714" s="60" t="s">
        <v>3324</v>
      </c>
      <c r="D3714" s="60"/>
      <c r="E3714" s="74">
        <v>2022</v>
      </c>
      <c r="F3714" s="74" t="s">
        <v>489</v>
      </c>
      <c r="G3714" s="61">
        <v>1</v>
      </c>
      <c r="H3714" s="45">
        <v>15</v>
      </c>
      <c r="I3714" s="74">
        <v>19.353009999999998</v>
      </c>
    </row>
    <row r="3715" spans="1:9" s="71" customFormat="1" ht="16.5" hidden="1" customHeight="1" outlineLevel="1" x14ac:dyDescent="0.25">
      <c r="A3715" s="74">
        <v>2476</v>
      </c>
      <c r="B3715" s="45" t="s">
        <v>664</v>
      </c>
      <c r="C3715" s="60" t="s">
        <v>3325</v>
      </c>
      <c r="D3715" s="60"/>
      <c r="E3715" s="74">
        <v>2022</v>
      </c>
      <c r="F3715" s="74" t="s">
        <v>489</v>
      </c>
      <c r="G3715" s="61">
        <v>1</v>
      </c>
      <c r="H3715" s="45">
        <v>10</v>
      </c>
      <c r="I3715" s="74">
        <v>17.950480000000002</v>
      </c>
    </row>
    <row r="3716" spans="1:9" s="71" customFormat="1" ht="16.5" hidden="1" customHeight="1" outlineLevel="1" x14ac:dyDescent="0.25">
      <c r="A3716" s="74">
        <v>2477</v>
      </c>
      <c r="B3716" s="45" t="s">
        <v>664</v>
      </c>
      <c r="C3716" s="60" t="s">
        <v>3326</v>
      </c>
      <c r="D3716" s="60"/>
      <c r="E3716" s="74">
        <v>2022</v>
      </c>
      <c r="F3716" s="74" t="s">
        <v>489</v>
      </c>
      <c r="G3716" s="61">
        <v>1</v>
      </c>
      <c r="H3716" s="45">
        <v>10</v>
      </c>
      <c r="I3716" s="74">
        <v>17.167459999999998</v>
      </c>
    </row>
    <row r="3717" spans="1:9" s="71" customFormat="1" ht="16.5" hidden="1" customHeight="1" outlineLevel="1" x14ac:dyDescent="0.25">
      <c r="A3717" s="74">
        <v>2478</v>
      </c>
      <c r="B3717" s="45" t="s">
        <v>664</v>
      </c>
      <c r="C3717" s="60" t="s">
        <v>3327</v>
      </c>
      <c r="D3717" s="60"/>
      <c r="E3717" s="74">
        <v>2022</v>
      </c>
      <c r="F3717" s="74" t="s">
        <v>489</v>
      </c>
      <c r="G3717" s="61">
        <v>1</v>
      </c>
      <c r="H3717" s="45">
        <v>15</v>
      </c>
      <c r="I3717" s="74">
        <v>20.386009999999999</v>
      </c>
    </row>
    <row r="3718" spans="1:9" s="71" customFormat="1" ht="16.5" hidden="1" customHeight="1" outlineLevel="1" x14ac:dyDescent="0.25">
      <c r="A3718" s="74">
        <v>2479</v>
      </c>
      <c r="B3718" s="45" t="s">
        <v>664</v>
      </c>
      <c r="C3718" s="60" t="s">
        <v>3328</v>
      </c>
      <c r="D3718" s="60"/>
      <c r="E3718" s="74">
        <v>2022</v>
      </c>
      <c r="F3718" s="74" t="s">
        <v>489</v>
      </c>
      <c r="G3718" s="61">
        <v>1</v>
      </c>
      <c r="H3718" s="45">
        <v>15</v>
      </c>
      <c r="I3718" s="74">
        <v>21.185220000000001</v>
      </c>
    </row>
    <row r="3719" spans="1:9" s="71" customFormat="1" ht="16.5" hidden="1" customHeight="1" outlineLevel="1" x14ac:dyDescent="0.25">
      <c r="A3719" s="74">
        <v>2485</v>
      </c>
      <c r="B3719" s="45" t="s">
        <v>664</v>
      </c>
      <c r="C3719" s="60" t="s">
        <v>3329</v>
      </c>
      <c r="D3719" s="60"/>
      <c r="E3719" s="74">
        <v>2022</v>
      </c>
      <c r="F3719" s="74" t="s">
        <v>489</v>
      </c>
      <c r="G3719" s="61">
        <v>1</v>
      </c>
      <c r="H3719" s="45">
        <v>15</v>
      </c>
      <c r="I3719" s="74">
        <v>19.26229</v>
      </c>
    </row>
    <row r="3720" spans="1:9" s="71" customFormat="1" ht="16.5" hidden="1" customHeight="1" outlineLevel="1" x14ac:dyDescent="0.25">
      <c r="A3720" s="74">
        <v>2487</v>
      </c>
      <c r="B3720" s="45" t="s">
        <v>664</v>
      </c>
      <c r="C3720" s="60" t="s">
        <v>3330</v>
      </c>
      <c r="D3720" s="60"/>
      <c r="E3720" s="74">
        <v>2022</v>
      </c>
      <c r="F3720" s="74" t="s">
        <v>489</v>
      </c>
      <c r="G3720" s="61">
        <v>1</v>
      </c>
      <c r="H3720" s="45">
        <v>15</v>
      </c>
      <c r="I3720" s="74">
        <v>24.458410000000001</v>
      </c>
    </row>
    <row r="3721" spans="1:9" s="71" customFormat="1" ht="16.5" hidden="1" customHeight="1" outlineLevel="1" x14ac:dyDescent="0.25">
      <c r="A3721" s="74">
        <v>2492</v>
      </c>
      <c r="B3721" s="45" t="s">
        <v>664</v>
      </c>
      <c r="C3721" s="60" t="s">
        <v>3331</v>
      </c>
      <c r="D3721" s="60"/>
      <c r="E3721" s="74">
        <v>2022</v>
      </c>
      <c r="F3721" s="74" t="s">
        <v>489</v>
      </c>
      <c r="G3721" s="61">
        <v>1</v>
      </c>
      <c r="H3721" s="45">
        <v>15</v>
      </c>
      <c r="I3721" s="74">
        <v>20.352049999999998</v>
      </c>
    </row>
    <row r="3722" spans="1:9" s="71" customFormat="1" ht="16.5" hidden="1" customHeight="1" outlineLevel="1" x14ac:dyDescent="0.25">
      <c r="A3722" s="74">
        <v>2493</v>
      </c>
      <c r="B3722" s="45" t="s">
        <v>664</v>
      </c>
      <c r="C3722" s="60" t="s">
        <v>3332</v>
      </c>
      <c r="D3722" s="60"/>
      <c r="E3722" s="74">
        <v>2022</v>
      </c>
      <c r="F3722" s="74" t="s">
        <v>489</v>
      </c>
      <c r="G3722" s="61">
        <v>1</v>
      </c>
      <c r="H3722" s="45">
        <v>15</v>
      </c>
      <c r="I3722" s="74">
        <v>20.492569999999997</v>
      </c>
    </row>
    <row r="3723" spans="1:9" s="71" customFormat="1" ht="16.5" hidden="1" customHeight="1" outlineLevel="1" x14ac:dyDescent="0.25">
      <c r="A3723" s="74">
        <v>2496</v>
      </c>
      <c r="B3723" s="45" t="s">
        <v>664</v>
      </c>
      <c r="C3723" s="60" t="s">
        <v>3333</v>
      </c>
      <c r="D3723" s="60"/>
      <c r="E3723" s="74">
        <v>2022</v>
      </c>
      <c r="F3723" s="74" t="s">
        <v>489</v>
      </c>
      <c r="G3723" s="61">
        <v>1</v>
      </c>
      <c r="H3723" s="45">
        <v>3</v>
      </c>
      <c r="I3723" s="74">
        <v>19.35998</v>
      </c>
    </row>
    <row r="3724" spans="1:9" s="71" customFormat="1" ht="16.5" hidden="1" customHeight="1" outlineLevel="1" x14ac:dyDescent="0.25">
      <c r="A3724" s="74">
        <v>2497</v>
      </c>
      <c r="B3724" s="45" t="s">
        <v>664</v>
      </c>
      <c r="C3724" s="60" t="s">
        <v>3334</v>
      </c>
      <c r="D3724" s="60"/>
      <c r="E3724" s="74">
        <v>2022</v>
      </c>
      <c r="F3724" s="74" t="s">
        <v>489</v>
      </c>
      <c r="G3724" s="61">
        <v>1</v>
      </c>
      <c r="H3724" s="45">
        <v>3</v>
      </c>
      <c r="I3724" s="74">
        <v>19.402709999999999</v>
      </c>
    </row>
    <row r="3725" spans="1:9" s="71" customFormat="1" ht="16.5" hidden="1" customHeight="1" outlineLevel="1" x14ac:dyDescent="0.25">
      <c r="A3725" s="74">
        <v>2499</v>
      </c>
      <c r="B3725" s="45" t="s">
        <v>664</v>
      </c>
      <c r="C3725" s="60" t="s">
        <v>3335</v>
      </c>
      <c r="D3725" s="60"/>
      <c r="E3725" s="74">
        <v>2022</v>
      </c>
      <c r="F3725" s="74" t="s">
        <v>489</v>
      </c>
      <c r="G3725" s="61">
        <v>1</v>
      </c>
      <c r="H3725" s="45">
        <v>10</v>
      </c>
      <c r="I3725" s="74">
        <v>19.95438</v>
      </c>
    </row>
    <row r="3726" spans="1:9" s="71" customFormat="1" ht="16.5" hidden="1" customHeight="1" outlineLevel="1" x14ac:dyDescent="0.25">
      <c r="A3726" s="74">
        <v>2500</v>
      </c>
      <c r="B3726" s="45" t="s">
        <v>664</v>
      </c>
      <c r="C3726" s="60" t="s">
        <v>3336</v>
      </c>
      <c r="D3726" s="60"/>
      <c r="E3726" s="74">
        <v>2022</v>
      </c>
      <c r="F3726" s="74" t="s">
        <v>489</v>
      </c>
      <c r="G3726" s="61">
        <v>1</v>
      </c>
      <c r="H3726" s="45">
        <v>10</v>
      </c>
      <c r="I3726" s="74">
        <v>22.021659999999997</v>
      </c>
    </row>
    <row r="3727" spans="1:9" s="71" customFormat="1" ht="16.5" hidden="1" customHeight="1" outlineLevel="1" x14ac:dyDescent="0.25">
      <c r="A3727" s="74">
        <v>2501</v>
      </c>
      <c r="B3727" s="45" t="s">
        <v>664</v>
      </c>
      <c r="C3727" s="60" t="s">
        <v>3337</v>
      </c>
      <c r="D3727" s="60"/>
      <c r="E3727" s="74">
        <v>2022</v>
      </c>
      <c r="F3727" s="74" t="s">
        <v>489</v>
      </c>
      <c r="G3727" s="61">
        <v>1</v>
      </c>
      <c r="H3727" s="45">
        <v>15</v>
      </c>
      <c r="I3727" s="74">
        <v>18.035249999999998</v>
      </c>
    </row>
    <row r="3728" spans="1:9" s="71" customFormat="1" ht="16.5" hidden="1" customHeight="1" outlineLevel="1" x14ac:dyDescent="0.25">
      <c r="A3728" s="74">
        <v>2502</v>
      </c>
      <c r="B3728" s="45" t="s">
        <v>664</v>
      </c>
      <c r="C3728" s="60" t="s">
        <v>3338</v>
      </c>
      <c r="D3728" s="60"/>
      <c r="E3728" s="74">
        <v>2022</v>
      </c>
      <c r="F3728" s="74" t="s">
        <v>489</v>
      </c>
      <c r="G3728" s="61">
        <v>1</v>
      </c>
      <c r="H3728" s="45">
        <v>10</v>
      </c>
      <c r="I3728" s="74">
        <v>18.035209999999999</v>
      </c>
    </row>
    <row r="3729" spans="1:9" s="71" customFormat="1" ht="16.5" hidden="1" customHeight="1" outlineLevel="1" x14ac:dyDescent="0.25">
      <c r="A3729" s="74">
        <v>2503</v>
      </c>
      <c r="B3729" s="45" t="s">
        <v>664</v>
      </c>
      <c r="C3729" s="60" t="s">
        <v>3339</v>
      </c>
      <c r="D3729" s="60"/>
      <c r="E3729" s="74">
        <v>2022</v>
      </c>
      <c r="F3729" s="74" t="s">
        <v>489</v>
      </c>
      <c r="G3729" s="61">
        <v>1</v>
      </c>
      <c r="H3729" s="45">
        <v>12</v>
      </c>
      <c r="I3729" s="74">
        <v>18.044779999999999</v>
      </c>
    </row>
    <row r="3730" spans="1:9" s="71" customFormat="1" ht="16.5" hidden="1" customHeight="1" outlineLevel="1" x14ac:dyDescent="0.25">
      <c r="A3730" s="74">
        <v>2504</v>
      </c>
      <c r="B3730" s="45" t="s">
        <v>664</v>
      </c>
      <c r="C3730" s="60" t="s">
        <v>3340</v>
      </c>
      <c r="D3730" s="60"/>
      <c r="E3730" s="74">
        <v>2022</v>
      </c>
      <c r="F3730" s="74" t="s">
        <v>489</v>
      </c>
      <c r="G3730" s="61">
        <v>1</v>
      </c>
      <c r="H3730" s="45">
        <v>12</v>
      </c>
      <c r="I3730" s="74">
        <v>18.035249999999998</v>
      </c>
    </row>
    <row r="3731" spans="1:9" s="71" customFormat="1" ht="16.5" hidden="1" customHeight="1" outlineLevel="1" x14ac:dyDescent="0.25">
      <c r="A3731" s="74">
        <v>2505</v>
      </c>
      <c r="B3731" s="45" t="s">
        <v>664</v>
      </c>
      <c r="C3731" s="60" t="s">
        <v>3341</v>
      </c>
      <c r="D3731" s="60"/>
      <c r="E3731" s="74">
        <v>2022</v>
      </c>
      <c r="F3731" s="74" t="s">
        <v>489</v>
      </c>
      <c r="G3731" s="61">
        <v>1</v>
      </c>
      <c r="H3731" s="45">
        <v>12</v>
      </c>
      <c r="I3731" s="74">
        <v>18.0352</v>
      </c>
    </row>
    <row r="3732" spans="1:9" s="71" customFormat="1" ht="16.5" hidden="1" customHeight="1" outlineLevel="1" x14ac:dyDescent="0.25">
      <c r="A3732" s="74">
        <v>2506</v>
      </c>
      <c r="B3732" s="45" t="s">
        <v>664</v>
      </c>
      <c r="C3732" s="60" t="s">
        <v>3342</v>
      </c>
      <c r="D3732" s="60"/>
      <c r="E3732" s="74">
        <v>2022</v>
      </c>
      <c r="F3732" s="74" t="s">
        <v>489</v>
      </c>
      <c r="G3732" s="61">
        <v>1</v>
      </c>
      <c r="H3732" s="45">
        <v>12</v>
      </c>
      <c r="I3732" s="74">
        <v>19.490470000000002</v>
      </c>
    </row>
    <row r="3733" spans="1:9" s="71" customFormat="1" ht="16.5" hidden="1" customHeight="1" outlineLevel="1" x14ac:dyDescent="0.25">
      <c r="A3733" s="74">
        <v>1865</v>
      </c>
      <c r="B3733" s="45" t="s">
        <v>664</v>
      </c>
      <c r="C3733" s="60" t="s">
        <v>3343</v>
      </c>
      <c r="D3733" s="60"/>
      <c r="E3733" s="74">
        <v>2022</v>
      </c>
      <c r="F3733" s="74" t="s">
        <v>489</v>
      </c>
      <c r="G3733" s="61">
        <v>1</v>
      </c>
      <c r="H3733" s="45">
        <v>15</v>
      </c>
      <c r="I3733" s="74">
        <v>25.669259999999998</v>
      </c>
    </row>
    <row r="3734" spans="1:9" s="71" customFormat="1" ht="16.5" hidden="1" customHeight="1" outlineLevel="1" x14ac:dyDescent="0.25">
      <c r="A3734" s="74">
        <v>2062</v>
      </c>
      <c r="B3734" s="45" t="s">
        <v>664</v>
      </c>
      <c r="C3734" s="60" t="s">
        <v>3344</v>
      </c>
      <c r="D3734" s="60"/>
      <c r="E3734" s="74">
        <v>2022</v>
      </c>
      <c r="F3734" s="74" t="s">
        <v>489</v>
      </c>
      <c r="G3734" s="61">
        <v>1</v>
      </c>
      <c r="H3734" s="45">
        <v>10</v>
      </c>
      <c r="I3734" s="74">
        <v>16.431930000000001</v>
      </c>
    </row>
    <row r="3735" spans="1:9" s="71" customFormat="1" ht="16.5" hidden="1" customHeight="1" outlineLevel="1" x14ac:dyDescent="0.25">
      <c r="A3735" s="74">
        <v>2182</v>
      </c>
      <c r="B3735" s="45" t="s">
        <v>664</v>
      </c>
      <c r="C3735" s="60" t="s">
        <v>3345</v>
      </c>
      <c r="D3735" s="60"/>
      <c r="E3735" s="74">
        <v>2022</v>
      </c>
      <c r="F3735" s="74" t="s">
        <v>489</v>
      </c>
      <c r="G3735" s="61">
        <v>1</v>
      </c>
      <c r="H3735" s="45">
        <v>5</v>
      </c>
      <c r="I3735" s="74">
        <v>26.478560000000002</v>
      </c>
    </row>
    <row r="3736" spans="1:9" s="71" customFormat="1" ht="16.5" hidden="1" customHeight="1" outlineLevel="1" x14ac:dyDescent="0.25">
      <c r="A3736" s="74">
        <v>2189</v>
      </c>
      <c r="B3736" s="45" t="s">
        <v>664</v>
      </c>
      <c r="C3736" s="60" t="s">
        <v>3346</v>
      </c>
      <c r="D3736" s="60"/>
      <c r="E3736" s="74">
        <v>2022</v>
      </c>
      <c r="F3736" s="74" t="s">
        <v>489</v>
      </c>
      <c r="G3736" s="61">
        <v>1</v>
      </c>
      <c r="H3736" s="45">
        <v>10</v>
      </c>
      <c r="I3736" s="74">
        <v>28.218599999999999</v>
      </c>
    </row>
    <row r="3737" spans="1:9" s="71" customFormat="1" ht="16.5" hidden="1" customHeight="1" outlineLevel="1" x14ac:dyDescent="0.25">
      <c r="A3737" s="74">
        <v>2327</v>
      </c>
      <c r="B3737" s="45" t="s">
        <v>664</v>
      </c>
      <c r="C3737" s="60" t="s">
        <v>3347</v>
      </c>
      <c r="D3737" s="60"/>
      <c r="E3737" s="74">
        <v>2022</v>
      </c>
      <c r="F3737" s="74" t="s">
        <v>489</v>
      </c>
      <c r="G3737" s="61">
        <v>1</v>
      </c>
      <c r="H3737" s="45">
        <v>1.5</v>
      </c>
      <c r="I3737" s="74">
        <v>25.761659999999999</v>
      </c>
    </row>
    <row r="3738" spans="1:9" s="71" customFormat="1" ht="16.5" hidden="1" customHeight="1" outlineLevel="1" x14ac:dyDescent="0.25">
      <c r="A3738" s="74">
        <v>2329</v>
      </c>
      <c r="B3738" s="45" t="s">
        <v>664</v>
      </c>
      <c r="C3738" s="60" t="s">
        <v>3348</v>
      </c>
      <c r="D3738" s="60"/>
      <c r="E3738" s="74">
        <v>2022</v>
      </c>
      <c r="F3738" s="74" t="s">
        <v>489</v>
      </c>
      <c r="G3738" s="61">
        <v>1</v>
      </c>
      <c r="H3738" s="45">
        <v>15</v>
      </c>
      <c r="I3738" s="74">
        <v>24.021560000000001</v>
      </c>
    </row>
    <row r="3739" spans="1:9" s="71" customFormat="1" ht="16.5" hidden="1" customHeight="1" outlineLevel="1" x14ac:dyDescent="0.25">
      <c r="A3739" s="74">
        <v>2331</v>
      </c>
      <c r="B3739" s="45" t="s">
        <v>664</v>
      </c>
      <c r="C3739" s="60" t="s">
        <v>3349</v>
      </c>
      <c r="D3739" s="60"/>
      <c r="E3739" s="74">
        <v>2022</v>
      </c>
      <c r="F3739" s="74" t="s">
        <v>489</v>
      </c>
      <c r="G3739" s="61">
        <v>1</v>
      </c>
      <c r="H3739" s="45">
        <v>10</v>
      </c>
      <c r="I3739" s="74">
        <v>24.891639999999999</v>
      </c>
    </row>
    <row r="3740" spans="1:9" s="71" customFormat="1" ht="16.5" hidden="1" customHeight="1" outlineLevel="1" x14ac:dyDescent="0.25">
      <c r="A3740" s="74">
        <v>2334</v>
      </c>
      <c r="B3740" s="45" t="s">
        <v>664</v>
      </c>
      <c r="C3740" s="60" t="s">
        <v>3350</v>
      </c>
      <c r="D3740" s="60"/>
      <c r="E3740" s="74">
        <v>2022</v>
      </c>
      <c r="F3740" s="74" t="s">
        <v>489</v>
      </c>
      <c r="G3740" s="61">
        <v>1</v>
      </c>
      <c r="H3740" s="45">
        <v>10</v>
      </c>
      <c r="I3740" s="74">
        <v>24.195630000000001</v>
      </c>
    </row>
    <row r="3741" spans="1:9" s="71" customFormat="1" ht="16.5" hidden="1" customHeight="1" outlineLevel="1" x14ac:dyDescent="0.25">
      <c r="A3741" s="74">
        <v>2335</v>
      </c>
      <c r="B3741" s="45" t="s">
        <v>664</v>
      </c>
      <c r="C3741" s="60" t="s">
        <v>3351</v>
      </c>
      <c r="D3741" s="60"/>
      <c r="E3741" s="74">
        <v>2022</v>
      </c>
      <c r="F3741" s="74" t="s">
        <v>489</v>
      </c>
      <c r="G3741" s="61">
        <v>1</v>
      </c>
      <c r="H3741" s="45">
        <v>15</v>
      </c>
      <c r="I3741" s="74">
        <v>27.501650000000001</v>
      </c>
    </row>
    <row r="3742" spans="1:9" s="71" customFormat="1" ht="16.5" hidden="1" customHeight="1" outlineLevel="1" x14ac:dyDescent="0.25">
      <c r="A3742" s="74">
        <v>2338</v>
      </c>
      <c r="B3742" s="45" t="s">
        <v>664</v>
      </c>
      <c r="C3742" s="60" t="s">
        <v>3352</v>
      </c>
      <c r="D3742" s="60"/>
      <c r="E3742" s="74">
        <v>2022</v>
      </c>
      <c r="F3742" s="74" t="s">
        <v>489</v>
      </c>
      <c r="G3742" s="61">
        <v>1</v>
      </c>
      <c r="H3742" s="45">
        <v>15</v>
      </c>
      <c r="I3742" s="74">
        <v>25.761669999999995</v>
      </c>
    </row>
    <row r="3743" spans="1:9" s="71" customFormat="1" ht="16.5" hidden="1" customHeight="1" outlineLevel="1" x14ac:dyDescent="0.25">
      <c r="A3743" s="74">
        <v>2339</v>
      </c>
      <c r="B3743" s="45" t="s">
        <v>664</v>
      </c>
      <c r="C3743" s="60" t="s">
        <v>3353</v>
      </c>
      <c r="D3743" s="60"/>
      <c r="E3743" s="74">
        <v>2022</v>
      </c>
      <c r="F3743" s="74" t="s">
        <v>489</v>
      </c>
      <c r="G3743" s="61">
        <v>1</v>
      </c>
      <c r="H3743" s="45">
        <v>15</v>
      </c>
      <c r="I3743" s="74">
        <v>24.8916</v>
      </c>
    </row>
    <row r="3744" spans="1:9" s="71" customFormat="1" ht="16.5" hidden="1" customHeight="1" outlineLevel="1" x14ac:dyDescent="0.25">
      <c r="A3744" s="74">
        <v>2340</v>
      </c>
      <c r="B3744" s="45" t="s">
        <v>664</v>
      </c>
      <c r="C3744" s="60" t="s">
        <v>3354</v>
      </c>
      <c r="D3744" s="60"/>
      <c r="E3744" s="74">
        <v>2022</v>
      </c>
      <c r="F3744" s="74" t="s">
        <v>489</v>
      </c>
      <c r="G3744" s="61">
        <v>1</v>
      </c>
      <c r="H3744" s="45">
        <v>15</v>
      </c>
      <c r="I3744" s="74">
        <v>25.23959</v>
      </c>
    </row>
    <row r="3745" spans="1:9" s="71" customFormat="1" ht="16.5" hidden="1" customHeight="1" outlineLevel="1" x14ac:dyDescent="0.25">
      <c r="A3745" s="74">
        <v>2342</v>
      </c>
      <c r="B3745" s="45" t="s">
        <v>664</v>
      </c>
      <c r="C3745" s="60" t="s">
        <v>3355</v>
      </c>
      <c r="D3745" s="60"/>
      <c r="E3745" s="74">
        <v>2022</v>
      </c>
      <c r="F3745" s="74" t="s">
        <v>489</v>
      </c>
      <c r="G3745" s="61">
        <v>1</v>
      </c>
      <c r="H3745" s="45">
        <v>15</v>
      </c>
      <c r="I3745" s="74">
        <v>24.010560000000002</v>
      </c>
    </row>
    <row r="3746" spans="1:9" s="71" customFormat="1" ht="16.5" hidden="1" customHeight="1" outlineLevel="1" x14ac:dyDescent="0.25">
      <c r="A3746" s="74">
        <v>2362</v>
      </c>
      <c r="B3746" s="45" t="s">
        <v>664</v>
      </c>
      <c r="C3746" s="60" t="s">
        <v>3356</v>
      </c>
      <c r="D3746" s="60"/>
      <c r="E3746" s="74">
        <v>2022</v>
      </c>
      <c r="F3746" s="74" t="s">
        <v>489</v>
      </c>
      <c r="G3746" s="61">
        <v>1</v>
      </c>
      <c r="H3746" s="45">
        <v>15</v>
      </c>
      <c r="I3746" s="74">
        <v>30.670999999999999</v>
      </c>
    </row>
    <row r="3747" spans="1:9" s="71" customFormat="1" ht="16.5" hidden="1" customHeight="1" outlineLevel="1" x14ac:dyDescent="0.25">
      <c r="A3747" s="74">
        <v>2371</v>
      </c>
      <c r="B3747" s="45" t="s">
        <v>664</v>
      </c>
      <c r="C3747" s="60" t="s">
        <v>3357</v>
      </c>
      <c r="D3747" s="60"/>
      <c r="E3747" s="74">
        <v>2022</v>
      </c>
      <c r="F3747" s="74" t="s">
        <v>489</v>
      </c>
      <c r="G3747" s="61">
        <v>1</v>
      </c>
      <c r="H3747" s="45">
        <v>15</v>
      </c>
      <c r="I3747" s="74">
        <v>27.376999999999999</v>
      </c>
    </row>
    <row r="3748" spans="1:9" s="71" customFormat="1" ht="16.5" hidden="1" customHeight="1" outlineLevel="1" x14ac:dyDescent="0.25">
      <c r="A3748" s="74">
        <v>2373</v>
      </c>
      <c r="B3748" s="45" t="s">
        <v>664</v>
      </c>
      <c r="C3748" s="60" t="s">
        <v>3358</v>
      </c>
      <c r="D3748" s="60"/>
      <c r="E3748" s="74">
        <v>2022</v>
      </c>
      <c r="F3748" s="74" t="s">
        <v>489</v>
      </c>
      <c r="G3748" s="61">
        <v>1</v>
      </c>
      <c r="H3748" s="45">
        <v>15</v>
      </c>
      <c r="I3748" s="74">
        <v>27.712</v>
      </c>
    </row>
    <row r="3749" spans="1:9" s="71" customFormat="1" ht="16.5" hidden="1" customHeight="1" outlineLevel="1" x14ac:dyDescent="0.25">
      <c r="A3749" s="74">
        <v>2378</v>
      </c>
      <c r="B3749" s="45" t="s">
        <v>664</v>
      </c>
      <c r="C3749" s="60" t="s">
        <v>3359</v>
      </c>
      <c r="D3749" s="60"/>
      <c r="E3749" s="74">
        <v>2022</v>
      </c>
      <c r="F3749" s="74" t="s">
        <v>489</v>
      </c>
      <c r="G3749" s="61">
        <v>1</v>
      </c>
      <c r="H3749" s="45">
        <v>15</v>
      </c>
      <c r="I3749" s="74">
        <v>25.848559999999999</v>
      </c>
    </row>
    <row r="3750" spans="1:9" s="71" customFormat="1" ht="16.5" hidden="1" customHeight="1" outlineLevel="1" x14ac:dyDescent="0.25">
      <c r="A3750" s="74">
        <v>2381</v>
      </c>
      <c r="B3750" s="45" t="s">
        <v>664</v>
      </c>
      <c r="C3750" s="60" t="s">
        <v>3360</v>
      </c>
      <c r="D3750" s="60"/>
      <c r="E3750" s="74">
        <v>2022</v>
      </c>
      <c r="F3750" s="74" t="s">
        <v>489</v>
      </c>
      <c r="G3750" s="61">
        <v>1</v>
      </c>
      <c r="H3750" s="45">
        <v>10</v>
      </c>
      <c r="I3750" s="74">
        <v>24.282439999999998</v>
      </c>
    </row>
    <row r="3751" spans="1:9" s="71" customFormat="1" ht="16.5" hidden="1" customHeight="1" outlineLevel="1" x14ac:dyDescent="0.25">
      <c r="A3751" s="74">
        <v>2386</v>
      </c>
      <c r="B3751" s="45" t="s">
        <v>664</v>
      </c>
      <c r="C3751" s="60" t="s">
        <v>3361</v>
      </c>
      <c r="D3751" s="60"/>
      <c r="E3751" s="74">
        <v>2022</v>
      </c>
      <c r="F3751" s="74" t="s">
        <v>489</v>
      </c>
      <c r="G3751" s="61">
        <v>1</v>
      </c>
      <c r="H3751" s="45">
        <v>10</v>
      </c>
      <c r="I3751" s="74">
        <v>24.108490000000003</v>
      </c>
    </row>
    <row r="3752" spans="1:9" s="71" customFormat="1" ht="16.5" hidden="1" customHeight="1" outlineLevel="1" x14ac:dyDescent="0.25">
      <c r="A3752" s="74">
        <v>2391</v>
      </c>
      <c r="B3752" s="45" t="s">
        <v>664</v>
      </c>
      <c r="C3752" s="60" t="s">
        <v>3362</v>
      </c>
      <c r="D3752" s="60"/>
      <c r="E3752" s="74">
        <v>2022</v>
      </c>
      <c r="F3752" s="74" t="s">
        <v>489</v>
      </c>
      <c r="G3752" s="61">
        <v>1</v>
      </c>
      <c r="H3752" s="45">
        <v>15</v>
      </c>
      <c r="I3752" s="74">
        <v>24.630470000000003</v>
      </c>
    </row>
    <row r="3753" spans="1:9" s="71" customFormat="1" ht="16.5" hidden="1" customHeight="1" outlineLevel="1" x14ac:dyDescent="0.25">
      <c r="A3753" s="74">
        <v>2395</v>
      </c>
      <c r="B3753" s="45" t="s">
        <v>664</v>
      </c>
      <c r="C3753" s="60" t="s">
        <v>3363</v>
      </c>
      <c r="D3753" s="60"/>
      <c r="E3753" s="74">
        <v>2022</v>
      </c>
      <c r="F3753" s="74" t="s">
        <v>489</v>
      </c>
      <c r="G3753" s="61">
        <v>1</v>
      </c>
      <c r="H3753" s="45">
        <v>15</v>
      </c>
      <c r="I3753" s="74">
        <v>24.108470000000001</v>
      </c>
    </row>
    <row r="3754" spans="1:9" s="71" customFormat="1" ht="16.5" hidden="1" customHeight="1" outlineLevel="1" x14ac:dyDescent="0.25">
      <c r="A3754" s="74">
        <v>2401</v>
      </c>
      <c r="B3754" s="45" t="s">
        <v>664</v>
      </c>
      <c r="C3754" s="60" t="s">
        <v>3364</v>
      </c>
      <c r="D3754" s="60"/>
      <c r="E3754" s="74">
        <v>2022</v>
      </c>
      <c r="F3754" s="74" t="s">
        <v>489</v>
      </c>
      <c r="G3754" s="61">
        <v>1</v>
      </c>
      <c r="H3754" s="45">
        <v>10</v>
      </c>
      <c r="I3754" s="74">
        <v>28.430029999999999</v>
      </c>
    </row>
    <row r="3755" spans="1:9" s="71" customFormat="1" ht="16.5" hidden="1" customHeight="1" outlineLevel="1" x14ac:dyDescent="0.25">
      <c r="A3755" s="74">
        <v>2412</v>
      </c>
      <c r="B3755" s="45" t="s">
        <v>664</v>
      </c>
      <c r="C3755" s="60" t="s">
        <v>3365</v>
      </c>
      <c r="D3755" s="60"/>
      <c r="E3755" s="74">
        <v>2022</v>
      </c>
      <c r="F3755" s="74" t="s">
        <v>489</v>
      </c>
      <c r="G3755" s="61">
        <v>1</v>
      </c>
      <c r="H3755" s="45">
        <v>15</v>
      </c>
      <c r="I3755" s="74">
        <v>26.146999999999998</v>
      </c>
    </row>
    <row r="3756" spans="1:9" s="71" customFormat="1" ht="16.5" hidden="1" customHeight="1" outlineLevel="1" x14ac:dyDescent="0.25">
      <c r="A3756" s="74">
        <v>2413</v>
      </c>
      <c r="B3756" s="45" t="s">
        <v>664</v>
      </c>
      <c r="C3756" s="60" t="s">
        <v>3366</v>
      </c>
      <c r="D3756" s="60"/>
      <c r="E3756" s="74">
        <v>2022</v>
      </c>
      <c r="F3756" s="74" t="s">
        <v>489</v>
      </c>
      <c r="G3756" s="61">
        <v>1</v>
      </c>
      <c r="H3756" s="45">
        <v>10</v>
      </c>
      <c r="I3756" s="74">
        <v>27.96266</v>
      </c>
    </row>
    <row r="3757" spans="1:9" s="71" customFormat="1" ht="16.5" hidden="1" customHeight="1" outlineLevel="1" x14ac:dyDescent="0.25">
      <c r="A3757" s="74">
        <v>2414</v>
      </c>
      <c r="B3757" s="45" t="s">
        <v>664</v>
      </c>
      <c r="C3757" s="60" t="s">
        <v>3367</v>
      </c>
      <c r="D3757" s="60"/>
      <c r="E3757" s="74">
        <v>2022</v>
      </c>
      <c r="F3757" s="74" t="s">
        <v>489</v>
      </c>
      <c r="G3757" s="61">
        <v>1</v>
      </c>
      <c r="H3757" s="45">
        <v>15</v>
      </c>
      <c r="I3757" s="74">
        <v>25.936</v>
      </c>
    </row>
    <row r="3758" spans="1:9" s="71" customFormat="1" ht="16.5" hidden="1" customHeight="1" outlineLevel="1" x14ac:dyDescent="0.25">
      <c r="A3758" s="74">
        <v>2416</v>
      </c>
      <c r="B3758" s="45" t="s">
        <v>664</v>
      </c>
      <c r="C3758" s="60" t="s">
        <v>3368</v>
      </c>
      <c r="D3758" s="60"/>
      <c r="E3758" s="74">
        <v>2022</v>
      </c>
      <c r="F3758" s="74" t="s">
        <v>489</v>
      </c>
      <c r="G3758" s="61">
        <v>1</v>
      </c>
      <c r="H3758" s="45">
        <v>150</v>
      </c>
      <c r="I3758" s="74">
        <v>18.37659</v>
      </c>
    </row>
    <row r="3759" spans="1:9" s="71" customFormat="1" ht="16.5" hidden="1" customHeight="1" outlineLevel="1" x14ac:dyDescent="0.25">
      <c r="A3759" s="74">
        <v>2456</v>
      </c>
      <c r="B3759" s="45" t="s">
        <v>664</v>
      </c>
      <c r="C3759" s="60" t="s">
        <v>3369</v>
      </c>
      <c r="D3759" s="60"/>
      <c r="E3759" s="74">
        <v>2022</v>
      </c>
      <c r="F3759" s="74" t="s">
        <v>489</v>
      </c>
      <c r="G3759" s="61">
        <v>1</v>
      </c>
      <c r="H3759" s="45">
        <v>15</v>
      </c>
      <c r="I3759" s="74">
        <v>31.857999999999997</v>
      </c>
    </row>
    <row r="3760" spans="1:9" s="71" customFormat="1" ht="16.5" hidden="1" customHeight="1" outlineLevel="1" x14ac:dyDescent="0.25">
      <c r="A3760" s="74">
        <v>2513</v>
      </c>
      <c r="B3760" s="45" t="s">
        <v>664</v>
      </c>
      <c r="C3760" s="60" t="s">
        <v>3370</v>
      </c>
      <c r="D3760" s="60"/>
      <c r="E3760" s="74">
        <v>2022</v>
      </c>
      <c r="F3760" s="74" t="s">
        <v>489</v>
      </c>
      <c r="G3760" s="61">
        <v>1</v>
      </c>
      <c r="H3760" s="45">
        <v>1</v>
      </c>
      <c r="I3760" s="74">
        <v>11.443069999999999</v>
      </c>
    </row>
    <row r="3761" spans="1:9" s="71" customFormat="1" ht="16.5" hidden="1" customHeight="1" outlineLevel="1" x14ac:dyDescent="0.25">
      <c r="A3761" s="74">
        <v>2523</v>
      </c>
      <c r="B3761" s="45" t="s">
        <v>664</v>
      </c>
      <c r="C3761" s="60" t="s">
        <v>3371</v>
      </c>
      <c r="D3761" s="60"/>
      <c r="E3761" s="74">
        <v>2022</v>
      </c>
      <c r="F3761" s="74" t="s">
        <v>489</v>
      </c>
      <c r="G3761" s="61">
        <v>1</v>
      </c>
      <c r="H3761" s="45">
        <v>13.5</v>
      </c>
      <c r="I3761" s="74">
        <v>20.464259999999999</v>
      </c>
    </row>
    <row r="3762" spans="1:9" s="71" customFormat="1" ht="16.5" hidden="1" customHeight="1" outlineLevel="1" x14ac:dyDescent="0.25">
      <c r="A3762" s="74">
        <v>2524</v>
      </c>
      <c r="B3762" s="45" t="s">
        <v>664</v>
      </c>
      <c r="C3762" s="60" t="s">
        <v>3372</v>
      </c>
      <c r="D3762" s="60"/>
      <c r="E3762" s="74">
        <v>2022</v>
      </c>
      <c r="F3762" s="74" t="s">
        <v>489</v>
      </c>
      <c r="G3762" s="61">
        <v>1</v>
      </c>
      <c r="H3762" s="45">
        <v>5</v>
      </c>
      <c r="I3762" s="74">
        <v>19.942239999999998</v>
      </c>
    </row>
    <row r="3763" spans="1:9" s="71" customFormat="1" ht="16.5" hidden="1" customHeight="1" outlineLevel="1" x14ac:dyDescent="0.25">
      <c r="A3763" s="74">
        <v>2525</v>
      </c>
      <c r="B3763" s="45" t="s">
        <v>664</v>
      </c>
      <c r="C3763" s="60" t="s">
        <v>3373</v>
      </c>
      <c r="D3763" s="60"/>
      <c r="E3763" s="74">
        <v>2022</v>
      </c>
      <c r="F3763" s="74" t="s">
        <v>489</v>
      </c>
      <c r="G3763" s="61">
        <v>1</v>
      </c>
      <c r="H3763" s="45">
        <v>10</v>
      </c>
      <c r="I3763" s="74">
        <v>20.46424</v>
      </c>
    </row>
    <row r="3764" spans="1:9" s="71" customFormat="1" ht="16.5" hidden="1" customHeight="1" outlineLevel="1" x14ac:dyDescent="0.25">
      <c r="A3764" s="74">
        <v>2526</v>
      </c>
      <c r="B3764" s="45" t="s">
        <v>664</v>
      </c>
      <c r="C3764" s="60" t="s">
        <v>3374</v>
      </c>
      <c r="D3764" s="60"/>
      <c r="E3764" s="74">
        <v>2022</v>
      </c>
      <c r="F3764" s="74" t="s">
        <v>489</v>
      </c>
      <c r="G3764" s="61">
        <v>1</v>
      </c>
      <c r="H3764" s="45">
        <v>10</v>
      </c>
      <c r="I3764" s="74">
        <v>20.143699999999999</v>
      </c>
    </row>
    <row r="3765" spans="1:9" s="71" customFormat="1" ht="16.5" hidden="1" customHeight="1" outlineLevel="1" x14ac:dyDescent="0.25">
      <c r="A3765" s="74">
        <v>2527</v>
      </c>
      <c r="B3765" s="45" t="s">
        <v>664</v>
      </c>
      <c r="C3765" s="60" t="s">
        <v>3375</v>
      </c>
      <c r="D3765" s="60"/>
      <c r="E3765" s="74">
        <v>2022</v>
      </c>
      <c r="F3765" s="74" t="s">
        <v>489</v>
      </c>
      <c r="G3765" s="61">
        <v>1</v>
      </c>
      <c r="H3765" s="45">
        <v>6</v>
      </c>
      <c r="I3765" s="74">
        <v>21.01258</v>
      </c>
    </row>
    <row r="3766" spans="1:9" s="71" customFormat="1" ht="16.5" hidden="1" customHeight="1" outlineLevel="1" x14ac:dyDescent="0.25">
      <c r="A3766" s="74">
        <v>2528</v>
      </c>
      <c r="B3766" s="45" t="s">
        <v>664</v>
      </c>
      <c r="C3766" s="60" t="s">
        <v>3376</v>
      </c>
      <c r="D3766" s="60"/>
      <c r="E3766" s="74">
        <v>2022</v>
      </c>
      <c r="F3766" s="74" t="s">
        <v>489</v>
      </c>
      <c r="G3766" s="61">
        <v>1</v>
      </c>
      <c r="H3766" s="45">
        <v>15</v>
      </c>
      <c r="I3766" s="74">
        <v>20.676290000000002</v>
      </c>
    </row>
    <row r="3767" spans="1:9" s="71" customFormat="1" ht="16.5" hidden="1" customHeight="1" outlineLevel="1" x14ac:dyDescent="0.25">
      <c r="A3767" s="74">
        <v>2529</v>
      </c>
      <c r="B3767" s="45" t="s">
        <v>664</v>
      </c>
      <c r="C3767" s="60" t="s">
        <v>3377</v>
      </c>
      <c r="D3767" s="60"/>
      <c r="E3767" s="74">
        <v>2022</v>
      </c>
      <c r="F3767" s="74" t="s">
        <v>489</v>
      </c>
      <c r="G3767" s="61">
        <v>1</v>
      </c>
      <c r="H3767" s="45">
        <v>1</v>
      </c>
      <c r="I3767" s="74">
        <v>24.282770000000003</v>
      </c>
    </row>
    <row r="3768" spans="1:9" s="71" customFormat="1" ht="16.5" hidden="1" customHeight="1" outlineLevel="1" x14ac:dyDescent="0.25">
      <c r="A3768" s="74">
        <v>2530</v>
      </c>
      <c r="B3768" s="45" t="s">
        <v>664</v>
      </c>
      <c r="C3768" s="60" t="s">
        <v>3378</v>
      </c>
      <c r="D3768" s="60"/>
      <c r="E3768" s="74">
        <v>2022</v>
      </c>
      <c r="F3768" s="74" t="s">
        <v>489</v>
      </c>
      <c r="G3768" s="61">
        <v>1</v>
      </c>
      <c r="H3768" s="45">
        <v>10</v>
      </c>
      <c r="I3768" s="74">
        <v>20.21048</v>
      </c>
    </row>
    <row r="3769" spans="1:9" s="71" customFormat="1" ht="16.5" hidden="1" customHeight="1" outlineLevel="1" x14ac:dyDescent="0.25">
      <c r="A3769" s="74">
        <v>2531</v>
      </c>
      <c r="B3769" s="45" t="s">
        <v>664</v>
      </c>
      <c r="C3769" s="60" t="s">
        <v>3379</v>
      </c>
      <c r="D3769" s="60"/>
      <c r="E3769" s="74">
        <v>2022</v>
      </c>
      <c r="F3769" s="74" t="s">
        <v>489</v>
      </c>
      <c r="G3769" s="61">
        <v>1</v>
      </c>
      <c r="H3769" s="45">
        <v>15</v>
      </c>
      <c r="I3769" s="74">
        <v>20.511299999999999</v>
      </c>
    </row>
    <row r="3770" spans="1:9" s="71" customFormat="1" ht="16.5" hidden="1" customHeight="1" outlineLevel="1" x14ac:dyDescent="0.25">
      <c r="A3770" s="74">
        <v>2532</v>
      </c>
      <c r="B3770" s="45" t="s">
        <v>664</v>
      </c>
      <c r="C3770" s="60" t="s">
        <v>3380</v>
      </c>
      <c r="D3770" s="60"/>
      <c r="E3770" s="74">
        <v>2022</v>
      </c>
      <c r="F3770" s="74" t="s">
        <v>489</v>
      </c>
      <c r="G3770" s="61">
        <v>1</v>
      </c>
      <c r="H3770" s="45">
        <v>15</v>
      </c>
      <c r="I3770" s="74">
        <v>18.081150000000001</v>
      </c>
    </row>
    <row r="3771" spans="1:9" s="71" customFormat="1" ht="16.5" hidden="1" customHeight="1" outlineLevel="1" x14ac:dyDescent="0.25">
      <c r="A3771" s="74">
        <v>2533</v>
      </c>
      <c r="B3771" s="45" t="s">
        <v>664</v>
      </c>
      <c r="C3771" s="60" t="s">
        <v>3381</v>
      </c>
      <c r="D3771" s="60"/>
      <c r="E3771" s="74">
        <v>2022</v>
      </c>
      <c r="F3771" s="74" t="s">
        <v>489</v>
      </c>
      <c r="G3771" s="61">
        <v>1</v>
      </c>
      <c r="H3771" s="45">
        <v>3</v>
      </c>
      <c r="I3771" s="74">
        <v>20.313680000000002</v>
      </c>
    </row>
    <row r="3772" spans="1:9" s="71" customFormat="1" ht="16.5" hidden="1" customHeight="1" outlineLevel="1" x14ac:dyDescent="0.25">
      <c r="A3772" s="74">
        <v>2534</v>
      </c>
      <c r="B3772" s="45" t="s">
        <v>664</v>
      </c>
      <c r="C3772" s="60" t="s">
        <v>3382</v>
      </c>
      <c r="D3772" s="60"/>
      <c r="E3772" s="74">
        <v>2022</v>
      </c>
      <c r="F3772" s="74" t="s">
        <v>489</v>
      </c>
      <c r="G3772" s="61">
        <v>1</v>
      </c>
      <c r="H3772" s="45">
        <v>5</v>
      </c>
      <c r="I3772" s="74">
        <v>20.575320000000001</v>
      </c>
    </row>
    <row r="3773" spans="1:9" s="71" customFormat="1" ht="16.5" hidden="1" customHeight="1" outlineLevel="1" x14ac:dyDescent="0.25">
      <c r="A3773" s="74">
        <v>2535</v>
      </c>
      <c r="B3773" s="45" t="s">
        <v>664</v>
      </c>
      <c r="C3773" s="60" t="s">
        <v>3383</v>
      </c>
      <c r="D3773" s="60"/>
      <c r="E3773" s="74">
        <v>2022</v>
      </c>
      <c r="F3773" s="74" t="s">
        <v>489</v>
      </c>
      <c r="G3773" s="61">
        <v>1</v>
      </c>
      <c r="H3773" s="45">
        <v>10</v>
      </c>
      <c r="I3773" s="74">
        <v>20.212720000000001</v>
      </c>
    </row>
    <row r="3774" spans="1:9" s="71" customFormat="1" ht="16.5" hidden="1" customHeight="1" outlineLevel="1" x14ac:dyDescent="0.25">
      <c r="A3774" s="74">
        <v>2536</v>
      </c>
      <c r="B3774" s="45" t="s">
        <v>664</v>
      </c>
      <c r="C3774" s="60" t="s">
        <v>3384</v>
      </c>
      <c r="D3774" s="60"/>
      <c r="E3774" s="74">
        <v>2022</v>
      </c>
      <c r="F3774" s="74" t="s">
        <v>489</v>
      </c>
      <c r="G3774" s="61">
        <v>1</v>
      </c>
      <c r="H3774" s="45">
        <v>15</v>
      </c>
      <c r="I3774" s="74">
        <v>20.216400000000004</v>
      </c>
    </row>
    <row r="3775" spans="1:9" s="71" customFormat="1" ht="16.5" hidden="1" customHeight="1" outlineLevel="1" x14ac:dyDescent="0.25">
      <c r="A3775" s="74">
        <v>2537</v>
      </c>
      <c r="B3775" s="45" t="s">
        <v>664</v>
      </c>
      <c r="C3775" s="60" t="s">
        <v>3385</v>
      </c>
      <c r="D3775" s="60"/>
      <c r="E3775" s="74">
        <v>2022</v>
      </c>
      <c r="F3775" s="74" t="s">
        <v>489</v>
      </c>
      <c r="G3775" s="61">
        <v>1</v>
      </c>
      <c r="H3775" s="45">
        <v>10</v>
      </c>
      <c r="I3775" s="74">
        <v>20.397099999999998</v>
      </c>
    </row>
    <row r="3776" spans="1:9" s="71" customFormat="1" ht="16.5" hidden="1" customHeight="1" outlineLevel="1" x14ac:dyDescent="0.25">
      <c r="A3776" s="74">
        <v>2538</v>
      </c>
      <c r="B3776" s="45" t="s">
        <v>664</v>
      </c>
      <c r="C3776" s="60" t="s">
        <v>3386</v>
      </c>
      <c r="D3776" s="60"/>
      <c r="E3776" s="74">
        <v>2022</v>
      </c>
      <c r="F3776" s="74" t="s">
        <v>489</v>
      </c>
      <c r="G3776" s="61">
        <v>1</v>
      </c>
      <c r="H3776" s="45">
        <v>5</v>
      </c>
      <c r="I3776" s="74">
        <v>19.952359999999995</v>
      </c>
    </row>
    <row r="3777" spans="1:9" s="71" customFormat="1" ht="16.5" hidden="1" customHeight="1" outlineLevel="1" x14ac:dyDescent="0.25">
      <c r="A3777" s="74">
        <v>2539</v>
      </c>
      <c r="B3777" s="45" t="s">
        <v>664</v>
      </c>
      <c r="C3777" s="60" t="s">
        <v>3387</v>
      </c>
      <c r="D3777" s="60"/>
      <c r="E3777" s="74">
        <v>2022</v>
      </c>
      <c r="F3777" s="74" t="s">
        <v>489</v>
      </c>
      <c r="G3777" s="61">
        <v>1</v>
      </c>
      <c r="H3777" s="45">
        <v>5</v>
      </c>
      <c r="I3777" s="74">
        <v>20.352240000000002</v>
      </c>
    </row>
    <row r="3778" spans="1:9" s="71" customFormat="1" ht="16.5" hidden="1" customHeight="1" outlineLevel="1" x14ac:dyDescent="0.25">
      <c r="A3778" s="74">
        <v>2540</v>
      </c>
      <c r="B3778" s="45" t="s">
        <v>664</v>
      </c>
      <c r="C3778" s="60" t="s">
        <v>3388</v>
      </c>
      <c r="D3778" s="60"/>
      <c r="E3778" s="74">
        <v>2022</v>
      </c>
      <c r="F3778" s="74" t="s">
        <v>489</v>
      </c>
      <c r="G3778" s="61">
        <v>1</v>
      </c>
      <c r="H3778" s="45">
        <v>15</v>
      </c>
      <c r="I3778" s="74">
        <v>20.64265</v>
      </c>
    </row>
    <row r="3779" spans="1:9" s="71" customFormat="1" ht="16.5" hidden="1" customHeight="1" outlineLevel="1" x14ac:dyDescent="0.25">
      <c r="A3779" s="74">
        <v>2541</v>
      </c>
      <c r="B3779" s="45" t="s">
        <v>664</v>
      </c>
      <c r="C3779" s="60" t="s">
        <v>3389</v>
      </c>
      <c r="D3779" s="60"/>
      <c r="E3779" s="74">
        <v>2022</v>
      </c>
      <c r="F3779" s="74" t="s">
        <v>489</v>
      </c>
      <c r="G3779" s="61">
        <v>1</v>
      </c>
      <c r="H3779" s="45">
        <v>15</v>
      </c>
      <c r="I3779" s="74">
        <v>119.66177999999999</v>
      </c>
    </row>
    <row r="3780" spans="1:9" s="71" customFormat="1" ht="16.5" hidden="1" customHeight="1" outlineLevel="1" x14ac:dyDescent="0.25">
      <c r="A3780" s="74">
        <v>2542</v>
      </c>
      <c r="B3780" s="45" t="s">
        <v>664</v>
      </c>
      <c r="C3780" s="60" t="s">
        <v>3390</v>
      </c>
      <c r="D3780" s="60"/>
      <c r="E3780" s="74">
        <v>2022</v>
      </c>
      <c r="F3780" s="74" t="s">
        <v>489</v>
      </c>
      <c r="G3780" s="61">
        <v>1</v>
      </c>
      <c r="H3780" s="45">
        <v>150</v>
      </c>
      <c r="I3780" s="74">
        <v>649.82300000000009</v>
      </c>
    </row>
    <row r="3781" spans="1:9" s="71" customFormat="1" ht="16.5" hidden="1" customHeight="1" outlineLevel="1" x14ac:dyDescent="0.25">
      <c r="A3781" s="74">
        <v>2543</v>
      </c>
      <c r="B3781" s="45" t="s">
        <v>664</v>
      </c>
      <c r="C3781" s="60" t="s">
        <v>3391</v>
      </c>
      <c r="D3781" s="60"/>
      <c r="E3781" s="74">
        <v>2022</v>
      </c>
      <c r="F3781" s="74" t="s">
        <v>489</v>
      </c>
      <c r="G3781" s="61">
        <v>1</v>
      </c>
      <c r="H3781" s="45">
        <v>150</v>
      </c>
      <c r="I3781" s="74">
        <v>108.96867</v>
      </c>
    </row>
    <row r="3782" spans="1:9" s="71" customFormat="1" ht="16.5" hidden="1" customHeight="1" outlineLevel="1" x14ac:dyDescent="0.25">
      <c r="A3782" s="74">
        <v>2544</v>
      </c>
      <c r="B3782" s="45" t="s">
        <v>664</v>
      </c>
      <c r="C3782" s="60" t="s">
        <v>3392</v>
      </c>
      <c r="D3782" s="60"/>
      <c r="E3782" s="74">
        <v>2022</v>
      </c>
      <c r="F3782" s="74" t="s">
        <v>489</v>
      </c>
      <c r="G3782" s="61">
        <v>1</v>
      </c>
      <c r="H3782" s="45">
        <v>15</v>
      </c>
      <c r="I3782" s="74">
        <v>106.30677</v>
      </c>
    </row>
    <row r="3783" spans="1:9" s="71" customFormat="1" ht="16.5" hidden="1" customHeight="1" outlineLevel="1" x14ac:dyDescent="0.25">
      <c r="A3783" s="74">
        <v>2545</v>
      </c>
      <c r="B3783" s="45" t="s">
        <v>664</v>
      </c>
      <c r="C3783" s="60" t="s">
        <v>3393</v>
      </c>
      <c r="D3783" s="60"/>
      <c r="E3783" s="74">
        <v>2022</v>
      </c>
      <c r="F3783" s="74" t="s">
        <v>489</v>
      </c>
      <c r="G3783" s="61">
        <v>2</v>
      </c>
      <c r="H3783" s="45">
        <v>25</v>
      </c>
      <c r="I3783" s="74">
        <v>238.91354000000001</v>
      </c>
    </row>
    <row r="3784" spans="1:9" s="71" customFormat="1" ht="16.5" hidden="1" customHeight="1" outlineLevel="1" x14ac:dyDescent="0.25">
      <c r="A3784" s="74">
        <v>2546</v>
      </c>
      <c r="B3784" s="45" t="s">
        <v>664</v>
      </c>
      <c r="C3784" s="60" t="s">
        <v>3394</v>
      </c>
      <c r="D3784" s="60"/>
      <c r="E3784" s="74">
        <v>2022</v>
      </c>
      <c r="F3784" s="74" t="s">
        <v>489</v>
      </c>
      <c r="G3784" s="61">
        <v>3</v>
      </c>
      <c r="H3784" s="45">
        <v>5</v>
      </c>
      <c r="I3784" s="74">
        <v>285.76085999999998</v>
      </c>
    </row>
    <row r="3785" spans="1:9" s="71" customFormat="1" ht="16.5" hidden="1" customHeight="1" outlineLevel="1" x14ac:dyDescent="0.25">
      <c r="A3785" s="74">
        <v>2547</v>
      </c>
      <c r="B3785" s="45" t="s">
        <v>664</v>
      </c>
      <c r="C3785" s="60" t="s">
        <v>3395</v>
      </c>
      <c r="D3785" s="60"/>
      <c r="E3785" s="74">
        <v>2022</v>
      </c>
      <c r="F3785" s="74" t="s">
        <v>489</v>
      </c>
      <c r="G3785" s="61">
        <v>1</v>
      </c>
      <c r="H3785" s="45">
        <v>15</v>
      </c>
      <c r="I3785" s="74">
        <v>144.94617000000002</v>
      </c>
    </row>
    <row r="3786" spans="1:9" s="71" customFormat="1" ht="16.5" hidden="1" customHeight="1" outlineLevel="1" x14ac:dyDescent="0.25">
      <c r="A3786" s="74">
        <v>2068</v>
      </c>
      <c r="B3786" s="45" t="s">
        <v>664</v>
      </c>
      <c r="C3786" s="60" t="s">
        <v>3396</v>
      </c>
      <c r="D3786" s="60"/>
      <c r="E3786" s="74">
        <v>2022</v>
      </c>
      <c r="F3786" s="74" t="s">
        <v>489</v>
      </c>
      <c r="G3786" s="61">
        <v>1</v>
      </c>
      <c r="H3786" s="45">
        <v>135</v>
      </c>
      <c r="I3786" s="74">
        <v>21.560960000000001</v>
      </c>
    </row>
    <row r="3787" spans="1:9" s="71" customFormat="1" ht="16.5" hidden="1" customHeight="1" outlineLevel="1" x14ac:dyDescent="0.25">
      <c r="A3787" s="74">
        <v>2069</v>
      </c>
      <c r="B3787" s="45" t="s">
        <v>664</v>
      </c>
      <c r="C3787" s="60" t="s">
        <v>558</v>
      </c>
      <c r="D3787" s="60"/>
      <c r="E3787" s="74">
        <v>2022</v>
      </c>
      <c r="F3787" s="74" t="s">
        <v>489</v>
      </c>
      <c r="G3787" s="61">
        <v>1</v>
      </c>
      <c r="H3787" s="45">
        <v>80</v>
      </c>
      <c r="I3787" s="74">
        <v>24.043660000000003</v>
      </c>
    </row>
    <row r="3788" spans="1:9" s="71" customFormat="1" ht="16.5" hidden="1" customHeight="1" outlineLevel="1" x14ac:dyDescent="0.25">
      <c r="A3788" s="74">
        <v>2074</v>
      </c>
      <c r="B3788" s="45" t="s">
        <v>664</v>
      </c>
      <c r="C3788" s="60" t="s">
        <v>3397</v>
      </c>
      <c r="D3788" s="60"/>
      <c r="E3788" s="74">
        <v>2022</v>
      </c>
      <c r="F3788" s="74" t="s">
        <v>489</v>
      </c>
      <c r="G3788" s="61">
        <v>1</v>
      </c>
      <c r="H3788" s="45">
        <v>15</v>
      </c>
      <c r="I3788" s="74">
        <v>34.560899999999997</v>
      </c>
    </row>
    <row r="3789" spans="1:9" s="71" customFormat="1" ht="16.5" hidden="1" customHeight="1" outlineLevel="1" x14ac:dyDescent="0.25">
      <c r="A3789" s="74">
        <v>2263</v>
      </c>
      <c r="B3789" s="45" t="s">
        <v>664</v>
      </c>
      <c r="C3789" s="60" t="s">
        <v>3398</v>
      </c>
      <c r="D3789" s="60"/>
      <c r="E3789" s="74">
        <v>2022</v>
      </c>
      <c r="F3789" s="74" t="s">
        <v>489</v>
      </c>
      <c r="G3789" s="61">
        <v>1</v>
      </c>
      <c r="H3789" s="45">
        <v>10</v>
      </c>
      <c r="I3789" s="74">
        <v>25.290489999999998</v>
      </c>
    </row>
    <row r="3790" spans="1:9" s="71" customFormat="1" ht="16.5" hidden="1" customHeight="1" outlineLevel="1" x14ac:dyDescent="0.25">
      <c r="A3790" s="74">
        <v>2285</v>
      </c>
      <c r="B3790" s="45" t="s">
        <v>664</v>
      </c>
      <c r="C3790" s="60" t="s">
        <v>3399</v>
      </c>
      <c r="D3790" s="60"/>
      <c r="E3790" s="74">
        <v>2022</v>
      </c>
      <c r="F3790" s="74" t="s">
        <v>489</v>
      </c>
      <c r="G3790" s="61">
        <v>1</v>
      </c>
      <c r="H3790" s="45">
        <v>14</v>
      </c>
      <c r="I3790" s="74">
        <v>25.290480000000002</v>
      </c>
    </row>
    <row r="3791" spans="1:9" s="71" customFormat="1" ht="16.5" hidden="1" customHeight="1" outlineLevel="1" x14ac:dyDescent="0.25">
      <c r="A3791" s="74">
        <v>2298</v>
      </c>
      <c r="B3791" s="45" t="s">
        <v>664</v>
      </c>
      <c r="C3791" s="60" t="s">
        <v>3400</v>
      </c>
      <c r="D3791" s="60"/>
      <c r="E3791" s="74">
        <v>2022</v>
      </c>
      <c r="F3791" s="74" t="s">
        <v>489</v>
      </c>
      <c r="G3791" s="61">
        <v>1</v>
      </c>
      <c r="H3791" s="45">
        <v>200</v>
      </c>
      <c r="I3791" s="74">
        <v>449.57803999999993</v>
      </c>
    </row>
    <row r="3792" spans="1:9" s="71" customFormat="1" ht="16.5" hidden="1" customHeight="1" outlineLevel="1" x14ac:dyDescent="0.25">
      <c r="A3792" s="74">
        <v>2313</v>
      </c>
      <c r="B3792" s="45" t="s">
        <v>664</v>
      </c>
      <c r="C3792" s="60" t="s">
        <v>3401</v>
      </c>
      <c r="D3792" s="60"/>
      <c r="E3792" s="74">
        <v>2022</v>
      </c>
      <c r="F3792" s="74" t="s">
        <v>489</v>
      </c>
      <c r="G3792" s="61">
        <v>1</v>
      </c>
      <c r="H3792" s="45">
        <v>15</v>
      </c>
      <c r="I3792" s="74">
        <v>43.916360000000005</v>
      </c>
    </row>
    <row r="3793" spans="1:9" s="71" customFormat="1" ht="16.5" hidden="1" customHeight="1" outlineLevel="1" x14ac:dyDescent="0.25">
      <c r="A3793" s="74">
        <v>2314</v>
      </c>
      <c r="B3793" s="45" t="s">
        <v>664</v>
      </c>
      <c r="C3793" s="60" t="s">
        <v>3402</v>
      </c>
      <c r="D3793" s="60"/>
      <c r="E3793" s="74">
        <v>2022</v>
      </c>
      <c r="F3793" s="74" t="s">
        <v>489</v>
      </c>
      <c r="G3793" s="61">
        <v>1</v>
      </c>
      <c r="H3793" s="45">
        <v>14</v>
      </c>
      <c r="I3793" s="74">
        <v>43.740600000000001</v>
      </c>
    </row>
    <row r="3794" spans="1:9" s="71" customFormat="1" ht="16.5" hidden="1" customHeight="1" outlineLevel="1" x14ac:dyDescent="0.25">
      <c r="A3794" s="74">
        <v>2322</v>
      </c>
      <c r="B3794" s="45" t="s">
        <v>664</v>
      </c>
      <c r="C3794" s="60" t="s">
        <v>3403</v>
      </c>
      <c r="D3794" s="60"/>
      <c r="E3794" s="74">
        <v>2022</v>
      </c>
      <c r="F3794" s="74" t="s">
        <v>489</v>
      </c>
      <c r="G3794" s="61">
        <v>1</v>
      </c>
      <c r="H3794" s="45">
        <v>15</v>
      </c>
      <c r="I3794" s="74">
        <v>13.788</v>
      </c>
    </row>
    <row r="3795" spans="1:9" s="71" customFormat="1" ht="16.5" hidden="1" customHeight="1" outlineLevel="1" x14ac:dyDescent="0.25">
      <c r="A3795" s="74">
        <v>2365</v>
      </c>
      <c r="B3795" s="45" t="s">
        <v>664</v>
      </c>
      <c r="C3795" s="60" t="s">
        <v>3404</v>
      </c>
      <c r="D3795" s="60"/>
      <c r="E3795" s="74">
        <v>2022</v>
      </c>
      <c r="F3795" s="74" t="s">
        <v>489</v>
      </c>
      <c r="G3795" s="61">
        <v>1</v>
      </c>
      <c r="H3795" s="45">
        <v>15</v>
      </c>
      <c r="I3795" s="74">
        <v>61.592500000000001</v>
      </c>
    </row>
    <row r="3796" spans="1:9" s="71" customFormat="1" ht="16.5" hidden="1" customHeight="1" outlineLevel="1" x14ac:dyDescent="0.25">
      <c r="A3796" s="74">
        <v>2367</v>
      </c>
      <c r="B3796" s="45" t="s">
        <v>664</v>
      </c>
      <c r="C3796" s="60" t="s">
        <v>3405</v>
      </c>
      <c r="D3796" s="60"/>
      <c r="E3796" s="74">
        <v>2022</v>
      </c>
      <c r="F3796" s="74" t="s">
        <v>489</v>
      </c>
      <c r="G3796" s="61">
        <v>1</v>
      </c>
      <c r="H3796" s="45">
        <v>15</v>
      </c>
      <c r="I3796" s="74">
        <v>49.336999999999996</v>
      </c>
    </row>
    <row r="3797" spans="1:9" s="71" customFormat="1" ht="16.5" hidden="1" customHeight="1" outlineLevel="1" x14ac:dyDescent="0.25">
      <c r="A3797" s="74">
        <v>2368</v>
      </c>
      <c r="B3797" s="45" t="s">
        <v>664</v>
      </c>
      <c r="C3797" s="60" t="s">
        <v>3406</v>
      </c>
      <c r="D3797" s="60"/>
      <c r="E3797" s="74">
        <v>2022</v>
      </c>
      <c r="F3797" s="74" t="s">
        <v>489</v>
      </c>
      <c r="G3797" s="61">
        <v>1</v>
      </c>
      <c r="H3797" s="45">
        <v>30</v>
      </c>
      <c r="I3797" s="74">
        <v>60.515619999999998</v>
      </c>
    </row>
    <row r="3798" spans="1:9" s="71" customFormat="1" ht="16.5" hidden="1" customHeight="1" outlineLevel="1" x14ac:dyDescent="0.25">
      <c r="A3798" s="74">
        <v>2372</v>
      </c>
      <c r="B3798" s="45" t="s">
        <v>664</v>
      </c>
      <c r="C3798" s="60" t="s">
        <v>3407</v>
      </c>
      <c r="D3798" s="60"/>
      <c r="E3798" s="74">
        <v>2022</v>
      </c>
      <c r="F3798" s="74" t="s">
        <v>489</v>
      </c>
      <c r="G3798" s="61">
        <v>1</v>
      </c>
      <c r="H3798" s="45">
        <v>15</v>
      </c>
      <c r="I3798" s="74">
        <v>47.527999999999999</v>
      </c>
    </row>
    <row r="3799" spans="1:9" s="71" customFormat="1" ht="16.5" hidden="1" customHeight="1" outlineLevel="1" x14ac:dyDescent="0.25">
      <c r="A3799" s="74">
        <v>2382</v>
      </c>
      <c r="B3799" s="45" t="s">
        <v>664</v>
      </c>
      <c r="C3799" s="60" t="s">
        <v>3408</v>
      </c>
      <c r="D3799" s="60"/>
      <c r="E3799" s="74">
        <v>2022</v>
      </c>
      <c r="F3799" s="74" t="s">
        <v>489</v>
      </c>
      <c r="G3799" s="61">
        <v>1</v>
      </c>
      <c r="H3799" s="45">
        <v>11</v>
      </c>
      <c r="I3799" s="74">
        <v>45.394669999999998</v>
      </c>
    </row>
    <row r="3800" spans="1:9" s="71" customFormat="1" ht="16.5" hidden="1" customHeight="1" outlineLevel="1" x14ac:dyDescent="0.25">
      <c r="A3800" s="74">
        <v>2405</v>
      </c>
      <c r="B3800" s="45" t="s">
        <v>664</v>
      </c>
      <c r="C3800" s="60" t="s">
        <v>3409</v>
      </c>
      <c r="D3800" s="60"/>
      <c r="E3800" s="74">
        <v>2022</v>
      </c>
      <c r="F3800" s="74" t="s">
        <v>489</v>
      </c>
      <c r="G3800" s="61">
        <v>1</v>
      </c>
      <c r="H3800" s="45">
        <v>10</v>
      </c>
      <c r="I3800" s="74">
        <v>10.0456</v>
      </c>
    </row>
    <row r="3801" spans="1:9" s="71" customFormat="1" ht="16.5" hidden="1" customHeight="1" outlineLevel="1" x14ac:dyDescent="0.25">
      <c r="A3801" s="74">
        <v>2417</v>
      </c>
      <c r="B3801" s="45" t="s">
        <v>664</v>
      </c>
      <c r="C3801" s="60" t="s">
        <v>3410</v>
      </c>
      <c r="D3801" s="60"/>
      <c r="E3801" s="74">
        <v>2022</v>
      </c>
      <c r="F3801" s="74" t="s">
        <v>489</v>
      </c>
      <c r="G3801" s="61">
        <v>1</v>
      </c>
      <c r="H3801" s="45">
        <v>15</v>
      </c>
      <c r="I3801" s="74">
        <v>27.768000000000001</v>
      </c>
    </row>
    <row r="3802" spans="1:9" s="71" customFormat="1" ht="16.5" hidden="1" customHeight="1" outlineLevel="1" x14ac:dyDescent="0.25">
      <c r="A3802" s="74">
        <v>2418</v>
      </c>
      <c r="B3802" s="45" t="s">
        <v>664</v>
      </c>
      <c r="C3802" s="60" t="s">
        <v>3411</v>
      </c>
      <c r="D3802" s="60"/>
      <c r="E3802" s="74">
        <v>2022</v>
      </c>
      <c r="F3802" s="74" t="s">
        <v>489</v>
      </c>
      <c r="G3802" s="61">
        <v>1</v>
      </c>
      <c r="H3802" s="45">
        <v>15</v>
      </c>
      <c r="I3802" s="74">
        <v>27.723000000000003</v>
      </c>
    </row>
    <row r="3803" spans="1:9" s="71" customFormat="1" ht="16.5" hidden="1" customHeight="1" outlineLevel="1" x14ac:dyDescent="0.25">
      <c r="A3803" s="74">
        <v>2427</v>
      </c>
      <c r="B3803" s="45" t="s">
        <v>664</v>
      </c>
      <c r="C3803" s="60" t="s">
        <v>3412</v>
      </c>
      <c r="D3803" s="60"/>
      <c r="E3803" s="74">
        <v>2022</v>
      </c>
      <c r="F3803" s="74" t="s">
        <v>489</v>
      </c>
      <c r="G3803" s="61">
        <v>1</v>
      </c>
      <c r="H3803" s="45">
        <v>5</v>
      </c>
      <c r="I3803" s="74">
        <v>12.98348</v>
      </c>
    </row>
    <row r="3804" spans="1:9" s="71" customFormat="1" ht="16.5" hidden="1" customHeight="1" outlineLevel="1" x14ac:dyDescent="0.25">
      <c r="A3804" s="74">
        <v>2428</v>
      </c>
      <c r="B3804" s="45" t="s">
        <v>664</v>
      </c>
      <c r="C3804" s="60" t="s">
        <v>3413</v>
      </c>
      <c r="D3804" s="60"/>
      <c r="E3804" s="74">
        <v>2022</v>
      </c>
      <c r="F3804" s="74" t="s">
        <v>489</v>
      </c>
      <c r="G3804" s="61">
        <v>1</v>
      </c>
      <c r="H3804" s="45">
        <v>15</v>
      </c>
      <c r="I3804" s="74">
        <v>41.859550000000006</v>
      </c>
    </row>
    <row r="3805" spans="1:9" s="71" customFormat="1" ht="16.5" hidden="1" customHeight="1" outlineLevel="1" x14ac:dyDescent="0.25">
      <c r="A3805" s="74">
        <v>2430</v>
      </c>
      <c r="B3805" s="45" t="s">
        <v>664</v>
      </c>
      <c r="C3805" s="60" t="s">
        <v>3414</v>
      </c>
      <c r="D3805" s="60"/>
      <c r="E3805" s="74">
        <v>2022</v>
      </c>
      <c r="F3805" s="74" t="s">
        <v>489</v>
      </c>
      <c r="G3805" s="61">
        <v>1</v>
      </c>
      <c r="H3805" s="45">
        <v>15</v>
      </c>
      <c r="I3805" s="74">
        <v>19.025650000000002</v>
      </c>
    </row>
    <row r="3806" spans="1:9" s="71" customFormat="1" ht="16.5" hidden="1" customHeight="1" outlineLevel="1" x14ac:dyDescent="0.25">
      <c r="A3806" s="74">
        <v>2431</v>
      </c>
      <c r="B3806" s="45" t="s">
        <v>664</v>
      </c>
      <c r="C3806" s="60" t="s">
        <v>3415</v>
      </c>
      <c r="D3806" s="60"/>
      <c r="E3806" s="74">
        <v>2022</v>
      </c>
      <c r="F3806" s="74" t="s">
        <v>489</v>
      </c>
      <c r="G3806" s="61">
        <v>1</v>
      </c>
      <c r="H3806" s="45">
        <v>150</v>
      </c>
      <c r="I3806" s="74">
        <v>18.380659999999999</v>
      </c>
    </row>
    <row r="3807" spans="1:9" s="71" customFormat="1" ht="16.5" hidden="1" customHeight="1" outlineLevel="1" x14ac:dyDescent="0.25">
      <c r="A3807" s="74">
        <v>2455</v>
      </c>
      <c r="B3807" s="45" t="s">
        <v>664</v>
      </c>
      <c r="C3807" s="60" t="s">
        <v>3416</v>
      </c>
      <c r="D3807" s="60"/>
      <c r="E3807" s="74">
        <v>2022</v>
      </c>
      <c r="F3807" s="74" t="s">
        <v>489</v>
      </c>
      <c r="G3807" s="61">
        <v>1</v>
      </c>
      <c r="H3807" s="45">
        <v>15</v>
      </c>
      <c r="I3807" s="74">
        <v>46.260000000000005</v>
      </c>
    </row>
    <row r="3808" spans="1:9" s="71" customFormat="1" ht="16.5" hidden="1" customHeight="1" outlineLevel="1" x14ac:dyDescent="0.25">
      <c r="A3808" s="74">
        <v>2507</v>
      </c>
      <c r="B3808" s="45" t="s">
        <v>664</v>
      </c>
      <c r="C3808" s="60" t="s">
        <v>3417</v>
      </c>
      <c r="D3808" s="60"/>
      <c r="E3808" s="74">
        <v>2022</v>
      </c>
      <c r="F3808" s="74" t="s">
        <v>489</v>
      </c>
      <c r="G3808" s="61">
        <v>1</v>
      </c>
      <c r="H3808" s="45">
        <v>15</v>
      </c>
      <c r="I3808" s="74">
        <v>46.468899999999998</v>
      </c>
    </row>
    <row r="3809" spans="1:9" s="71" customFormat="1" ht="16.5" hidden="1" customHeight="1" outlineLevel="1" x14ac:dyDescent="0.25">
      <c r="A3809" s="74">
        <v>2508</v>
      </c>
      <c r="B3809" s="45" t="s">
        <v>664</v>
      </c>
      <c r="C3809" s="60" t="s">
        <v>3418</v>
      </c>
      <c r="D3809" s="60"/>
      <c r="E3809" s="74">
        <v>2022</v>
      </c>
      <c r="F3809" s="74" t="s">
        <v>489</v>
      </c>
      <c r="G3809" s="61">
        <v>1</v>
      </c>
      <c r="H3809" s="45">
        <v>15</v>
      </c>
      <c r="I3809" s="74">
        <v>28.227</v>
      </c>
    </row>
    <row r="3810" spans="1:9" s="71" customFormat="1" ht="16.5" hidden="1" customHeight="1" outlineLevel="1" x14ac:dyDescent="0.25">
      <c r="A3810" s="74">
        <v>2509</v>
      </c>
      <c r="B3810" s="45" t="s">
        <v>664</v>
      </c>
      <c r="C3810" s="60" t="s">
        <v>3419</v>
      </c>
      <c r="D3810" s="60"/>
      <c r="E3810" s="74">
        <v>2022</v>
      </c>
      <c r="F3810" s="74" t="s">
        <v>489</v>
      </c>
      <c r="G3810" s="61">
        <v>1</v>
      </c>
      <c r="H3810" s="45">
        <v>6</v>
      </c>
      <c r="I3810" s="74">
        <v>27.465769999999999</v>
      </c>
    </row>
    <row r="3811" spans="1:9" s="71" customFormat="1" ht="16.5" hidden="1" customHeight="1" outlineLevel="1" x14ac:dyDescent="0.25">
      <c r="A3811" s="74">
        <v>2510</v>
      </c>
      <c r="B3811" s="45" t="s">
        <v>664</v>
      </c>
      <c r="C3811" s="60" t="s">
        <v>3420</v>
      </c>
      <c r="D3811" s="60"/>
      <c r="E3811" s="74">
        <v>2022</v>
      </c>
      <c r="F3811" s="74" t="s">
        <v>489</v>
      </c>
      <c r="G3811" s="61">
        <v>1</v>
      </c>
      <c r="H3811" s="45">
        <v>200</v>
      </c>
      <c r="I3811" s="74">
        <v>20.376350000000002</v>
      </c>
    </row>
    <row r="3812" spans="1:9" s="71" customFormat="1" ht="16.5" hidden="1" customHeight="1" outlineLevel="1" x14ac:dyDescent="0.25">
      <c r="A3812" s="74">
        <v>2511</v>
      </c>
      <c r="B3812" s="45" t="s">
        <v>664</v>
      </c>
      <c r="C3812" s="60" t="s">
        <v>3421</v>
      </c>
      <c r="D3812" s="60"/>
      <c r="E3812" s="74">
        <v>2022</v>
      </c>
      <c r="F3812" s="74" t="s">
        <v>489</v>
      </c>
      <c r="G3812" s="61">
        <v>1</v>
      </c>
      <c r="H3812" s="45">
        <v>8</v>
      </c>
      <c r="I3812" s="74">
        <v>51.735000000000007</v>
      </c>
    </row>
    <row r="3813" spans="1:9" s="71" customFormat="1" ht="16.5" hidden="1" customHeight="1" outlineLevel="1" x14ac:dyDescent="0.25">
      <c r="A3813" s="74">
        <v>2548</v>
      </c>
      <c r="B3813" s="45" t="s">
        <v>664</v>
      </c>
      <c r="C3813" s="60" t="s">
        <v>3422</v>
      </c>
      <c r="D3813" s="60"/>
      <c r="E3813" s="74">
        <v>2022</v>
      </c>
      <c r="F3813" s="74" t="s">
        <v>489</v>
      </c>
      <c r="G3813" s="61">
        <v>1</v>
      </c>
      <c r="H3813" s="45">
        <v>15</v>
      </c>
      <c r="I3813" s="74">
        <v>45.877980000000001</v>
      </c>
    </row>
    <row r="3814" spans="1:9" s="71" customFormat="1" ht="16.5" hidden="1" customHeight="1" outlineLevel="1" x14ac:dyDescent="0.25">
      <c r="A3814" s="74">
        <v>2549</v>
      </c>
      <c r="B3814" s="45" t="s">
        <v>664</v>
      </c>
      <c r="C3814" s="60" t="s">
        <v>3423</v>
      </c>
      <c r="D3814" s="60"/>
      <c r="E3814" s="74">
        <v>2022</v>
      </c>
      <c r="F3814" s="74" t="s">
        <v>489</v>
      </c>
      <c r="G3814" s="61">
        <v>1</v>
      </c>
      <c r="H3814" s="45">
        <v>15</v>
      </c>
      <c r="I3814" s="74">
        <v>24.605990000000002</v>
      </c>
    </row>
    <row r="3815" spans="1:9" s="71" customFormat="1" ht="16.5" hidden="1" customHeight="1" outlineLevel="1" x14ac:dyDescent="0.25">
      <c r="A3815" s="74">
        <v>2550</v>
      </c>
      <c r="B3815" s="45" t="s">
        <v>664</v>
      </c>
      <c r="C3815" s="60" t="s">
        <v>3424</v>
      </c>
      <c r="D3815" s="60"/>
      <c r="E3815" s="74">
        <v>2022</v>
      </c>
      <c r="F3815" s="74" t="s">
        <v>489</v>
      </c>
      <c r="G3815" s="61">
        <v>1</v>
      </c>
      <c r="H3815" s="45">
        <v>15</v>
      </c>
      <c r="I3815" s="74">
        <v>23.152889999999999</v>
      </c>
    </row>
    <row r="3816" spans="1:9" s="71" customFormat="1" ht="16.5" hidden="1" customHeight="1" outlineLevel="1" x14ac:dyDescent="0.25">
      <c r="A3816" s="74">
        <v>2551</v>
      </c>
      <c r="B3816" s="45" t="s">
        <v>664</v>
      </c>
      <c r="C3816" s="60" t="s">
        <v>3425</v>
      </c>
      <c r="D3816" s="60"/>
      <c r="E3816" s="74">
        <v>2022</v>
      </c>
      <c r="F3816" s="74" t="s">
        <v>489</v>
      </c>
      <c r="G3816" s="61">
        <v>1</v>
      </c>
      <c r="H3816" s="45">
        <v>10</v>
      </c>
      <c r="I3816" s="74">
        <v>25.205209999999997</v>
      </c>
    </row>
    <row r="3817" spans="1:9" s="71" customFormat="1" ht="16.5" hidden="1" customHeight="1" outlineLevel="1" x14ac:dyDescent="0.25">
      <c r="A3817" s="74">
        <v>2552</v>
      </c>
      <c r="B3817" s="45" t="s">
        <v>664</v>
      </c>
      <c r="C3817" s="60" t="s">
        <v>3426</v>
      </c>
      <c r="D3817" s="60"/>
      <c r="E3817" s="74">
        <v>2022</v>
      </c>
      <c r="F3817" s="74" t="s">
        <v>489</v>
      </c>
      <c r="G3817" s="61">
        <v>1</v>
      </c>
      <c r="H3817" s="45">
        <v>15</v>
      </c>
      <c r="I3817" s="74">
        <v>23.42754</v>
      </c>
    </row>
    <row r="3818" spans="1:9" s="71" customFormat="1" ht="16.5" hidden="1" customHeight="1" outlineLevel="1" x14ac:dyDescent="0.25">
      <c r="A3818" s="74">
        <v>2553</v>
      </c>
      <c r="B3818" s="45" t="s">
        <v>664</v>
      </c>
      <c r="C3818" s="60" t="s">
        <v>3427</v>
      </c>
      <c r="D3818" s="60"/>
      <c r="E3818" s="74">
        <v>2022</v>
      </c>
      <c r="F3818" s="74" t="s">
        <v>489</v>
      </c>
      <c r="G3818" s="61">
        <v>1</v>
      </c>
      <c r="H3818" s="45">
        <v>15</v>
      </c>
      <c r="I3818" s="74">
        <v>26.051810000000003</v>
      </c>
    </row>
    <row r="3819" spans="1:9" s="71" customFormat="1" ht="16.5" hidden="1" customHeight="1" outlineLevel="1" x14ac:dyDescent="0.25">
      <c r="A3819" s="74">
        <v>2554</v>
      </c>
      <c r="B3819" s="45" t="s">
        <v>664</v>
      </c>
      <c r="C3819" s="60" t="s">
        <v>3428</v>
      </c>
      <c r="D3819" s="60"/>
      <c r="E3819" s="74">
        <v>2022</v>
      </c>
      <c r="F3819" s="74" t="s">
        <v>489</v>
      </c>
      <c r="G3819" s="61">
        <v>1</v>
      </c>
      <c r="H3819" s="45">
        <v>5</v>
      </c>
      <c r="I3819" s="74">
        <v>13.091989999999999</v>
      </c>
    </row>
    <row r="3820" spans="1:9" s="71" customFormat="1" ht="16.5" hidden="1" customHeight="1" outlineLevel="1" x14ac:dyDescent="0.25">
      <c r="A3820" s="74">
        <v>2555</v>
      </c>
      <c r="B3820" s="45" t="s">
        <v>664</v>
      </c>
      <c r="C3820" s="60" t="s">
        <v>3429</v>
      </c>
      <c r="D3820" s="60"/>
      <c r="E3820" s="74">
        <v>2022</v>
      </c>
      <c r="F3820" s="74" t="s">
        <v>489</v>
      </c>
      <c r="G3820" s="61">
        <v>1</v>
      </c>
      <c r="H3820" s="45">
        <v>11</v>
      </c>
      <c r="I3820" s="74">
        <v>23.529140000000002</v>
      </c>
    </row>
    <row r="3821" spans="1:9" s="71" customFormat="1" ht="16.5" hidden="1" customHeight="1" outlineLevel="1" x14ac:dyDescent="0.25">
      <c r="A3821" s="74">
        <v>2556</v>
      </c>
      <c r="B3821" s="45" t="s">
        <v>664</v>
      </c>
      <c r="C3821" s="60" t="s">
        <v>3430</v>
      </c>
      <c r="D3821" s="60"/>
      <c r="E3821" s="74">
        <v>2022</v>
      </c>
      <c r="F3821" s="74" t="s">
        <v>489</v>
      </c>
      <c r="G3821" s="61">
        <v>1</v>
      </c>
      <c r="H3821" s="45">
        <v>10</v>
      </c>
      <c r="I3821" s="74">
        <v>22.837819999999997</v>
      </c>
    </row>
    <row r="3822" spans="1:9" s="71" customFormat="1" ht="16.5" hidden="1" customHeight="1" outlineLevel="1" x14ac:dyDescent="0.25">
      <c r="A3822" s="74">
        <v>2557</v>
      </c>
      <c r="B3822" s="45" t="s">
        <v>664</v>
      </c>
      <c r="C3822" s="60" t="s">
        <v>3431</v>
      </c>
      <c r="D3822" s="60"/>
      <c r="E3822" s="74">
        <v>2022</v>
      </c>
      <c r="F3822" s="74" t="s">
        <v>489</v>
      </c>
      <c r="G3822" s="61">
        <v>1</v>
      </c>
      <c r="H3822" s="45">
        <v>2</v>
      </c>
      <c r="I3822" s="74">
        <v>12.588849999999999</v>
      </c>
    </row>
    <row r="3823" spans="1:9" s="71" customFormat="1" ht="16.5" hidden="1" customHeight="1" outlineLevel="1" x14ac:dyDescent="0.25">
      <c r="A3823" s="74">
        <v>2558</v>
      </c>
      <c r="B3823" s="45" t="s">
        <v>664</v>
      </c>
      <c r="C3823" s="60" t="s">
        <v>3432</v>
      </c>
      <c r="D3823" s="60"/>
      <c r="E3823" s="74">
        <v>2022</v>
      </c>
      <c r="F3823" s="74" t="s">
        <v>489</v>
      </c>
      <c r="G3823" s="61">
        <v>1</v>
      </c>
      <c r="H3823" s="45">
        <v>2</v>
      </c>
      <c r="I3823" s="74">
        <v>14.112879999999999</v>
      </c>
    </row>
    <row r="3824" spans="1:9" s="71" customFormat="1" ht="16.5" hidden="1" customHeight="1" outlineLevel="1" x14ac:dyDescent="0.25">
      <c r="A3824" s="74">
        <v>2559</v>
      </c>
      <c r="B3824" s="45" t="s">
        <v>664</v>
      </c>
      <c r="C3824" s="60" t="s">
        <v>3433</v>
      </c>
      <c r="D3824" s="60"/>
      <c r="E3824" s="74">
        <v>2022</v>
      </c>
      <c r="F3824" s="74" t="s">
        <v>489</v>
      </c>
      <c r="G3824" s="61">
        <v>1</v>
      </c>
      <c r="H3824" s="45">
        <v>2</v>
      </c>
      <c r="I3824" s="74">
        <v>14.112870000000001</v>
      </c>
    </row>
    <row r="3825" spans="1:9" s="71" customFormat="1" ht="16.5" hidden="1" customHeight="1" outlineLevel="1" x14ac:dyDescent="0.25">
      <c r="A3825" s="74">
        <v>2560</v>
      </c>
      <c r="B3825" s="45" t="s">
        <v>664</v>
      </c>
      <c r="C3825" s="60" t="s">
        <v>3434</v>
      </c>
      <c r="D3825" s="60"/>
      <c r="E3825" s="74">
        <v>2022</v>
      </c>
      <c r="F3825" s="74" t="s">
        <v>489</v>
      </c>
      <c r="G3825" s="61">
        <v>1</v>
      </c>
      <c r="H3825" s="45">
        <v>50</v>
      </c>
      <c r="I3825" s="74">
        <v>21.144720000000003</v>
      </c>
    </row>
    <row r="3826" spans="1:9" s="71" customFormat="1" ht="16.5" hidden="1" customHeight="1" outlineLevel="1" x14ac:dyDescent="0.25">
      <c r="A3826" s="74">
        <v>2561</v>
      </c>
      <c r="B3826" s="45" t="s">
        <v>664</v>
      </c>
      <c r="C3826" s="60" t="s">
        <v>3435</v>
      </c>
      <c r="D3826" s="60"/>
      <c r="E3826" s="74">
        <v>2022</v>
      </c>
      <c r="F3826" s="74" t="s">
        <v>489</v>
      </c>
      <c r="G3826" s="61">
        <v>1</v>
      </c>
      <c r="H3826" s="45">
        <v>7</v>
      </c>
      <c r="I3826" s="74">
        <v>21.350599999999996</v>
      </c>
    </row>
    <row r="3827" spans="1:9" s="71" customFormat="1" ht="16.5" hidden="1" customHeight="1" outlineLevel="1" x14ac:dyDescent="0.25">
      <c r="A3827" s="74">
        <v>2562</v>
      </c>
      <c r="B3827" s="45" t="s">
        <v>664</v>
      </c>
      <c r="C3827" s="60" t="s">
        <v>3436</v>
      </c>
      <c r="D3827" s="60"/>
      <c r="E3827" s="74">
        <v>2022</v>
      </c>
      <c r="F3827" s="74" t="s">
        <v>489</v>
      </c>
      <c r="G3827" s="61">
        <v>1</v>
      </c>
      <c r="H3827" s="45">
        <v>10</v>
      </c>
      <c r="I3827" s="74">
        <v>22.545119999999997</v>
      </c>
    </row>
    <row r="3828" spans="1:9" s="71" customFormat="1" ht="16.5" hidden="1" customHeight="1" outlineLevel="1" x14ac:dyDescent="0.25">
      <c r="A3828" s="74">
        <v>2563</v>
      </c>
      <c r="B3828" s="45" t="s">
        <v>664</v>
      </c>
      <c r="C3828" s="60" t="s">
        <v>3437</v>
      </c>
      <c r="D3828" s="60"/>
      <c r="E3828" s="74">
        <v>2022</v>
      </c>
      <c r="F3828" s="74" t="s">
        <v>489</v>
      </c>
      <c r="G3828" s="61">
        <v>1</v>
      </c>
      <c r="H3828" s="45">
        <v>1</v>
      </c>
      <c r="I3828" s="74">
        <v>11.92733</v>
      </c>
    </row>
    <row r="3829" spans="1:9" s="71" customFormat="1" ht="16.5" hidden="1" customHeight="1" outlineLevel="1" x14ac:dyDescent="0.25">
      <c r="A3829" s="74">
        <v>2565</v>
      </c>
      <c r="B3829" s="45" t="s">
        <v>664</v>
      </c>
      <c r="C3829" s="60" t="s">
        <v>3438</v>
      </c>
      <c r="D3829" s="60"/>
      <c r="E3829" s="74">
        <v>2022</v>
      </c>
      <c r="F3829" s="74" t="s">
        <v>489</v>
      </c>
      <c r="G3829" s="61">
        <v>1</v>
      </c>
      <c r="H3829" s="45">
        <v>15</v>
      </c>
      <c r="I3829" s="74">
        <v>86.843000000000004</v>
      </c>
    </row>
    <row r="3830" spans="1:9" s="71" customFormat="1" ht="16.5" hidden="1" customHeight="1" outlineLevel="1" x14ac:dyDescent="0.25">
      <c r="A3830" s="74">
        <v>2566</v>
      </c>
      <c r="B3830" s="45" t="s">
        <v>664</v>
      </c>
      <c r="C3830" s="60" t="s">
        <v>3439</v>
      </c>
      <c r="D3830" s="60"/>
      <c r="E3830" s="74">
        <v>2022</v>
      </c>
      <c r="F3830" s="74" t="s">
        <v>489</v>
      </c>
      <c r="G3830" s="61">
        <v>1</v>
      </c>
      <c r="H3830" s="45">
        <v>5</v>
      </c>
      <c r="I3830" s="74">
        <v>137.61100000000002</v>
      </c>
    </row>
    <row r="3831" spans="1:9" s="71" customFormat="1" ht="16.5" hidden="1" customHeight="1" outlineLevel="1" x14ac:dyDescent="0.25">
      <c r="A3831" s="74">
        <v>2567</v>
      </c>
      <c r="B3831" s="45" t="s">
        <v>664</v>
      </c>
      <c r="C3831" s="60" t="s">
        <v>3440</v>
      </c>
      <c r="D3831" s="60"/>
      <c r="E3831" s="74">
        <v>2022</v>
      </c>
      <c r="F3831" s="74" t="s">
        <v>489</v>
      </c>
      <c r="G3831" s="61">
        <v>1</v>
      </c>
      <c r="H3831" s="45">
        <v>150</v>
      </c>
      <c r="I3831" s="74">
        <v>125.646</v>
      </c>
    </row>
    <row r="3832" spans="1:9" s="71" customFormat="1" ht="16.5" hidden="1" customHeight="1" outlineLevel="1" x14ac:dyDescent="0.25">
      <c r="A3832" s="74">
        <v>2568</v>
      </c>
      <c r="B3832" s="45" t="s">
        <v>664</v>
      </c>
      <c r="C3832" s="60" t="s">
        <v>3441</v>
      </c>
      <c r="D3832" s="60"/>
      <c r="E3832" s="74">
        <v>2022</v>
      </c>
      <c r="F3832" s="74" t="s">
        <v>489</v>
      </c>
      <c r="G3832" s="61">
        <v>1</v>
      </c>
      <c r="H3832" s="45">
        <v>15</v>
      </c>
      <c r="I3832" s="74">
        <v>136.04759999999999</v>
      </c>
    </row>
    <row r="3833" spans="1:9" s="71" customFormat="1" ht="16.5" hidden="1" customHeight="1" outlineLevel="1" x14ac:dyDescent="0.25">
      <c r="A3833" s="74">
        <v>2613</v>
      </c>
      <c r="B3833" s="45" t="s">
        <v>664</v>
      </c>
      <c r="C3833" s="60" t="s">
        <v>3442</v>
      </c>
      <c r="D3833" s="60"/>
      <c r="E3833" s="74">
        <v>2022</v>
      </c>
      <c r="F3833" s="74" t="s">
        <v>489</v>
      </c>
      <c r="G3833" s="61">
        <v>1</v>
      </c>
      <c r="H3833" s="45">
        <v>14</v>
      </c>
      <c r="I3833" s="74">
        <v>5.3943700000000003</v>
      </c>
    </row>
    <row r="3834" spans="1:9" s="71" customFormat="1" ht="16.5" hidden="1" customHeight="1" outlineLevel="1" x14ac:dyDescent="0.25">
      <c r="A3834" s="74">
        <v>2614</v>
      </c>
      <c r="B3834" s="45" t="s">
        <v>664</v>
      </c>
      <c r="C3834" s="60" t="s">
        <v>3443</v>
      </c>
      <c r="D3834" s="60"/>
      <c r="E3834" s="74">
        <v>2022</v>
      </c>
      <c r="F3834" s="74" t="s">
        <v>489</v>
      </c>
      <c r="G3834" s="61">
        <v>1</v>
      </c>
      <c r="H3834" s="45">
        <v>15</v>
      </c>
      <c r="I3834" s="74">
        <v>5.3944399999999995</v>
      </c>
    </row>
    <row r="3835" spans="1:9" s="71" customFormat="1" ht="16.5" hidden="1" customHeight="1" outlineLevel="1" x14ac:dyDescent="0.25">
      <c r="A3835" s="74">
        <v>2615</v>
      </c>
      <c r="B3835" s="45" t="s">
        <v>664</v>
      </c>
      <c r="C3835" s="60" t="s">
        <v>3444</v>
      </c>
      <c r="D3835" s="60"/>
      <c r="E3835" s="74">
        <v>2022</v>
      </c>
      <c r="F3835" s="74" t="s">
        <v>489</v>
      </c>
      <c r="G3835" s="61">
        <v>1</v>
      </c>
      <c r="H3835" s="45">
        <v>15</v>
      </c>
      <c r="I3835" s="74">
        <v>6.7879099999999992</v>
      </c>
    </row>
    <row r="3836" spans="1:9" s="71" customFormat="1" ht="16.5" hidden="1" customHeight="1" outlineLevel="1" x14ac:dyDescent="0.25">
      <c r="A3836" s="74">
        <v>2616</v>
      </c>
      <c r="B3836" s="45" t="s">
        <v>664</v>
      </c>
      <c r="C3836" s="60" t="s">
        <v>3445</v>
      </c>
      <c r="D3836" s="60"/>
      <c r="E3836" s="74">
        <v>2022</v>
      </c>
      <c r="F3836" s="74" t="s">
        <v>489</v>
      </c>
      <c r="G3836" s="61">
        <v>1</v>
      </c>
      <c r="H3836" s="45">
        <v>15</v>
      </c>
      <c r="I3836" s="74">
        <v>9.5748700000000007</v>
      </c>
    </row>
    <row r="3837" spans="1:9" s="71" customFormat="1" ht="16.5" hidden="1" customHeight="1" outlineLevel="1" x14ac:dyDescent="0.25">
      <c r="A3837" s="74">
        <v>2617</v>
      </c>
      <c r="B3837" s="45" t="s">
        <v>664</v>
      </c>
      <c r="C3837" s="60" t="s">
        <v>3446</v>
      </c>
      <c r="D3837" s="60"/>
      <c r="E3837" s="74">
        <v>2022</v>
      </c>
      <c r="F3837" s="74" t="s">
        <v>489</v>
      </c>
      <c r="G3837" s="61">
        <v>1</v>
      </c>
      <c r="H3837" s="45">
        <v>10</v>
      </c>
      <c r="I3837" s="74">
        <v>5.3944000000000001</v>
      </c>
    </row>
    <row r="3838" spans="1:9" s="71" customFormat="1" ht="16.5" hidden="1" customHeight="1" outlineLevel="1" x14ac:dyDescent="0.25">
      <c r="A3838" s="74">
        <v>2618</v>
      </c>
      <c r="B3838" s="45" t="s">
        <v>664</v>
      </c>
      <c r="C3838" s="60" t="s">
        <v>3447</v>
      </c>
      <c r="D3838" s="60"/>
      <c r="E3838" s="74">
        <v>2022</v>
      </c>
      <c r="F3838" s="74" t="s">
        <v>489</v>
      </c>
      <c r="G3838" s="61">
        <v>1</v>
      </c>
      <c r="H3838" s="45">
        <v>15</v>
      </c>
      <c r="I3838" s="74">
        <v>5.3943399999999997</v>
      </c>
    </row>
    <row r="3839" spans="1:9" s="71" customFormat="1" ht="16.5" hidden="1" customHeight="1" outlineLevel="1" x14ac:dyDescent="0.25">
      <c r="A3839" s="74">
        <v>2619</v>
      </c>
      <c r="B3839" s="45" t="s">
        <v>664</v>
      </c>
      <c r="C3839" s="60" t="s">
        <v>3448</v>
      </c>
      <c r="D3839" s="60"/>
      <c r="E3839" s="74">
        <v>2022</v>
      </c>
      <c r="F3839" s="74" t="s">
        <v>489</v>
      </c>
      <c r="G3839" s="61">
        <v>1</v>
      </c>
      <c r="H3839" s="45">
        <v>15</v>
      </c>
      <c r="I3839" s="74">
        <v>5.3943500000000002</v>
      </c>
    </row>
    <row r="3840" spans="1:9" s="71" customFormat="1" ht="16.5" hidden="1" customHeight="1" outlineLevel="1" x14ac:dyDescent="0.25">
      <c r="A3840" s="74">
        <v>2620</v>
      </c>
      <c r="B3840" s="45" t="s">
        <v>664</v>
      </c>
      <c r="C3840" s="60" t="s">
        <v>3449</v>
      </c>
      <c r="D3840" s="60"/>
      <c r="E3840" s="74">
        <v>2022</v>
      </c>
      <c r="F3840" s="74" t="s">
        <v>489</v>
      </c>
      <c r="G3840" s="61">
        <v>1</v>
      </c>
      <c r="H3840" s="45">
        <v>10</v>
      </c>
      <c r="I3840" s="74">
        <v>6.6111399999999998</v>
      </c>
    </row>
    <row r="3841" spans="1:9" s="71" customFormat="1" ht="16.5" hidden="1" customHeight="1" outlineLevel="1" x14ac:dyDescent="0.25">
      <c r="A3841" s="74">
        <v>2621</v>
      </c>
      <c r="B3841" s="45" t="s">
        <v>664</v>
      </c>
      <c r="C3841" s="60" t="s">
        <v>3450</v>
      </c>
      <c r="D3841" s="60"/>
      <c r="E3841" s="74">
        <v>2022</v>
      </c>
      <c r="F3841" s="74" t="s">
        <v>489</v>
      </c>
      <c r="G3841" s="61">
        <v>1</v>
      </c>
      <c r="H3841" s="45">
        <v>15</v>
      </c>
      <c r="I3841" s="74">
        <v>6.6100899999999996</v>
      </c>
    </row>
    <row r="3842" spans="1:9" s="71" customFormat="1" ht="16.5" hidden="1" customHeight="1" outlineLevel="1" x14ac:dyDescent="0.25">
      <c r="A3842" s="74">
        <v>2622</v>
      </c>
      <c r="B3842" s="45" t="s">
        <v>664</v>
      </c>
      <c r="C3842" s="60" t="s">
        <v>3451</v>
      </c>
      <c r="D3842" s="60"/>
      <c r="E3842" s="74">
        <v>2022</v>
      </c>
      <c r="F3842" s="74" t="s">
        <v>489</v>
      </c>
      <c r="G3842" s="61">
        <v>1</v>
      </c>
      <c r="H3842" s="45">
        <v>15</v>
      </c>
      <c r="I3842" s="74">
        <v>10.6149</v>
      </c>
    </row>
    <row r="3843" spans="1:9" s="71" customFormat="1" ht="16.5" hidden="1" customHeight="1" outlineLevel="1" x14ac:dyDescent="0.25">
      <c r="A3843" s="74">
        <v>2623</v>
      </c>
      <c r="B3843" s="45" t="s">
        <v>664</v>
      </c>
      <c r="C3843" s="60" t="s">
        <v>3452</v>
      </c>
      <c r="D3843" s="60"/>
      <c r="E3843" s="74">
        <v>2022</v>
      </c>
      <c r="F3843" s="74" t="s">
        <v>489</v>
      </c>
      <c r="G3843" s="61">
        <v>1</v>
      </c>
      <c r="H3843" s="45">
        <v>15</v>
      </c>
      <c r="I3843" s="74">
        <v>5.3943500000000002</v>
      </c>
    </row>
    <row r="3844" spans="1:9" s="71" customFormat="1" ht="16.5" hidden="1" customHeight="1" outlineLevel="1" x14ac:dyDescent="0.25">
      <c r="A3844" s="74">
        <v>2624</v>
      </c>
      <c r="B3844" s="45" t="s">
        <v>664</v>
      </c>
      <c r="C3844" s="60" t="s">
        <v>3453</v>
      </c>
      <c r="D3844" s="60"/>
      <c r="E3844" s="74">
        <v>2022</v>
      </c>
      <c r="F3844" s="74" t="s">
        <v>489</v>
      </c>
      <c r="G3844" s="61">
        <v>1</v>
      </c>
      <c r="H3844" s="45">
        <v>15</v>
      </c>
      <c r="I3844" s="74">
        <v>5.3943399999999997</v>
      </c>
    </row>
    <row r="3845" spans="1:9" s="71" customFormat="1" ht="16.5" hidden="1" customHeight="1" outlineLevel="1" x14ac:dyDescent="0.25">
      <c r="A3845" s="74">
        <v>2625</v>
      </c>
      <c r="B3845" s="45" t="s">
        <v>664</v>
      </c>
      <c r="C3845" s="60" t="s">
        <v>3454</v>
      </c>
      <c r="D3845" s="60"/>
      <c r="E3845" s="74">
        <v>2022</v>
      </c>
      <c r="F3845" s="74" t="s">
        <v>489</v>
      </c>
      <c r="G3845" s="61">
        <v>1</v>
      </c>
      <c r="H3845" s="45">
        <v>15</v>
      </c>
      <c r="I3845" s="74">
        <v>5.3943500000000002</v>
      </c>
    </row>
    <row r="3846" spans="1:9" s="71" customFormat="1" ht="16.5" hidden="1" customHeight="1" outlineLevel="1" x14ac:dyDescent="0.25">
      <c r="A3846" s="74">
        <v>2626</v>
      </c>
      <c r="B3846" s="45" t="s">
        <v>664</v>
      </c>
      <c r="C3846" s="60" t="s">
        <v>3455</v>
      </c>
      <c r="D3846" s="60"/>
      <c r="E3846" s="74">
        <v>2022</v>
      </c>
      <c r="F3846" s="74" t="s">
        <v>489</v>
      </c>
      <c r="G3846" s="61">
        <v>1</v>
      </c>
      <c r="H3846" s="45">
        <v>10</v>
      </c>
      <c r="I3846" s="74">
        <v>5.3943399999999997</v>
      </c>
    </row>
    <row r="3847" spans="1:9" s="71" customFormat="1" ht="16.5" hidden="1" customHeight="1" outlineLevel="1" x14ac:dyDescent="0.25">
      <c r="A3847" s="74">
        <v>2627</v>
      </c>
      <c r="B3847" s="45" t="s">
        <v>664</v>
      </c>
      <c r="C3847" s="60" t="s">
        <v>3456</v>
      </c>
      <c r="D3847" s="60"/>
      <c r="E3847" s="74">
        <v>2022</v>
      </c>
      <c r="F3847" s="74" t="s">
        <v>489</v>
      </c>
      <c r="G3847" s="61">
        <v>1</v>
      </c>
      <c r="H3847" s="45">
        <v>10</v>
      </c>
      <c r="I3847" s="74">
        <v>5.3943500000000002</v>
      </c>
    </row>
    <row r="3848" spans="1:9" s="71" customFormat="1" ht="16.5" hidden="1" customHeight="1" outlineLevel="1" x14ac:dyDescent="0.25">
      <c r="A3848" s="74">
        <v>2628</v>
      </c>
      <c r="B3848" s="45" t="s">
        <v>664</v>
      </c>
      <c r="C3848" s="60" t="s">
        <v>3457</v>
      </c>
      <c r="D3848" s="60"/>
      <c r="E3848" s="74">
        <v>2022</v>
      </c>
      <c r="F3848" s="74" t="s">
        <v>489</v>
      </c>
      <c r="G3848" s="61">
        <v>1</v>
      </c>
      <c r="H3848" s="45">
        <v>15</v>
      </c>
      <c r="I3848" s="74">
        <v>6.6111400000000007</v>
      </c>
    </row>
    <row r="3849" spans="1:9" s="71" customFormat="1" ht="16.5" hidden="1" customHeight="1" outlineLevel="1" x14ac:dyDescent="0.25">
      <c r="A3849" s="74">
        <v>2629</v>
      </c>
      <c r="B3849" s="45" t="s">
        <v>664</v>
      </c>
      <c r="C3849" s="60" t="s">
        <v>3458</v>
      </c>
      <c r="D3849" s="60"/>
      <c r="E3849" s="74">
        <v>2022</v>
      </c>
      <c r="F3849" s="74" t="s">
        <v>489</v>
      </c>
      <c r="G3849" s="61">
        <v>1</v>
      </c>
      <c r="H3849" s="45">
        <v>15</v>
      </c>
      <c r="I3849" s="74">
        <v>6.6111499999999994</v>
      </c>
    </row>
    <row r="3850" spans="1:9" s="71" customFormat="1" ht="16.5" hidden="1" customHeight="1" outlineLevel="1" x14ac:dyDescent="0.25">
      <c r="A3850" s="74">
        <v>2630</v>
      </c>
      <c r="B3850" s="45" t="s">
        <v>664</v>
      </c>
      <c r="C3850" s="60" t="s">
        <v>3459</v>
      </c>
      <c r="D3850" s="60"/>
      <c r="E3850" s="74">
        <v>2022</v>
      </c>
      <c r="F3850" s="74" t="s">
        <v>489</v>
      </c>
      <c r="G3850" s="61">
        <v>1</v>
      </c>
      <c r="H3850" s="45">
        <v>15</v>
      </c>
      <c r="I3850" s="74">
        <v>10.6149</v>
      </c>
    </row>
    <row r="3851" spans="1:9" s="71" customFormat="1" ht="16.5" hidden="1" customHeight="1" outlineLevel="1" x14ac:dyDescent="0.25">
      <c r="A3851" s="74">
        <v>2631</v>
      </c>
      <c r="B3851" s="45" t="s">
        <v>664</v>
      </c>
      <c r="C3851" s="60" t="s">
        <v>3460</v>
      </c>
      <c r="D3851" s="60"/>
      <c r="E3851" s="74">
        <v>2022</v>
      </c>
      <c r="F3851" s="74" t="s">
        <v>489</v>
      </c>
      <c r="G3851" s="61">
        <v>1</v>
      </c>
      <c r="H3851" s="45">
        <v>15</v>
      </c>
      <c r="I3851" s="74">
        <v>10.96838</v>
      </c>
    </row>
    <row r="3852" spans="1:9" s="71" customFormat="1" ht="16.5" hidden="1" customHeight="1" outlineLevel="1" x14ac:dyDescent="0.25">
      <c r="A3852" s="74">
        <v>2632</v>
      </c>
      <c r="B3852" s="45" t="s">
        <v>664</v>
      </c>
      <c r="C3852" s="60" t="s">
        <v>3461</v>
      </c>
      <c r="D3852" s="60"/>
      <c r="E3852" s="74">
        <v>2022</v>
      </c>
      <c r="F3852" s="74" t="s">
        <v>489</v>
      </c>
      <c r="G3852" s="61">
        <v>1</v>
      </c>
      <c r="H3852" s="45">
        <v>15</v>
      </c>
      <c r="I3852" s="74">
        <v>20.62434</v>
      </c>
    </row>
    <row r="3853" spans="1:9" s="71" customFormat="1" ht="16.5" hidden="1" customHeight="1" outlineLevel="1" x14ac:dyDescent="0.25">
      <c r="A3853" s="74">
        <v>2633</v>
      </c>
      <c r="B3853" s="45" t="s">
        <v>664</v>
      </c>
      <c r="C3853" s="60" t="s">
        <v>3462</v>
      </c>
      <c r="D3853" s="60"/>
      <c r="E3853" s="74">
        <v>2022</v>
      </c>
      <c r="F3853" s="74" t="s">
        <v>489</v>
      </c>
      <c r="G3853" s="61">
        <v>1</v>
      </c>
      <c r="H3853" s="45">
        <v>14</v>
      </c>
      <c r="I3853" s="74">
        <v>6.7878699999999998</v>
      </c>
    </row>
    <row r="3854" spans="1:9" s="71" customFormat="1" ht="16.5" hidden="1" customHeight="1" outlineLevel="1" x14ac:dyDescent="0.25">
      <c r="A3854" s="74">
        <v>2634</v>
      </c>
      <c r="B3854" s="45" t="s">
        <v>664</v>
      </c>
      <c r="C3854" s="60" t="s">
        <v>3463</v>
      </c>
      <c r="D3854" s="60"/>
      <c r="E3854" s="74">
        <v>2022</v>
      </c>
      <c r="F3854" s="74" t="s">
        <v>489</v>
      </c>
      <c r="G3854" s="61">
        <v>1</v>
      </c>
      <c r="H3854" s="45">
        <v>14</v>
      </c>
      <c r="I3854" s="74">
        <v>5.3943399999999997</v>
      </c>
    </row>
    <row r="3855" spans="1:9" s="71" customFormat="1" ht="16.5" hidden="1" customHeight="1" outlineLevel="1" x14ac:dyDescent="0.25">
      <c r="A3855" s="74">
        <v>2635</v>
      </c>
      <c r="B3855" s="45" t="s">
        <v>664</v>
      </c>
      <c r="C3855" s="60" t="s">
        <v>3464</v>
      </c>
      <c r="D3855" s="60"/>
      <c r="E3855" s="74">
        <v>2022</v>
      </c>
      <c r="F3855" s="74" t="s">
        <v>489</v>
      </c>
      <c r="G3855" s="61">
        <v>1</v>
      </c>
      <c r="H3855" s="45">
        <v>15</v>
      </c>
      <c r="I3855" s="74">
        <v>4.0008999999999997</v>
      </c>
    </row>
    <row r="3856" spans="1:9" s="71" customFormat="1" ht="16.5" hidden="1" customHeight="1" outlineLevel="1" x14ac:dyDescent="0.25">
      <c r="A3856" s="74">
        <v>2636</v>
      </c>
      <c r="B3856" s="45" t="s">
        <v>664</v>
      </c>
      <c r="C3856" s="60" t="s">
        <v>3465</v>
      </c>
      <c r="D3856" s="60"/>
      <c r="E3856" s="74">
        <v>2022</v>
      </c>
      <c r="F3856" s="74" t="s">
        <v>489</v>
      </c>
      <c r="G3856" s="61">
        <v>1</v>
      </c>
      <c r="H3856" s="45">
        <v>150</v>
      </c>
      <c r="I3856" s="74">
        <v>5.3943399999999997</v>
      </c>
    </row>
    <row r="3857" spans="1:9" s="71" customFormat="1" ht="16.5" hidden="1" customHeight="1" outlineLevel="1" x14ac:dyDescent="0.25">
      <c r="A3857" s="74">
        <v>2637</v>
      </c>
      <c r="B3857" s="45" t="s">
        <v>664</v>
      </c>
      <c r="C3857" s="60" t="s">
        <v>3466</v>
      </c>
      <c r="D3857" s="60"/>
      <c r="E3857" s="74">
        <v>2022</v>
      </c>
      <c r="F3857" s="74" t="s">
        <v>489</v>
      </c>
      <c r="G3857" s="61">
        <v>1</v>
      </c>
      <c r="H3857" s="45">
        <v>6</v>
      </c>
      <c r="I3857" s="74">
        <v>5.3943500000000002</v>
      </c>
    </row>
    <row r="3858" spans="1:9" s="71" customFormat="1" ht="16.5" hidden="1" customHeight="1" outlineLevel="1" x14ac:dyDescent="0.25">
      <c r="A3858" s="74">
        <v>2638</v>
      </c>
      <c r="B3858" s="45" t="s">
        <v>664</v>
      </c>
      <c r="C3858" s="60" t="s">
        <v>3467</v>
      </c>
      <c r="D3858" s="60"/>
      <c r="E3858" s="74">
        <v>2022</v>
      </c>
      <c r="F3858" s="74" t="s">
        <v>489</v>
      </c>
      <c r="G3858" s="61">
        <v>1</v>
      </c>
      <c r="H3858" s="45">
        <v>10</v>
      </c>
      <c r="I3858" s="74">
        <v>6.6111400000000007</v>
      </c>
    </row>
    <row r="3859" spans="1:9" s="71" customFormat="1" ht="16.5" hidden="1" customHeight="1" outlineLevel="1" x14ac:dyDescent="0.25">
      <c r="A3859" s="74">
        <v>2639</v>
      </c>
      <c r="B3859" s="45" t="s">
        <v>664</v>
      </c>
      <c r="C3859" s="60" t="s">
        <v>3468</v>
      </c>
      <c r="D3859" s="60"/>
      <c r="E3859" s="74">
        <v>2022</v>
      </c>
      <c r="F3859" s="74" t="s">
        <v>489</v>
      </c>
      <c r="G3859" s="61">
        <v>1</v>
      </c>
      <c r="H3859" s="45">
        <v>15</v>
      </c>
      <c r="I3859" s="74">
        <v>4.0008999999999997</v>
      </c>
    </row>
    <row r="3860" spans="1:9" s="71" customFormat="1" ht="16.5" hidden="1" customHeight="1" outlineLevel="1" x14ac:dyDescent="0.25">
      <c r="A3860" s="74">
        <v>2640</v>
      </c>
      <c r="B3860" s="45" t="s">
        <v>664</v>
      </c>
      <c r="C3860" s="60" t="s">
        <v>3469</v>
      </c>
      <c r="D3860" s="60"/>
      <c r="E3860" s="74">
        <v>2022</v>
      </c>
      <c r="F3860" s="74" t="s">
        <v>489</v>
      </c>
      <c r="G3860" s="61">
        <v>1</v>
      </c>
      <c r="H3860" s="45">
        <v>15</v>
      </c>
      <c r="I3860" s="74">
        <v>5.3943700000000003</v>
      </c>
    </row>
    <row r="3861" spans="1:9" s="71" customFormat="1" ht="16.5" hidden="1" customHeight="1" outlineLevel="1" x14ac:dyDescent="0.25">
      <c r="A3861" s="74">
        <v>2641</v>
      </c>
      <c r="B3861" s="45" t="s">
        <v>664</v>
      </c>
      <c r="C3861" s="60" t="s">
        <v>3470</v>
      </c>
      <c r="D3861" s="60"/>
      <c r="E3861" s="74">
        <v>2022</v>
      </c>
      <c r="F3861" s="74" t="s">
        <v>489</v>
      </c>
      <c r="G3861" s="61">
        <v>1</v>
      </c>
      <c r="H3861" s="45">
        <v>10</v>
      </c>
      <c r="I3861" s="74">
        <v>10.6149</v>
      </c>
    </row>
    <row r="3862" spans="1:9" s="71" customFormat="1" ht="16.5" hidden="1" customHeight="1" outlineLevel="1" x14ac:dyDescent="0.25">
      <c r="A3862" s="74">
        <v>2642</v>
      </c>
      <c r="B3862" s="45" t="s">
        <v>664</v>
      </c>
      <c r="C3862" s="60" t="s">
        <v>3471</v>
      </c>
      <c r="D3862" s="60"/>
      <c r="E3862" s="74">
        <v>2022</v>
      </c>
      <c r="F3862" s="74" t="s">
        <v>489</v>
      </c>
      <c r="G3862" s="61">
        <v>1</v>
      </c>
      <c r="H3862" s="45">
        <v>7.5</v>
      </c>
      <c r="I3862" s="74">
        <v>5.3943900000000005</v>
      </c>
    </row>
    <row r="3863" spans="1:9" s="71" customFormat="1" ht="16.5" hidden="1" customHeight="1" outlineLevel="1" x14ac:dyDescent="0.25">
      <c r="A3863" s="74">
        <v>2643</v>
      </c>
      <c r="B3863" s="45" t="s">
        <v>664</v>
      </c>
      <c r="C3863" s="60" t="s">
        <v>3472</v>
      </c>
      <c r="D3863" s="60"/>
      <c r="E3863" s="74">
        <v>2022</v>
      </c>
      <c r="F3863" s="74" t="s">
        <v>489</v>
      </c>
      <c r="G3863" s="61">
        <v>1</v>
      </c>
      <c r="H3863" s="45">
        <v>15</v>
      </c>
      <c r="I3863" s="74">
        <v>6.6111400000000007</v>
      </c>
    </row>
    <row r="3864" spans="1:9" s="71" customFormat="1" ht="16.5" hidden="1" customHeight="1" outlineLevel="1" x14ac:dyDescent="0.25">
      <c r="A3864" s="74">
        <v>2644</v>
      </c>
      <c r="B3864" s="45" t="s">
        <v>664</v>
      </c>
      <c r="C3864" s="60" t="s">
        <v>3473</v>
      </c>
      <c r="D3864" s="60"/>
      <c r="E3864" s="74">
        <v>2022</v>
      </c>
      <c r="F3864" s="74" t="s">
        <v>489</v>
      </c>
      <c r="G3864" s="61">
        <v>1</v>
      </c>
      <c r="H3864" s="45">
        <v>15</v>
      </c>
      <c r="I3864" s="74">
        <v>36.094089999999994</v>
      </c>
    </row>
    <row r="3865" spans="1:9" s="71" customFormat="1" ht="16.5" hidden="1" customHeight="1" outlineLevel="1" x14ac:dyDescent="0.25">
      <c r="A3865" s="74">
        <v>2645</v>
      </c>
      <c r="B3865" s="45" t="s">
        <v>664</v>
      </c>
      <c r="C3865" s="60" t="s">
        <v>3474</v>
      </c>
      <c r="D3865" s="60"/>
      <c r="E3865" s="74">
        <v>2022</v>
      </c>
      <c r="F3865" s="74" t="s">
        <v>489</v>
      </c>
      <c r="G3865" s="61">
        <v>1</v>
      </c>
      <c r="H3865" s="45">
        <v>15</v>
      </c>
      <c r="I3865" s="74">
        <v>38.881089999999993</v>
      </c>
    </row>
    <row r="3866" spans="1:9" s="71" customFormat="1" ht="16.5" hidden="1" customHeight="1" outlineLevel="1" x14ac:dyDescent="0.25">
      <c r="A3866" s="74">
        <v>2646</v>
      </c>
      <c r="B3866" s="45" t="s">
        <v>664</v>
      </c>
      <c r="C3866" s="60" t="s">
        <v>3475</v>
      </c>
      <c r="D3866" s="60"/>
      <c r="E3866" s="74">
        <v>2022</v>
      </c>
      <c r="F3866" s="74" t="s">
        <v>489</v>
      </c>
      <c r="G3866" s="61">
        <v>1</v>
      </c>
      <c r="H3866" s="45">
        <v>15</v>
      </c>
      <c r="I3866" s="74">
        <v>38.704349999999998</v>
      </c>
    </row>
    <row r="3867" spans="1:9" s="71" customFormat="1" ht="16.5" hidden="1" customHeight="1" outlineLevel="1" x14ac:dyDescent="0.25">
      <c r="A3867" s="74">
        <v>2647</v>
      </c>
      <c r="B3867" s="45" t="s">
        <v>664</v>
      </c>
      <c r="C3867" s="60" t="s">
        <v>3476</v>
      </c>
      <c r="D3867" s="60"/>
      <c r="E3867" s="74">
        <v>2022</v>
      </c>
      <c r="F3867" s="74" t="s">
        <v>489</v>
      </c>
      <c r="G3867" s="61">
        <v>1</v>
      </c>
      <c r="H3867" s="45">
        <v>15</v>
      </c>
      <c r="I3867" s="74">
        <v>41.668120000000002</v>
      </c>
    </row>
    <row r="3868" spans="1:9" s="71" customFormat="1" ht="16.5" hidden="1" customHeight="1" outlineLevel="1" x14ac:dyDescent="0.25">
      <c r="A3868" s="74">
        <v>2648</v>
      </c>
      <c r="B3868" s="45" t="s">
        <v>664</v>
      </c>
      <c r="C3868" s="60" t="s">
        <v>3477</v>
      </c>
      <c r="D3868" s="60"/>
      <c r="E3868" s="74">
        <v>2022</v>
      </c>
      <c r="F3868" s="74" t="s">
        <v>489</v>
      </c>
      <c r="G3868" s="61">
        <v>1</v>
      </c>
      <c r="H3868" s="45">
        <v>5</v>
      </c>
      <c r="I3868" s="74">
        <v>37.487559999999995</v>
      </c>
    </row>
    <row r="3869" spans="1:9" s="71" customFormat="1" ht="16.5" hidden="1" customHeight="1" outlineLevel="1" x14ac:dyDescent="0.25">
      <c r="A3869" s="74">
        <v>2649</v>
      </c>
      <c r="B3869" s="45" t="s">
        <v>664</v>
      </c>
      <c r="C3869" s="60" t="s">
        <v>3478</v>
      </c>
      <c r="D3869" s="60"/>
      <c r="E3869" s="74">
        <v>2022</v>
      </c>
      <c r="F3869" s="74" t="s">
        <v>489</v>
      </c>
      <c r="G3869" s="61">
        <v>1</v>
      </c>
      <c r="H3869" s="45">
        <v>15</v>
      </c>
      <c r="I3869" s="74">
        <v>37.487569999999998</v>
      </c>
    </row>
    <row r="3870" spans="1:9" s="71" customFormat="1" ht="16.5" hidden="1" customHeight="1" outlineLevel="1" x14ac:dyDescent="0.25">
      <c r="A3870" s="74">
        <v>2650</v>
      </c>
      <c r="B3870" s="45" t="s">
        <v>664</v>
      </c>
      <c r="C3870" s="60" t="s">
        <v>3479</v>
      </c>
      <c r="D3870" s="60"/>
      <c r="E3870" s="74">
        <v>2022</v>
      </c>
      <c r="F3870" s="74" t="s">
        <v>489</v>
      </c>
      <c r="G3870" s="61">
        <v>1</v>
      </c>
      <c r="H3870" s="45">
        <v>15</v>
      </c>
      <c r="I3870" s="74">
        <v>36.094090000000001</v>
      </c>
    </row>
    <row r="3871" spans="1:9" s="71" customFormat="1" ht="16.5" hidden="1" customHeight="1" outlineLevel="1" x14ac:dyDescent="0.25">
      <c r="A3871" s="74">
        <v>2651</v>
      </c>
      <c r="B3871" s="45" t="s">
        <v>664</v>
      </c>
      <c r="C3871" s="60" t="s">
        <v>3480</v>
      </c>
      <c r="D3871" s="60"/>
      <c r="E3871" s="74">
        <v>2022</v>
      </c>
      <c r="F3871" s="74" t="s">
        <v>489</v>
      </c>
      <c r="G3871" s="61">
        <v>1</v>
      </c>
      <c r="H3871" s="45">
        <v>30</v>
      </c>
      <c r="I3871" s="74">
        <v>38.704339999999995</v>
      </c>
    </row>
    <row r="3872" spans="1:9" s="71" customFormat="1" ht="16.5" hidden="1" customHeight="1" outlineLevel="1" x14ac:dyDescent="0.25">
      <c r="A3872" s="74">
        <v>2652</v>
      </c>
      <c r="B3872" s="45" t="s">
        <v>664</v>
      </c>
      <c r="C3872" s="60" t="s">
        <v>3481</v>
      </c>
      <c r="D3872" s="60"/>
      <c r="E3872" s="74">
        <v>2022</v>
      </c>
      <c r="F3872" s="74" t="s">
        <v>489</v>
      </c>
      <c r="G3872" s="61">
        <v>1</v>
      </c>
      <c r="H3872" s="45">
        <v>10</v>
      </c>
      <c r="I3872" s="74">
        <v>38.704349999999998</v>
      </c>
    </row>
    <row r="3873" spans="1:9" s="71" customFormat="1" ht="16.5" hidden="1" customHeight="1" outlineLevel="1" x14ac:dyDescent="0.25">
      <c r="A3873" s="74">
        <v>2653</v>
      </c>
      <c r="B3873" s="45" t="s">
        <v>664</v>
      </c>
      <c r="C3873" s="60" t="s">
        <v>3482</v>
      </c>
      <c r="D3873" s="60"/>
      <c r="E3873" s="74">
        <v>2022</v>
      </c>
      <c r="F3873" s="74" t="s">
        <v>489</v>
      </c>
      <c r="G3873" s="61">
        <v>1</v>
      </c>
      <c r="H3873" s="45">
        <v>15</v>
      </c>
      <c r="I3873" s="74">
        <v>38.704360000000001</v>
      </c>
    </row>
    <row r="3874" spans="1:9" s="71" customFormat="1" ht="16.5" hidden="1" customHeight="1" outlineLevel="1" x14ac:dyDescent="0.25">
      <c r="A3874" s="74">
        <v>2654</v>
      </c>
      <c r="B3874" s="45" t="s">
        <v>664</v>
      </c>
      <c r="C3874" s="60" t="s">
        <v>3483</v>
      </c>
      <c r="D3874" s="60"/>
      <c r="E3874" s="74">
        <v>2022</v>
      </c>
      <c r="F3874" s="74" t="s">
        <v>489</v>
      </c>
      <c r="G3874" s="61">
        <v>1</v>
      </c>
      <c r="H3874" s="45">
        <v>15</v>
      </c>
      <c r="I3874" s="74">
        <v>38.881079999999997</v>
      </c>
    </row>
    <row r="3875" spans="1:9" s="71" customFormat="1" ht="16.5" hidden="1" customHeight="1" outlineLevel="1" x14ac:dyDescent="0.25">
      <c r="A3875" s="74">
        <v>2655</v>
      </c>
      <c r="B3875" s="45" t="s">
        <v>664</v>
      </c>
      <c r="C3875" s="60" t="s">
        <v>3484</v>
      </c>
      <c r="D3875" s="60"/>
      <c r="E3875" s="74">
        <v>2022</v>
      </c>
      <c r="F3875" s="74" t="s">
        <v>489</v>
      </c>
      <c r="G3875" s="61">
        <v>1</v>
      </c>
      <c r="H3875" s="45">
        <v>15</v>
      </c>
      <c r="I3875" s="74">
        <v>50.715619999999994</v>
      </c>
    </row>
    <row r="3876" spans="1:9" s="71" customFormat="1" ht="16.5" hidden="1" customHeight="1" outlineLevel="1" x14ac:dyDescent="0.25">
      <c r="A3876" s="74">
        <v>2656</v>
      </c>
      <c r="B3876" s="45" t="s">
        <v>664</v>
      </c>
      <c r="C3876" s="60" t="s">
        <v>3485</v>
      </c>
      <c r="D3876" s="60"/>
      <c r="E3876" s="74">
        <v>2022</v>
      </c>
      <c r="F3876" s="74" t="s">
        <v>489</v>
      </c>
      <c r="G3876" s="61">
        <v>1</v>
      </c>
      <c r="H3876" s="45">
        <v>15</v>
      </c>
      <c r="I3876" s="74">
        <v>5.3933200000000001</v>
      </c>
    </row>
    <row r="3877" spans="1:9" s="71" customFormat="1" ht="16.5" hidden="1" customHeight="1" outlineLevel="1" x14ac:dyDescent="0.25">
      <c r="A3877" s="74">
        <v>2657</v>
      </c>
      <c r="B3877" s="45" t="s">
        <v>664</v>
      </c>
      <c r="C3877" s="60" t="s">
        <v>3486</v>
      </c>
      <c r="D3877" s="60"/>
      <c r="E3877" s="74">
        <v>2022</v>
      </c>
      <c r="F3877" s="74" t="s">
        <v>489</v>
      </c>
      <c r="G3877" s="61">
        <v>1</v>
      </c>
      <c r="H3877" s="45">
        <v>15</v>
      </c>
      <c r="I3877" s="74">
        <v>5.3933299999999997</v>
      </c>
    </row>
    <row r="3878" spans="1:9" s="71" customFormat="1" ht="16.5" hidden="1" customHeight="1" outlineLevel="1" x14ac:dyDescent="0.25">
      <c r="A3878" s="74">
        <v>2658</v>
      </c>
      <c r="B3878" s="45" t="s">
        <v>664</v>
      </c>
      <c r="C3878" s="60" t="s">
        <v>3487</v>
      </c>
      <c r="D3878" s="60"/>
      <c r="E3878" s="74">
        <v>2022</v>
      </c>
      <c r="F3878" s="74" t="s">
        <v>489</v>
      </c>
      <c r="G3878" s="61">
        <v>1</v>
      </c>
      <c r="H3878" s="45">
        <v>15</v>
      </c>
      <c r="I3878" s="74">
        <v>6.7868399999999998</v>
      </c>
    </row>
    <row r="3879" spans="1:9" s="71" customFormat="1" ht="16.5" hidden="1" customHeight="1" outlineLevel="1" x14ac:dyDescent="0.25">
      <c r="A3879" s="74">
        <v>2659</v>
      </c>
      <c r="B3879" s="45" t="s">
        <v>664</v>
      </c>
      <c r="C3879" s="60" t="s">
        <v>3488</v>
      </c>
      <c r="D3879" s="60"/>
      <c r="E3879" s="74">
        <v>2022</v>
      </c>
      <c r="F3879" s="74" t="s">
        <v>489</v>
      </c>
      <c r="G3879" s="61">
        <v>1</v>
      </c>
      <c r="H3879" s="45">
        <v>15</v>
      </c>
      <c r="I3879" s="74">
        <v>8.1805699999999995</v>
      </c>
    </row>
    <row r="3880" spans="1:9" s="71" customFormat="1" ht="16.5" hidden="1" customHeight="1" outlineLevel="1" x14ac:dyDescent="0.25">
      <c r="A3880" s="74">
        <v>2660</v>
      </c>
      <c r="B3880" s="45" t="s">
        <v>664</v>
      </c>
      <c r="C3880" s="60" t="s">
        <v>3489</v>
      </c>
      <c r="D3880" s="60"/>
      <c r="E3880" s="74">
        <v>2022</v>
      </c>
      <c r="F3880" s="74" t="s">
        <v>489</v>
      </c>
      <c r="G3880" s="61">
        <v>1</v>
      </c>
      <c r="H3880" s="45">
        <v>15</v>
      </c>
      <c r="I3880" s="74">
        <v>10.613850000000001</v>
      </c>
    </row>
    <row r="3881" spans="1:9" s="71" customFormat="1" ht="16.5" hidden="1" customHeight="1" outlineLevel="1" x14ac:dyDescent="0.25">
      <c r="A3881" s="74">
        <v>2661</v>
      </c>
      <c r="B3881" s="45" t="s">
        <v>664</v>
      </c>
      <c r="C3881" s="60" t="s">
        <v>3490</v>
      </c>
      <c r="D3881" s="60"/>
      <c r="E3881" s="74">
        <v>2022</v>
      </c>
      <c r="F3881" s="74" t="s">
        <v>489</v>
      </c>
      <c r="G3881" s="61">
        <v>1</v>
      </c>
      <c r="H3881" s="45">
        <v>15</v>
      </c>
      <c r="I3881" s="74">
        <v>6.7868499999999994</v>
      </c>
    </row>
    <row r="3882" spans="1:9" s="71" customFormat="1" ht="16.5" hidden="1" customHeight="1" outlineLevel="1" x14ac:dyDescent="0.25">
      <c r="A3882" s="74">
        <v>2662</v>
      </c>
      <c r="B3882" s="45" t="s">
        <v>664</v>
      </c>
      <c r="C3882" s="60" t="s">
        <v>3491</v>
      </c>
      <c r="D3882" s="60"/>
      <c r="E3882" s="74">
        <v>2022</v>
      </c>
      <c r="F3882" s="74" t="s">
        <v>489</v>
      </c>
      <c r="G3882" s="61">
        <v>1</v>
      </c>
      <c r="H3882" s="45">
        <v>15</v>
      </c>
      <c r="I3882" s="74">
        <v>8.1803599999999985</v>
      </c>
    </row>
    <row r="3883" spans="1:9" s="71" customFormat="1" ht="16.5" hidden="1" customHeight="1" outlineLevel="1" x14ac:dyDescent="0.25">
      <c r="A3883" s="74">
        <v>2663</v>
      </c>
      <c r="B3883" s="45" t="s">
        <v>664</v>
      </c>
      <c r="C3883" s="60" t="s">
        <v>3492</v>
      </c>
      <c r="D3883" s="60"/>
      <c r="E3883" s="74">
        <v>2022</v>
      </c>
      <c r="F3883" s="74" t="s">
        <v>489</v>
      </c>
      <c r="G3883" s="61">
        <v>1</v>
      </c>
      <c r="H3883" s="45">
        <v>15</v>
      </c>
      <c r="I3883" s="74">
        <v>5.3933299999999997</v>
      </c>
    </row>
    <row r="3884" spans="1:9" s="71" customFormat="1" ht="16.5" hidden="1" customHeight="1" outlineLevel="1" x14ac:dyDescent="0.25">
      <c r="A3884" s="74">
        <v>2664</v>
      </c>
      <c r="B3884" s="45" t="s">
        <v>664</v>
      </c>
      <c r="C3884" s="60" t="s">
        <v>3493</v>
      </c>
      <c r="D3884" s="60"/>
      <c r="E3884" s="74">
        <v>2022</v>
      </c>
      <c r="F3884" s="74" t="s">
        <v>489</v>
      </c>
      <c r="G3884" s="61">
        <v>1</v>
      </c>
      <c r="H3884" s="45">
        <v>15</v>
      </c>
      <c r="I3884" s="74">
        <v>3.9998499999999999</v>
      </c>
    </row>
    <row r="3885" spans="1:9" s="71" customFormat="1" ht="16.5" hidden="1" customHeight="1" outlineLevel="1" x14ac:dyDescent="0.25">
      <c r="A3885" s="74">
        <v>2665</v>
      </c>
      <c r="B3885" s="45" t="s">
        <v>664</v>
      </c>
      <c r="C3885" s="60" t="s">
        <v>3494</v>
      </c>
      <c r="D3885" s="60"/>
      <c r="E3885" s="74">
        <v>2022</v>
      </c>
      <c r="F3885" s="74" t="s">
        <v>489</v>
      </c>
      <c r="G3885" s="61">
        <v>1</v>
      </c>
      <c r="H3885" s="45">
        <v>15</v>
      </c>
      <c r="I3885" s="74">
        <v>10.613860000000001</v>
      </c>
    </row>
    <row r="3886" spans="1:9" s="71" customFormat="1" ht="16.5" hidden="1" customHeight="1" outlineLevel="1" x14ac:dyDescent="0.25">
      <c r="A3886" s="74">
        <v>2666</v>
      </c>
      <c r="B3886" s="45" t="s">
        <v>664</v>
      </c>
      <c r="C3886" s="60" t="s">
        <v>3495</v>
      </c>
      <c r="D3886" s="60"/>
      <c r="E3886" s="74">
        <v>2022</v>
      </c>
      <c r="F3886" s="74" t="s">
        <v>489</v>
      </c>
      <c r="G3886" s="61">
        <v>1</v>
      </c>
      <c r="H3886" s="45">
        <v>15</v>
      </c>
      <c r="I3886" s="74">
        <v>18.62134</v>
      </c>
    </row>
    <row r="3887" spans="1:9" s="71" customFormat="1" ht="16.5" hidden="1" customHeight="1" outlineLevel="1" x14ac:dyDescent="0.25">
      <c r="A3887" s="74">
        <v>2667</v>
      </c>
      <c r="B3887" s="45" t="s">
        <v>664</v>
      </c>
      <c r="C3887" s="60" t="s">
        <v>3496</v>
      </c>
      <c r="D3887" s="60"/>
      <c r="E3887" s="74">
        <v>2022</v>
      </c>
      <c r="F3887" s="74" t="s">
        <v>489</v>
      </c>
      <c r="G3887" s="61">
        <v>1</v>
      </c>
      <c r="H3887" s="45">
        <v>15</v>
      </c>
      <c r="I3887" s="74">
        <v>5.3932900000000004</v>
      </c>
    </row>
    <row r="3888" spans="1:9" s="71" customFormat="1" ht="16.5" hidden="1" customHeight="1" outlineLevel="1" x14ac:dyDescent="0.25">
      <c r="A3888" s="74">
        <v>2668</v>
      </c>
      <c r="B3888" s="45" t="s">
        <v>664</v>
      </c>
      <c r="C3888" s="60" t="s">
        <v>3497</v>
      </c>
      <c r="D3888" s="60"/>
      <c r="E3888" s="74">
        <v>2022</v>
      </c>
      <c r="F3888" s="74" t="s">
        <v>489</v>
      </c>
      <c r="G3888" s="61">
        <v>1</v>
      </c>
      <c r="H3888" s="45">
        <v>15</v>
      </c>
      <c r="I3888" s="74">
        <v>5.3933200000000001</v>
      </c>
    </row>
    <row r="3889" spans="1:9" s="71" customFormat="1" ht="16.5" hidden="1" customHeight="1" outlineLevel="1" x14ac:dyDescent="0.25">
      <c r="A3889" s="74">
        <v>2669</v>
      </c>
      <c r="B3889" s="45" t="s">
        <v>664</v>
      </c>
      <c r="C3889" s="60" t="s">
        <v>3498</v>
      </c>
      <c r="D3889" s="60"/>
      <c r="E3889" s="74">
        <v>2022</v>
      </c>
      <c r="F3889" s="74" t="s">
        <v>489</v>
      </c>
      <c r="G3889" s="61">
        <v>1</v>
      </c>
      <c r="H3889" s="45">
        <v>9</v>
      </c>
      <c r="I3889" s="74">
        <v>6.7868500000000003</v>
      </c>
    </row>
    <row r="3890" spans="1:9" s="71" customFormat="1" ht="16.5" hidden="1" customHeight="1" outlineLevel="1" x14ac:dyDescent="0.25">
      <c r="A3890" s="74">
        <v>2670</v>
      </c>
      <c r="B3890" s="45" t="s">
        <v>664</v>
      </c>
      <c r="C3890" s="60" t="s">
        <v>3499</v>
      </c>
      <c r="D3890" s="60"/>
      <c r="E3890" s="74">
        <v>2022</v>
      </c>
      <c r="F3890" s="74" t="s">
        <v>489</v>
      </c>
      <c r="G3890" s="61">
        <v>1</v>
      </c>
      <c r="H3890" s="45">
        <v>10</v>
      </c>
      <c r="I3890" s="74">
        <v>5.3933299999999997</v>
      </c>
    </row>
    <row r="3891" spans="1:9" s="71" customFormat="1" ht="16.5" hidden="1" customHeight="1" outlineLevel="1" x14ac:dyDescent="0.25">
      <c r="A3891" s="74">
        <v>2671</v>
      </c>
      <c r="B3891" s="45" t="s">
        <v>664</v>
      </c>
      <c r="C3891" s="60" t="s">
        <v>3500</v>
      </c>
      <c r="D3891" s="60"/>
      <c r="E3891" s="74">
        <v>2022</v>
      </c>
      <c r="F3891" s="74" t="s">
        <v>489</v>
      </c>
      <c r="G3891" s="61">
        <v>1</v>
      </c>
      <c r="H3891" s="45">
        <v>15</v>
      </c>
      <c r="I3891" s="74">
        <v>5.3933</v>
      </c>
    </row>
    <row r="3892" spans="1:9" s="71" customFormat="1" ht="16.5" hidden="1" customHeight="1" outlineLevel="1" x14ac:dyDescent="0.25">
      <c r="A3892" s="74">
        <v>2672</v>
      </c>
      <c r="B3892" s="45" t="s">
        <v>664</v>
      </c>
      <c r="C3892" s="60" t="s">
        <v>3501</v>
      </c>
      <c r="D3892" s="60"/>
      <c r="E3892" s="74">
        <v>2022</v>
      </c>
      <c r="F3892" s="74" t="s">
        <v>489</v>
      </c>
      <c r="G3892" s="61">
        <v>1</v>
      </c>
      <c r="H3892" s="45">
        <v>14.3</v>
      </c>
      <c r="I3892" s="74">
        <v>24.375060000000001</v>
      </c>
    </row>
    <row r="3893" spans="1:9" s="71" customFormat="1" ht="16.5" hidden="1" customHeight="1" outlineLevel="1" x14ac:dyDescent="0.25">
      <c r="A3893" s="74">
        <v>2673</v>
      </c>
      <c r="B3893" s="45" t="s">
        <v>664</v>
      </c>
      <c r="C3893" s="60" t="s">
        <v>3502</v>
      </c>
      <c r="D3893" s="60"/>
      <c r="E3893" s="74">
        <v>2022</v>
      </c>
      <c r="F3893" s="74" t="s">
        <v>489</v>
      </c>
      <c r="G3893" s="61">
        <v>1</v>
      </c>
      <c r="H3893" s="45">
        <v>2</v>
      </c>
      <c r="I3893" s="74">
        <v>39.298390000000005</v>
      </c>
    </row>
    <row r="3894" spans="1:9" s="71" customFormat="1" ht="16.5" hidden="1" customHeight="1" outlineLevel="1" x14ac:dyDescent="0.25">
      <c r="A3894" s="74">
        <v>2674</v>
      </c>
      <c r="B3894" s="45" t="s">
        <v>664</v>
      </c>
      <c r="C3894" s="60" t="s">
        <v>3503</v>
      </c>
      <c r="D3894" s="60"/>
      <c r="E3894" s="74">
        <v>2022</v>
      </c>
      <c r="F3894" s="74" t="s">
        <v>489</v>
      </c>
      <c r="G3894" s="61">
        <v>1</v>
      </c>
      <c r="H3894" s="45">
        <v>5</v>
      </c>
      <c r="I3894" s="74">
        <v>26.747889999999998</v>
      </c>
    </row>
    <row r="3895" spans="1:9" s="71" customFormat="1" ht="16.5" hidden="1" customHeight="1" outlineLevel="1" x14ac:dyDescent="0.25">
      <c r="A3895" s="74">
        <v>2675</v>
      </c>
      <c r="B3895" s="45" t="s">
        <v>664</v>
      </c>
      <c r="C3895" s="60" t="s">
        <v>3504</v>
      </c>
      <c r="D3895" s="60"/>
      <c r="E3895" s="74">
        <v>2022</v>
      </c>
      <c r="F3895" s="74" t="s">
        <v>489</v>
      </c>
      <c r="G3895" s="61">
        <v>1</v>
      </c>
      <c r="H3895" s="45">
        <v>15</v>
      </c>
      <c r="I3895" s="74">
        <v>38.732240000000004</v>
      </c>
    </row>
    <row r="3896" spans="1:9" s="71" customFormat="1" ht="16.5" hidden="1" customHeight="1" outlineLevel="1" x14ac:dyDescent="0.25">
      <c r="A3896" s="74">
        <v>2676</v>
      </c>
      <c r="B3896" s="45" t="s">
        <v>664</v>
      </c>
      <c r="C3896" s="60" t="s">
        <v>3505</v>
      </c>
      <c r="D3896" s="60"/>
      <c r="E3896" s="74">
        <v>2022</v>
      </c>
      <c r="F3896" s="74" t="s">
        <v>489</v>
      </c>
      <c r="G3896" s="61">
        <v>1</v>
      </c>
      <c r="H3896" s="45">
        <v>12.5</v>
      </c>
      <c r="I3896" s="74">
        <v>41.368750000000006</v>
      </c>
    </row>
    <row r="3897" spans="1:9" s="71" customFormat="1" ht="16.5" hidden="1" customHeight="1" outlineLevel="1" x14ac:dyDescent="0.25">
      <c r="A3897" s="74">
        <v>2677</v>
      </c>
      <c r="B3897" s="45" t="s">
        <v>664</v>
      </c>
      <c r="C3897" s="60" t="s">
        <v>3506</v>
      </c>
      <c r="D3897" s="60"/>
      <c r="E3897" s="74">
        <v>2022</v>
      </c>
      <c r="F3897" s="74" t="s">
        <v>489</v>
      </c>
      <c r="G3897" s="61">
        <v>1</v>
      </c>
      <c r="H3897" s="45">
        <v>15</v>
      </c>
      <c r="I3897" s="74">
        <v>38.732250000000001</v>
      </c>
    </row>
    <row r="3898" spans="1:9" s="71" customFormat="1" ht="16.5" hidden="1" customHeight="1" outlineLevel="1" x14ac:dyDescent="0.25">
      <c r="A3898" s="74">
        <v>2678</v>
      </c>
      <c r="B3898" s="45" t="s">
        <v>664</v>
      </c>
      <c r="C3898" s="60" t="s">
        <v>3507</v>
      </c>
      <c r="D3898" s="60"/>
      <c r="E3898" s="74">
        <v>2022</v>
      </c>
      <c r="F3898" s="74" t="s">
        <v>489</v>
      </c>
      <c r="G3898" s="61">
        <v>1</v>
      </c>
      <c r="H3898" s="45">
        <v>1</v>
      </c>
      <c r="I3898" s="74">
        <v>40.077639999999995</v>
      </c>
    </row>
    <row r="3899" spans="1:9" s="71" customFormat="1" ht="16.5" hidden="1" customHeight="1" outlineLevel="1" x14ac:dyDescent="0.25">
      <c r="A3899" s="74">
        <v>2679</v>
      </c>
      <c r="B3899" s="45" t="s">
        <v>664</v>
      </c>
      <c r="C3899" s="60" t="s">
        <v>3508</v>
      </c>
      <c r="D3899" s="60"/>
      <c r="E3899" s="74">
        <v>2022</v>
      </c>
      <c r="F3899" s="74" t="s">
        <v>489</v>
      </c>
      <c r="G3899" s="61">
        <v>1</v>
      </c>
      <c r="H3899" s="45">
        <v>150</v>
      </c>
      <c r="I3899" s="74">
        <v>114.57234</v>
      </c>
    </row>
    <row r="3900" spans="1:9" s="71" customFormat="1" ht="16.5" hidden="1" customHeight="1" outlineLevel="1" x14ac:dyDescent="0.25">
      <c r="A3900" s="74">
        <v>2680</v>
      </c>
      <c r="B3900" s="45" t="s">
        <v>664</v>
      </c>
      <c r="C3900" s="60" t="s">
        <v>3509</v>
      </c>
      <c r="D3900" s="60"/>
      <c r="E3900" s="74">
        <v>2022</v>
      </c>
      <c r="F3900" s="74" t="s">
        <v>489</v>
      </c>
      <c r="G3900" s="61">
        <v>1</v>
      </c>
      <c r="H3900" s="45">
        <v>100</v>
      </c>
      <c r="I3900" s="74">
        <v>113.67014</v>
      </c>
    </row>
    <row r="3901" spans="1:9" s="71" customFormat="1" ht="16.5" hidden="1" customHeight="1" outlineLevel="1" x14ac:dyDescent="0.25">
      <c r="A3901" s="74">
        <v>2681</v>
      </c>
      <c r="B3901" s="45" t="s">
        <v>664</v>
      </c>
      <c r="C3901" s="60" t="s">
        <v>3510</v>
      </c>
      <c r="D3901" s="60"/>
      <c r="E3901" s="74">
        <v>2022</v>
      </c>
      <c r="F3901" s="74" t="s">
        <v>489</v>
      </c>
      <c r="G3901" s="61">
        <v>1</v>
      </c>
      <c r="H3901" s="45">
        <v>135</v>
      </c>
      <c r="I3901" s="74">
        <v>113.85755999999999</v>
      </c>
    </row>
    <row r="3902" spans="1:9" s="71" customFormat="1" ht="16.5" hidden="1" customHeight="1" outlineLevel="1" x14ac:dyDescent="0.25">
      <c r="A3902" s="74">
        <v>2682</v>
      </c>
      <c r="B3902" s="45" t="s">
        <v>664</v>
      </c>
      <c r="C3902" s="60" t="s">
        <v>3511</v>
      </c>
      <c r="D3902" s="60"/>
      <c r="E3902" s="74">
        <v>2022</v>
      </c>
      <c r="F3902" s="74" t="s">
        <v>489</v>
      </c>
      <c r="G3902" s="61">
        <v>1</v>
      </c>
      <c r="H3902" s="45">
        <v>2</v>
      </c>
      <c r="I3902" s="74">
        <v>21.436130000000002</v>
      </c>
    </row>
    <row r="3903" spans="1:9" s="71" customFormat="1" ht="16.5" hidden="1" customHeight="1" outlineLevel="1" x14ac:dyDescent="0.25">
      <c r="A3903" s="74">
        <v>2683</v>
      </c>
      <c r="B3903" s="45" t="s">
        <v>664</v>
      </c>
      <c r="C3903" s="60" t="s">
        <v>3512</v>
      </c>
      <c r="D3903" s="60"/>
      <c r="E3903" s="74">
        <v>2022</v>
      </c>
      <c r="F3903" s="74" t="s">
        <v>489</v>
      </c>
      <c r="G3903" s="61">
        <v>1</v>
      </c>
      <c r="H3903" s="45">
        <v>50</v>
      </c>
      <c r="I3903" s="74">
        <v>22.002219999999998</v>
      </c>
    </row>
    <row r="3904" spans="1:9" s="71" customFormat="1" ht="16.5" hidden="1" customHeight="1" outlineLevel="1" x14ac:dyDescent="0.25">
      <c r="A3904" s="74">
        <v>2684</v>
      </c>
      <c r="B3904" s="45" t="s">
        <v>664</v>
      </c>
      <c r="C3904" s="60" t="s">
        <v>3513</v>
      </c>
      <c r="D3904" s="60"/>
      <c r="E3904" s="74">
        <v>2022</v>
      </c>
      <c r="F3904" s="74" t="s">
        <v>489</v>
      </c>
      <c r="G3904" s="61">
        <v>1</v>
      </c>
      <c r="H3904" s="45">
        <v>150</v>
      </c>
      <c r="I3904" s="74">
        <v>115.46923</v>
      </c>
    </row>
    <row r="3905" spans="1:9" s="71" customFormat="1" ht="16.5" hidden="1" customHeight="1" outlineLevel="1" x14ac:dyDescent="0.25">
      <c r="A3905" s="74">
        <v>2685</v>
      </c>
      <c r="B3905" s="45" t="s">
        <v>664</v>
      </c>
      <c r="C3905" s="60" t="s">
        <v>3514</v>
      </c>
      <c r="D3905" s="60"/>
      <c r="E3905" s="74">
        <v>2022</v>
      </c>
      <c r="F3905" s="74" t="s">
        <v>489</v>
      </c>
      <c r="G3905" s="61">
        <v>1</v>
      </c>
      <c r="H3905" s="45">
        <v>6</v>
      </c>
      <c r="I3905" s="74">
        <v>20.684010000000001</v>
      </c>
    </row>
    <row r="3906" spans="1:9" s="71" customFormat="1" ht="16.5" hidden="1" customHeight="1" outlineLevel="1" x14ac:dyDescent="0.25">
      <c r="A3906" s="74">
        <v>2686</v>
      </c>
      <c r="B3906" s="45" t="s">
        <v>664</v>
      </c>
      <c r="C3906" s="60" t="s">
        <v>3515</v>
      </c>
      <c r="D3906" s="60"/>
      <c r="E3906" s="74">
        <v>2022</v>
      </c>
      <c r="F3906" s="74" t="s">
        <v>489</v>
      </c>
      <c r="G3906" s="61">
        <v>1</v>
      </c>
      <c r="H3906" s="45">
        <v>5</v>
      </c>
      <c r="I3906" s="74">
        <v>20.68402</v>
      </c>
    </row>
    <row r="3907" spans="1:9" s="71" customFormat="1" ht="16.5" hidden="1" customHeight="1" outlineLevel="1" x14ac:dyDescent="0.25">
      <c r="A3907" s="74">
        <v>2687</v>
      </c>
      <c r="B3907" s="45" t="s">
        <v>664</v>
      </c>
      <c r="C3907" s="60" t="s">
        <v>3516</v>
      </c>
      <c r="D3907" s="60"/>
      <c r="E3907" s="74">
        <v>2022</v>
      </c>
      <c r="F3907" s="74" t="s">
        <v>489</v>
      </c>
      <c r="G3907" s="61">
        <v>1</v>
      </c>
      <c r="H3907" s="45">
        <v>1</v>
      </c>
      <c r="I3907" s="74">
        <v>41.395870000000002</v>
      </c>
    </row>
    <row r="3908" spans="1:9" s="71" customFormat="1" ht="16.5" hidden="1" customHeight="1" outlineLevel="1" x14ac:dyDescent="0.25">
      <c r="A3908" s="74">
        <v>2688</v>
      </c>
      <c r="B3908" s="45" t="s">
        <v>664</v>
      </c>
      <c r="C3908" s="60" t="s">
        <v>3517</v>
      </c>
      <c r="D3908" s="60"/>
      <c r="E3908" s="74">
        <v>2022</v>
      </c>
      <c r="F3908" s="74" t="s">
        <v>489</v>
      </c>
      <c r="G3908" s="61">
        <v>1</v>
      </c>
      <c r="H3908" s="45">
        <v>15</v>
      </c>
      <c r="I3908" s="74">
        <v>19.551759999999998</v>
      </c>
    </row>
    <row r="3909" spans="1:9" s="71" customFormat="1" ht="16.5" hidden="1" customHeight="1" outlineLevel="1" x14ac:dyDescent="0.25">
      <c r="A3909" s="74">
        <v>2689</v>
      </c>
      <c r="B3909" s="45" t="s">
        <v>664</v>
      </c>
      <c r="C3909" s="60" t="s">
        <v>3518</v>
      </c>
      <c r="D3909" s="60"/>
      <c r="E3909" s="74">
        <v>2022</v>
      </c>
      <c r="F3909" s="74" t="s">
        <v>489</v>
      </c>
      <c r="G3909" s="61">
        <v>1</v>
      </c>
      <c r="H3909" s="45">
        <v>15</v>
      </c>
      <c r="I3909" s="74">
        <v>42.159649999999999</v>
      </c>
    </row>
    <row r="3910" spans="1:9" s="71" customFormat="1" ht="16.5" hidden="1" customHeight="1" outlineLevel="1" x14ac:dyDescent="0.25">
      <c r="A3910" s="74">
        <v>2690</v>
      </c>
      <c r="B3910" s="45" t="s">
        <v>664</v>
      </c>
      <c r="C3910" s="60" t="s">
        <v>3519</v>
      </c>
      <c r="D3910" s="60"/>
      <c r="E3910" s="74">
        <v>2022</v>
      </c>
      <c r="F3910" s="74" t="s">
        <v>489</v>
      </c>
      <c r="G3910" s="61">
        <v>1</v>
      </c>
      <c r="H3910" s="45">
        <v>5</v>
      </c>
      <c r="I3910" s="74">
        <v>27.43336</v>
      </c>
    </row>
    <row r="3911" spans="1:9" s="71" customFormat="1" ht="16.5" hidden="1" customHeight="1" outlineLevel="1" x14ac:dyDescent="0.25">
      <c r="A3911" s="74">
        <v>2691</v>
      </c>
      <c r="B3911" s="45" t="s">
        <v>664</v>
      </c>
      <c r="C3911" s="60" t="s">
        <v>3520</v>
      </c>
      <c r="D3911" s="60"/>
      <c r="E3911" s="74">
        <v>2022</v>
      </c>
      <c r="F3911" s="74" t="s">
        <v>489</v>
      </c>
      <c r="G3911" s="61">
        <v>1</v>
      </c>
      <c r="H3911" s="45">
        <v>10</v>
      </c>
      <c r="I3911" s="74">
        <v>28.85707</v>
      </c>
    </row>
    <row r="3912" spans="1:9" s="71" customFormat="1" ht="16.5" hidden="1" customHeight="1" outlineLevel="1" x14ac:dyDescent="0.25">
      <c r="A3912" s="74">
        <v>2692</v>
      </c>
      <c r="B3912" s="45" t="s">
        <v>664</v>
      </c>
      <c r="C3912" s="60" t="s">
        <v>3521</v>
      </c>
      <c r="D3912" s="60"/>
      <c r="E3912" s="74">
        <v>2022</v>
      </c>
      <c r="F3912" s="74" t="s">
        <v>489</v>
      </c>
      <c r="G3912" s="61">
        <v>1</v>
      </c>
      <c r="H3912" s="45">
        <v>1</v>
      </c>
      <c r="I3912" s="74">
        <v>24.111400000000003</v>
      </c>
    </row>
    <row r="3913" spans="1:9" s="71" customFormat="1" ht="16.5" hidden="1" customHeight="1" outlineLevel="1" x14ac:dyDescent="0.25">
      <c r="A3913" s="74">
        <v>2693</v>
      </c>
      <c r="B3913" s="45" t="s">
        <v>664</v>
      </c>
      <c r="C3913" s="60" t="s">
        <v>3522</v>
      </c>
      <c r="D3913" s="60"/>
      <c r="E3913" s="74">
        <v>2022</v>
      </c>
      <c r="F3913" s="74" t="s">
        <v>489</v>
      </c>
      <c r="G3913" s="61">
        <v>1</v>
      </c>
      <c r="H3913" s="45">
        <v>1</v>
      </c>
      <c r="I3913" s="74">
        <v>41.923099999999998</v>
      </c>
    </row>
    <row r="3914" spans="1:9" s="71" customFormat="1" ht="16.5" hidden="1" customHeight="1" outlineLevel="1" x14ac:dyDescent="0.25">
      <c r="A3914" s="74">
        <v>2694</v>
      </c>
      <c r="B3914" s="45" t="s">
        <v>664</v>
      </c>
      <c r="C3914" s="60" t="s">
        <v>3523</v>
      </c>
      <c r="D3914" s="60"/>
      <c r="E3914" s="74">
        <v>2022</v>
      </c>
      <c r="F3914" s="74" t="s">
        <v>489</v>
      </c>
      <c r="G3914" s="61">
        <v>1</v>
      </c>
      <c r="H3914" s="45">
        <v>14</v>
      </c>
      <c r="I3914" s="74">
        <v>27.725260000000002</v>
      </c>
    </row>
    <row r="3915" spans="1:9" s="71" customFormat="1" ht="16.5" hidden="1" customHeight="1" outlineLevel="1" x14ac:dyDescent="0.25">
      <c r="A3915" s="74">
        <v>2695</v>
      </c>
      <c r="B3915" s="45" t="s">
        <v>664</v>
      </c>
      <c r="C3915" s="60" t="s">
        <v>3524</v>
      </c>
      <c r="D3915" s="60"/>
      <c r="E3915" s="74">
        <v>2022</v>
      </c>
      <c r="F3915" s="74" t="s">
        <v>489</v>
      </c>
      <c r="G3915" s="61">
        <v>1</v>
      </c>
      <c r="H3915" s="45">
        <v>14</v>
      </c>
      <c r="I3915" s="74">
        <v>27.698090000000001</v>
      </c>
    </row>
    <row r="3916" spans="1:9" s="71" customFormat="1" ht="16.5" hidden="1" customHeight="1" outlineLevel="1" x14ac:dyDescent="0.25">
      <c r="A3916" s="74">
        <v>2696</v>
      </c>
      <c r="B3916" s="45" t="s">
        <v>664</v>
      </c>
      <c r="C3916" s="60" t="s">
        <v>3525</v>
      </c>
      <c r="D3916" s="60"/>
      <c r="E3916" s="74">
        <v>2022</v>
      </c>
      <c r="F3916" s="74" t="s">
        <v>489</v>
      </c>
      <c r="G3916" s="61">
        <v>1</v>
      </c>
      <c r="H3916" s="45">
        <v>14</v>
      </c>
      <c r="I3916" s="74">
        <v>26.670729999999999</v>
      </c>
    </row>
    <row r="3917" spans="1:9" s="71" customFormat="1" ht="16.5" hidden="1" customHeight="1" outlineLevel="1" x14ac:dyDescent="0.25">
      <c r="A3917" s="74">
        <v>2697</v>
      </c>
      <c r="B3917" s="45" t="s">
        <v>664</v>
      </c>
      <c r="C3917" s="60" t="s">
        <v>3526</v>
      </c>
      <c r="D3917" s="60"/>
      <c r="E3917" s="74">
        <v>2022</v>
      </c>
      <c r="F3917" s="74" t="s">
        <v>489</v>
      </c>
      <c r="G3917" s="61">
        <v>1</v>
      </c>
      <c r="H3917" s="45">
        <v>14</v>
      </c>
      <c r="I3917" s="74">
        <v>26.670700000000004</v>
      </c>
    </row>
    <row r="3918" spans="1:9" s="71" customFormat="1" ht="16.5" hidden="1" customHeight="1" outlineLevel="1" x14ac:dyDescent="0.25">
      <c r="A3918" s="74">
        <v>2698</v>
      </c>
      <c r="B3918" s="45" t="s">
        <v>664</v>
      </c>
      <c r="C3918" s="60" t="s">
        <v>3527</v>
      </c>
      <c r="D3918" s="60"/>
      <c r="E3918" s="74">
        <v>2022</v>
      </c>
      <c r="F3918" s="74" t="s">
        <v>489</v>
      </c>
      <c r="G3918" s="61">
        <v>1</v>
      </c>
      <c r="H3918" s="45">
        <v>14</v>
      </c>
      <c r="I3918" s="74">
        <v>26.608730000000001</v>
      </c>
    </row>
    <row r="3919" spans="1:9" s="71" customFormat="1" ht="16.5" hidden="1" customHeight="1" outlineLevel="1" x14ac:dyDescent="0.25">
      <c r="A3919" s="74">
        <v>5579</v>
      </c>
      <c r="B3919" s="45" t="s">
        <v>664</v>
      </c>
      <c r="C3919" s="60" t="s">
        <v>3528</v>
      </c>
      <c r="D3919" s="60"/>
      <c r="E3919" s="74">
        <v>2022</v>
      </c>
      <c r="F3919" s="74" t="s">
        <v>489</v>
      </c>
      <c r="G3919" s="61">
        <v>1</v>
      </c>
      <c r="H3919" s="45">
        <v>50</v>
      </c>
      <c r="I3919" s="74">
        <v>39.200000000000003</v>
      </c>
    </row>
    <row r="3920" spans="1:9" s="71" customFormat="1" ht="16.5" hidden="1" customHeight="1" outlineLevel="1" x14ac:dyDescent="0.25">
      <c r="A3920" s="74">
        <v>5443</v>
      </c>
      <c r="B3920" s="45" t="s">
        <v>664</v>
      </c>
      <c r="C3920" s="60" t="s">
        <v>3529</v>
      </c>
      <c r="D3920" s="60"/>
      <c r="E3920" s="74">
        <v>2022</v>
      </c>
      <c r="F3920" s="74" t="s">
        <v>489</v>
      </c>
      <c r="G3920" s="61">
        <v>1</v>
      </c>
      <c r="H3920" s="45">
        <v>10</v>
      </c>
      <c r="I3920" s="74">
        <v>42.457999999999998</v>
      </c>
    </row>
    <row r="3921" spans="1:9" s="71" customFormat="1" ht="16.5" hidden="1" customHeight="1" outlineLevel="1" x14ac:dyDescent="0.25">
      <c r="A3921" s="74">
        <v>5499</v>
      </c>
      <c r="B3921" s="45" t="s">
        <v>664</v>
      </c>
      <c r="C3921" s="60" t="s">
        <v>3530</v>
      </c>
      <c r="D3921" s="60"/>
      <c r="E3921" s="74">
        <v>2022</v>
      </c>
      <c r="F3921" s="74" t="s">
        <v>489</v>
      </c>
      <c r="G3921" s="61">
        <v>1</v>
      </c>
      <c r="H3921" s="45">
        <v>15</v>
      </c>
      <c r="I3921" s="74">
        <v>67.95</v>
      </c>
    </row>
    <row r="3922" spans="1:9" s="71" customFormat="1" ht="16.5" hidden="1" customHeight="1" outlineLevel="1" x14ac:dyDescent="0.25">
      <c r="A3922" s="74">
        <v>5502</v>
      </c>
      <c r="B3922" s="45" t="s">
        <v>664</v>
      </c>
      <c r="C3922" s="60" t="s">
        <v>3531</v>
      </c>
      <c r="D3922" s="60"/>
      <c r="E3922" s="74">
        <v>2022</v>
      </c>
      <c r="F3922" s="74" t="s">
        <v>489</v>
      </c>
      <c r="G3922" s="61">
        <v>1</v>
      </c>
      <c r="H3922" s="45">
        <v>62</v>
      </c>
      <c r="I3922" s="74">
        <v>71.269000000000005</v>
      </c>
    </row>
    <row r="3923" spans="1:9" s="71" customFormat="1" ht="16.5" hidden="1" customHeight="1" outlineLevel="1" x14ac:dyDescent="0.25">
      <c r="A3923" s="74">
        <v>5544</v>
      </c>
      <c r="B3923" s="45" t="s">
        <v>664</v>
      </c>
      <c r="C3923" s="60" t="s">
        <v>3532</v>
      </c>
      <c r="D3923" s="60"/>
      <c r="E3923" s="74">
        <v>2022</v>
      </c>
      <c r="F3923" s="74" t="s">
        <v>489</v>
      </c>
      <c r="G3923" s="61">
        <v>1</v>
      </c>
      <c r="H3923" s="45">
        <v>60</v>
      </c>
      <c r="I3923" s="74">
        <v>40.546999999999997</v>
      </c>
    </row>
    <row r="3924" spans="1:9" s="71" customFormat="1" ht="16.5" hidden="1" customHeight="1" outlineLevel="1" x14ac:dyDescent="0.25">
      <c r="A3924" s="74">
        <v>5576</v>
      </c>
      <c r="B3924" s="45" t="s">
        <v>664</v>
      </c>
      <c r="C3924" s="60" t="s">
        <v>3533</v>
      </c>
      <c r="D3924" s="60"/>
      <c r="E3924" s="74">
        <v>2022</v>
      </c>
      <c r="F3924" s="74" t="s">
        <v>489</v>
      </c>
      <c r="G3924" s="61">
        <v>3</v>
      </c>
      <c r="H3924" s="45">
        <v>28</v>
      </c>
      <c r="I3924" s="74">
        <v>107.672</v>
      </c>
    </row>
    <row r="3925" spans="1:9" s="71" customFormat="1" ht="16.5" hidden="1" customHeight="1" outlineLevel="1" x14ac:dyDescent="0.25">
      <c r="A3925" s="74">
        <v>5603</v>
      </c>
      <c r="B3925" s="45" t="s">
        <v>664</v>
      </c>
      <c r="C3925" s="60" t="s">
        <v>3534</v>
      </c>
      <c r="D3925" s="60"/>
      <c r="E3925" s="74">
        <v>2022</v>
      </c>
      <c r="F3925" s="74" t="s">
        <v>489</v>
      </c>
      <c r="G3925" s="61">
        <v>1</v>
      </c>
      <c r="H3925" s="45">
        <v>8</v>
      </c>
      <c r="I3925" s="74">
        <v>46.372</v>
      </c>
    </row>
    <row r="3926" spans="1:9" s="71" customFormat="1" ht="16.5" hidden="1" customHeight="1" outlineLevel="1" x14ac:dyDescent="0.25">
      <c r="A3926" s="74">
        <v>5435</v>
      </c>
      <c r="B3926" s="45" t="s">
        <v>664</v>
      </c>
      <c r="C3926" s="60" t="s">
        <v>3535</v>
      </c>
      <c r="D3926" s="60"/>
      <c r="E3926" s="74">
        <v>2022</v>
      </c>
      <c r="F3926" s="74" t="s">
        <v>489</v>
      </c>
      <c r="G3926" s="61">
        <v>1</v>
      </c>
      <c r="H3926" s="45">
        <v>15</v>
      </c>
      <c r="I3926" s="74">
        <v>44.49</v>
      </c>
    </row>
    <row r="3927" spans="1:9" s="71" customFormat="1" ht="16.5" hidden="1" customHeight="1" outlineLevel="1" x14ac:dyDescent="0.25">
      <c r="A3927" s="74">
        <v>5898</v>
      </c>
      <c r="B3927" s="45" t="s">
        <v>664</v>
      </c>
      <c r="C3927" s="60" t="s">
        <v>3536</v>
      </c>
      <c r="D3927" s="60"/>
      <c r="E3927" s="74">
        <v>2022</v>
      </c>
      <c r="F3927" s="74" t="s">
        <v>489</v>
      </c>
      <c r="G3927" s="61">
        <v>1</v>
      </c>
      <c r="H3927" s="45">
        <v>10</v>
      </c>
      <c r="I3927" s="74">
        <v>45.12</v>
      </c>
    </row>
    <row r="3928" spans="1:9" s="71" customFormat="1" ht="16.5" hidden="1" customHeight="1" outlineLevel="1" x14ac:dyDescent="0.25">
      <c r="A3928" s="74">
        <v>5655</v>
      </c>
      <c r="B3928" s="45" t="s">
        <v>664</v>
      </c>
      <c r="C3928" s="60" t="s">
        <v>3537</v>
      </c>
      <c r="D3928" s="60"/>
      <c r="E3928" s="74">
        <v>2022</v>
      </c>
      <c r="F3928" s="74" t="s">
        <v>489</v>
      </c>
      <c r="G3928" s="61">
        <v>1</v>
      </c>
      <c r="H3928" s="45">
        <v>8</v>
      </c>
      <c r="I3928" s="74">
        <v>68.491</v>
      </c>
    </row>
    <row r="3929" spans="1:9" s="71" customFormat="1" ht="16.5" hidden="1" customHeight="1" outlineLevel="1" x14ac:dyDescent="0.25">
      <c r="A3929" s="74">
        <v>5446</v>
      </c>
      <c r="B3929" s="45" t="s">
        <v>664</v>
      </c>
      <c r="C3929" s="60" t="s">
        <v>3538</v>
      </c>
      <c r="D3929" s="60"/>
      <c r="E3929" s="74">
        <v>2022</v>
      </c>
      <c r="F3929" s="74" t="s">
        <v>489</v>
      </c>
      <c r="G3929" s="61">
        <v>1</v>
      </c>
      <c r="H3929" s="45">
        <v>15</v>
      </c>
      <c r="I3929" s="74">
        <v>55.405000000000001</v>
      </c>
    </row>
    <row r="3930" spans="1:9" s="71" customFormat="1" ht="16.5" hidden="1" customHeight="1" outlineLevel="1" x14ac:dyDescent="0.25">
      <c r="A3930" s="74">
        <v>5447</v>
      </c>
      <c r="B3930" s="45" t="s">
        <v>664</v>
      </c>
      <c r="C3930" s="60" t="s">
        <v>3539</v>
      </c>
      <c r="D3930" s="60"/>
      <c r="E3930" s="74">
        <v>2022</v>
      </c>
      <c r="F3930" s="74" t="s">
        <v>489</v>
      </c>
      <c r="G3930" s="61">
        <v>1</v>
      </c>
      <c r="H3930" s="45">
        <v>15</v>
      </c>
      <c r="I3930" s="74">
        <v>63.231999999999999</v>
      </c>
    </row>
    <row r="3931" spans="1:9" s="71" customFormat="1" ht="16.5" hidden="1" customHeight="1" outlineLevel="1" x14ac:dyDescent="0.25">
      <c r="A3931" s="74">
        <v>5457</v>
      </c>
      <c r="B3931" s="45" t="s">
        <v>664</v>
      </c>
      <c r="C3931" s="60" t="s">
        <v>3540</v>
      </c>
      <c r="D3931" s="60"/>
      <c r="E3931" s="74">
        <v>2022</v>
      </c>
      <c r="F3931" s="74" t="s">
        <v>489</v>
      </c>
      <c r="G3931" s="61">
        <v>1</v>
      </c>
      <c r="H3931" s="45">
        <v>15</v>
      </c>
      <c r="I3931" s="74">
        <v>53.963999999999999</v>
      </c>
    </row>
    <row r="3932" spans="1:9" s="71" customFormat="1" ht="16.5" hidden="1" customHeight="1" outlineLevel="1" x14ac:dyDescent="0.25">
      <c r="A3932" s="74">
        <v>5455</v>
      </c>
      <c r="B3932" s="45" t="s">
        <v>664</v>
      </c>
      <c r="C3932" s="60" t="s">
        <v>3541</v>
      </c>
      <c r="D3932" s="60"/>
      <c r="E3932" s="74">
        <v>2022</v>
      </c>
      <c r="F3932" s="74" t="s">
        <v>489</v>
      </c>
      <c r="G3932" s="61">
        <v>1</v>
      </c>
      <c r="H3932" s="45">
        <v>15</v>
      </c>
      <c r="I3932" s="74">
        <v>41.716000000000001</v>
      </c>
    </row>
    <row r="3933" spans="1:9" s="71" customFormat="1" ht="16.5" hidden="1" customHeight="1" outlineLevel="1" x14ac:dyDescent="0.25">
      <c r="A3933" s="74">
        <v>5431</v>
      </c>
      <c r="B3933" s="45" t="s">
        <v>664</v>
      </c>
      <c r="C3933" s="60" t="s">
        <v>3542</v>
      </c>
      <c r="D3933" s="60"/>
      <c r="E3933" s="74">
        <v>2022</v>
      </c>
      <c r="F3933" s="74" t="s">
        <v>489</v>
      </c>
      <c r="G3933" s="61">
        <v>1</v>
      </c>
      <c r="H3933" s="45">
        <v>15</v>
      </c>
      <c r="I3933" s="74">
        <v>38.789000000000001</v>
      </c>
    </row>
    <row r="3934" spans="1:9" s="71" customFormat="1" ht="16.5" hidden="1" customHeight="1" outlineLevel="1" x14ac:dyDescent="0.25">
      <c r="A3934" s="74">
        <v>5591</v>
      </c>
      <c r="B3934" s="45" t="s">
        <v>664</v>
      </c>
      <c r="C3934" s="60" t="s">
        <v>3543</v>
      </c>
      <c r="D3934" s="60"/>
      <c r="E3934" s="74">
        <v>2022</v>
      </c>
      <c r="F3934" s="74" t="s">
        <v>489</v>
      </c>
      <c r="G3934" s="61">
        <v>1</v>
      </c>
      <c r="H3934" s="45">
        <v>15</v>
      </c>
      <c r="I3934" s="74">
        <v>33.448</v>
      </c>
    </row>
    <row r="3935" spans="1:9" s="71" customFormat="1" ht="16.5" hidden="1" customHeight="1" outlineLevel="1" x14ac:dyDescent="0.25">
      <c r="A3935" s="74">
        <v>5593</v>
      </c>
      <c r="B3935" s="45" t="s">
        <v>664</v>
      </c>
      <c r="C3935" s="60" t="s">
        <v>3544</v>
      </c>
      <c r="D3935" s="60"/>
      <c r="E3935" s="74">
        <v>2022</v>
      </c>
      <c r="F3935" s="74" t="s">
        <v>489</v>
      </c>
      <c r="G3935" s="61">
        <v>1</v>
      </c>
      <c r="H3935" s="45">
        <v>15</v>
      </c>
      <c r="I3935" s="74">
        <v>32.645000000000003</v>
      </c>
    </row>
    <row r="3936" spans="1:9" s="71" customFormat="1" ht="16.5" hidden="1" customHeight="1" outlineLevel="1" x14ac:dyDescent="0.25">
      <c r="A3936" s="74">
        <v>5645</v>
      </c>
      <c r="B3936" s="45" t="s">
        <v>664</v>
      </c>
      <c r="C3936" s="60" t="s">
        <v>3545</v>
      </c>
      <c r="D3936" s="60"/>
      <c r="E3936" s="74">
        <v>2022</v>
      </c>
      <c r="F3936" s="74" t="s">
        <v>489</v>
      </c>
      <c r="G3936" s="61">
        <v>1</v>
      </c>
      <c r="H3936" s="45">
        <v>10</v>
      </c>
      <c r="I3936" s="74">
        <v>28.876999999999999</v>
      </c>
    </row>
    <row r="3937" spans="1:9" s="71" customFormat="1" ht="16.5" hidden="1" customHeight="1" outlineLevel="1" x14ac:dyDescent="0.25">
      <c r="A3937" s="74">
        <v>5656</v>
      </c>
      <c r="B3937" s="45" t="s">
        <v>664</v>
      </c>
      <c r="C3937" s="60" t="s">
        <v>3546</v>
      </c>
      <c r="D3937" s="60"/>
      <c r="E3937" s="74">
        <v>2022</v>
      </c>
      <c r="F3937" s="74" t="s">
        <v>489</v>
      </c>
      <c r="G3937" s="61">
        <v>1</v>
      </c>
      <c r="H3937" s="45">
        <v>10</v>
      </c>
      <c r="I3937" s="74">
        <v>28.631</v>
      </c>
    </row>
    <row r="3938" spans="1:9" s="71" customFormat="1" ht="16.5" hidden="1" customHeight="1" outlineLevel="1" x14ac:dyDescent="0.25">
      <c r="A3938" s="74">
        <v>5895</v>
      </c>
      <c r="B3938" s="45" t="s">
        <v>664</v>
      </c>
      <c r="C3938" s="60" t="s">
        <v>3547</v>
      </c>
      <c r="D3938" s="60"/>
      <c r="E3938" s="74">
        <v>2022</v>
      </c>
      <c r="F3938" s="74" t="s">
        <v>489</v>
      </c>
      <c r="G3938" s="61">
        <v>1</v>
      </c>
      <c r="H3938" s="45">
        <v>15</v>
      </c>
      <c r="I3938" s="74">
        <v>32.356999999999999</v>
      </c>
    </row>
    <row r="3939" spans="1:9" s="71" customFormat="1" ht="16.5" hidden="1" customHeight="1" outlineLevel="1" x14ac:dyDescent="0.25">
      <c r="A3939" s="74">
        <v>5893</v>
      </c>
      <c r="B3939" s="45" t="s">
        <v>664</v>
      </c>
      <c r="C3939" s="60" t="s">
        <v>3548</v>
      </c>
      <c r="D3939" s="60"/>
      <c r="E3939" s="74">
        <v>2022</v>
      </c>
      <c r="F3939" s="74" t="s">
        <v>489</v>
      </c>
      <c r="G3939" s="61">
        <v>1</v>
      </c>
      <c r="H3939" s="45">
        <v>15</v>
      </c>
      <c r="I3939" s="74">
        <v>32.853000000000002</v>
      </c>
    </row>
    <row r="3940" spans="1:9" s="71" customFormat="1" ht="16.5" hidden="1" customHeight="1" outlineLevel="1" x14ac:dyDescent="0.25">
      <c r="A3940" s="74">
        <v>5894</v>
      </c>
      <c r="B3940" s="45" t="s">
        <v>664</v>
      </c>
      <c r="C3940" s="60" t="s">
        <v>3549</v>
      </c>
      <c r="D3940" s="60"/>
      <c r="E3940" s="74">
        <v>2022</v>
      </c>
      <c r="F3940" s="74" t="s">
        <v>489</v>
      </c>
      <c r="G3940" s="61">
        <v>1</v>
      </c>
      <c r="H3940" s="45">
        <v>15</v>
      </c>
      <c r="I3940" s="74">
        <v>31.204999999999998</v>
      </c>
    </row>
    <row r="3941" spans="1:9" s="71" customFormat="1" ht="16.5" hidden="1" customHeight="1" outlineLevel="1" x14ac:dyDescent="0.25">
      <c r="A3941" s="74">
        <v>5583</v>
      </c>
      <c r="B3941" s="45" t="s">
        <v>664</v>
      </c>
      <c r="C3941" s="60" t="s">
        <v>3550</v>
      </c>
      <c r="D3941" s="60"/>
      <c r="E3941" s="74">
        <v>2022</v>
      </c>
      <c r="F3941" s="74" t="s">
        <v>489</v>
      </c>
      <c r="G3941" s="61">
        <v>1</v>
      </c>
      <c r="H3941" s="45">
        <v>15</v>
      </c>
      <c r="I3941" s="74">
        <v>31.576000000000001</v>
      </c>
    </row>
    <row r="3942" spans="1:9" s="71" customFormat="1" ht="16.5" hidden="1" customHeight="1" outlineLevel="1" x14ac:dyDescent="0.25">
      <c r="A3942" s="74">
        <v>5668</v>
      </c>
      <c r="B3942" s="45" t="s">
        <v>664</v>
      </c>
      <c r="C3942" s="60" t="s">
        <v>3551</v>
      </c>
      <c r="D3942" s="60"/>
      <c r="E3942" s="74">
        <v>2022</v>
      </c>
      <c r="F3942" s="74" t="s">
        <v>489</v>
      </c>
      <c r="G3942" s="61">
        <v>1</v>
      </c>
      <c r="H3942" s="45">
        <v>15</v>
      </c>
      <c r="I3942" s="74">
        <v>29.885000000000002</v>
      </c>
    </row>
    <row r="3943" spans="1:9" s="71" customFormat="1" ht="16.5" hidden="1" customHeight="1" outlineLevel="1" x14ac:dyDescent="0.25">
      <c r="A3943" s="74">
        <v>5532</v>
      </c>
      <c r="B3943" s="45" t="s">
        <v>664</v>
      </c>
      <c r="C3943" s="60" t="s">
        <v>3552</v>
      </c>
      <c r="D3943" s="60"/>
      <c r="E3943" s="74">
        <v>2022</v>
      </c>
      <c r="F3943" s="74" t="s">
        <v>489</v>
      </c>
      <c r="G3943" s="61">
        <v>1</v>
      </c>
      <c r="H3943" s="45">
        <v>15</v>
      </c>
      <c r="I3943" s="74">
        <v>28.581</v>
      </c>
    </row>
    <row r="3944" spans="1:9" s="71" customFormat="1" ht="16.5" hidden="1" customHeight="1" outlineLevel="1" x14ac:dyDescent="0.25">
      <c r="A3944" s="74">
        <v>5563</v>
      </c>
      <c r="B3944" s="45" t="s">
        <v>664</v>
      </c>
      <c r="C3944" s="60" t="s">
        <v>3553</v>
      </c>
      <c r="D3944" s="60"/>
      <c r="E3944" s="74">
        <v>2022</v>
      </c>
      <c r="F3944" s="74" t="s">
        <v>489</v>
      </c>
      <c r="G3944" s="61">
        <v>1</v>
      </c>
      <c r="H3944" s="45">
        <v>15</v>
      </c>
      <c r="I3944" s="74">
        <v>28.238</v>
      </c>
    </row>
    <row r="3945" spans="1:9" s="71" customFormat="1" ht="16.5" hidden="1" customHeight="1" outlineLevel="1" x14ac:dyDescent="0.25">
      <c r="A3945" s="74">
        <v>5590</v>
      </c>
      <c r="B3945" s="45" t="s">
        <v>664</v>
      </c>
      <c r="C3945" s="60" t="s">
        <v>3554</v>
      </c>
      <c r="D3945" s="60"/>
      <c r="E3945" s="74">
        <v>2022</v>
      </c>
      <c r="F3945" s="74" t="s">
        <v>489</v>
      </c>
      <c r="G3945" s="61">
        <v>1</v>
      </c>
      <c r="H3945" s="45">
        <v>15</v>
      </c>
      <c r="I3945" s="74">
        <v>30.98</v>
      </c>
    </row>
    <row r="3946" spans="1:9" s="71" customFormat="1" ht="16.5" hidden="1" customHeight="1" outlineLevel="1" x14ac:dyDescent="0.25">
      <c r="A3946" s="74">
        <v>5451</v>
      </c>
      <c r="B3946" s="45" t="s">
        <v>664</v>
      </c>
      <c r="C3946" s="60" t="s">
        <v>3555</v>
      </c>
      <c r="D3946" s="60"/>
      <c r="E3946" s="74">
        <v>2022</v>
      </c>
      <c r="F3946" s="74" t="s">
        <v>489</v>
      </c>
      <c r="G3946" s="61">
        <v>1</v>
      </c>
      <c r="H3946" s="45">
        <v>15</v>
      </c>
      <c r="I3946" s="74">
        <v>35.338999999999999</v>
      </c>
    </row>
    <row r="3947" spans="1:9" s="71" customFormat="1" ht="16.5" hidden="1" customHeight="1" outlineLevel="1" x14ac:dyDescent="0.25">
      <c r="A3947" s="74">
        <v>5466</v>
      </c>
      <c r="B3947" s="45" t="s">
        <v>664</v>
      </c>
      <c r="C3947" s="60" t="s">
        <v>3556</v>
      </c>
      <c r="D3947" s="60"/>
      <c r="E3947" s="74">
        <v>2022</v>
      </c>
      <c r="F3947" s="74" t="s">
        <v>489</v>
      </c>
      <c r="G3947" s="61">
        <v>1</v>
      </c>
      <c r="H3947" s="45">
        <v>15</v>
      </c>
      <c r="I3947" s="74">
        <v>50.53</v>
      </c>
    </row>
    <row r="3948" spans="1:9" s="71" customFormat="1" ht="16.5" hidden="1" customHeight="1" outlineLevel="1" x14ac:dyDescent="0.25">
      <c r="A3948" s="74">
        <v>5510</v>
      </c>
      <c r="B3948" s="45" t="s">
        <v>664</v>
      </c>
      <c r="C3948" s="60" t="s">
        <v>3557</v>
      </c>
      <c r="D3948" s="60"/>
      <c r="E3948" s="74">
        <v>2022</v>
      </c>
      <c r="F3948" s="74" t="s">
        <v>489</v>
      </c>
      <c r="G3948" s="61">
        <v>1</v>
      </c>
      <c r="H3948" s="45">
        <v>15</v>
      </c>
      <c r="I3948" s="74">
        <v>45.851999999999997</v>
      </c>
    </row>
    <row r="3949" spans="1:9" s="71" customFormat="1" ht="16.5" hidden="1" customHeight="1" outlineLevel="1" x14ac:dyDescent="0.25">
      <c r="A3949" s="74">
        <v>5424</v>
      </c>
      <c r="B3949" s="45" t="s">
        <v>664</v>
      </c>
      <c r="C3949" s="60" t="s">
        <v>3558</v>
      </c>
      <c r="D3949" s="60"/>
      <c r="E3949" s="74">
        <v>2022</v>
      </c>
      <c r="F3949" s="74" t="s">
        <v>489</v>
      </c>
      <c r="G3949" s="61">
        <v>1</v>
      </c>
      <c r="H3949" s="45">
        <v>15</v>
      </c>
      <c r="I3949" s="74">
        <v>75.024000000000001</v>
      </c>
    </row>
    <row r="3950" spans="1:9" s="71" customFormat="1" ht="16.5" hidden="1" customHeight="1" outlineLevel="1" x14ac:dyDescent="0.25">
      <c r="A3950" s="74">
        <v>5492</v>
      </c>
      <c r="B3950" s="45" t="s">
        <v>664</v>
      </c>
      <c r="C3950" s="60" t="s">
        <v>3559</v>
      </c>
      <c r="D3950" s="60"/>
      <c r="E3950" s="74">
        <v>2022</v>
      </c>
      <c r="F3950" s="74" t="s">
        <v>489</v>
      </c>
      <c r="G3950" s="61">
        <v>1</v>
      </c>
      <c r="H3950" s="45">
        <v>15</v>
      </c>
      <c r="I3950" s="74">
        <v>90.927000000000007</v>
      </c>
    </row>
    <row r="3951" spans="1:9" s="71" customFormat="1" ht="16.5" hidden="1" customHeight="1" outlineLevel="1" x14ac:dyDescent="0.25">
      <c r="A3951" s="74">
        <v>5566</v>
      </c>
      <c r="B3951" s="45" t="s">
        <v>664</v>
      </c>
      <c r="C3951" s="60" t="s">
        <v>3560</v>
      </c>
      <c r="D3951" s="60"/>
      <c r="E3951" s="74">
        <v>2022</v>
      </c>
      <c r="F3951" s="74" t="s">
        <v>489</v>
      </c>
      <c r="G3951" s="61">
        <v>1</v>
      </c>
      <c r="H3951" s="45">
        <v>15</v>
      </c>
      <c r="I3951" s="74">
        <v>87.575999999999993</v>
      </c>
    </row>
    <row r="3952" spans="1:9" s="71" customFormat="1" ht="16.5" hidden="1" customHeight="1" outlineLevel="1" x14ac:dyDescent="0.25">
      <c r="A3952" s="74">
        <v>5614</v>
      </c>
      <c r="B3952" s="45" t="s">
        <v>664</v>
      </c>
      <c r="C3952" s="60" t="s">
        <v>3561</v>
      </c>
      <c r="D3952" s="60"/>
      <c r="E3952" s="74">
        <v>2022</v>
      </c>
      <c r="F3952" s="74" t="s">
        <v>489</v>
      </c>
      <c r="G3952" s="61">
        <v>1</v>
      </c>
      <c r="H3952" s="45">
        <v>20</v>
      </c>
      <c r="I3952" s="74">
        <v>93.510999999999996</v>
      </c>
    </row>
    <row r="3953" spans="1:9" s="71" customFormat="1" ht="16.5" hidden="1" customHeight="1" outlineLevel="1" x14ac:dyDescent="0.25">
      <c r="A3953" s="74">
        <v>5506</v>
      </c>
      <c r="B3953" s="45" t="s">
        <v>664</v>
      </c>
      <c r="C3953" s="60" t="s">
        <v>3562</v>
      </c>
      <c r="D3953" s="60"/>
      <c r="E3953" s="74">
        <v>2022</v>
      </c>
      <c r="F3953" s="74" t="s">
        <v>489</v>
      </c>
      <c r="G3953" s="61">
        <v>1</v>
      </c>
      <c r="H3953" s="45">
        <v>15</v>
      </c>
      <c r="I3953" s="74">
        <v>96.83</v>
      </c>
    </row>
    <row r="3954" spans="1:9" s="71" customFormat="1" ht="16.5" hidden="1" customHeight="1" outlineLevel="1" x14ac:dyDescent="0.25">
      <c r="A3954" s="74">
        <v>5557</v>
      </c>
      <c r="B3954" s="45" t="s">
        <v>664</v>
      </c>
      <c r="C3954" s="60" t="s">
        <v>3563</v>
      </c>
      <c r="D3954" s="60"/>
      <c r="E3954" s="74">
        <v>2022</v>
      </c>
      <c r="F3954" s="74" t="s">
        <v>489</v>
      </c>
      <c r="G3954" s="61">
        <v>1</v>
      </c>
      <c r="H3954" s="45">
        <v>15</v>
      </c>
      <c r="I3954" s="74">
        <v>94.311000000000007</v>
      </c>
    </row>
    <row r="3955" spans="1:9" s="71" customFormat="1" ht="16.5" hidden="1" customHeight="1" outlineLevel="1" x14ac:dyDescent="0.25">
      <c r="A3955" s="74">
        <v>5464</v>
      </c>
      <c r="B3955" s="45" t="s">
        <v>664</v>
      </c>
      <c r="C3955" s="60" t="s">
        <v>3564</v>
      </c>
      <c r="D3955" s="60"/>
      <c r="E3955" s="74">
        <v>2022</v>
      </c>
      <c r="F3955" s="74" t="s">
        <v>489</v>
      </c>
      <c r="G3955" s="61">
        <v>1</v>
      </c>
      <c r="H3955" s="45">
        <v>15</v>
      </c>
      <c r="I3955" s="74">
        <v>90.733999999999995</v>
      </c>
    </row>
    <row r="3956" spans="1:9" s="71" customFormat="1" ht="16.5" hidden="1" customHeight="1" outlineLevel="1" x14ac:dyDescent="0.25">
      <c r="A3956" s="74">
        <v>5426</v>
      </c>
      <c r="B3956" s="45" t="s">
        <v>664</v>
      </c>
      <c r="C3956" s="60" t="s">
        <v>3565</v>
      </c>
      <c r="D3956" s="60"/>
      <c r="E3956" s="74">
        <v>2022</v>
      </c>
      <c r="F3956" s="74" t="s">
        <v>489</v>
      </c>
      <c r="G3956" s="61">
        <v>1</v>
      </c>
      <c r="H3956" s="45">
        <v>10</v>
      </c>
      <c r="I3956" s="74">
        <v>97.006</v>
      </c>
    </row>
    <row r="3957" spans="1:9" s="71" customFormat="1" ht="16.5" hidden="1" customHeight="1" outlineLevel="1" x14ac:dyDescent="0.25">
      <c r="A3957" s="74">
        <v>5481</v>
      </c>
      <c r="B3957" s="45" t="s">
        <v>664</v>
      </c>
      <c r="C3957" s="60" t="s">
        <v>3566</v>
      </c>
      <c r="D3957" s="60"/>
      <c r="E3957" s="74">
        <v>2022</v>
      </c>
      <c r="F3957" s="74" t="s">
        <v>489</v>
      </c>
      <c r="G3957" s="61">
        <v>1</v>
      </c>
      <c r="H3957" s="45">
        <v>15</v>
      </c>
      <c r="I3957" s="74">
        <v>91.052000000000007</v>
      </c>
    </row>
    <row r="3958" spans="1:9" s="71" customFormat="1" ht="16.5" hidden="1" customHeight="1" outlineLevel="1" x14ac:dyDescent="0.25">
      <c r="A3958" s="74">
        <v>5430</v>
      </c>
      <c r="B3958" s="45" t="s">
        <v>664</v>
      </c>
      <c r="C3958" s="60" t="s">
        <v>3567</v>
      </c>
      <c r="D3958" s="60"/>
      <c r="E3958" s="74">
        <v>2022</v>
      </c>
      <c r="F3958" s="74" t="s">
        <v>489</v>
      </c>
      <c r="G3958" s="61">
        <v>1</v>
      </c>
      <c r="H3958" s="45">
        <v>15</v>
      </c>
      <c r="I3958" s="74">
        <v>90.869</v>
      </c>
    </row>
    <row r="3959" spans="1:9" s="71" customFormat="1" ht="16.5" hidden="1" customHeight="1" outlineLevel="1" x14ac:dyDescent="0.25">
      <c r="A3959" s="74">
        <v>5489</v>
      </c>
      <c r="B3959" s="45" t="s">
        <v>664</v>
      </c>
      <c r="C3959" s="60" t="s">
        <v>3568</v>
      </c>
      <c r="D3959" s="60"/>
      <c r="E3959" s="74">
        <v>2022</v>
      </c>
      <c r="F3959" s="74" t="s">
        <v>489</v>
      </c>
      <c r="G3959" s="61">
        <v>1</v>
      </c>
      <c r="H3959" s="45">
        <v>15</v>
      </c>
      <c r="I3959" s="74">
        <v>91.293000000000006</v>
      </c>
    </row>
    <row r="3960" spans="1:9" s="71" customFormat="1" ht="16.5" hidden="1" customHeight="1" outlineLevel="1" x14ac:dyDescent="0.25">
      <c r="A3960" s="74">
        <v>5449</v>
      </c>
      <c r="B3960" s="45" t="s">
        <v>664</v>
      </c>
      <c r="C3960" s="60" t="s">
        <v>3569</v>
      </c>
      <c r="D3960" s="60"/>
      <c r="E3960" s="74">
        <v>2022</v>
      </c>
      <c r="F3960" s="74" t="s">
        <v>489</v>
      </c>
      <c r="G3960" s="61">
        <v>1</v>
      </c>
      <c r="H3960" s="45">
        <v>15</v>
      </c>
      <c r="I3960" s="74">
        <v>65.789000000000001</v>
      </c>
    </row>
    <row r="3961" spans="1:9" s="71" customFormat="1" ht="16.5" hidden="1" customHeight="1" outlineLevel="1" x14ac:dyDescent="0.25">
      <c r="A3961" s="74">
        <v>5537</v>
      </c>
      <c r="B3961" s="45" t="s">
        <v>664</v>
      </c>
      <c r="C3961" s="60" t="s">
        <v>3570</v>
      </c>
      <c r="D3961" s="60"/>
      <c r="E3961" s="74">
        <v>2022</v>
      </c>
      <c r="F3961" s="74" t="s">
        <v>489</v>
      </c>
      <c r="G3961" s="61">
        <v>1</v>
      </c>
      <c r="H3961" s="45">
        <v>15</v>
      </c>
      <c r="I3961" s="74">
        <v>67.650000000000006</v>
      </c>
    </row>
    <row r="3962" spans="1:9" s="71" customFormat="1" ht="16.5" hidden="1" customHeight="1" outlineLevel="1" x14ac:dyDescent="0.25">
      <c r="A3962" s="74">
        <v>5682</v>
      </c>
      <c r="B3962" s="45" t="s">
        <v>664</v>
      </c>
      <c r="C3962" s="60" t="s">
        <v>3571</v>
      </c>
      <c r="D3962" s="60"/>
      <c r="E3962" s="74">
        <v>2022</v>
      </c>
      <c r="F3962" s="74" t="s">
        <v>489</v>
      </c>
      <c r="G3962" s="61">
        <v>1</v>
      </c>
      <c r="H3962" s="45">
        <v>4</v>
      </c>
      <c r="I3962" s="74">
        <v>80.97</v>
      </c>
    </row>
    <row r="3963" spans="1:9" s="71" customFormat="1" ht="16.5" hidden="1" customHeight="1" outlineLevel="1" x14ac:dyDescent="0.25">
      <c r="A3963" s="74">
        <v>5896</v>
      </c>
      <c r="B3963" s="45" t="s">
        <v>664</v>
      </c>
      <c r="C3963" s="60" t="s">
        <v>3572</v>
      </c>
      <c r="D3963" s="60"/>
      <c r="E3963" s="74">
        <v>2022</v>
      </c>
      <c r="F3963" s="74" t="s">
        <v>489</v>
      </c>
      <c r="G3963" s="61">
        <v>1</v>
      </c>
      <c r="H3963" s="45">
        <v>15</v>
      </c>
      <c r="I3963" s="74">
        <v>88.352000000000004</v>
      </c>
    </row>
    <row r="3964" spans="1:9" s="71" customFormat="1" ht="16.5" hidden="1" customHeight="1" outlineLevel="1" x14ac:dyDescent="0.25">
      <c r="A3964" s="74">
        <v>5442</v>
      </c>
      <c r="B3964" s="45" t="s">
        <v>664</v>
      </c>
      <c r="C3964" s="60" t="s">
        <v>3573</v>
      </c>
      <c r="D3964" s="60"/>
      <c r="E3964" s="74">
        <v>2022</v>
      </c>
      <c r="F3964" s="74" t="s">
        <v>489</v>
      </c>
      <c r="G3964" s="61">
        <v>1</v>
      </c>
      <c r="H3964" s="45">
        <v>15</v>
      </c>
      <c r="I3964" s="74">
        <v>104.407</v>
      </c>
    </row>
    <row r="3965" spans="1:9" s="71" customFormat="1" ht="16.5" hidden="1" customHeight="1" outlineLevel="1" x14ac:dyDescent="0.25">
      <c r="A3965" s="74">
        <v>5538</v>
      </c>
      <c r="B3965" s="45" t="s">
        <v>664</v>
      </c>
      <c r="C3965" s="60" t="s">
        <v>3574</v>
      </c>
      <c r="D3965" s="60"/>
      <c r="E3965" s="74">
        <v>2022</v>
      </c>
      <c r="F3965" s="74" t="s">
        <v>489</v>
      </c>
      <c r="G3965" s="61">
        <v>1</v>
      </c>
      <c r="H3965" s="45">
        <v>15</v>
      </c>
      <c r="I3965" s="74">
        <v>94.478999999999999</v>
      </c>
    </row>
    <row r="3966" spans="1:9" s="71" customFormat="1" ht="16.5" hidden="1" customHeight="1" outlineLevel="1" x14ac:dyDescent="0.25">
      <c r="A3966" s="74">
        <v>5479</v>
      </c>
      <c r="B3966" s="45" t="s">
        <v>664</v>
      </c>
      <c r="C3966" s="60" t="s">
        <v>3575</v>
      </c>
      <c r="D3966" s="60"/>
      <c r="E3966" s="74">
        <v>2022</v>
      </c>
      <c r="F3966" s="74" t="s">
        <v>489</v>
      </c>
      <c r="G3966" s="61">
        <v>1</v>
      </c>
      <c r="H3966" s="45">
        <v>15</v>
      </c>
      <c r="I3966" s="74">
        <v>98.492999999999995</v>
      </c>
    </row>
    <row r="3967" spans="1:9" s="71" customFormat="1" ht="16.5" hidden="1" customHeight="1" outlineLevel="1" x14ac:dyDescent="0.25">
      <c r="A3967" s="74">
        <v>5427</v>
      </c>
      <c r="B3967" s="45" t="s">
        <v>664</v>
      </c>
      <c r="C3967" s="60" t="s">
        <v>3576</v>
      </c>
      <c r="D3967" s="60"/>
      <c r="E3967" s="74">
        <v>2022</v>
      </c>
      <c r="F3967" s="74" t="s">
        <v>489</v>
      </c>
      <c r="G3967" s="61">
        <v>1</v>
      </c>
      <c r="H3967" s="45">
        <v>15</v>
      </c>
      <c r="I3967" s="74">
        <v>95.245999999999995</v>
      </c>
    </row>
    <row r="3968" spans="1:9" s="71" customFormat="1" ht="16.5" hidden="1" customHeight="1" outlineLevel="1" x14ac:dyDescent="0.25">
      <c r="A3968" s="74">
        <v>5527</v>
      </c>
      <c r="B3968" s="45" t="s">
        <v>664</v>
      </c>
      <c r="C3968" s="60" t="s">
        <v>3577</v>
      </c>
      <c r="D3968" s="60"/>
      <c r="E3968" s="74">
        <v>2022</v>
      </c>
      <c r="F3968" s="74" t="s">
        <v>489</v>
      </c>
      <c r="G3968" s="61">
        <v>1</v>
      </c>
      <c r="H3968" s="45">
        <v>15</v>
      </c>
      <c r="I3968" s="74">
        <v>94.629000000000005</v>
      </c>
    </row>
    <row r="3969" spans="1:9" s="71" customFormat="1" ht="16.5" hidden="1" customHeight="1" outlineLevel="1" x14ac:dyDescent="0.25">
      <c r="A3969" s="74">
        <v>5573</v>
      </c>
      <c r="B3969" s="45" t="s">
        <v>664</v>
      </c>
      <c r="C3969" s="60" t="s">
        <v>3578</v>
      </c>
      <c r="D3969" s="60"/>
      <c r="E3969" s="74">
        <v>2022</v>
      </c>
      <c r="F3969" s="74" t="s">
        <v>489</v>
      </c>
      <c r="G3969" s="61">
        <v>1</v>
      </c>
      <c r="H3969" s="45">
        <v>15</v>
      </c>
      <c r="I3969" s="74">
        <v>93.858000000000004</v>
      </c>
    </row>
    <row r="3970" spans="1:9" s="71" customFormat="1" ht="16.5" hidden="1" customHeight="1" outlineLevel="1" x14ac:dyDescent="0.25">
      <c r="A3970" s="74">
        <v>5456</v>
      </c>
      <c r="B3970" s="45" t="s">
        <v>664</v>
      </c>
      <c r="C3970" s="60" t="s">
        <v>3579</v>
      </c>
      <c r="D3970" s="60"/>
      <c r="E3970" s="74">
        <v>2022</v>
      </c>
      <c r="F3970" s="74" t="s">
        <v>489</v>
      </c>
      <c r="G3970" s="61">
        <v>1</v>
      </c>
      <c r="H3970" s="45">
        <v>5</v>
      </c>
      <c r="I3970" s="74">
        <v>103.114</v>
      </c>
    </row>
    <row r="3971" spans="1:9" s="71" customFormat="1" ht="16.5" hidden="1" customHeight="1" outlineLevel="1" x14ac:dyDescent="0.25">
      <c r="A3971" s="74">
        <v>5536</v>
      </c>
      <c r="B3971" s="45" t="s">
        <v>664</v>
      </c>
      <c r="C3971" s="60" t="s">
        <v>3580</v>
      </c>
      <c r="D3971" s="60"/>
      <c r="E3971" s="74">
        <v>2022</v>
      </c>
      <c r="F3971" s="74" t="s">
        <v>489</v>
      </c>
      <c r="G3971" s="61">
        <v>1</v>
      </c>
      <c r="H3971" s="45">
        <v>3</v>
      </c>
      <c r="I3971" s="74">
        <v>63.432000000000002</v>
      </c>
    </row>
    <row r="3972" spans="1:9" s="71" customFormat="1" ht="16.5" hidden="1" customHeight="1" outlineLevel="1" x14ac:dyDescent="0.25">
      <c r="A3972" s="74">
        <v>5616</v>
      </c>
      <c r="B3972" s="45" t="s">
        <v>664</v>
      </c>
      <c r="C3972" s="60" t="s">
        <v>3581</v>
      </c>
      <c r="D3972" s="60"/>
      <c r="E3972" s="74">
        <v>2022</v>
      </c>
      <c r="F3972" s="74" t="s">
        <v>489</v>
      </c>
      <c r="G3972" s="61">
        <v>1</v>
      </c>
      <c r="H3972" s="45">
        <v>10</v>
      </c>
      <c r="I3972" s="74">
        <v>74.918000000000006</v>
      </c>
    </row>
    <row r="3973" spans="1:9" s="71" customFormat="1" ht="16.5" hidden="1" customHeight="1" outlineLevel="1" x14ac:dyDescent="0.25">
      <c r="A3973" s="74">
        <v>5661</v>
      </c>
      <c r="B3973" s="45" t="s">
        <v>664</v>
      </c>
      <c r="C3973" s="60" t="s">
        <v>3582</v>
      </c>
      <c r="D3973" s="60"/>
      <c r="E3973" s="74">
        <v>2022</v>
      </c>
      <c r="F3973" s="74" t="s">
        <v>489</v>
      </c>
      <c r="G3973" s="61">
        <v>1</v>
      </c>
      <c r="H3973" s="45">
        <v>10</v>
      </c>
      <c r="I3973" s="74">
        <v>72.77</v>
      </c>
    </row>
    <row r="3974" spans="1:9" s="71" customFormat="1" ht="16.5" hidden="1" customHeight="1" outlineLevel="1" x14ac:dyDescent="0.25">
      <c r="A3974" s="74">
        <v>5619</v>
      </c>
      <c r="B3974" s="45" t="s">
        <v>664</v>
      </c>
      <c r="C3974" s="60" t="s">
        <v>3583</v>
      </c>
      <c r="D3974" s="60"/>
      <c r="E3974" s="74">
        <v>2022</v>
      </c>
      <c r="F3974" s="74" t="s">
        <v>489</v>
      </c>
      <c r="G3974" s="61">
        <v>1</v>
      </c>
      <c r="H3974" s="45">
        <v>14</v>
      </c>
      <c r="I3974" s="74">
        <v>72.956999999999994</v>
      </c>
    </row>
    <row r="3975" spans="1:9" s="71" customFormat="1" ht="16.5" hidden="1" customHeight="1" outlineLevel="1" x14ac:dyDescent="0.25">
      <c r="A3975" s="74">
        <v>5630</v>
      </c>
      <c r="B3975" s="45" t="s">
        <v>664</v>
      </c>
      <c r="C3975" s="60" t="s">
        <v>3584</v>
      </c>
      <c r="D3975" s="60"/>
      <c r="E3975" s="74">
        <v>2022</v>
      </c>
      <c r="F3975" s="74" t="s">
        <v>489</v>
      </c>
      <c r="G3975" s="61">
        <v>1</v>
      </c>
      <c r="H3975" s="45">
        <v>14</v>
      </c>
      <c r="I3975" s="74">
        <v>73.19</v>
      </c>
    </row>
    <row r="3976" spans="1:9" s="71" customFormat="1" ht="16.5" hidden="1" customHeight="1" outlineLevel="1" x14ac:dyDescent="0.25">
      <c r="A3976" s="74">
        <v>5620</v>
      </c>
      <c r="B3976" s="45" t="s">
        <v>664</v>
      </c>
      <c r="C3976" s="60" t="s">
        <v>3585</v>
      </c>
      <c r="D3976" s="60"/>
      <c r="E3976" s="74">
        <v>2022</v>
      </c>
      <c r="F3976" s="74" t="s">
        <v>489</v>
      </c>
      <c r="G3976" s="61">
        <v>1</v>
      </c>
      <c r="H3976" s="45">
        <v>14</v>
      </c>
      <c r="I3976" s="74">
        <v>72.23</v>
      </c>
    </row>
    <row r="3977" spans="1:9" s="71" customFormat="1" ht="16.5" hidden="1" customHeight="1" outlineLevel="1" x14ac:dyDescent="0.25">
      <c r="A3977" s="74">
        <v>5437</v>
      </c>
      <c r="B3977" s="45" t="s">
        <v>664</v>
      </c>
      <c r="C3977" s="60" t="s">
        <v>3586</v>
      </c>
      <c r="D3977" s="60"/>
      <c r="E3977" s="74">
        <v>2022</v>
      </c>
      <c r="F3977" s="74" t="s">
        <v>489</v>
      </c>
      <c r="G3977" s="61">
        <v>1</v>
      </c>
      <c r="H3977" s="45">
        <v>15</v>
      </c>
      <c r="I3977" s="74">
        <v>77.332999999999998</v>
      </c>
    </row>
    <row r="3978" spans="1:9" s="71" customFormat="1" ht="16.5" hidden="1" customHeight="1" outlineLevel="1" x14ac:dyDescent="0.25">
      <c r="A3978" s="74">
        <v>5698</v>
      </c>
      <c r="B3978" s="45" t="s">
        <v>664</v>
      </c>
      <c r="C3978" s="60" t="s">
        <v>3587</v>
      </c>
      <c r="D3978" s="60"/>
      <c r="E3978" s="74">
        <v>2022</v>
      </c>
      <c r="F3978" s="74" t="s">
        <v>489</v>
      </c>
      <c r="G3978" s="61">
        <v>1</v>
      </c>
      <c r="H3978" s="45">
        <v>15</v>
      </c>
      <c r="I3978" s="74">
        <v>91.456999999999994</v>
      </c>
    </row>
    <row r="3979" spans="1:9" s="71" customFormat="1" ht="16.5" hidden="1" customHeight="1" outlineLevel="1" x14ac:dyDescent="0.25">
      <c r="A3979" s="74">
        <v>5542</v>
      </c>
      <c r="B3979" s="45" t="s">
        <v>664</v>
      </c>
      <c r="C3979" s="60" t="s">
        <v>3588</v>
      </c>
      <c r="D3979" s="60"/>
      <c r="E3979" s="74">
        <v>2022</v>
      </c>
      <c r="F3979" s="74" t="s">
        <v>489</v>
      </c>
      <c r="G3979" s="61">
        <v>1</v>
      </c>
      <c r="H3979" s="45">
        <v>15</v>
      </c>
      <c r="I3979" s="74">
        <v>83.268000000000001</v>
      </c>
    </row>
    <row r="3980" spans="1:9" s="71" customFormat="1" ht="16.5" hidden="1" customHeight="1" outlineLevel="1" x14ac:dyDescent="0.25">
      <c r="A3980" s="74">
        <v>5701</v>
      </c>
      <c r="B3980" s="45" t="s">
        <v>664</v>
      </c>
      <c r="C3980" s="60" t="s">
        <v>3589</v>
      </c>
      <c r="D3980" s="60"/>
      <c r="E3980" s="74">
        <v>2022</v>
      </c>
      <c r="F3980" s="74" t="s">
        <v>489</v>
      </c>
      <c r="G3980" s="61">
        <v>1</v>
      </c>
      <c r="H3980" s="45">
        <v>15</v>
      </c>
      <c r="I3980" s="74">
        <v>81.962999999999994</v>
      </c>
    </row>
    <row r="3981" spans="1:9" s="71" customFormat="1" ht="16.5" hidden="1" customHeight="1" outlineLevel="1" x14ac:dyDescent="0.25">
      <c r="A3981" s="74">
        <v>5586</v>
      </c>
      <c r="B3981" s="45" t="s">
        <v>664</v>
      </c>
      <c r="C3981" s="60" t="s">
        <v>3590</v>
      </c>
      <c r="D3981" s="60"/>
      <c r="E3981" s="74">
        <v>2022</v>
      </c>
      <c r="F3981" s="74" t="s">
        <v>489</v>
      </c>
      <c r="G3981" s="61">
        <v>1</v>
      </c>
      <c r="H3981" s="45">
        <v>14</v>
      </c>
      <c r="I3981" s="74">
        <v>84.132000000000005</v>
      </c>
    </row>
    <row r="3982" spans="1:9" s="71" customFormat="1" ht="16.5" hidden="1" customHeight="1" outlineLevel="1" x14ac:dyDescent="0.25">
      <c r="A3982" s="74">
        <v>5584</v>
      </c>
      <c r="B3982" s="45" t="s">
        <v>664</v>
      </c>
      <c r="C3982" s="60" t="s">
        <v>3591</v>
      </c>
      <c r="D3982" s="60"/>
      <c r="E3982" s="74">
        <v>2022</v>
      </c>
      <c r="F3982" s="74" t="s">
        <v>489</v>
      </c>
      <c r="G3982" s="61">
        <v>1</v>
      </c>
      <c r="H3982" s="45">
        <v>14</v>
      </c>
      <c r="I3982" s="74">
        <v>84.463999999999999</v>
      </c>
    </row>
    <row r="3983" spans="1:9" s="71" customFormat="1" ht="16.5" hidden="1" customHeight="1" outlineLevel="1" x14ac:dyDescent="0.25">
      <c r="A3983" s="74">
        <v>5585</v>
      </c>
      <c r="B3983" s="45" t="s">
        <v>664</v>
      </c>
      <c r="C3983" s="60" t="s">
        <v>3592</v>
      </c>
      <c r="D3983" s="60"/>
      <c r="E3983" s="74">
        <v>2022</v>
      </c>
      <c r="F3983" s="74" t="s">
        <v>489</v>
      </c>
      <c r="G3983" s="61">
        <v>1</v>
      </c>
      <c r="H3983" s="45">
        <v>14</v>
      </c>
      <c r="I3983" s="74">
        <v>84.132000000000005</v>
      </c>
    </row>
    <row r="3984" spans="1:9" s="71" customFormat="1" ht="16.5" hidden="1" customHeight="1" outlineLevel="1" x14ac:dyDescent="0.25">
      <c r="A3984" s="74">
        <v>5617</v>
      </c>
      <c r="B3984" s="45" t="s">
        <v>664</v>
      </c>
      <c r="C3984" s="60" t="s">
        <v>3593</v>
      </c>
      <c r="D3984" s="60"/>
      <c r="E3984" s="74">
        <v>2022</v>
      </c>
      <c r="F3984" s="74" t="s">
        <v>489</v>
      </c>
      <c r="G3984" s="61">
        <v>1</v>
      </c>
      <c r="H3984" s="45">
        <v>15</v>
      </c>
      <c r="I3984" s="74">
        <v>84.745999999999995</v>
      </c>
    </row>
    <row r="3985" spans="1:9" s="71" customFormat="1" ht="16.5" hidden="1" customHeight="1" outlineLevel="1" x14ac:dyDescent="0.25">
      <c r="A3985" s="74">
        <v>5518</v>
      </c>
      <c r="B3985" s="45" t="s">
        <v>664</v>
      </c>
      <c r="C3985" s="60" t="s">
        <v>3594</v>
      </c>
      <c r="D3985" s="60"/>
      <c r="E3985" s="74">
        <v>2022</v>
      </c>
      <c r="F3985" s="74" t="s">
        <v>489</v>
      </c>
      <c r="G3985" s="61">
        <v>1</v>
      </c>
      <c r="H3985" s="45">
        <v>15</v>
      </c>
      <c r="I3985" s="74">
        <v>85.841999999999999</v>
      </c>
    </row>
    <row r="3986" spans="1:9" s="71" customFormat="1" ht="16.5" hidden="1" customHeight="1" outlineLevel="1" x14ac:dyDescent="0.25">
      <c r="A3986" s="74">
        <v>5728</v>
      </c>
      <c r="B3986" s="45" t="s">
        <v>664</v>
      </c>
      <c r="C3986" s="60" t="s">
        <v>3595</v>
      </c>
      <c r="D3986" s="60"/>
      <c r="E3986" s="74">
        <v>2022</v>
      </c>
      <c r="F3986" s="74" t="s">
        <v>489</v>
      </c>
      <c r="G3986" s="61">
        <v>1</v>
      </c>
      <c r="H3986" s="45">
        <v>50</v>
      </c>
      <c r="I3986" s="74">
        <v>52.686</v>
      </c>
    </row>
    <row r="3987" spans="1:9" s="71" customFormat="1" ht="16.5" hidden="1" customHeight="1" outlineLevel="1" x14ac:dyDescent="0.25">
      <c r="A3987" s="74">
        <v>5623</v>
      </c>
      <c r="B3987" s="45" t="s">
        <v>664</v>
      </c>
      <c r="C3987" s="60" t="s">
        <v>3596</v>
      </c>
      <c r="D3987" s="60"/>
      <c r="E3987" s="74">
        <v>2022</v>
      </c>
      <c r="F3987" s="74" t="s">
        <v>489</v>
      </c>
      <c r="G3987" s="61">
        <v>1</v>
      </c>
      <c r="H3987" s="45">
        <v>15</v>
      </c>
      <c r="I3987" s="74">
        <v>29.436</v>
      </c>
    </row>
    <row r="3988" spans="1:9" s="71" customFormat="1" ht="16.5" hidden="1" customHeight="1" outlineLevel="1" x14ac:dyDescent="0.25">
      <c r="A3988" s="74">
        <v>5758</v>
      </c>
      <c r="B3988" s="45" t="s">
        <v>664</v>
      </c>
      <c r="C3988" s="60" t="s">
        <v>3597</v>
      </c>
      <c r="D3988" s="60"/>
      <c r="E3988" s="74">
        <v>2022</v>
      </c>
      <c r="F3988" s="74" t="s">
        <v>489</v>
      </c>
      <c r="G3988" s="61">
        <v>1</v>
      </c>
      <c r="H3988" s="45">
        <v>15</v>
      </c>
      <c r="I3988" s="74">
        <v>20.097999999999999</v>
      </c>
    </row>
    <row r="3989" spans="1:9" s="71" customFormat="1" ht="16.5" hidden="1" customHeight="1" outlineLevel="1" x14ac:dyDescent="0.25">
      <c r="A3989" s="74">
        <v>5629</v>
      </c>
      <c r="B3989" s="45" t="s">
        <v>664</v>
      </c>
      <c r="C3989" s="60" t="s">
        <v>3598</v>
      </c>
      <c r="D3989" s="60"/>
      <c r="E3989" s="74">
        <v>2022</v>
      </c>
      <c r="F3989" s="74" t="s">
        <v>489</v>
      </c>
      <c r="G3989" s="61">
        <v>1</v>
      </c>
      <c r="H3989" s="45">
        <v>15</v>
      </c>
      <c r="I3989" s="74">
        <v>29.498000000000001</v>
      </c>
    </row>
    <row r="3990" spans="1:9" s="71" customFormat="1" ht="16.5" hidden="1" customHeight="1" outlineLevel="1" x14ac:dyDescent="0.25">
      <c r="A3990" s="74">
        <v>5529</v>
      </c>
      <c r="B3990" s="45" t="s">
        <v>664</v>
      </c>
      <c r="C3990" s="60" t="s">
        <v>3599</v>
      </c>
      <c r="D3990" s="60"/>
      <c r="E3990" s="74">
        <v>2022</v>
      </c>
      <c r="F3990" s="74" t="s">
        <v>489</v>
      </c>
      <c r="G3990" s="61">
        <v>1</v>
      </c>
      <c r="H3990" s="45">
        <v>10</v>
      </c>
      <c r="I3990" s="74">
        <v>30.79</v>
      </c>
    </row>
    <row r="3991" spans="1:9" s="71" customFormat="1" ht="16.5" hidden="1" customHeight="1" outlineLevel="1" x14ac:dyDescent="0.25">
      <c r="A3991" s="74">
        <v>5460</v>
      </c>
      <c r="B3991" s="45" t="s">
        <v>664</v>
      </c>
      <c r="C3991" s="60" t="s">
        <v>3600</v>
      </c>
      <c r="D3991" s="60"/>
      <c r="E3991" s="74">
        <v>2022</v>
      </c>
      <c r="F3991" s="74" t="s">
        <v>489</v>
      </c>
      <c r="G3991" s="61">
        <v>1</v>
      </c>
      <c r="H3991" s="45">
        <v>15</v>
      </c>
      <c r="I3991" s="74">
        <v>36.799999999999997</v>
      </c>
    </row>
    <row r="3992" spans="1:9" s="71" customFormat="1" ht="16.5" hidden="1" customHeight="1" outlineLevel="1" x14ac:dyDescent="0.25">
      <c r="A3992" s="74">
        <v>5533</v>
      </c>
      <c r="B3992" s="45" t="s">
        <v>664</v>
      </c>
      <c r="C3992" s="60" t="s">
        <v>3601</v>
      </c>
      <c r="D3992" s="60"/>
      <c r="E3992" s="74">
        <v>2022</v>
      </c>
      <c r="F3992" s="74" t="s">
        <v>489</v>
      </c>
      <c r="G3992" s="61">
        <v>1</v>
      </c>
      <c r="H3992" s="45">
        <v>15</v>
      </c>
      <c r="I3992" s="74">
        <v>43.856999999999999</v>
      </c>
    </row>
    <row r="3993" spans="1:9" s="71" customFormat="1" ht="16.5" hidden="1" customHeight="1" outlineLevel="1" x14ac:dyDescent="0.25">
      <c r="A3993" s="74">
        <v>5512</v>
      </c>
      <c r="B3993" s="45" t="s">
        <v>664</v>
      </c>
      <c r="C3993" s="60" t="s">
        <v>3602</v>
      </c>
      <c r="D3993" s="60"/>
      <c r="E3993" s="74">
        <v>2022</v>
      </c>
      <c r="F3993" s="74" t="s">
        <v>489</v>
      </c>
      <c r="G3993" s="61">
        <v>1</v>
      </c>
      <c r="H3993" s="45">
        <v>15</v>
      </c>
      <c r="I3993" s="74">
        <v>40.92</v>
      </c>
    </row>
    <row r="3994" spans="1:9" s="71" customFormat="1" ht="16.5" hidden="1" customHeight="1" outlineLevel="1" x14ac:dyDescent="0.25">
      <c r="A3994" s="74">
        <v>5552</v>
      </c>
      <c r="B3994" s="45" t="s">
        <v>664</v>
      </c>
      <c r="C3994" s="60" t="s">
        <v>3603</v>
      </c>
      <c r="D3994" s="60"/>
      <c r="E3994" s="74">
        <v>2022</v>
      </c>
      <c r="F3994" s="74" t="s">
        <v>489</v>
      </c>
      <c r="G3994" s="61">
        <v>1</v>
      </c>
      <c r="H3994" s="45">
        <v>14</v>
      </c>
      <c r="I3994" s="74">
        <v>30.548999999999999</v>
      </c>
    </row>
    <row r="3995" spans="1:9" s="71" customFormat="1" ht="16.5" hidden="1" customHeight="1" outlineLevel="1" x14ac:dyDescent="0.25">
      <c r="A3995" s="74">
        <v>5553</v>
      </c>
      <c r="B3995" s="45" t="s">
        <v>664</v>
      </c>
      <c r="C3995" s="60" t="s">
        <v>3604</v>
      </c>
      <c r="D3995" s="60"/>
      <c r="E3995" s="74">
        <v>2022</v>
      </c>
      <c r="F3995" s="74" t="s">
        <v>489</v>
      </c>
      <c r="G3995" s="61">
        <v>1</v>
      </c>
      <c r="H3995" s="45">
        <v>14</v>
      </c>
      <c r="I3995" s="74">
        <v>32.180999999999997</v>
      </c>
    </row>
    <row r="3996" spans="1:9" s="71" customFormat="1" ht="16.5" hidden="1" customHeight="1" outlineLevel="1" x14ac:dyDescent="0.25">
      <c r="A3996" s="74">
        <v>5551</v>
      </c>
      <c r="B3996" s="45" t="s">
        <v>664</v>
      </c>
      <c r="C3996" s="60" t="s">
        <v>3605</v>
      </c>
      <c r="D3996" s="60"/>
      <c r="E3996" s="74">
        <v>2022</v>
      </c>
      <c r="F3996" s="74" t="s">
        <v>489</v>
      </c>
      <c r="G3996" s="61">
        <v>1</v>
      </c>
      <c r="H3996" s="45">
        <v>14</v>
      </c>
      <c r="I3996" s="74">
        <v>31.925000000000001</v>
      </c>
    </row>
    <row r="3997" spans="1:9" s="71" customFormat="1" ht="16.5" hidden="1" customHeight="1" outlineLevel="1" x14ac:dyDescent="0.25">
      <c r="A3997" s="74">
        <v>5550</v>
      </c>
      <c r="B3997" s="45" t="s">
        <v>664</v>
      </c>
      <c r="C3997" s="60" t="s">
        <v>3606</v>
      </c>
      <c r="D3997" s="60"/>
      <c r="E3997" s="74">
        <v>2022</v>
      </c>
      <c r="F3997" s="74" t="s">
        <v>489</v>
      </c>
      <c r="G3997" s="61">
        <v>1</v>
      </c>
      <c r="H3997" s="45">
        <v>14</v>
      </c>
      <c r="I3997" s="74">
        <v>28.140999999999998</v>
      </c>
    </row>
    <row r="3998" spans="1:9" s="71" customFormat="1" ht="16.5" hidden="1" customHeight="1" outlineLevel="1" x14ac:dyDescent="0.25">
      <c r="A3998" s="74">
        <v>5530</v>
      </c>
      <c r="B3998" s="45" t="s">
        <v>664</v>
      </c>
      <c r="C3998" s="60" t="s">
        <v>3607</v>
      </c>
      <c r="D3998" s="60"/>
      <c r="E3998" s="74">
        <v>2022</v>
      </c>
      <c r="F3998" s="74" t="s">
        <v>489</v>
      </c>
      <c r="G3998" s="61">
        <v>1</v>
      </c>
      <c r="H3998" s="45">
        <v>7.5</v>
      </c>
      <c r="I3998" s="74">
        <v>29.073</v>
      </c>
    </row>
    <row r="3999" spans="1:9" s="71" customFormat="1" ht="16.5" hidden="1" customHeight="1" outlineLevel="1" x14ac:dyDescent="0.25">
      <c r="A3999" s="74">
        <v>5501</v>
      </c>
      <c r="B3999" s="45" t="s">
        <v>664</v>
      </c>
      <c r="C3999" s="60" t="s">
        <v>3608</v>
      </c>
      <c r="D3999" s="60"/>
      <c r="E3999" s="74">
        <v>2022</v>
      </c>
      <c r="F3999" s="74" t="s">
        <v>489</v>
      </c>
      <c r="G3999" s="61">
        <v>1</v>
      </c>
      <c r="H3999" s="45">
        <v>15</v>
      </c>
      <c r="I3999" s="74">
        <v>81.652000000000001</v>
      </c>
    </row>
    <row r="4000" spans="1:9" s="71" customFormat="1" ht="16.5" hidden="1" customHeight="1" outlineLevel="1" x14ac:dyDescent="0.25">
      <c r="A4000" s="74">
        <v>5522</v>
      </c>
      <c r="B4000" s="45" t="s">
        <v>664</v>
      </c>
      <c r="C4000" s="60" t="s">
        <v>3609</v>
      </c>
      <c r="D4000" s="60"/>
      <c r="E4000" s="74">
        <v>2022</v>
      </c>
      <c r="F4000" s="74" t="s">
        <v>489</v>
      </c>
      <c r="G4000" s="61">
        <v>1</v>
      </c>
      <c r="H4000" s="45">
        <v>5</v>
      </c>
      <c r="I4000" s="74">
        <v>70.085999999999999</v>
      </c>
    </row>
    <row r="4001" spans="1:9" s="71" customFormat="1" ht="16.5" hidden="1" customHeight="1" outlineLevel="1" x14ac:dyDescent="0.25">
      <c r="A4001" s="74">
        <v>5549</v>
      </c>
      <c r="B4001" s="45" t="s">
        <v>664</v>
      </c>
      <c r="C4001" s="60" t="s">
        <v>3610</v>
      </c>
      <c r="D4001" s="60"/>
      <c r="E4001" s="74">
        <v>2022</v>
      </c>
      <c r="F4001" s="74" t="s">
        <v>489</v>
      </c>
      <c r="G4001" s="61">
        <v>1</v>
      </c>
      <c r="H4001" s="45">
        <v>15</v>
      </c>
      <c r="I4001" s="74">
        <v>66.320999999999998</v>
      </c>
    </row>
    <row r="4002" spans="1:9" s="71" customFormat="1" ht="16.5" hidden="1" customHeight="1" outlineLevel="1" x14ac:dyDescent="0.25">
      <c r="A4002" s="74">
        <v>5693</v>
      </c>
      <c r="B4002" s="45" t="s">
        <v>664</v>
      </c>
      <c r="C4002" s="60" t="s">
        <v>3611</v>
      </c>
      <c r="D4002" s="60"/>
      <c r="E4002" s="74">
        <v>2022</v>
      </c>
      <c r="F4002" s="74" t="s">
        <v>489</v>
      </c>
      <c r="G4002" s="61">
        <v>1</v>
      </c>
      <c r="H4002" s="45">
        <v>15</v>
      </c>
      <c r="I4002" s="74">
        <v>65.302999999999997</v>
      </c>
    </row>
    <row r="4003" spans="1:9" s="71" customFormat="1" ht="16.5" hidden="1" customHeight="1" outlineLevel="1" x14ac:dyDescent="0.25">
      <c r="A4003" s="74">
        <v>5713</v>
      </c>
      <c r="B4003" s="45" t="s">
        <v>664</v>
      </c>
      <c r="C4003" s="60" t="s">
        <v>3612</v>
      </c>
      <c r="D4003" s="60"/>
      <c r="E4003" s="74">
        <v>2022</v>
      </c>
      <c r="F4003" s="74" t="s">
        <v>489</v>
      </c>
      <c r="G4003" s="61">
        <v>1</v>
      </c>
      <c r="H4003" s="45">
        <v>15</v>
      </c>
      <c r="I4003" s="74">
        <v>21.297000000000001</v>
      </c>
    </row>
    <row r="4004" spans="1:9" s="71" customFormat="1" ht="16.5" hidden="1" customHeight="1" outlineLevel="1" x14ac:dyDescent="0.25">
      <c r="A4004" s="74">
        <v>5495</v>
      </c>
      <c r="B4004" s="45" t="s">
        <v>664</v>
      </c>
      <c r="C4004" s="60" t="s">
        <v>3613</v>
      </c>
      <c r="D4004" s="60"/>
      <c r="E4004" s="74">
        <v>2022</v>
      </c>
      <c r="F4004" s="74" t="s">
        <v>489</v>
      </c>
      <c r="G4004" s="61">
        <v>1</v>
      </c>
      <c r="H4004" s="45">
        <v>7</v>
      </c>
      <c r="I4004" s="74">
        <v>30.751000000000001</v>
      </c>
    </row>
    <row r="4005" spans="1:9" s="71" customFormat="1" ht="16.5" hidden="1" customHeight="1" outlineLevel="1" x14ac:dyDescent="0.25">
      <c r="A4005" s="74">
        <v>5658</v>
      </c>
      <c r="B4005" s="45" t="s">
        <v>664</v>
      </c>
      <c r="C4005" s="60" t="s">
        <v>3614</v>
      </c>
      <c r="D4005" s="60"/>
      <c r="E4005" s="74">
        <v>2022</v>
      </c>
      <c r="F4005" s="74" t="s">
        <v>489</v>
      </c>
      <c r="G4005" s="61">
        <v>1</v>
      </c>
      <c r="H4005" s="45">
        <v>10</v>
      </c>
      <c r="I4005" s="74">
        <v>32.033999999999999</v>
      </c>
    </row>
    <row r="4006" spans="1:9" s="71" customFormat="1" ht="16.5" hidden="1" customHeight="1" outlineLevel="1" x14ac:dyDescent="0.25">
      <c r="A4006" s="74">
        <v>5467</v>
      </c>
      <c r="B4006" s="45" t="s">
        <v>664</v>
      </c>
      <c r="C4006" s="60" t="s">
        <v>3615</v>
      </c>
      <c r="D4006" s="60"/>
      <c r="E4006" s="74">
        <v>2022</v>
      </c>
      <c r="F4006" s="74" t="s">
        <v>489</v>
      </c>
      <c r="G4006" s="61">
        <v>1</v>
      </c>
      <c r="H4006" s="45">
        <v>15</v>
      </c>
      <c r="I4006" s="74">
        <v>28.47</v>
      </c>
    </row>
    <row r="4007" spans="1:9" s="71" customFormat="1" ht="16.5" hidden="1" customHeight="1" outlineLevel="1" x14ac:dyDescent="0.25">
      <c r="A4007" s="74">
        <v>5486</v>
      </c>
      <c r="B4007" s="45" t="s">
        <v>664</v>
      </c>
      <c r="C4007" s="60" t="s">
        <v>3616</v>
      </c>
      <c r="D4007" s="60"/>
      <c r="E4007" s="74">
        <v>2022</v>
      </c>
      <c r="F4007" s="74" t="s">
        <v>489</v>
      </c>
      <c r="G4007" s="61">
        <v>1</v>
      </c>
      <c r="H4007" s="45">
        <v>8</v>
      </c>
      <c r="I4007" s="74">
        <v>30.221</v>
      </c>
    </row>
    <row r="4008" spans="1:9" s="71" customFormat="1" ht="16.5" hidden="1" customHeight="1" outlineLevel="1" x14ac:dyDescent="0.25">
      <c r="A4008" s="74">
        <v>5476</v>
      </c>
      <c r="B4008" s="45" t="s">
        <v>664</v>
      </c>
      <c r="C4008" s="60" t="s">
        <v>3617</v>
      </c>
      <c r="D4008" s="60"/>
      <c r="E4008" s="74">
        <v>2022</v>
      </c>
      <c r="F4008" s="74" t="s">
        <v>489</v>
      </c>
      <c r="G4008" s="61">
        <v>1</v>
      </c>
      <c r="H4008" s="45">
        <v>10</v>
      </c>
      <c r="I4008" s="74">
        <v>30.547000000000001</v>
      </c>
    </row>
    <row r="4009" spans="1:9" s="71" customFormat="1" ht="16.5" hidden="1" customHeight="1" outlineLevel="1" x14ac:dyDescent="0.25">
      <c r="A4009" s="74">
        <v>5639</v>
      </c>
      <c r="B4009" s="45" t="s">
        <v>664</v>
      </c>
      <c r="C4009" s="60" t="s">
        <v>3618</v>
      </c>
      <c r="D4009" s="60"/>
      <c r="E4009" s="74">
        <v>2022</v>
      </c>
      <c r="F4009" s="74" t="s">
        <v>489</v>
      </c>
      <c r="G4009" s="61">
        <v>1</v>
      </c>
      <c r="H4009" s="45">
        <v>12</v>
      </c>
      <c r="I4009" s="74">
        <v>31.158000000000001</v>
      </c>
    </row>
    <row r="4010" spans="1:9" s="71" customFormat="1" ht="16.5" hidden="1" customHeight="1" outlineLevel="1" x14ac:dyDescent="0.25">
      <c r="A4010" s="74">
        <v>5567</v>
      </c>
      <c r="B4010" s="45" t="s">
        <v>664</v>
      </c>
      <c r="C4010" s="60" t="s">
        <v>3619</v>
      </c>
      <c r="D4010" s="60"/>
      <c r="E4010" s="74">
        <v>2022</v>
      </c>
      <c r="F4010" s="74" t="s">
        <v>489</v>
      </c>
      <c r="G4010" s="61">
        <v>1</v>
      </c>
      <c r="H4010" s="45">
        <v>10</v>
      </c>
      <c r="I4010" s="74">
        <v>31.533999999999999</v>
      </c>
    </row>
    <row r="4011" spans="1:9" s="71" customFormat="1" ht="16.5" hidden="1" customHeight="1" outlineLevel="1" x14ac:dyDescent="0.25">
      <c r="A4011" s="74">
        <v>5571</v>
      </c>
      <c r="B4011" s="45" t="s">
        <v>664</v>
      </c>
      <c r="C4011" s="60" t="s">
        <v>3620</v>
      </c>
      <c r="D4011" s="60"/>
      <c r="E4011" s="74">
        <v>2022</v>
      </c>
      <c r="F4011" s="74" t="s">
        <v>489</v>
      </c>
      <c r="G4011" s="61">
        <v>1</v>
      </c>
      <c r="H4011" s="45">
        <v>10</v>
      </c>
      <c r="I4011" s="74">
        <v>31.8</v>
      </c>
    </row>
    <row r="4012" spans="1:9" s="71" customFormat="1" ht="16.5" hidden="1" customHeight="1" outlineLevel="1" x14ac:dyDescent="0.25">
      <c r="A4012" s="74">
        <v>5504</v>
      </c>
      <c r="B4012" s="45" t="s">
        <v>664</v>
      </c>
      <c r="C4012" s="60" t="s">
        <v>3621</v>
      </c>
      <c r="D4012" s="60"/>
      <c r="E4012" s="74">
        <v>2022</v>
      </c>
      <c r="F4012" s="74" t="s">
        <v>489</v>
      </c>
      <c r="G4012" s="61">
        <v>1</v>
      </c>
      <c r="H4012" s="45">
        <v>10</v>
      </c>
      <c r="I4012" s="74">
        <v>28.321000000000002</v>
      </c>
    </row>
    <row r="4013" spans="1:9" s="71" customFormat="1" ht="16.5" hidden="1" customHeight="1" outlineLevel="1" x14ac:dyDescent="0.25">
      <c r="A4013" s="74">
        <v>5487</v>
      </c>
      <c r="B4013" s="45" t="s">
        <v>664</v>
      </c>
      <c r="C4013" s="60" t="s">
        <v>3622</v>
      </c>
      <c r="D4013" s="60"/>
      <c r="E4013" s="74">
        <v>2022</v>
      </c>
      <c r="F4013" s="74" t="s">
        <v>489</v>
      </c>
      <c r="G4013" s="61">
        <v>1</v>
      </c>
      <c r="H4013" s="45">
        <v>10</v>
      </c>
      <c r="I4013" s="74">
        <v>29.832000000000001</v>
      </c>
    </row>
    <row r="4014" spans="1:9" s="71" customFormat="1" ht="16.5" hidden="1" customHeight="1" outlineLevel="1" x14ac:dyDescent="0.25">
      <c r="A4014" s="74">
        <v>5554</v>
      </c>
      <c r="B4014" s="45" t="s">
        <v>664</v>
      </c>
      <c r="C4014" s="60" t="s">
        <v>3623</v>
      </c>
      <c r="D4014" s="60"/>
      <c r="E4014" s="74">
        <v>2022</v>
      </c>
      <c r="F4014" s="74" t="s">
        <v>489</v>
      </c>
      <c r="G4014" s="61">
        <v>1</v>
      </c>
      <c r="H4014" s="45">
        <v>10</v>
      </c>
      <c r="I4014" s="74">
        <v>33.773000000000003</v>
      </c>
    </row>
    <row r="4015" spans="1:9" s="71" customFormat="1" ht="16.5" hidden="1" customHeight="1" outlineLevel="1" x14ac:dyDescent="0.25">
      <c r="A4015" s="74">
        <v>5472</v>
      </c>
      <c r="B4015" s="45" t="s">
        <v>664</v>
      </c>
      <c r="C4015" s="60" t="s">
        <v>3624</v>
      </c>
      <c r="D4015" s="60"/>
      <c r="E4015" s="74">
        <v>2022</v>
      </c>
      <c r="F4015" s="74" t="s">
        <v>489</v>
      </c>
      <c r="G4015" s="61">
        <v>1</v>
      </c>
      <c r="H4015" s="45">
        <v>10</v>
      </c>
      <c r="I4015" s="74">
        <v>30.998000000000001</v>
      </c>
    </row>
    <row r="4016" spans="1:9" s="71" customFormat="1" ht="16.5" hidden="1" customHeight="1" outlineLevel="1" x14ac:dyDescent="0.25">
      <c r="A4016" s="74">
        <v>5555</v>
      </c>
      <c r="B4016" s="45" t="s">
        <v>664</v>
      </c>
      <c r="C4016" s="60" t="s">
        <v>3625</v>
      </c>
      <c r="D4016" s="60"/>
      <c r="E4016" s="74">
        <v>2022</v>
      </c>
      <c r="F4016" s="74" t="s">
        <v>489</v>
      </c>
      <c r="G4016" s="61">
        <v>1</v>
      </c>
      <c r="H4016" s="45">
        <v>10</v>
      </c>
      <c r="I4016" s="74">
        <v>32.014000000000003</v>
      </c>
    </row>
    <row r="4017" spans="1:9" s="71" customFormat="1" ht="16.5" hidden="1" customHeight="1" outlineLevel="1" x14ac:dyDescent="0.25">
      <c r="A4017" s="74">
        <v>5643</v>
      </c>
      <c r="B4017" s="45" t="s">
        <v>664</v>
      </c>
      <c r="C4017" s="60" t="s">
        <v>3626</v>
      </c>
      <c r="D4017" s="60"/>
      <c r="E4017" s="74">
        <v>2022</v>
      </c>
      <c r="F4017" s="74" t="s">
        <v>489</v>
      </c>
      <c r="G4017" s="61">
        <v>1</v>
      </c>
      <c r="H4017" s="45">
        <v>15</v>
      </c>
      <c r="I4017" s="74">
        <v>57.478000000000002</v>
      </c>
    </row>
    <row r="4018" spans="1:9" s="71" customFormat="1" ht="16.5" hidden="1" customHeight="1" outlineLevel="1" x14ac:dyDescent="0.25">
      <c r="A4018" s="74">
        <v>5644</v>
      </c>
      <c r="B4018" s="45" t="s">
        <v>664</v>
      </c>
      <c r="C4018" s="60" t="s">
        <v>3627</v>
      </c>
      <c r="D4018" s="60"/>
      <c r="E4018" s="74">
        <v>2022</v>
      </c>
      <c r="F4018" s="74" t="s">
        <v>489</v>
      </c>
      <c r="G4018" s="61">
        <v>1</v>
      </c>
      <c r="H4018" s="45">
        <v>15</v>
      </c>
      <c r="I4018" s="74">
        <v>44.762999999999998</v>
      </c>
    </row>
    <row r="4019" spans="1:9" s="71" customFormat="1" ht="16.5" hidden="1" customHeight="1" outlineLevel="1" x14ac:dyDescent="0.25">
      <c r="A4019" s="74">
        <v>5732</v>
      </c>
      <c r="B4019" s="45" t="s">
        <v>664</v>
      </c>
      <c r="C4019" s="60" t="s">
        <v>3628</v>
      </c>
      <c r="D4019" s="60"/>
      <c r="E4019" s="74">
        <v>2022</v>
      </c>
      <c r="F4019" s="74" t="s">
        <v>489</v>
      </c>
      <c r="G4019" s="61">
        <v>1</v>
      </c>
      <c r="H4019" s="45">
        <v>100</v>
      </c>
      <c r="I4019" s="74">
        <v>46.21</v>
      </c>
    </row>
    <row r="4020" spans="1:9" s="71" customFormat="1" ht="16.5" hidden="1" customHeight="1" outlineLevel="1" x14ac:dyDescent="0.25">
      <c r="A4020" s="74">
        <v>5699</v>
      </c>
      <c r="B4020" s="45" t="s">
        <v>664</v>
      </c>
      <c r="C4020" s="60" t="s">
        <v>3629</v>
      </c>
      <c r="D4020" s="60"/>
      <c r="E4020" s="74">
        <v>2022</v>
      </c>
      <c r="F4020" s="74" t="s">
        <v>489</v>
      </c>
      <c r="G4020" s="61">
        <v>1</v>
      </c>
      <c r="H4020" s="45">
        <v>15</v>
      </c>
      <c r="I4020" s="74">
        <v>28.986999999999998</v>
      </c>
    </row>
    <row r="4021" spans="1:9" s="71" customFormat="1" ht="16.5" hidden="1" customHeight="1" outlineLevel="1" x14ac:dyDescent="0.25">
      <c r="A4021" s="74">
        <v>5678</v>
      </c>
      <c r="B4021" s="45" t="s">
        <v>664</v>
      </c>
      <c r="C4021" s="60" t="s">
        <v>3630</v>
      </c>
      <c r="D4021" s="60"/>
      <c r="E4021" s="74">
        <v>2022</v>
      </c>
      <c r="F4021" s="74" t="s">
        <v>489</v>
      </c>
      <c r="G4021" s="61">
        <v>1</v>
      </c>
      <c r="H4021" s="45">
        <v>15</v>
      </c>
      <c r="I4021" s="74">
        <v>30.794</v>
      </c>
    </row>
    <row r="4022" spans="1:9" s="71" customFormat="1" ht="16.5" hidden="1" customHeight="1" outlineLevel="1" x14ac:dyDescent="0.25">
      <c r="A4022" s="74">
        <v>5642</v>
      </c>
      <c r="B4022" s="45" t="s">
        <v>664</v>
      </c>
      <c r="C4022" s="60" t="s">
        <v>3631</v>
      </c>
      <c r="D4022" s="60"/>
      <c r="E4022" s="74">
        <v>2022</v>
      </c>
      <c r="F4022" s="74" t="s">
        <v>489</v>
      </c>
      <c r="G4022" s="61">
        <v>1</v>
      </c>
      <c r="H4022" s="45">
        <v>13</v>
      </c>
      <c r="I4022" s="74">
        <v>51.177999999999997</v>
      </c>
    </row>
    <row r="4023" spans="1:9" s="71" customFormat="1" ht="16.5" hidden="1" customHeight="1" outlineLevel="1" x14ac:dyDescent="0.25">
      <c r="A4023" s="74">
        <v>5422</v>
      </c>
      <c r="B4023" s="45" t="s">
        <v>664</v>
      </c>
      <c r="C4023" s="60" t="s">
        <v>443</v>
      </c>
      <c r="D4023" s="60"/>
      <c r="E4023" s="74">
        <v>2022</v>
      </c>
      <c r="F4023" s="74" t="s">
        <v>489</v>
      </c>
      <c r="G4023" s="61">
        <v>1</v>
      </c>
      <c r="H4023" s="45">
        <v>25</v>
      </c>
      <c r="I4023" s="74">
        <v>52.929000000000002</v>
      </c>
    </row>
    <row r="4024" spans="1:9" s="71" customFormat="1" ht="16.5" hidden="1" customHeight="1" outlineLevel="1" x14ac:dyDescent="0.25">
      <c r="A4024" s="74">
        <v>5423</v>
      </c>
      <c r="B4024" s="45" t="s">
        <v>664</v>
      </c>
      <c r="C4024" s="60" t="s">
        <v>3632</v>
      </c>
      <c r="D4024" s="60"/>
      <c r="E4024" s="74">
        <v>2022</v>
      </c>
      <c r="F4024" s="74" t="s">
        <v>489</v>
      </c>
      <c r="G4024" s="61">
        <v>1</v>
      </c>
      <c r="H4024" s="45">
        <v>15</v>
      </c>
      <c r="I4024" s="74">
        <v>75.266000000000005</v>
      </c>
    </row>
    <row r="4025" spans="1:9" s="71" customFormat="1" ht="16.5" hidden="1" customHeight="1" outlineLevel="1" x14ac:dyDescent="0.25">
      <c r="A4025" s="74">
        <v>5425</v>
      </c>
      <c r="B4025" s="45" t="s">
        <v>664</v>
      </c>
      <c r="C4025" s="60" t="s">
        <v>3633</v>
      </c>
      <c r="D4025" s="60"/>
      <c r="E4025" s="74">
        <v>2022</v>
      </c>
      <c r="F4025" s="74" t="s">
        <v>489</v>
      </c>
      <c r="G4025" s="61">
        <v>1</v>
      </c>
      <c r="H4025" s="45">
        <v>7</v>
      </c>
      <c r="I4025" s="74">
        <v>26.097999999999999</v>
      </c>
    </row>
    <row r="4026" spans="1:9" s="71" customFormat="1" ht="16.5" hidden="1" customHeight="1" outlineLevel="1" x14ac:dyDescent="0.25">
      <c r="A4026" s="74">
        <v>5427</v>
      </c>
      <c r="B4026" s="45" t="s">
        <v>664</v>
      </c>
      <c r="C4026" s="60" t="s">
        <v>3634</v>
      </c>
      <c r="D4026" s="60"/>
      <c r="E4026" s="74">
        <v>2022</v>
      </c>
      <c r="F4026" s="74" t="s">
        <v>489</v>
      </c>
      <c r="G4026" s="61">
        <v>1</v>
      </c>
      <c r="H4026" s="45">
        <v>10</v>
      </c>
      <c r="I4026" s="74">
        <v>26.550999999999998</v>
      </c>
    </row>
    <row r="4027" spans="1:9" s="71" customFormat="1" ht="16.5" hidden="1" customHeight="1" outlineLevel="1" x14ac:dyDescent="0.25">
      <c r="A4027" s="74">
        <v>5439</v>
      </c>
      <c r="B4027" s="45" t="s">
        <v>664</v>
      </c>
      <c r="C4027" s="60" t="s">
        <v>3635</v>
      </c>
      <c r="D4027" s="60"/>
      <c r="E4027" s="74">
        <v>2022</v>
      </c>
      <c r="F4027" s="74" t="s">
        <v>489</v>
      </c>
      <c r="G4027" s="61">
        <v>1</v>
      </c>
      <c r="H4027" s="45">
        <v>15</v>
      </c>
      <c r="I4027" s="74">
        <v>42.726999999999997</v>
      </c>
    </row>
    <row r="4028" spans="1:9" s="71" customFormat="1" ht="16.5" hidden="1" customHeight="1" outlineLevel="1" x14ac:dyDescent="0.25">
      <c r="A4028" s="74">
        <v>5445</v>
      </c>
      <c r="B4028" s="45" t="s">
        <v>664</v>
      </c>
      <c r="C4028" s="60" t="s">
        <v>3636</v>
      </c>
      <c r="D4028" s="60"/>
      <c r="E4028" s="74">
        <v>2022</v>
      </c>
      <c r="F4028" s="74" t="s">
        <v>489</v>
      </c>
      <c r="G4028" s="61">
        <v>1</v>
      </c>
      <c r="H4028" s="45">
        <v>15</v>
      </c>
      <c r="I4028" s="74">
        <v>33.173999999999999</v>
      </c>
    </row>
    <row r="4029" spans="1:9" s="71" customFormat="1" ht="16.5" hidden="1" customHeight="1" outlineLevel="1" x14ac:dyDescent="0.25">
      <c r="A4029" s="74">
        <v>5448</v>
      </c>
      <c r="B4029" s="45" t="s">
        <v>664</v>
      </c>
      <c r="C4029" s="60" t="s">
        <v>3637</v>
      </c>
      <c r="D4029" s="60"/>
      <c r="E4029" s="74">
        <v>2022</v>
      </c>
      <c r="F4029" s="74" t="s">
        <v>489</v>
      </c>
      <c r="G4029" s="61">
        <v>1</v>
      </c>
      <c r="H4029" s="45">
        <v>10</v>
      </c>
      <c r="I4029" s="74">
        <v>30.395</v>
      </c>
    </row>
    <row r="4030" spans="1:9" s="71" customFormat="1" ht="16.5" hidden="1" customHeight="1" outlineLevel="1" x14ac:dyDescent="0.25">
      <c r="A4030" s="74">
        <v>5450</v>
      </c>
      <c r="B4030" s="45" t="s">
        <v>664</v>
      </c>
      <c r="C4030" s="60" t="s">
        <v>3638</v>
      </c>
      <c r="D4030" s="60"/>
      <c r="E4030" s="74">
        <v>2022</v>
      </c>
      <c r="F4030" s="74" t="s">
        <v>489</v>
      </c>
      <c r="G4030" s="61">
        <v>1</v>
      </c>
      <c r="H4030" s="45">
        <v>15</v>
      </c>
      <c r="I4030" s="74">
        <v>33.366</v>
      </c>
    </row>
    <row r="4031" spans="1:9" s="71" customFormat="1" ht="16.5" hidden="1" customHeight="1" outlineLevel="1" x14ac:dyDescent="0.25">
      <c r="A4031" s="74">
        <v>5463</v>
      </c>
      <c r="B4031" s="45" t="s">
        <v>664</v>
      </c>
      <c r="C4031" s="60" t="s">
        <v>3639</v>
      </c>
      <c r="D4031" s="60"/>
      <c r="E4031" s="74">
        <v>2022</v>
      </c>
      <c r="F4031" s="74" t="s">
        <v>489</v>
      </c>
      <c r="G4031" s="61">
        <v>1</v>
      </c>
      <c r="H4031" s="45">
        <v>15</v>
      </c>
      <c r="I4031" s="74">
        <v>29.356000000000002</v>
      </c>
    </row>
    <row r="4032" spans="1:9" s="71" customFormat="1" ht="16.5" hidden="1" customHeight="1" outlineLevel="1" x14ac:dyDescent="0.25">
      <c r="A4032" s="74">
        <v>5468</v>
      </c>
      <c r="B4032" s="45" t="s">
        <v>664</v>
      </c>
      <c r="C4032" s="60" t="s">
        <v>3640</v>
      </c>
      <c r="D4032" s="60"/>
      <c r="E4032" s="74">
        <v>2022</v>
      </c>
      <c r="F4032" s="74" t="s">
        <v>489</v>
      </c>
      <c r="G4032" s="61">
        <v>1</v>
      </c>
      <c r="H4032" s="45">
        <v>7</v>
      </c>
      <c r="I4032" s="74">
        <v>21.922000000000001</v>
      </c>
    </row>
    <row r="4033" spans="1:9" s="71" customFormat="1" ht="16.5" hidden="1" customHeight="1" outlineLevel="1" x14ac:dyDescent="0.25">
      <c r="A4033" s="74">
        <v>5469</v>
      </c>
      <c r="B4033" s="45" t="s">
        <v>664</v>
      </c>
      <c r="C4033" s="60" t="s">
        <v>3641</v>
      </c>
      <c r="D4033" s="60"/>
      <c r="E4033" s="74">
        <v>2022</v>
      </c>
      <c r="F4033" s="74" t="s">
        <v>489</v>
      </c>
      <c r="G4033" s="61">
        <v>1</v>
      </c>
      <c r="H4033" s="45">
        <v>8</v>
      </c>
      <c r="I4033" s="74">
        <v>28.759</v>
      </c>
    </row>
    <row r="4034" spans="1:9" s="71" customFormat="1" ht="16.5" hidden="1" customHeight="1" outlineLevel="1" x14ac:dyDescent="0.25">
      <c r="A4034" s="74">
        <v>5470</v>
      </c>
      <c r="B4034" s="45" t="s">
        <v>664</v>
      </c>
      <c r="C4034" s="60" t="s">
        <v>3642</v>
      </c>
      <c r="D4034" s="60"/>
      <c r="E4034" s="74">
        <v>2022</v>
      </c>
      <c r="F4034" s="74" t="s">
        <v>489</v>
      </c>
      <c r="G4034" s="61">
        <v>1</v>
      </c>
      <c r="H4034" s="45">
        <v>11</v>
      </c>
      <c r="I4034" s="74">
        <v>24.370999999999999</v>
      </c>
    </row>
    <row r="4035" spans="1:9" s="71" customFormat="1" ht="16.5" hidden="1" customHeight="1" outlineLevel="1" x14ac:dyDescent="0.25">
      <c r="A4035" s="74">
        <v>5478</v>
      </c>
      <c r="B4035" s="45" t="s">
        <v>664</v>
      </c>
      <c r="C4035" s="60" t="s">
        <v>3643</v>
      </c>
      <c r="D4035" s="60"/>
      <c r="E4035" s="74">
        <v>2022</v>
      </c>
      <c r="F4035" s="74" t="s">
        <v>489</v>
      </c>
      <c r="G4035" s="61">
        <v>1</v>
      </c>
      <c r="H4035" s="45">
        <v>15</v>
      </c>
      <c r="I4035" s="74">
        <v>98.37</v>
      </c>
    </row>
    <row r="4036" spans="1:9" s="71" customFormat="1" ht="16.5" hidden="1" customHeight="1" outlineLevel="1" x14ac:dyDescent="0.25">
      <c r="A4036" s="74">
        <v>5482</v>
      </c>
      <c r="B4036" s="45" t="s">
        <v>664</v>
      </c>
      <c r="C4036" s="60" t="s">
        <v>3644</v>
      </c>
      <c r="D4036" s="60"/>
      <c r="E4036" s="74">
        <v>2022</v>
      </c>
      <c r="F4036" s="74" t="s">
        <v>489</v>
      </c>
      <c r="G4036" s="61">
        <v>1</v>
      </c>
      <c r="H4036" s="45">
        <v>10</v>
      </c>
      <c r="I4036" s="74">
        <v>29.187000000000001</v>
      </c>
    </row>
    <row r="4037" spans="1:9" s="71" customFormat="1" ht="16.5" hidden="1" customHeight="1" outlineLevel="1" x14ac:dyDescent="0.25">
      <c r="A4037" s="74">
        <v>5483</v>
      </c>
      <c r="B4037" s="45" t="s">
        <v>664</v>
      </c>
      <c r="C4037" s="60" t="s">
        <v>3645</v>
      </c>
      <c r="D4037" s="60"/>
      <c r="E4037" s="74">
        <v>2022</v>
      </c>
      <c r="F4037" s="74" t="s">
        <v>489</v>
      </c>
      <c r="G4037" s="61">
        <v>1</v>
      </c>
      <c r="H4037" s="45">
        <v>10</v>
      </c>
      <c r="I4037" s="74">
        <v>24.571000000000002</v>
      </c>
    </row>
    <row r="4038" spans="1:9" s="71" customFormat="1" ht="16.5" hidden="1" customHeight="1" outlineLevel="1" x14ac:dyDescent="0.25">
      <c r="A4038" s="74">
        <v>5488</v>
      </c>
      <c r="B4038" s="45" t="s">
        <v>664</v>
      </c>
      <c r="C4038" s="60" t="s">
        <v>3646</v>
      </c>
      <c r="D4038" s="60"/>
      <c r="E4038" s="74">
        <v>2022</v>
      </c>
      <c r="F4038" s="74" t="s">
        <v>489</v>
      </c>
      <c r="G4038" s="61">
        <v>1</v>
      </c>
      <c r="H4038" s="45">
        <v>15</v>
      </c>
      <c r="I4038" s="74">
        <v>31.082000000000001</v>
      </c>
    </row>
    <row r="4039" spans="1:9" s="71" customFormat="1" ht="16.5" hidden="1" customHeight="1" outlineLevel="1" x14ac:dyDescent="0.25">
      <c r="A4039" s="74">
        <v>5496</v>
      </c>
      <c r="B4039" s="45" t="s">
        <v>664</v>
      </c>
      <c r="C4039" s="60" t="s">
        <v>3647</v>
      </c>
      <c r="D4039" s="60"/>
      <c r="E4039" s="74">
        <v>2022</v>
      </c>
      <c r="F4039" s="74" t="s">
        <v>489</v>
      </c>
      <c r="G4039" s="61">
        <v>1</v>
      </c>
      <c r="H4039" s="45">
        <v>7</v>
      </c>
      <c r="I4039" s="74">
        <v>26.498999999999999</v>
      </c>
    </row>
    <row r="4040" spans="1:9" s="71" customFormat="1" ht="16.5" hidden="1" customHeight="1" outlineLevel="1" x14ac:dyDescent="0.25">
      <c r="A4040" s="74">
        <v>5500</v>
      </c>
      <c r="B4040" s="45" t="s">
        <v>664</v>
      </c>
      <c r="C4040" s="60" t="s">
        <v>3648</v>
      </c>
      <c r="D4040" s="60"/>
      <c r="E4040" s="74">
        <v>2022</v>
      </c>
      <c r="F4040" s="74" t="s">
        <v>489</v>
      </c>
      <c r="G4040" s="61">
        <v>1</v>
      </c>
      <c r="H4040" s="45">
        <v>10</v>
      </c>
      <c r="I4040" s="74">
        <v>75.367000000000004</v>
      </c>
    </row>
    <row r="4041" spans="1:9" s="71" customFormat="1" ht="16.5" hidden="1" customHeight="1" outlineLevel="1" x14ac:dyDescent="0.25">
      <c r="A4041" s="74">
        <v>5505</v>
      </c>
      <c r="B4041" s="45" t="s">
        <v>664</v>
      </c>
      <c r="C4041" s="60" t="s">
        <v>3649</v>
      </c>
      <c r="D4041" s="60"/>
      <c r="E4041" s="74">
        <v>2022</v>
      </c>
      <c r="F4041" s="74" t="s">
        <v>489</v>
      </c>
      <c r="G4041" s="61">
        <v>1</v>
      </c>
      <c r="H4041" s="45">
        <v>15</v>
      </c>
      <c r="I4041" s="74">
        <v>30.821000000000002</v>
      </c>
    </row>
    <row r="4042" spans="1:9" s="71" customFormat="1" ht="16.5" hidden="1" customHeight="1" outlineLevel="1" x14ac:dyDescent="0.25">
      <c r="A4042" s="74">
        <v>5507</v>
      </c>
      <c r="B4042" s="45" t="s">
        <v>664</v>
      </c>
      <c r="C4042" s="60" t="s">
        <v>3650</v>
      </c>
      <c r="D4042" s="60"/>
      <c r="E4042" s="74">
        <v>2022</v>
      </c>
      <c r="F4042" s="74" t="s">
        <v>489</v>
      </c>
      <c r="G4042" s="61">
        <v>1</v>
      </c>
      <c r="H4042" s="45">
        <v>15</v>
      </c>
      <c r="I4042" s="74">
        <v>31.28</v>
      </c>
    </row>
    <row r="4043" spans="1:9" s="71" customFormat="1" ht="16.5" hidden="1" customHeight="1" outlineLevel="1" x14ac:dyDescent="0.25">
      <c r="A4043" s="74">
        <v>5509</v>
      </c>
      <c r="B4043" s="45" t="s">
        <v>664</v>
      </c>
      <c r="C4043" s="60" t="s">
        <v>3651</v>
      </c>
      <c r="D4043" s="60"/>
      <c r="E4043" s="74">
        <v>2022</v>
      </c>
      <c r="F4043" s="74" t="s">
        <v>489</v>
      </c>
      <c r="G4043" s="61">
        <v>1</v>
      </c>
      <c r="H4043" s="45">
        <v>10</v>
      </c>
      <c r="I4043" s="74">
        <v>34.273000000000003</v>
      </c>
    </row>
    <row r="4044" spans="1:9" s="71" customFormat="1" ht="16.5" hidden="1" customHeight="1" outlineLevel="1" x14ac:dyDescent="0.25">
      <c r="A4044" s="74">
        <v>5521</v>
      </c>
      <c r="B4044" s="45" t="s">
        <v>664</v>
      </c>
      <c r="C4044" s="60" t="s">
        <v>3652</v>
      </c>
      <c r="D4044" s="60"/>
      <c r="E4044" s="74">
        <v>2022</v>
      </c>
      <c r="F4044" s="74" t="s">
        <v>489</v>
      </c>
      <c r="G4044" s="61">
        <v>1</v>
      </c>
      <c r="H4044" s="45">
        <v>10</v>
      </c>
      <c r="I4044" s="74">
        <v>75.150999999999996</v>
      </c>
    </row>
    <row r="4045" spans="1:9" s="71" customFormat="1" ht="16.5" hidden="1" customHeight="1" outlineLevel="1" x14ac:dyDescent="0.25">
      <c r="A4045" s="74">
        <v>5523</v>
      </c>
      <c r="B4045" s="45" t="s">
        <v>664</v>
      </c>
      <c r="C4045" s="60" t="s">
        <v>3653</v>
      </c>
      <c r="D4045" s="60"/>
      <c r="E4045" s="74">
        <v>2022</v>
      </c>
      <c r="F4045" s="74" t="s">
        <v>489</v>
      </c>
      <c r="G4045" s="61">
        <v>1</v>
      </c>
      <c r="H4045" s="45">
        <v>10</v>
      </c>
      <c r="I4045" s="74">
        <v>80.004000000000005</v>
      </c>
    </row>
    <row r="4046" spans="1:9" s="71" customFormat="1" ht="16.5" hidden="1" customHeight="1" outlineLevel="1" x14ac:dyDescent="0.25">
      <c r="A4046" s="74">
        <v>5524</v>
      </c>
      <c r="B4046" s="45" t="s">
        <v>664</v>
      </c>
      <c r="C4046" s="60" t="s">
        <v>3654</v>
      </c>
      <c r="D4046" s="60"/>
      <c r="E4046" s="74">
        <v>2022</v>
      </c>
      <c r="F4046" s="74" t="s">
        <v>489</v>
      </c>
      <c r="G4046" s="61">
        <v>1</v>
      </c>
      <c r="H4046" s="45">
        <v>15</v>
      </c>
      <c r="I4046" s="74">
        <v>32.156999999999996</v>
      </c>
    </row>
    <row r="4047" spans="1:9" s="71" customFormat="1" ht="16.5" hidden="1" customHeight="1" outlineLevel="1" x14ac:dyDescent="0.25">
      <c r="A4047" s="74">
        <v>5525</v>
      </c>
      <c r="B4047" s="45" t="s">
        <v>664</v>
      </c>
      <c r="C4047" s="60" t="s">
        <v>3655</v>
      </c>
      <c r="D4047" s="60"/>
      <c r="E4047" s="74">
        <v>2022</v>
      </c>
      <c r="F4047" s="74" t="s">
        <v>489</v>
      </c>
      <c r="G4047" s="61">
        <v>1</v>
      </c>
      <c r="H4047" s="45">
        <v>10</v>
      </c>
      <c r="I4047" s="74">
        <v>26.759</v>
      </c>
    </row>
    <row r="4048" spans="1:9" s="71" customFormat="1" ht="16.5" hidden="1" customHeight="1" outlineLevel="1" x14ac:dyDescent="0.25">
      <c r="A4048" s="74">
        <v>5526</v>
      </c>
      <c r="B4048" s="45" t="s">
        <v>664</v>
      </c>
      <c r="C4048" s="60" t="s">
        <v>3656</v>
      </c>
      <c r="D4048" s="60"/>
      <c r="E4048" s="74">
        <v>2022</v>
      </c>
      <c r="F4048" s="74" t="s">
        <v>489</v>
      </c>
      <c r="G4048" s="61">
        <v>1</v>
      </c>
      <c r="H4048" s="45">
        <v>15</v>
      </c>
      <c r="I4048" s="74">
        <v>32.216000000000001</v>
      </c>
    </row>
    <row r="4049" spans="1:9" s="71" customFormat="1" ht="16.5" hidden="1" customHeight="1" outlineLevel="1" x14ac:dyDescent="0.25">
      <c r="A4049" s="74">
        <v>5528</v>
      </c>
      <c r="B4049" s="45" t="s">
        <v>664</v>
      </c>
      <c r="C4049" s="60" t="s">
        <v>3657</v>
      </c>
      <c r="D4049" s="60"/>
      <c r="E4049" s="74">
        <v>2022</v>
      </c>
      <c r="F4049" s="74" t="s">
        <v>489</v>
      </c>
      <c r="G4049" s="61">
        <v>1</v>
      </c>
      <c r="H4049" s="45">
        <v>15</v>
      </c>
      <c r="I4049" s="74">
        <v>32.985999999999997</v>
      </c>
    </row>
    <row r="4050" spans="1:9" s="71" customFormat="1" ht="16.5" hidden="1" customHeight="1" outlineLevel="1" x14ac:dyDescent="0.25">
      <c r="A4050" s="74">
        <v>5531</v>
      </c>
      <c r="B4050" s="45" t="s">
        <v>664</v>
      </c>
      <c r="C4050" s="60" t="s">
        <v>3658</v>
      </c>
      <c r="D4050" s="60"/>
      <c r="E4050" s="74">
        <v>2022</v>
      </c>
      <c r="F4050" s="74" t="s">
        <v>489</v>
      </c>
      <c r="G4050" s="61">
        <v>1</v>
      </c>
      <c r="H4050" s="45">
        <v>15</v>
      </c>
      <c r="I4050" s="74">
        <v>28.344999999999999</v>
      </c>
    </row>
    <row r="4051" spans="1:9" s="71" customFormat="1" ht="16.5" hidden="1" customHeight="1" outlineLevel="1" x14ac:dyDescent="0.25">
      <c r="A4051" s="74">
        <v>5535</v>
      </c>
      <c r="B4051" s="45" t="s">
        <v>664</v>
      </c>
      <c r="C4051" s="60" t="s">
        <v>3659</v>
      </c>
      <c r="D4051" s="60"/>
      <c r="E4051" s="74">
        <v>2022</v>
      </c>
      <c r="F4051" s="74" t="s">
        <v>489</v>
      </c>
      <c r="G4051" s="61">
        <v>1</v>
      </c>
      <c r="H4051" s="45">
        <v>10</v>
      </c>
      <c r="I4051" s="74">
        <v>83.539000000000001</v>
      </c>
    </row>
    <row r="4052" spans="1:9" s="71" customFormat="1" ht="16.5" hidden="1" customHeight="1" outlineLevel="1" x14ac:dyDescent="0.25">
      <c r="A4052" s="74">
        <v>5541</v>
      </c>
      <c r="B4052" s="45" t="s">
        <v>664</v>
      </c>
      <c r="C4052" s="60" t="s">
        <v>3660</v>
      </c>
      <c r="D4052" s="60"/>
      <c r="E4052" s="74">
        <v>2022</v>
      </c>
      <c r="F4052" s="74" t="s">
        <v>489</v>
      </c>
      <c r="G4052" s="61">
        <v>1</v>
      </c>
      <c r="H4052" s="45">
        <v>15</v>
      </c>
      <c r="I4052" s="74">
        <v>32.284999999999997</v>
      </c>
    </row>
    <row r="4053" spans="1:9" s="71" customFormat="1" ht="16.5" hidden="1" customHeight="1" outlineLevel="1" x14ac:dyDescent="0.25">
      <c r="A4053" s="74">
        <v>5543</v>
      </c>
      <c r="B4053" s="45" t="s">
        <v>664</v>
      </c>
      <c r="C4053" s="60" t="s">
        <v>3661</v>
      </c>
      <c r="D4053" s="60"/>
      <c r="E4053" s="74">
        <v>2022</v>
      </c>
      <c r="F4053" s="74" t="s">
        <v>489</v>
      </c>
      <c r="G4053" s="61">
        <v>1</v>
      </c>
      <c r="H4053" s="45">
        <v>15</v>
      </c>
      <c r="I4053" s="74">
        <v>32.435000000000002</v>
      </c>
    </row>
    <row r="4054" spans="1:9" s="71" customFormat="1" ht="16.5" hidden="1" customHeight="1" outlineLevel="1" x14ac:dyDescent="0.25">
      <c r="A4054" s="74">
        <v>5546</v>
      </c>
      <c r="B4054" s="45" t="s">
        <v>664</v>
      </c>
      <c r="C4054" s="60" t="s">
        <v>3662</v>
      </c>
      <c r="D4054" s="60"/>
      <c r="E4054" s="74">
        <v>2022</v>
      </c>
      <c r="F4054" s="74" t="s">
        <v>489</v>
      </c>
      <c r="G4054" s="61">
        <v>1</v>
      </c>
      <c r="H4054" s="45">
        <v>15</v>
      </c>
      <c r="I4054" s="74">
        <v>32.119999999999997</v>
      </c>
    </row>
    <row r="4055" spans="1:9" s="71" customFormat="1" ht="16.5" hidden="1" customHeight="1" outlineLevel="1" x14ac:dyDescent="0.25">
      <c r="A4055" s="74">
        <v>5558</v>
      </c>
      <c r="B4055" s="45" t="s">
        <v>664</v>
      </c>
      <c r="C4055" s="60" t="s">
        <v>3663</v>
      </c>
      <c r="D4055" s="60"/>
      <c r="E4055" s="74">
        <v>2022</v>
      </c>
      <c r="F4055" s="74" t="s">
        <v>489</v>
      </c>
      <c r="G4055" s="61">
        <v>1</v>
      </c>
      <c r="H4055" s="45">
        <v>12</v>
      </c>
      <c r="I4055" s="74">
        <v>26.585000000000001</v>
      </c>
    </row>
    <row r="4056" spans="1:9" s="71" customFormat="1" ht="16.5" hidden="1" customHeight="1" outlineLevel="1" x14ac:dyDescent="0.25">
      <c r="A4056" s="74">
        <v>5562</v>
      </c>
      <c r="B4056" s="45" t="s">
        <v>664</v>
      </c>
      <c r="C4056" s="60" t="s">
        <v>3664</v>
      </c>
      <c r="D4056" s="60"/>
      <c r="E4056" s="74">
        <v>2022</v>
      </c>
      <c r="F4056" s="74" t="s">
        <v>489</v>
      </c>
      <c r="G4056" s="61">
        <v>1</v>
      </c>
      <c r="H4056" s="45">
        <v>15</v>
      </c>
      <c r="I4056" s="74">
        <v>32.329000000000001</v>
      </c>
    </row>
    <row r="4057" spans="1:9" s="71" customFormat="1" ht="16.5" hidden="1" customHeight="1" outlineLevel="1" x14ac:dyDescent="0.25">
      <c r="A4057" s="74">
        <v>5569</v>
      </c>
      <c r="B4057" s="45" t="s">
        <v>664</v>
      </c>
      <c r="C4057" s="60" t="s">
        <v>3665</v>
      </c>
      <c r="D4057" s="60"/>
      <c r="E4057" s="74">
        <v>2022</v>
      </c>
      <c r="F4057" s="74" t="s">
        <v>489</v>
      </c>
      <c r="G4057" s="61">
        <v>1</v>
      </c>
      <c r="H4057" s="45">
        <v>15</v>
      </c>
      <c r="I4057" s="74">
        <v>28.962</v>
      </c>
    </row>
    <row r="4058" spans="1:9" s="71" customFormat="1" ht="16.5" hidden="1" customHeight="1" outlineLevel="1" x14ac:dyDescent="0.25">
      <c r="A4058" s="74">
        <v>5572</v>
      </c>
      <c r="B4058" s="45" t="s">
        <v>664</v>
      </c>
      <c r="C4058" s="60" t="s">
        <v>3666</v>
      </c>
      <c r="D4058" s="60"/>
      <c r="E4058" s="74">
        <v>2022</v>
      </c>
      <c r="F4058" s="74" t="s">
        <v>489</v>
      </c>
      <c r="G4058" s="61">
        <v>1</v>
      </c>
      <c r="H4058" s="45">
        <v>15</v>
      </c>
      <c r="I4058" s="74">
        <v>31.048999999999999</v>
      </c>
    </row>
    <row r="4059" spans="1:9" s="71" customFormat="1" ht="16.5" hidden="1" customHeight="1" outlineLevel="1" x14ac:dyDescent="0.25">
      <c r="A4059" s="74">
        <v>5578</v>
      </c>
      <c r="B4059" s="45" t="s">
        <v>664</v>
      </c>
      <c r="C4059" s="60" t="s">
        <v>3667</v>
      </c>
      <c r="D4059" s="60"/>
      <c r="E4059" s="74">
        <v>2022</v>
      </c>
      <c r="F4059" s="74" t="s">
        <v>489</v>
      </c>
      <c r="G4059" s="61">
        <v>2</v>
      </c>
      <c r="H4059" s="45">
        <v>17</v>
      </c>
      <c r="I4059" s="74">
        <v>61.311999999999998</v>
      </c>
    </row>
    <row r="4060" spans="1:9" s="71" customFormat="1" ht="16.5" hidden="1" customHeight="1" outlineLevel="1" x14ac:dyDescent="0.25">
      <c r="A4060" s="74">
        <v>5581</v>
      </c>
      <c r="B4060" s="45" t="s">
        <v>664</v>
      </c>
      <c r="C4060" s="60" t="s">
        <v>3668</v>
      </c>
      <c r="D4060" s="60"/>
      <c r="E4060" s="74">
        <v>2022</v>
      </c>
      <c r="F4060" s="74" t="s">
        <v>489</v>
      </c>
      <c r="G4060" s="61">
        <v>1</v>
      </c>
      <c r="H4060" s="45">
        <v>5</v>
      </c>
      <c r="I4060" s="74">
        <v>32.921999999999997</v>
      </c>
    </row>
    <row r="4061" spans="1:9" s="71" customFormat="1" ht="16.5" hidden="1" customHeight="1" outlineLevel="1" x14ac:dyDescent="0.25">
      <c r="A4061" s="74">
        <v>5589</v>
      </c>
      <c r="B4061" s="45" t="s">
        <v>664</v>
      </c>
      <c r="C4061" s="60" t="s">
        <v>3669</v>
      </c>
      <c r="D4061" s="60"/>
      <c r="E4061" s="74">
        <v>2022</v>
      </c>
      <c r="F4061" s="74" t="s">
        <v>489</v>
      </c>
      <c r="G4061" s="61">
        <v>1</v>
      </c>
      <c r="H4061" s="45">
        <v>15</v>
      </c>
      <c r="I4061" s="74">
        <v>29.867999999999999</v>
      </c>
    </row>
    <row r="4062" spans="1:9" s="71" customFormat="1" ht="16.5" hidden="1" customHeight="1" outlineLevel="1" x14ac:dyDescent="0.25">
      <c r="A4062" s="74">
        <v>5592</v>
      </c>
      <c r="B4062" s="45" t="s">
        <v>664</v>
      </c>
      <c r="C4062" s="60" t="s">
        <v>3670</v>
      </c>
      <c r="D4062" s="60"/>
      <c r="E4062" s="74">
        <v>2022</v>
      </c>
      <c r="F4062" s="74" t="s">
        <v>489</v>
      </c>
      <c r="G4062" s="61">
        <v>1</v>
      </c>
      <c r="H4062" s="45">
        <v>10</v>
      </c>
      <c r="I4062" s="74">
        <v>27.184000000000001</v>
      </c>
    </row>
    <row r="4063" spans="1:9" s="71" customFormat="1" ht="16.5" hidden="1" customHeight="1" outlineLevel="1" x14ac:dyDescent="0.25">
      <c r="A4063" s="74">
        <v>5595</v>
      </c>
      <c r="B4063" s="45" t="s">
        <v>664</v>
      </c>
      <c r="C4063" s="60" t="s">
        <v>3671</v>
      </c>
      <c r="D4063" s="60"/>
      <c r="E4063" s="74">
        <v>2022</v>
      </c>
      <c r="F4063" s="74" t="s">
        <v>489</v>
      </c>
      <c r="G4063" s="61">
        <v>1</v>
      </c>
      <c r="H4063" s="45">
        <v>7</v>
      </c>
      <c r="I4063" s="74">
        <v>26.893999999999998</v>
      </c>
    </row>
    <row r="4064" spans="1:9" s="71" customFormat="1" ht="16.5" hidden="1" customHeight="1" outlineLevel="1" x14ac:dyDescent="0.25">
      <c r="A4064" s="74">
        <v>5597</v>
      </c>
      <c r="B4064" s="45" t="s">
        <v>664</v>
      </c>
      <c r="C4064" s="60" t="s">
        <v>3672</v>
      </c>
      <c r="D4064" s="60"/>
      <c r="E4064" s="74">
        <v>2022</v>
      </c>
      <c r="F4064" s="74" t="s">
        <v>489</v>
      </c>
      <c r="G4064" s="61">
        <v>1</v>
      </c>
      <c r="H4064" s="45">
        <v>15</v>
      </c>
      <c r="I4064" s="74">
        <v>36.087000000000003</v>
      </c>
    </row>
    <row r="4065" spans="1:9" s="71" customFormat="1" ht="16.5" hidden="1" customHeight="1" outlineLevel="1" x14ac:dyDescent="0.25">
      <c r="A4065" s="74">
        <v>5601</v>
      </c>
      <c r="B4065" s="45" t="s">
        <v>664</v>
      </c>
      <c r="C4065" s="60" t="s">
        <v>3673</v>
      </c>
      <c r="D4065" s="60"/>
      <c r="E4065" s="74">
        <v>2022</v>
      </c>
      <c r="F4065" s="74" t="s">
        <v>489</v>
      </c>
      <c r="G4065" s="61">
        <v>1</v>
      </c>
      <c r="H4065" s="45">
        <v>15</v>
      </c>
      <c r="I4065" s="74">
        <v>30.800999999999998</v>
      </c>
    </row>
    <row r="4066" spans="1:9" s="71" customFormat="1" ht="16.5" hidden="1" customHeight="1" outlineLevel="1" x14ac:dyDescent="0.25">
      <c r="A4066" s="74">
        <v>5602</v>
      </c>
      <c r="B4066" s="45" t="s">
        <v>664</v>
      </c>
      <c r="C4066" s="60" t="s">
        <v>3674</v>
      </c>
      <c r="D4066" s="60"/>
      <c r="E4066" s="74">
        <v>2022</v>
      </c>
      <c r="F4066" s="74" t="s">
        <v>489</v>
      </c>
      <c r="G4066" s="61">
        <v>1</v>
      </c>
      <c r="H4066" s="45">
        <v>15</v>
      </c>
      <c r="I4066" s="74">
        <v>29.562000000000001</v>
      </c>
    </row>
    <row r="4067" spans="1:9" s="71" customFormat="1" ht="16.5" hidden="1" customHeight="1" outlineLevel="1" x14ac:dyDescent="0.25">
      <c r="A4067" s="74">
        <v>5604</v>
      </c>
      <c r="B4067" s="45" t="s">
        <v>664</v>
      </c>
      <c r="C4067" s="60" t="s">
        <v>3675</v>
      </c>
      <c r="D4067" s="60"/>
      <c r="E4067" s="74">
        <v>2022</v>
      </c>
      <c r="F4067" s="74" t="s">
        <v>489</v>
      </c>
      <c r="G4067" s="61">
        <v>1</v>
      </c>
      <c r="H4067" s="45">
        <v>15</v>
      </c>
      <c r="I4067" s="74">
        <v>55.451000000000001</v>
      </c>
    </row>
    <row r="4068" spans="1:9" s="71" customFormat="1" ht="16.5" hidden="1" customHeight="1" outlineLevel="1" x14ac:dyDescent="0.25">
      <c r="A4068" s="74">
        <v>5605</v>
      </c>
      <c r="B4068" s="45" t="s">
        <v>664</v>
      </c>
      <c r="C4068" s="60" t="s">
        <v>3676</v>
      </c>
      <c r="D4068" s="60"/>
      <c r="E4068" s="74">
        <v>2022</v>
      </c>
      <c r="F4068" s="74" t="s">
        <v>489</v>
      </c>
      <c r="G4068" s="61">
        <v>1</v>
      </c>
      <c r="H4068" s="45">
        <v>15</v>
      </c>
      <c r="I4068" s="74">
        <v>60.871000000000002</v>
      </c>
    </row>
    <row r="4069" spans="1:9" s="71" customFormat="1" ht="16.5" hidden="1" customHeight="1" outlineLevel="1" x14ac:dyDescent="0.25">
      <c r="A4069" s="74">
        <v>5606</v>
      </c>
      <c r="B4069" s="45" t="s">
        <v>664</v>
      </c>
      <c r="C4069" s="60" t="s">
        <v>3677</v>
      </c>
      <c r="D4069" s="60"/>
      <c r="E4069" s="74">
        <v>2022</v>
      </c>
      <c r="F4069" s="74" t="s">
        <v>489</v>
      </c>
      <c r="G4069" s="61">
        <v>2</v>
      </c>
      <c r="H4069" s="45">
        <v>20</v>
      </c>
      <c r="I4069" s="74">
        <v>74.879000000000005</v>
      </c>
    </row>
    <row r="4070" spans="1:9" s="71" customFormat="1" ht="16.5" hidden="1" customHeight="1" outlineLevel="1" x14ac:dyDescent="0.25">
      <c r="A4070" s="74">
        <v>5610</v>
      </c>
      <c r="B4070" s="45" t="s">
        <v>664</v>
      </c>
      <c r="C4070" s="60" t="s">
        <v>3678</v>
      </c>
      <c r="D4070" s="60"/>
      <c r="E4070" s="74">
        <v>2022</v>
      </c>
      <c r="F4070" s="74" t="s">
        <v>489</v>
      </c>
      <c r="G4070" s="61">
        <v>1</v>
      </c>
      <c r="H4070" s="45">
        <v>15</v>
      </c>
      <c r="I4070" s="74">
        <v>29.919</v>
      </c>
    </row>
    <row r="4071" spans="1:9" s="71" customFormat="1" ht="16.5" hidden="1" customHeight="1" outlineLevel="1" x14ac:dyDescent="0.25">
      <c r="A4071" s="74">
        <v>5611</v>
      </c>
      <c r="B4071" s="45" t="s">
        <v>664</v>
      </c>
      <c r="C4071" s="60" t="s">
        <v>3679</v>
      </c>
      <c r="D4071" s="60"/>
      <c r="E4071" s="74">
        <v>2022</v>
      </c>
      <c r="F4071" s="74" t="s">
        <v>489</v>
      </c>
      <c r="G4071" s="61">
        <v>1</v>
      </c>
      <c r="H4071" s="45">
        <v>15</v>
      </c>
      <c r="I4071" s="74">
        <v>29.524000000000001</v>
      </c>
    </row>
    <row r="4072" spans="1:9" s="71" customFormat="1" ht="16.5" hidden="1" customHeight="1" outlineLevel="1" x14ac:dyDescent="0.25">
      <c r="A4072" s="74">
        <v>5612</v>
      </c>
      <c r="B4072" s="45" t="s">
        <v>664</v>
      </c>
      <c r="C4072" s="60" t="s">
        <v>3680</v>
      </c>
      <c r="D4072" s="60"/>
      <c r="E4072" s="74">
        <v>2022</v>
      </c>
      <c r="F4072" s="74" t="s">
        <v>489</v>
      </c>
      <c r="G4072" s="61">
        <v>1</v>
      </c>
      <c r="H4072" s="45">
        <v>15</v>
      </c>
      <c r="I4072" s="74">
        <v>29.562000000000001</v>
      </c>
    </row>
    <row r="4073" spans="1:9" s="71" customFormat="1" ht="16.5" hidden="1" customHeight="1" outlineLevel="1" x14ac:dyDescent="0.25">
      <c r="A4073" s="74">
        <v>5613</v>
      </c>
      <c r="B4073" s="45" t="s">
        <v>664</v>
      </c>
      <c r="C4073" s="60" t="s">
        <v>3681</v>
      </c>
      <c r="D4073" s="60"/>
      <c r="E4073" s="74">
        <v>2022</v>
      </c>
      <c r="F4073" s="74" t="s">
        <v>489</v>
      </c>
      <c r="G4073" s="61">
        <v>1</v>
      </c>
      <c r="H4073" s="45">
        <v>10</v>
      </c>
      <c r="I4073" s="74">
        <v>30.623000000000001</v>
      </c>
    </row>
    <row r="4074" spans="1:9" s="71" customFormat="1" ht="16.5" hidden="1" customHeight="1" outlineLevel="1" x14ac:dyDescent="0.25">
      <c r="A4074" s="74">
        <v>5626</v>
      </c>
      <c r="B4074" s="45" t="s">
        <v>664</v>
      </c>
      <c r="C4074" s="60" t="s">
        <v>3682</v>
      </c>
      <c r="D4074" s="60"/>
      <c r="E4074" s="74">
        <v>2022</v>
      </c>
      <c r="F4074" s="74" t="s">
        <v>489</v>
      </c>
      <c r="G4074" s="61">
        <v>1</v>
      </c>
      <c r="H4074" s="45">
        <v>15</v>
      </c>
      <c r="I4074" s="74">
        <v>31.117999999999999</v>
      </c>
    </row>
    <row r="4075" spans="1:9" s="71" customFormat="1" ht="16.5" hidden="1" customHeight="1" outlineLevel="1" x14ac:dyDescent="0.25">
      <c r="A4075" s="74">
        <v>5627</v>
      </c>
      <c r="B4075" s="45" t="s">
        <v>664</v>
      </c>
      <c r="C4075" s="60" t="s">
        <v>3683</v>
      </c>
      <c r="D4075" s="60"/>
      <c r="E4075" s="74">
        <v>2022</v>
      </c>
      <c r="F4075" s="74" t="s">
        <v>489</v>
      </c>
      <c r="G4075" s="61">
        <v>1</v>
      </c>
      <c r="H4075" s="45">
        <v>15</v>
      </c>
      <c r="I4075" s="74">
        <v>31.83</v>
      </c>
    </row>
    <row r="4076" spans="1:9" s="71" customFormat="1" ht="16.5" hidden="1" customHeight="1" outlineLevel="1" x14ac:dyDescent="0.25">
      <c r="A4076" s="74">
        <v>5631</v>
      </c>
      <c r="B4076" s="45" t="s">
        <v>664</v>
      </c>
      <c r="C4076" s="60" t="s">
        <v>3684</v>
      </c>
      <c r="D4076" s="60"/>
      <c r="E4076" s="74">
        <v>2022</v>
      </c>
      <c r="F4076" s="74" t="s">
        <v>489</v>
      </c>
      <c r="G4076" s="61">
        <v>1</v>
      </c>
      <c r="H4076" s="45">
        <v>10</v>
      </c>
      <c r="I4076" s="74">
        <v>34.523000000000003</v>
      </c>
    </row>
    <row r="4077" spans="1:9" s="71" customFormat="1" ht="16.5" hidden="1" customHeight="1" outlineLevel="1" x14ac:dyDescent="0.25">
      <c r="A4077" s="74">
        <v>5632</v>
      </c>
      <c r="B4077" s="45" t="s">
        <v>664</v>
      </c>
      <c r="C4077" s="60" t="s">
        <v>3685</v>
      </c>
      <c r="D4077" s="60"/>
      <c r="E4077" s="74">
        <v>2022</v>
      </c>
      <c r="F4077" s="74" t="s">
        <v>489</v>
      </c>
      <c r="G4077" s="61">
        <v>1</v>
      </c>
      <c r="H4077" s="45">
        <v>10</v>
      </c>
      <c r="I4077" s="74">
        <v>29.562000000000001</v>
      </c>
    </row>
    <row r="4078" spans="1:9" s="71" customFormat="1" ht="16.5" hidden="1" customHeight="1" outlineLevel="1" x14ac:dyDescent="0.25">
      <c r="A4078" s="74">
        <v>5638</v>
      </c>
      <c r="B4078" s="45" t="s">
        <v>664</v>
      </c>
      <c r="C4078" s="60" t="s">
        <v>3686</v>
      </c>
      <c r="D4078" s="60"/>
      <c r="E4078" s="74">
        <v>2022</v>
      </c>
      <c r="F4078" s="74" t="s">
        <v>489</v>
      </c>
      <c r="G4078" s="61">
        <v>1</v>
      </c>
      <c r="H4078" s="45">
        <v>10</v>
      </c>
      <c r="I4078" s="74">
        <v>30.355</v>
      </c>
    </row>
    <row r="4079" spans="1:9" s="71" customFormat="1" ht="16.5" hidden="1" customHeight="1" outlineLevel="1" x14ac:dyDescent="0.25">
      <c r="A4079" s="74">
        <v>5647</v>
      </c>
      <c r="B4079" s="45" t="s">
        <v>664</v>
      </c>
      <c r="C4079" s="60" t="s">
        <v>3687</v>
      </c>
      <c r="D4079" s="60"/>
      <c r="E4079" s="74">
        <v>2022</v>
      </c>
      <c r="F4079" s="74" t="s">
        <v>489</v>
      </c>
      <c r="G4079" s="61">
        <v>1</v>
      </c>
      <c r="H4079" s="45">
        <v>10</v>
      </c>
      <c r="I4079" s="74">
        <v>29.876000000000001</v>
      </c>
    </row>
    <row r="4080" spans="1:9" s="71" customFormat="1" ht="16.5" hidden="1" customHeight="1" outlineLevel="1" x14ac:dyDescent="0.25">
      <c r="A4080" s="74">
        <v>5653</v>
      </c>
      <c r="B4080" s="45" t="s">
        <v>664</v>
      </c>
      <c r="C4080" s="60" t="s">
        <v>3688</v>
      </c>
      <c r="D4080" s="60"/>
      <c r="E4080" s="74">
        <v>2022</v>
      </c>
      <c r="F4080" s="74" t="s">
        <v>489</v>
      </c>
      <c r="G4080" s="61">
        <v>1</v>
      </c>
      <c r="H4080" s="45">
        <v>10</v>
      </c>
      <c r="I4080" s="74">
        <v>29.876000000000001</v>
      </c>
    </row>
    <row r="4081" spans="1:9" s="71" customFormat="1" ht="16.5" hidden="1" customHeight="1" outlineLevel="1" x14ac:dyDescent="0.25">
      <c r="A4081" s="74">
        <v>5654</v>
      </c>
      <c r="B4081" s="45" t="s">
        <v>664</v>
      </c>
      <c r="C4081" s="60" t="s">
        <v>3689</v>
      </c>
      <c r="D4081" s="60"/>
      <c r="E4081" s="74">
        <v>2022</v>
      </c>
      <c r="F4081" s="74" t="s">
        <v>489</v>
      </c>
      <c r="G4081" s="61">
        <v>1</v>
      </c>
      <c r="H4081" s="45">
        <v>8</v>
      </c>
      <c r="I4081" s="74">
        <v>25.933</v>
      </c>
    </row>
    <row r="4082" spans="1:9" s="71" customFormat="1" ht="16.5" hidden="1" customHeight="1" outlineLevel="1" x14ac:dyDescent="0.25">
      <c r="A4082" s="74">
        <v>5659</v>
      </c>
      <c r="B4082" s="45" t="s">
        <v>664</v>
      </c>
      <c r="C4082" s="60" t="s">
        <v>3690</v>
      </c>
      <c r="D4082" s="60"/>
      <c r="E4082" s="74">
        <v>2022</v>
      </c>
      <c r="F4082" s="74" t="s">
        <v>489</v>
      </c>
      <c r="G4082" s="61">
        <v>1</v>
      </c>
      <c r="H4082" s="45">
        <v>10</v>
      </c>
      <c r="I4082" s="74">
        <v>30.992000000000001</v>
      </c>
    </row>
    <row r="4083" spans="1:9" s="71" customFormat="1" ht="16.5" hidden="1" customHeight="1" outlineLevel="1" x14ac:dyDescent="0.25">
      <c r="A4083" s="74">
        <v>5665</v>
      </c>
      <c r="B4083" s="45" t="s">
        <v>664</v>
      </c>
      <c r="C4083" s="60" t="s">
        <v>3691</v>
      </c>
      <c r="D4083" s="60"/>
      <c r="E4083" s="74">
        <v>2022</v>
      </c>
      <c r="F4083" s="74" t="s">
        <v>489</v>
      </c>
      <c r="G4083" s="61">
        <v>1</v>
      </c>
      <c r="H4083" s="45">
        <v>12</v>
      </c>
      <c r="I4083" s="74">
        <v>21.524000000000001</v>
      </c>
    </row>
    <row r="4084" spans="1:9" s="71" customFormat="1" ht="16.5" hidden="1" customHeight="1" outlineLevel="1" x14ac:dyDescent="0.25">
      <c r="A4084" s="74">
        <v>5669</v>
      </c>
      <c r="B4084" s="45" t="s">
        <v>664</v>
      </c>
      <c r="C4084" s="60" t="s">
        <v>3692</v>
      </c>
      <c r="D4084" s="60"/>
      <c r="E4084" s="74">
        <v>2022</v>
      </c>
      <c r="F4084" s="74" t="s">
        <v>489</v>
      </c>
      <c r="G4084" s="61">
        <v>1</v>
      </c>
      <c r="H4084" s="45">
        <v>15</v>
      </c>
      <c r="I4084" s="74">
        <v>31.143000000000001</v>
      </c>
    </row>
    <row r="4085" spans="1:9" s="71" customFormat="1" ht="16.5" hidden="1" customHeight="1" outlineLevel="1" x14ac:dyDescent="0.25">
      <c r="A4085" s="74">
        <v>5671</v>
      </c>
      <c r="B4085" s="45" t="s">
        <v>664</v>
      </c>
      <c r="C4085" s="60" t="s">
        <v>3693</v>
      </c>
      <c r="D4085" s="60"/>
      <c r="E4085" s="74">
        <v>2022</v>
      </c>
      <c r="F4085" s="74" t="s">
        <v>489</v>
      </c>
      <c r="G4085" s="61">
        <v>1</v>
      </c>
      <c r="H4085" s="45">
        <v>10</v>
      </c>
      <c r="I4085" s="74">
        <v>31.837</v>
      </c>
    </row>
    <row r="4086" spans="1:9" s="71" customFormat="1" ht="16.5" hidden="1" customHeight="1" outlineLevel="1" x14ac:dyDescent="0.25">
      <c r="A4086" s="74">
        <v>5674</v>
      </c>
      <c r="B4086" s="45" t="s">
        <v>664</v>
      </c>
      <c r="C4086" s="60" t="s">
        <v>3694</v>
      </c>
      <c r="D4086" s="60"/>
      <c r="E4086" s="74">
        <v>2022</v>
      </c>
      <c r="F4086" s="74" t="s">
        <v>489</v>
      </c>
      <c r="G4086" s="61">
        <v>1</v>
      </c>
      <c r="H4086" s="45">
        <v>9</v>
      </c>
      <c r="I4086" s="74">
        <v>26.202999999999999</v>
      </c>
    </row>
    <row r="4087" spans="1:9" s="71" customFormat="1" ht="16.5" hidden="1" customHeight="1" outlineLevel="1" x14ac:dyDescent="0.25">
      <c r="A4087" s="74">
        <v>5684</v>
      </c>
      <c r="B4087" s="45" t="s">
        <v>664</v>
      </c>
      <c r="C4087" s="60" t="s">
        <v>3695</v>
      </c>
      <c r="D4087" s="60"/>
      <c r="E4087" s="74">
        <v>2022</v>
      </c>
      <c r="F4087" s="74" t="s">
        <v>489</v>
      </c>
      <c r="G4087" s="61">
        <v>1</v>
      </c>
      <c r="H4087" s="45">
        <v>15</v>
      </c>
      <c r="I4087" s="74">
        <v>26.202999999999999</v>
      </c>
    </row>
    <row r="4088" spans="1:9" s="71" customFormat="1" ht="16.5" hidden="1" customHeight="1" outlineLevel="1" x14ac:dyDescent="0.25">
      <c r="A4088" s="74">
        <v>5687</v>
      </c>
      <c r="B4088" s="45" t="s">
        <v>664</v>
      </c>
      <c r="C4088" s="60" t="s">
        <v>3696</v>
      </c>
      <c r="D4088" s="60"/>
      <c r="E4088" s="74">
        <v>2022</v>
      </c>
      <c r="F4088" s="74" t="s">
        <v>489</v>
      </c>
      <c r="G4088" s="61">
        <v>1</v>
      </c>
      <c r="H4088" s="45">
        <v>15</v>
      </c>
      <c r="I4088" s="74">
        <v>34.398000000000003</v>
      </c>
    </row>
    <row r="4089" spans="1:9" s="71" customFormat="1" ht="16.5" hidden="1" customHeight="1" outlineLevel="1" x14ac:dyDescent="0.25">
      <c r="A4089" s="74">
        <v>5694</v>
      </c>
      <c r="B4089" s="45" t="s">
        <v>664</v>
      </c>
      <c r="C4089" s="60" t="s">
        <v>3697</v>
      </c>
      <c r="D4089" s="60"/>
      <c r="E4089" s="74">
        <v>2022</v>
      </c>
      <c r="F4089" s="74" t="s">
        <v>489</v>
      </c>
      <c r="G4089" s="61">
        <v>1</v>
      </c>
      <c r="H4089" s="45">
        <v>4.4400000000000004</v>
      </c>
      <c r="I4089" s="74">
        <v>30.965</v>
      </c>
    </row>
    <row r="4090" spans="1:9" s="71" customFormat="1" ht="16.5" hidden="1" customHeight="1" outlineLevel="1" x14ac:dyDescent="0.25">
      <c r="A4090" s="74">
        <v>5695</v>
      </c>
      <c r="B4090" s="45" t="s">
        <v>664</v>
      </c>
      <c r="C4090" s="60" t="s">
        <v>3698</v>
      </c>
      <c r="D4090" s="60"/>
      <c r="E4090" s="74">
        <v>2022</v>
      </c>
      <c r="F4090" s="74" t="s">
        <v>489</v>
      </c>
      <c r="G4090" s="61">
        <v>1</v>
      </c>
      <c r="H4090" s="45">
        <v>4.07</v>
      </c>
      <c r="I4090" s="74">
        <v>29.375</v>
      </c>
    </row>
    <row r="4091" spans="1:9" s="71" customFormat="1" ht="16.5" hidden="1" customHeight="1" outlineLevel="1" x14ac:dyDescent="0.25">
      <c r="A4091" s="74">
        <v>5696</v>
      </c>
      <c r="B4091" s="45" t="s">
        <v>664</v>
      </c>
      <c r="C4091" s="60" t="s">
        <v>3699</v>
      </c>
      <c r="D4091" s="60"/>
      <c r="E4091" s="74">
        <v>2022</v>
      </c>
      <c r="F4091" s="74" t="s">
        <v>489</v>
      </c>
      <c r="G4091" s="61">
        <v>1</v>
      </c>
      <c r="H4091" s="45">
        <v>10</v>
      </c>
      <c r="I4091" s="74">
        <v>31.568999999999999</v>
      </c>
    </row>
    <row r="4092" spans="1:9" s="71" customFormat="1" ht="16.5" hidden="1" customHeight="1" outlineLevel="1" x14ac:dyDescent="0.25">
      <c r="A4092" s="74">
        <v>5697</v>
      </c>
      <c r="B4092" s="45" t="s">
        <v>664</v>
      </c>
      <c r="C4092" s="60" t="s">
        <v>3700</v>
      </c>
      <c r="D4092" s="60"/>
      <c r="E4092" s="74">
        <v>2022</v>
      </c>
      <c r="F4092" s="74" t="s">
        <v>489</v>
      </c>
      <c r="G4092" s="61">
        <v>1</v>
      </c>
      <c r="H4092" s="45">
        <v>15</v>
      </c>
      <c r="I4092" s="74">
        <v>31.960999999999999</v>
      </c>
    </row>
    <row r="4093" spans="1:9" s="71" customFormat="1" ht="16.5" hidden="1" customHeight="1" outlineLevel="1" x14ac:dyDescent="0.25">
      <c r="A4093" s="74">
        <v>5700</v>
      </c>
      <c r="B4093" s="45" t="s">
        <v>664</v>
      </c>
      <c r="C4093" s="60" t="s">
        <v>3701</v>
      </c>
      <c r="D4093" s="60"/>
      <c r="E4093" s="74">
        <v>2022</v>
      </c>
      <c r="F4093" s="74" t="s">
        <v>489</v>
      </c>
      <c r="G4093" s="61">
        <v>1</v>
      </c>
      <c r="H4093" s="45">
        <v>15</v>
      </c>
      <c r="I4093" s="74">
        <v>29.565999999999999</v>
      </c>
    </row>
    <row r="4094" spans="1:9" s="71" customFormat="1" ht="16.5" hidden="1" customHeight="1" outlineLevel="1" x14ac:dyDescent="0.25">
      <c r="A4094" s="74">
        <v>5703</v>
      </c>
      <c r="B4094" s="45" t="s">
        <v>664</v>
      </c>
      <c r="C4094" s="60" t="s">
        <v>3702</v>
      </c>
      <c r="D4094" s="60"/>
      <c r="E4094" s="74">
        <v>2022</v>
      </c>
      <c r="F4094" s="74" t="s">
        <v>489</v>
      </c>
      <c r="G4094" s="61">
        <v>1</v>
      </c>
      <c r="H4094" s="45">
        <v>10</v>
      </c>
      <c r="I4094" s="74">
        <v>29.375</v>
      </c>
    </row>
    <row r="4095" spans="1:9" s="71" customFormat="1" ht="16.5" hidden="1" customHeight="1" outlineLevel="1" x14ac:dyDescent="0.25">
      <c r="A4095" s="74">
        <v>5707</v>
      </c>
      <c r="B4095" s="45" t="s">
        <v>664</v>
      </c>
      <c r="C4095" s="60" t="s">
        <v>3703</v>
      </c>
      <c r="D4095" s="60"/>
      <c r="E4095" s="74">
        <v>2022</v>
      </c>
      <c r="F4095" s="74" t="s">
        <v>489</v>
      </c>
      <c r="G4095" s="61">
        <v>1</v>
      </c>
      <c r="H4095" s="45">
        <v>10</v>
      </c>
      <c r="I4095" s="74">
        <v>29.661999999999999</v>
      </c>
    </row>
    <row r="4096" spans="1:9" s="71" customFormat="1" ht="16.5" hidden="1" customHeight="1" outlineLevel="1" x14ac:dyDescent="0.25">
      <c r="A4096" s="74">
        <v>5714</v>
      </c>
      <c r="B4096" s="45" t="s">
        <v>664</v>
      </c>
      <c r="C4096" s="60" t="s">
        <v>3704</v>
      </c>
      <c r="D4096" s="60"/>
      <c r="E4096" s="74">
        <v>2022</v>
      </c>
      <c r="F4096" s="74" t="s">
        <v>489</v>
      </c>
      <c r="G4096" s="61">
        <v>1</v>
      </c>
      <c r="H4096" s="45">
        <v>15</v>
      </c>
      <c r="I4096" s="74">
        <v>19.361999999999998</v>
      </c>
    </row>
    <row r="4097" spans="1:9" s="71" customFormat="1" ht="16.5" hidden="1" customHeight="1" outlineLevel="1" x14ac:dyDescent="0.25">
      <c r="A4097" s="74">
        <v>5719</v>
      </c>
      <c r="B4097" s="45" t="s">
        <v>664</v>
      </c>
      <c r="C4097" s="60" t="s">
        <v>3705</v>
      </c>
      <c r="D4097" s="60"/>
      <c r="E4097" s="74">
        <v>2022</v>
      </c>
      <c r="F4097" s="74" t="s">
        <v>489</v>
      </c>
      <c r="G4097" s="61">
        <v>1</v>
      </c>
      <c r="H4097" s="45">
        <v>15</v>
      </c>
      <c r="I4097" s="74">
        <v>21.119</v>
      </c>
    </row>
    <row r="4098" spans="1:9" s="71" customFormat="1" ht="16.5" hidden="1" customHeight="1" outlineLevel="1" x14ac:dyDescent="0.25">
      <c r="A4098" s="74">
        <v>5720</v>
      </c>
      <c r="B4098" s="45" t="s">
        <v>664</v>
      </c>
      <c r="C4098" s="60" t="s">
        <v>3706</v>
      </c>
      <c r="D4098" s="60"/>
      <c r="E4098" s="74">
        <v>2022</v>
      </c>
      <c r="F4098" s="74" t="s">
        <v>489</v>
      </c>
      <c r="G4098" s="61">
        <v>1</v>
      </c>
      <c r="H4098" s="45">
        <v>15</v>
      </c>
      <c r="I4098" s="74">
        <v>20.690999999999999</v>
      </c>
    </row>
    <row r="4099" spans="1:9" s="71" customFormat="1" ht="16.5" hidden="1" customHeight="1" outlineLevel="1" x14ac:dyDescent="0.25">
      <c r="A4099" s="74">
        <v>5722</v>
      </c>
      <c r="B4099" s="45" t="s">
        <v>664</v>
      </c>
      <c r="C4099" s="60" t="s">
        <v>3707</v>
      </c>
      <c r="D4099" s="60"/>
      <c r="E4099" s="74">
        <v>2022</v>
      </c>
      <c r="F4099" s="74" t="s">
        <v>489</v>
      </c>
      <c r="G4099" s="61">
        <v>1</v>
      </c>
      <c r="H4099" s="45">
        <v>15</v>
      </c>
      <c r="I4099" s="74">
        <v>22.613</v>
      </c>
    </row>
    <row r="4100" spans="1:9" s="71" customFormat="1" ht="16.5" hidden="1" customHeight="1" outlineLevel="1" x14ac:dyDescent="0.25">
      <c r="A4100" s="74">
        <v>5723</v>
      </c>
      <c r="B4100" s="45" t="s">
        <v>664</v>
      </c>
      <c r="C4100" s="60" t="s">
        <v>3708</v>
      </c>
      <c r="D4100" s="60"/>
      <c r="E4100" s="74">
        <v>2022</v>
      </c>
      <c r="F4100" s="74" t="s">
        <v>489</v>
      </c>
      <c r="G4100" s="61">
        <v>1</v>
      </c>
      <c r="H4100" s="45">
        <v>10</v>
      </c>
      <c r="I4100" s="74">
        <v>23.396000000000001</v>
      </c>
    </row>
    <row r="4101" spans="1:9" s="71" customFormat="1" ht="16.5" hidden="1" customHeight="1" outlineLevel="1" x14ac:dyDescent="0.25">
      <c r="A4101" s="74">
        <v>5725</v>
      </c>
      <c r="B4101" s="45" t="s">
        <v>664</v>
      </c>
      <c r="C4101" s="60" t="s">
        <v>3709</v>
      </c>
      <c r="D4101" s="60"/>
      <c r="E4101" s="74">
        <v>2022</v>
      </c>
      <c r="F4101" s="74" t="s">
        <v>489</v>
      </c>
      <c r="G4101" s="61">
        <v>1</v>
      </c>
      <c r="H4101" s="45">
        <v>15</v>
      </c>
      <c r="I4101" s="74">
        <v>20.687999999999999</v>
      </c>
    </row>
    <row r="4102" spans="1:9" s="71" customFormat="1" ht="16.5" hidden="1" customHeight="1" outlineLevel="1" x14ac:dyDescent="0.25">
      <c r="A4102" s="74">
        <v>5730</v>
      </c>
      <c r="B4102" s="45" t="s">
        <v>664</v>
      </c>
      <c r="C4102" s="60" t="s">
        <v>3710</v>
      </c>
      <c r="D4102" s="60"/>
      <c r="E4102" s="74">
        <v>2022</v>
      </c>
      <c r="F4102" s="74" t="s">
        <v>489</v>
      </c>
      <c r="G4102" s="61">
        <v>1</v>
      </c>
      <c r="H4102" s="45">
        <v>12</v>
      </c>
      <c r="I4102" s="74">
        <v>17.532</v>
      </c>
    </row>
    <row r="4103" spans="1:9" s="71" customFormat="1" ht="16.5" hidden="1" customHeight="1" outlineLevel="1" x14ac:dyDescent="0.25">
      <c r="A4103" s="74">
        <v>5731</v>
      </c>
      <c r="B4103" s="45" t="s">
        <v>664</v>
      </c>
      <c r="C4103" s="60" t="s">
        <v>3711</v>
      </c>
      <c r="D4103" s="60"/>
      <c r="E4103" s="74">
        <v>2022</v>
      </c>
      <c r="F4103" s="74" t="s">
        <v>489</v>
      </c>
      <c r="G4103" s="61">
        <v>1</v>
      </c>
      <c r="H4103" s="45">
        <v>15</v>
      </c>
      <c r="I4103" s="74">
        <v>18.347000000000001</v>
      </c>
    </row>
    <row r="4104" spans="1:9" s="71" customFormat="1" ht="16.5" hidden="1" customHeight="1" outlineLevel="1" x14ac:dyDescent="0.25">
      <c r="A4104" s="74">
        <v>5735</v>
      </c>
      <c r="B4104" s="45" t="s">
        <v>664</v>
      </c>
      <c r="C4104" s="60" t="s">
        <v>3712</v>
      </c>
      <c r="D4104" s="60"/>
      <c r="E4104" s="74">
        <v>2022</v>
      </c>
      <c r="F4104" s="74" t="s">
        <v>489</v>
      </c>
      <c r="G4104" s="61">
        <v>1</v>
      </c>
      <c r="H4104" s="45">
        <v>15</v>
      </c>
      <c r="I4104" s="74">
        <v>21.686</v>
      </c>
    </row>
    <row r="4105" spans="1:9" s="71" customFormat="1" ht="16.5" hidden="1" customHeight="1" outlineLevel="1" x14ac:dyDescent="0.25">
      <c r="A4105" s="74">
        <v>5740</v>
      </c>
      <c r="B4105" s="45" t="s">
        <v>664</v>
      </c>
      <c r="C4105" s="60" t="s">
        <v>3713</v>
      </c>
      <c r="D4105" s="60"/>
      <c r="E4105" s="74">
        <v>2022</v>
      </c>
      <c r="F4105" s="74" t="s">
        <v>489</v>
      </c>
      <c r="G4105" s="61">
        <v>1</v>
      </c>
      <c r="H4105" s="45">
        <v>12</v>
      </c>
      <c r="I4105" s="74">
        <v>18.8</v>
      </c>
    </row>
    <row r="4106" spans="1:9" s="71" customFormat="1" ht="16.5" hidden="1" customHeight="1" outlineLevel="1" x14ac:dyDescent="0.25">
      <c r="A4106" s="74">
        <v>5741</v>
      </c>
      <c r="B4106" s="45" t="s">
        <v>664</v>
      </c>
      <c r="C4106" s="60" t="s">
        <v>3714</v>
      </c>
      <c r="D4106" s="60"/>
      <c r="E4106" s="74">
        <v>2022</v>
      </c>
      <c r="F4106" s="74" t="s">
        <v>489</v>
      </c>
      <c r="G4106" s="61">
        <v>1</v>
      </c>
      <c r="H4106" s="45">
        <v>1.2</v>
      </c>
      <c r="I4106" s="74">
        <v>18.498000000000001</v>
      </c>
    </row>
    <row r="4107" spans="1:9" s="71" customFormat="1" ht="16.5" hidden="1" customHeight="1" outlineLevel="1" x14ac:dyDescent="0.25">
      <c r="A4107" s="74">
        <v>5744</v>
      </c>
      <c r="B4107" s="45" t="s">
        <v>664</v>
      </c>
      <c r="C4107" s="60" t="s">
        <v>3715</v>
      </c>
      <c r="D4107" s="60"/>
      <c r="E4107" s="74">
        <v>2022</v>
      </c>
      <c r="F4107" s="74" t="s">
        <v>489</v>
      </c>
      <c r="G4107" s="61">
        <v>1</v>
      </c>
      <c r="H4107" s="45">
        <v>15</v>
      </c>
      <c r="I4107" s="74">
        <v>20.151</v>
      </c>
    </row>
    <row r="4108" spans="1:9" s="71" customFormat="1" ht="16.5" hidden="1" customHeight="1" outlineLevel="1" x14ac:dyDescent="0.25">
      <c r="A4108" s="74">
        <v>5745</v>
      </c>
      <c r="B4108" s="45" t="s">
        <v>664</v>
      </c>
      <c r="C4108" s="60" t="s">
        <v>3716</v>
      </c>
      <c r="D4108" s="60"/>
      <c r="E4108" s="74">
        <v>2022</v>
      </c>
      <c r="F4108" s="74" t="s">
        <v>489</v>
      </c>
      <c r="G4108" s="61">
        <v>1</v>
      </c>
      <c r="H4108" s="45">
        <v>7</v>
      </c>
      <c r="I4108" s="74">
        <v>18.498000000000001</v>
      </c>
    </row>
    <row r="4109" spans="1:9" s="71" customFormat="1" ht="16.5" hidden="1" customHeight="1" outlineLevel="1" x14ac:dyDescent="0.25">
      <c r="A4109" s="74">
        <v>5746</v>
      </c>
      <c r="B4109" s="45" t="s">
        <v>664</v>
      </c>
      <c r="C4109" s="60" t="s">
        <v>3717</v>
      </c>
      <c r="D4109" s="60"/>
      <c r="E4109" s="74">
        <v>2022</v>
      </c>
      <c r="F4109" s="74" t="s">
        <v>489</v>
      </c>
      <c r="G4109" s="61">
        <v>1</v>
      </c>
      <c r="H4109" s="45">
        <v>15</v>
      </c>
      <c r="I4109" s="74">
        <v>21.006</v>
      </c>
    </row>
    <row r="4110" spans="1:9" s="71" customFormat="1" ht="16.5" hidden="1" customHeight="1" outlineLevel="1" x14ac:dyDescent="0.25">
      <c r="A4110" s="74">
        <v>5749</v>
      </c>
      <c r="B4110" s="45" t="s">
        <v>664</v>
      </c>
      <c r="C4110" s="60" t="s">
        <v>3718</v>
      </c>
      <c r="D4110" s="60"/>
      <c r="E4110" s="74">
        <v>2022</v>
      </c>
      <c r="F4110" s="74" t="s">
        <v>489</v>
      </c>
      <c r="G4110" s="61">
        <v>1</v>
      </c>
      <c r="H4110" s="45">
        <v>150</v>
      </c>
      <c r="I4110" s="74">
        <v>68.465999999999994</v>
      </c>
    </row>
    <row r="4111" spans="1:9" s="71" customFormat="1" ht="16.5" hidden="1" customHeight="1" outlineLevel="1" x14ac:dyDescent="0.25">
      <c r="A4111" s="74">
        <v>5750</v>
      </c>
      <c r="B4111" s="45" t="s">
        <v>664</v>
      </c>
      <c r="C4111" s="60" t="s">
        <v>3719</v>
      </c>
      <c r="D4111" s="60"/>
      <c r="E4111" s="74">
        <v>2022</v>
      </c>
      <c r="F4111" s="74" t="s">
        <v>489</v>
      </c>
      <c r="G4111" s="61" t="s">
        <v>3720</v>
      </c>
      <c r="H4111" s="45">
        <v>15</v>
      </c>
      <c r="I4111" s="74">
        <v>16.802</v>
      </c>
    </row>
    <row r="4112" spans="1:9" s="71" customFormat="1" ht="16.5" hidden="1" customHeight="1" outlineLevel="1" x14ac:dyDescent="0.25">
      <c r="A4112" s="74">
        <v>5751</v>
      </c>
      <c r="B4112" s="45" t="s">
        <v>664</v>
      </c>
      <c r="C4112" s="60" t="s">
        <v>3721</v>
      </c>
      <c r="D4112" s="60"/>
      <c r="E4112" s="74">
        <v>2022</v>
      </c>
      <c r="F4112" s="74" t="s">
        <v>489</v>
      </c>
      <c r="G4112" s="61" t="s">
        <v>3720</v>
      </c>
      <c r="H4112" s="45">
        <v>15</v>
      </c>
      <c r="I4112" s="74">
        <v>17.797999999999998</v>
      </c>
    </row>
    <row r="4113" spans="1:9" s="71" customFormat="1" ht="16.5" hidden="1" customHeight="1" outlineLevel="1" x14ac:dyDescent="0.25">
      <c r="A4113" s="74">
        <v>5752</v>
      </c>
      <c r="B4113" s="45" t="s">
        <v>664</v>
      </c>
      <c r="C4113" s="60" t="s">
        <v>3722</v>
      </c>
      <c r="D4113" s="60"/>
      <c r="E4113" s="74">
        <v>2022</v>
      </c>
      <c r="F4113" s="74" t="s">
        <v>489</v>
      </c>
      <c r="G4113" s="61" t="s">
        <v>3720</v>
      </c>
      <c r="H4113" s="45">
        <v>5</v>
      </c>
      <c r="I4113" s="74">
        <v>18.696999999999999</v>
      </c>
    </row>
    <row r="4114" spans="1:9" s="71" customFormat="1" ht="16.5" hidden="1" customHeight="1" outlineLevel="1" x14ac:dyDescent="0.25">
      <c r="A4114" s="74">
        <v>5753</v>
      </c>
      <c r="B4114" s="45" t="s">
        <v>664</v>
      </c>
      <c r="C4114" s="60" t="s">
        <v>3723</v>
      </c>
      <c r="D4114" s="60"/>
      <c r="E4114" s="74">
        <v>2022</v>
      </c>
      <c r="F4114" s="74" t="s">
        <v>489</v>
      </c>
      <c r="G4114" s="61" t="s">
        <v>3720</v>
      </c>
      <c r="H4114" s="45">
        <v>15</v>
      </c>
      <c r="I4114" s="74">
        <v>20.303999999999998</v>
      </c>
    </row>
    <row r="4115" spans="1:9" s="71" customFormat="1" ht="16.5" hidden="1" customHeight="1" outlineLevel="1" x14ac:dyDescent="0.25">
      <c r="A4115" s="74">
        <v>5754</v>
      </c>
      <c r="B4115" s="45" t="s">
        <v>664</v>
      </c>
      <c r="C4115" s="60" t="s">
        <v>3724</v>
      </c>
      <c r="D4115" s="60"/>
      <c r="E4115" s="74">
        <v>2022</v>
      </c>
      <c r="F4115" s="74" t="s">
        <v>489</v>
      </c>
      <c r="G4115" s="61" t="s">
        <v>3720</v>
      </c>
      <c r="H4115" s="45">
        <v>12</v>
      </c>
      <c r="I4115" s="74">
        <v>17.532</v>
      </c>
    </row>
    <row r="4116" spans="1:9" s="71" customFormat="1" ht="16.5" hidden="1" customHeight="1" outlineLevel="1" x14ac:dyDescent="0.25">
      <c r="A4116" s="74">
        <v>5756</v>
      </c>
      <c r="B4116" s="45" t="s">
        <v>664</v>
      </c>
      <c r="C4116" s="60" t="s">
        <v>3725</v>
      </c>
      <c r="D4116" s="60"/>
      <c r="E4116" s="74">
        <v>2022</v>
      </c>
      <c r="F4116" s="74" t="s">
        <v>489</v>
      </c>
      <c r="G4116" s="61" t="s">
        <v>3720</v>
      </c>
      <c r="H4116" s="45">
        <v>15</v>
      </c>
      <c r="I4116" s="74">
        <v>20.721</v>
      </c>
    </row>
    <row r="4117" spans="1:9" s="71" customFormat="1" ht="16.5" hidden="1" customHeight="1" outlineLevel="1" x14ac:dyDescent="0.25">
      <c r="A4117" s="74">
        <v>5757</v>
      </c>
      <c r="B4117" s="45" t="s">
        <v>664</v>
      </c>
      <c r="C4117" s="60" t="s">
        <v>3726</v>
      </c>
      <c r="D4117" s="60"/>
      <c r="E4117" s="74">
        <v>2022</v>
      </c>
      <c r="F4117" s="74" t="s">
        <v>489</v>
      </c>
      <c r="G4117" s="61" t="s">
        <v>3720</v>
      </c>
      <c r="H4117" s="45">
        <v>12</v>
      </c>
      <c r="I4117" s="74">
        <v>17.623000000000001</v>
      </c>
    </row>
    <row r="4118" spans="1:9" s="71" customFormat="1" ht="16.5" hidden="1" customHeight="1" outlineLevel="1" x14ac:dyDescent="0.25">
      <c r="A4118" s="74">
        <v>5759</v>
      </c>
      <c r="B4118" s="45" t="s">
        <v>664</v>
      </c>
      <c r="C4118" s="60" t="s">
        <v>3727</v>
      </c>
      <c r="D4118" s="60"/>
      <c r="E4118" s="74">
        <v>2022</v>
      </c>
      <c r="F4118" s="74" t="s">
        <v>489</v>
      </c>
      <c r="G4118" s="61" t="s">
        <v>3720</v>
      </c>
      <c r="H4118" s="45">
        <v>15</v>
      </c>
      <c r="I4118" s="74">
        <v>19.649000000000001</v>
      </c>
    </row>
    <row r="4119" spans="1:9" s="71" customFormat="1" ht="16.5" hidden="1" customHeight="1" outlineLevel="1" x14ac:dyDescent="0.25">
      <c r="A4119" s="74">
        <v>5761</v>
      </c>
      <c r="B4119" s="45" t="s">
        <v>664</v>
      </c>
      <c r="C4119" s="60" t="s">
        <v>3728</v>
      </c>
      <c r="D4119" s="60"/>
      <c r="E4119" s="74">
        <v>2022</v>
      </c>
      <c r="F4119" s="74" t="s">
        <v>489</v>
      </c>
      <c r="G4119" s="61">
        <v>1</v>
      </c>
      <c r="H4119" s="45">
        <v>15</v>
      </c>
      <c r="I4119" s="74">
        <v>21.148</v>
      </c>
    </row>
    <row r="4120" spans="1:9" s="71" customFormat="1" ht="16.5" hidden="1" customHeight="1" outlineLevel="1" x14ac:dyDescent="0.25">
      <c r="A4120" s="74">
        <v>5774</v>
      </c>
      <c r="B4120" s="45" t="s">
        <v>664</v>
      </c>
      <c r="C4120" s="60" t="s">
        <v>3729</v>
      </c>
      <c r="D4120" s="60"/>
      <c r="E4120" s="74">
        <v>2022</v>
      </c>
      <c r="F4120" s="74" t="s">
        <v>489</v>
      </c>
      <c r="G4120" s="61">
        <v>1</v>
      </c>
      <c r="H4120" s="45">
        <v>15</v>
      </c>
      <c r="I4120" s="74">
        <v>21.562000000000001</v>
      </c>
    </row>
    <row r="4121" spans="1:9" s="71" customFormat="1" ht="16.5" hidden="1" customHeight="1" outlineLevel="1" x14ac:dyDescent="0.25">
      <c r="A4121" s="74">
        <v>5776</v>
      </c>
      <c r="B4121" s="45" t="s">
        <v>664</v>
      </c>
      <c r="C4121" s="60" t="s">
        <v>3730</v>
      </c>
      <c r="D4121" s="60"/>
      <c r="E4121" s="74">
        <v>2022</v>
      </c>
      <c r="F4121" s="74" t="s">
        <v>489</v>
      </c>
      <c r="G4121" s="61">
        <v>1</v>
      </c>
      <c r="H4121" s="45">
        <v>15</v>
      </c>
      <c r="I4121" s="74">
        <v>19.361999999999998</v>
      </c>
    </row>
    <row r="4122" spans="1:9" s="71" customFormat="1" ht="16.5" hidden="1" customHeight="1" outlineLevel="1" x14ac:dyDescent="0.25">
      <c r="A4122" s="74">
        <v>5778</v>
      </c>
      <c r="B4122" s="45" t="s">
        <v>664</v>
      </c>
      <c r="C4122" s="60" t="s">
        <v>3731</v>
      </c>
      <c r="D4122" s="60"/>
      <c r="E4122" s="74">
        <v>2022</v>
      </c>
      <c r="F4122" s="74" t="s">
        <v>489</v>
      </c>
      <c r="G4122" s="61">
        <v>1</v>
      </c>
      <c r="H4122" s="45">
        <v>15</v>
      </c>
      <c r="I4122" s="74">
        <v>19.553000000000001</v>
      </c>
    </row>
    <row r="4123" spans="1:9" s="71" customFormat="1" ht="16.5" hidden="1" customHeight="1" outlineLevel="1" x14ac:dyDescent="0.25">
      <c r="A4123" s="74">
        <v>5779</v>
      </c>
      <c r="B4123" s="45" t="s">
        <v>664</v>
      </c>
      <c r="C4123" s="60" t="s">
        <v>3732</v>
      </c>
      <c r="D4123" s="60"/>
      <c r="E4123" s="74">
        <v>2022</v>
      </c>
      <c r="F4123" s="74" t="s">
        <v>489</v>
      </c>
      <c r="G4123" s="61">
        <v>1</v>
      </c>
      <c r="H4123" s="45">
        <v>12</v>
      </c>
      <c r="I4123" s="74">
        <v>21.148</v>
      </c>
    </row>
    <row r="4124" spans="1:9" s="71" customFormat="1" ht="16.5" hidden="1" customHeight="1" outlineLevel="1" x14ac:dyDescent="0.25">
      <c r="A4124" s="74">
        <v>5780</v>
      </c>
      <c r="B4124" s="45" t="s">
        <v>664</v>
      </c>
      <c r="C4124" s="60" t="s">
        <v>3733</v>
      </c>
      <c r="D4124" s="60"/>
      <c r="E4124" s="74">
        <v>2022</v>
      </c>
      <c r="F4124" s="74" t="s">
        <v>489</v>
      </c>
      <c r="G4124" s="61">
        <v>1</v>
      </c>
      <c r="H4124" s="45">
        <v>15</v>
      </c>
      <c r="I4124" s="74">
        <v>20.318999999999999</v>
      </c>
    </row>
    <row r="4125" spans="1:9" s="71" customFormat="1" ht="16.5" hidden="1" customHeight="1" outlineLevel="1" x14ac:dyDescent="0.25">
      <c r="A4125" s="74">
        <v>5783</v>
      </c>
      <c r="B4125" s="45" t="s">
        <v>664</v>
      </c>
      <c r="C4125" s="60" t="s">
        <v>3734</v>
      </c>
      <c r="D4125" s="60"/>
      <c r="E4125" s="74">
        <v>2022</v>
      </c>
      <c r="F4125" s="74" t="s">
        <v>489</v>
      </c>
      <c r="G4125" s="61">
        <v>1</v>
      </c>
      <c r="H4125" s="45">
        <v>10</v>
      </c>
      <c r="I4125" s="74">
        <v>18.696999999999999</v>
      </c>
    </row>
    <row r="4126" spans="1:9" s="71" customFormat="1" ht="16.5" hidden="1" customHeight="1" outlineLevel="1" x14ac:dyDescent="0.25">
      <c r="A4126" s="74">
        <v>5787</v>
      </c>
      <c r="B4126" s="45" t="s">
        <v>664</v>
      </c>
      <c r="C4126" s="60" t="s">
        <v>3735</v>
      </c>
      <c r="D4126" s="60"/>
      <c r="E4126" s="74">
        <v>2022</v>
      </c>
      <c r="F4126" s="74" t="s">
        <v>489</v>
      </c>
      <c r="G4126" s="61">
        <v>1</v>
      </c>
      <c r="H4126" s="45">
        <v>15</v>
      </c>
      <c r="I4126" s="74">
        <v>19.631</v>
      </c>
    </row>
    <row r="4127" spans="1:9" s="71" customFormat="1" ht="16.5" hidden="1" customHeight="1" outlineLevel="1" x14ac:dyDescent="0.25">
      <c r="A4127" s="74">
        <v>5789</v>
      </c>
      <c r="B4127" s="45" t="s">
        <v>664</v>
      </c>
      <c r="C4127" s="60" t="s">
        <v>3736</v>
      </c>
      <c r="D4127" s="60"/>
      <c r="E4127" s="74">
        <v>2022</v>
      </c>
      <c r="F4127" s="74" t="s">
        <v>489</v>
      </c>
      <c r="G4127" s="61">
        <v>1</v>
      </c>
      <c r="H4127" s="45">
        <v>15</v>
      </c>
      <c r="I4127" s="74">
        <v>19.991</v>
      </c>
    </row>
    <row r="4128" spans="1:9" s="71" customFormat="1" ht="16.5" hidden="1" customHeight="1" outlineLevel="1" x14ac:dyDescent="0.25">
      <c r="A4128" s="74">
        <v>5790</v>
      </c>
      <c r="B4128" s="45" t="s">
        <v>664</v>
      </c>
      <c r="C4128" s="60" t="s">
        <v>3737</v>
      </c>
      <c r="D4128" s="60"/>
      <c r="E4128" s="74">
        <v>2022</v>
      </c>
      <c r="F4128" s="74" t="s">
        <v>489</v>
      </c>
      <c r="G4128" s="61">
        <v>1</v>
      </c>
      <c r="H4128" s="45">
        <v>15</v>
      </c>
      <c r="I4128" s="74">
        <v>19.991</v>
      </c>
    </row>
    <row r="4129" spans="1:9" s="71" customFormat="1" ht="16.5" hidden="1" customHeight="1" outlineLevel="1" x14ac:dyDescent="0.25">
      <c r="A4129" s="74">
        <v>5791</v>
      </c>
      <c r="B4129" s="45" t="s">
        <v>664</v>
      </c>
      <c r="C4129" s="60" t="s">
        <v>3738</v>
      </c>
      <c r="D4129" s="60"/>
      <c r="E4129" s="74">
        <v>2022</v>
      </c>
      <c r="F4129" s="74" t="s">
        <v>489</v>
      </c>
      <c r="G4129" s="61">
        <v>1</v>
      </c>
      <c r="H4129" s="45">
        <v>15</v>
      </c>
      <c r="I4129" s="74">
        <v>19.795000000000002</v>
      </c>
    </row>
    <row r="4130" spans="1:9" s="71" customFormat="1" ht="16.5" hidden="1" customHeight="1" outlineLevel="1" x14ac:dyDescent="0.25">
      <c r="A4130" s="74">
        <v>5792</v>
      </c>
      <c r="B4130" s="45" t="s">
        <v>664</v>
      </c>
      <c r="C4130" s="60" t="s">
        <v>3739</v>
      </c>
      <c r="D4130" s="60"/>
      <c r="E4130" s="74">
        <v>2022</v>
      </c>
      <c r="F4130" s="74" t="s">
        <v>489</v>
      </c>
      <c r="G4130" s="61">
        <v>1</v>
      </c>
      <c r="H4130" s="45">
        <v>15</v>
      </c>
      <c r="I4130" s="74">
        <v>18.498000000000001</v>
      </c>
    </row>
    <row r="4131" spans="1:9" s="71" customFormat="1" ht="16.5" hidden="1" customHeight="1" outlineLevel="1" x14ac:dyDescent="0.25">
      <c r="A4131" s="74">
        <v>5793</v>
      </c>
      <c r="B4131" s="45" t="s">
        <v>664</v>
      </c>
      <c r="C4131" s="60" t="s">
        <v>3740</v>
      </c>
      <c r="D4131" s="60"/>
      <c r="E4131" s="74">
        <v>2022</v>
      </c>
      <c r="F4131" s="74" t="s">
        <v>489</v>
      </c>
      <c r="G4131" s="61">
        <v>1</v>
      </c>
      <c r="H4131" s="45">
        <v>10</v>
      </c>
      <c r="I4131" s="74">
        <v>18.696999999999999</v>
      </c>
    </row>
    <row r="4132" spans="1:9" s="71" customFormat="1" ht="16.5" hidden="1" customHeight="1" outlineLevel="1" x14ac:dyDescent="0.25">
      <c r="A4132" s="74">
        <v>5795</v>
      </c>
      <c r="B4132" s="45" t="s">
        <v>664</v>
      </c>
      <c r="C4132" s="60" t="s">
        <v>3741</v>
      </c>
      <c r="D4132" s="60"/>
      <c r="E4132" s="74">
        <v>2022</v>
      </c>
      <c r="F4132" s="74" t="s">
        <v>489</v>
      </c>
      <c r="G4132" s="61">
        <v>1</v>
      </c>
      <c r="H4132" s="45">
        <v>15</v>
      </c>
      <c r="I4132" s="74">
        <v>19.795000000000002</v>
      </c>
    </row>
    <row r="4133" spans="1:9" s="71" customFormat="1" ht="16.5" hidden="1" customHeight="1" outlineLevel="1" x14ac:dyDescent="0.25">
      <c r="A4133" s="74">
        <v>5797</v>
      </c>
      <c r="B4133" s="45" t="s">
        <v>664</v>
      </c>
      <c r="C4133" s="60" t="s">
        <v>3742</v>
      </c>
      <c r="D4133" s="60"/>
      <c r="E4133" s="74">
        <v>2022</v>
      </c>
      <c r="F4133" s="74" t="s">
        <v>489</v>
      </c>
      <c r="G4133" s="61">
        <v>1</v>
      </c>
      <c r="H4133" s="45">
        <v>15</v>
      </c>
      <c r="I4133" s="74">
        <v>19.795000000000002</v>
      </c>
    </row>
    <row r="4134" spans="1:9" s="71" customFormat="1" ht="16.5" hidden="1" customHeight="1" outlineLevel="1" x14ac:dyDescent="0.25">
      <c r="A4134" s="74">
        <v>5801</v>
      </c>
      <c r="B4134" s="45" t="s">
        <v>664</v>
      </c>
      <c r="C4134" s="60" t="s">
        <v>3743</v>
      </c>
      <c r="D4134" s="60"/>
      <c r="E4134" s="74">
        <v>2022</v>
      </c>
      <c r="F4134" s="74" t="s">
        <v>489</v>
      </c>
      <c r="G4134" s="61">
        <v>1</v>
      </c>
      <c r="H4134" s="45">
        <v>15</v>
      </c>
      <c r="I4134" s="74">
        <v>20.736000000000001</v>
      </c>
    </row>
    <row r="4135" spans="1:9" s="71" customFormat="1" ht="16.5" hidden="1" customHeight="1" outlineLevel="1" x14ac:dyDescent="0.25">
      <c r="A4135" s="74">
        <v>5813</v>
      </c>
      <c r="B4135" s="45" t="s">
        <v>664</v>
      </c>
      <c r="C4135" s="60" t="s">
        <v>3744</v>
      </c>
      <c r="D4135" s="60"/>
      <c r="E4135" s="74">
        <v>2022</v>
      </c>
      <c r="F4135" s="74" t="s">
        <v>489</v>
      </c>
      <c r="G4135" s="61">
        <v>1</v>
      </c>
      <c r="H4135" s="45">
        <v>15</v>
      </c>
      <c r="I4135" s="74">
        <v>22.003</v>
      </c>
    </row>
    <row r="4136" spans="1:9" s="71" customFormat="1" ht="16.5" hidden="1" customHeight="1" outlineLevel="1" x14ac:dyDescent="0.25">
      <c r="A4136" s="74">
        <v>5822</v>
      </c>
      <c r="B4136" s="45" t="s">
        <v>664</v>
      </c>
      <c r="C4136" s="60" t="s">
        <v>3745</v>
      </c>
      <c r="D4136" s="60"/>
      <c r="E4136" s="74">
        <v>2022</v>
      </c>
      <c r="F4136" s="74" t="s">
        <v>489</v>
      </c>
      <c r="G4136" s="61">
        <v>1</v>
      </c>
      <c r="H4136" s="45">
        <v>15</v>
      </c>
      <c r="I4136" s="74">
        <v>20.510999999999999</v>
      </c>
    </row>
    <row r="4137" spans="1:9" s="71" customFormat="1" ht="16.5" hidden="1" customHeight="1" outlineLevel="1" x14ac:dyDescent="0.25">
      <c r="A4137" s="74">
        <v>5842</v>
      </c>
      <c r="B4137" s="45" t="s">
        <v>664</v>
      </c>
      <c r="C4137" s="60" t="s">
        <v>3746</v>
      </c>
      <c r="D4137" s="60"/>
      <c r="E4137" s="74">
        <v>2022</v>
      </c>
      <c r="F4137" s="74" t="s">
        <v>489</v>
      </c>
      <c r="G4137" s="61">
        <v>1</v>
      </c>
      <c r="H4137" s="45">
        <v>15</v>
      </c>
      <c r="I4137" s="74">
        <v>20.428999999999998</v>
      </c>
    </row>
    <row r="4138" spans="1:9" s="71" customFormat="1" ht="16.5" hidden="1" customHeight="1" outlineLevel="1" x14ac:dyDescent="0.25">
      <c r="A4138" s="74">
        <v>5897</v>
      </c>
      <c r="B4138" s="45" t="s">
        <v>664</v>
      </c>
      <c r="C4138" s="60" t="s">
        <v>3747</v>
      </c>
      <c r="D4138" s="60"/>
      <c r="E4138" s="74">
        <v>2022</v>
      </c>
      <c r="F4138" s="74" t="s">
        <v>489</v>
      </c>
      <c r="G4138" s="61">
        <v>1</v>
      </c>
      <c r="H4138" s="45">
        <v>15</v>
      </c>
      <c r="I4138" s="74">
        <v>37.923000000000002</v>
      </c>
    </row>
    <row r="4139" spans="1:9" s="71" customFormat="1" ht="16.5" hidden="1" customHeight="1" outlineLevel="1" x14ac:dyDescent="0.25">
      <c r="A4139" s="74">
        <v>5901</v>
      </c>
      <c r="B4139" s="45" t="s">
        <v>664</v>
      </c>
      <c r="C4139" s="60" t="s">
        <v>3748</v>
      </c>
      <c r="D4139" s="60"/>
      <c r="E4139" s="74">
        <v>2022</v>
      </c>
      <c r="F4139" s="74" t="s">
        <v>489</v>
      </c>
      <c r="G4139" s="61">
        <v>1</v>
      </c>
      <c r="H4139" s="45">
        <v>15</v>
      </c>
      <c r="I4139" s="74">
        <v>21.715</v>
      </c>
    </row>
    <row r="4140" spans="1:9" s="71" customFormat="1" ht="16.5" hidden="1" customHeight="1" outlineLevel="1" x14ac:dyDescent="0.25">
      <c r="A4140" s="74">
        <v>5902</v>
      </c>
      <c r="B4140" s="45" t="s">
        <v>664</v>
      </c>
      <c r="C4140" s="60" t="s">
        <v>3749</v>
      </c>
      <c r="D4140" s="60"/>
      <c r="E4140" s="74">
        <v>2022</v>
      </c>
      <c r="F4140" s="74" t="s">
        <v>489</v>
      </c>
      <c r="G4140" s="61">
        <v>1</v>
      </c>
      <c r="H4140" s="45">
        <v>15</v>
      </c>
      <c r="I4140" s="74">
        <v>70.405000000000001</v>
      </c>
    </row>
    <row r="4141" spans="1:9" s="71" customFormat="1" ht="16.5" hidden="1" customHeight="1" outlineLevel="1" x14ac:dyDescent="0.25">
      <c r="A4141" s="74">
        <v>5903</v>
      </c>
      <c r="B4141" s="45" t="s">
        <v>664</v>
      </c>
      <c r="C4141" s="60" t="s">
        <v>3750</v>
      </c>
      <c r="D4141" s="60"/>
      <c r="E4141" s="74">
        <v>2022</v>
      </c>
      <c r="F4141" s="74" t="s">
        <v>489</v>
      </c>
      <c r="G4141" s="61">
        <v>1</v>
      </c>
      <c r="H4141" s="45">
        <v>15</v>
      </c>
      <c r="I4141" s="74">
        <v>71.159000000000006</v>
      </c>
    </row>
    <row r="4142" spans="1:9" s="71" customFormat="1" ht="16.5" hidden="1" customHeight="1" outlineLevel="1" x14ac:dyDescent="0.25">
      <c r="A4142" s="74">
        <v>5904</v>
      </c>
      <c r="B4142" s="45" t="s">
        <v>664</v>
      </c>
      <c r="C4142" s="60" t="s">
        <v>3751</v>
      </c>
      <c r="D4142" s="60"/>
      <c r="E4142" s="74">
        <v>2022</v>
      </c>
      <c r="F4142" s="74" t="s">
        <v>489</v>
      </c>
      <c r="G4142" s="61">
        <v>1</v>
      </c>
      <c r="H4142" s="45">
        <v>15</v>
      </c>
      <c r="I4142" s="74">
        <v>73.631</v>
      </c>
    </row>
    <row r="4143" spans="1:9" s="71" customFormat="1" ht="16.5" hidden="1" customHeight="1" outlineLevel="1" x14ac:dyDescent="0.25">
      <c r="A4143" s="74">
        <v>5474</v>
      </c>
      <c r="B4143" s="45" t="s">
        <v>664</v>
      </c>
      <c r="C4143" s="60" t="s">
        <v>3752</v>
      </c>
      <c r="D4143" s="60"/>
      <c r="E4143" s="74">
        <v>2022</v>
      </c>
      <c r="F4143" s="74" t="s">
        <v>489</v>
      </c>
      <c r="G4143" s="61">
        <v>1</v>
      </c>
      <c r="H4143" s="45">
        <v>8.41</v>
      </c>
      <c r="I4143" s="74">
        <v>28.477</v>
      </c>
    </row>
    <row r="4144" spans="1:9" s="71" customFormat="1" ht="16.5" hidden="1" customHeight="1" outlineLevel="1" x14ac:dyDescent="0.25">
      <c r="A4144" s="74">
        <v>5491</v>
      </c>
      <c r="B4144" s="45" t="s">
        <v>664</v>
      </c>
      <c r="C4144" s="60" t="s">
        <v>3753</v>
      </c>
      <c r="D4144" s="60"/>
      <c r="E4144" s="74">
        <v>2022</v>
      </c>
      <c r="F4144" s="74" t="s">
        <v>489</v>
      </c>
      <c r="G4144" s="61">
        <v>1</v>
      </c>
      <c r="H4144" s="45">
        <v>3.12</v>
      </c>
      <c r="I4144" s="74">
        <v>23.353000000000002</v>
      </c>
    </row>
    <row r="4145" spans="1:9" s="71" customFormat="1" ht="16.5" hidden="1" customHeight="1" outlineLevel="1" x14ac:dyDescent="0.25">
      <c r="A4145" s="74">
        <v>5618</v>
      </c>
      <c r="B4145" s="45" t="s">
        <v>664</v>
      </c>
      <c r="C4145" s="60" t="s">
        <v>3754</v>
      </c>
      <c r="D4145" s="60"/>
      <c r="E4145" s="74">
        <v>2022</v>
      </c>
      <c r="F4145" s="74" t="s">
        <v>489</v>
      </c>
      <c r="G4145" s="61">
        <v>1</v>
      </c>
      <c r="H4145" s="45">
        <v>12.9</v>
      </c>
      <c r="I4145" s="74">
        <v>25.831</v>
      </c>
    </row>
    <row r="4146" spans="1:9" s="71" customFormat="1" ht="16.5" hidden="1" customHeight="1" outlineLevel="1" x14ac:dyDescent="0.25">
      <c r="A4146" s="74">
        <v>5624</v>
      </c>
      <c r="B4146" s="45" t="s">
        <v>664</v>
      </c>
      <c r="C4146" s="60" t="s">
        <v>3755</v>
      </c>
      <c r="D4146" s="60"/>
      <c r="E4146" s="74">
        <v>2022</v>
      </c>
      <c r="F4146" s="74" t="s">
        <v>489</v>
      </c>
      <c r="G4146" s="61">
        <v>1</v>
      </c>
      <c r="H4146" s="45">
        <v>10</v>
      </c>
      <c r="I4146" s="74">
        <v>59.959000000000003</v>
      </c>
    </row>
    <row r="4147" spans="1:9" s="71" customFormat="1" ht="16.5" hidden="1" customHeight="1" outlineLevel="1" x14ac:dyDescent="0.25">
      <c r="A4147" s="74">
        <v>5724</v>
      </c>
      <c r="B4147" s="45" t="s">
        <v>664</v>
      </c>
      <c r="C4147" s="60" t="s">
        <v>3756</v>
      </c>
      <c r="D4147" s="60"/>
      <c r="E4147" s="74">
        <v>2022</v>
      </c>
      <c r="F4147" s="74" t="s">
        <v>489</v>
      </c>
      <c r="G4147" s="61">
        <v>1</v>
      </c>
      <c r="H4147" s="45">
        <v>15</v>
      </c>
      <c r="I4147" s="74">
        <v>23.742000000000001</v>
      </c>
    </row>
    <row r="4148" spans="1:9" s="71" customFormat="1" ht="16.5" hidden="1" customHeight="1" outlineLevel="1" x14ac:dyDescent="0.25">
      <c r="A4148" s="74">
        <v>5727</v>
      </c>
      <c r="B4148" s="45" t="s">
        <v>664</v>
      </c>
      <c r="C4148" s="60" t="s">
        <v>3757</v>
      </c>
      <c r="D4148" s="60"/>
      <c r="E4148" s="74">
        <v>2022</v>
      </c>
      <c r="F4148" s="74" t="s">
        <v>489</v>
      </c>
      <c r="G4148" s="61">
        <v>1</v>
      </c>
      <c r="H4148" s="45">
        <v>10</v>
      </c>
      <c r="I4148" s="74">
        <v>64.328000000000003</v>
      </c>
    </row>
    <row r="4149" spans="1:9" s="71" customFormat="1" ht="16.5" hidden="1" customHeight="1" outlineLevel="1" x14ac:dyDescent="0.25">
      <c r="A4149" s="74">
        <v>5736</v>
      </c>
      <c r="B4149" s="45" t="s">
        <v>664</v>
      </c>
      <c r="C4149" s="60" t="s">
        <v>3758</v>
      </c>
      <c r="D4149" s="60"/>
      <c r="E4149" s="74">
        <v>2022</v>
      </c>
      <c r="F4149" s="74" t="s">
        <v>489</v>
      </c>
      <c r="G4149" s="61">
        <v>1</v>
      </c>
      <c r="H4149" s="45">
        <v>15</v>
      </c>
      <c r="I4149" s="74">
        <v>17.398</v>
      </c>
    </row>
    <row r="4150" spans="1:9" s="71" customFormat="1" ht="16.5" hidden="1" customHeight="1" outlineLevel="1" x14ac:dyDescent="0.25">
      <c r="A4150" s="74">
        <v>5804</v>
      </c>
      <c r="B4150" s="45" t="s">
        <v>664</v>
      </c>
      <c r="C4150" s="60" t="s">
        <v>3759</v>
      </c>
      <c r="D4150" s="60"/>
      <c r="E4150" s="74">
        <v>2022</v>
      </c>
      <c r="F4150" s="74" t="s">
        <v>489</v>
      </c>
      <c r="G4150" s="61">
        <v>1</v>
      </c>
      <c r="H4150" s="45">
        <v>9</v>
      </c>
      <c r="I4150" s="74">
        <v>18.917000000000002</v>
      </c>
    </row>
    <row r="4151" spans="1:9" s="71" customFormat="1" ht="16.5" hidden="1" customHeight="1" outlineLevel="1" x14ac:dyDescent="0.25">
      <c r="A4151" s="74">
        <v>5807</v>
      </c>
      <c r="B4151" s="45" t="s">
        <v>664</v>
      </c>
      <c r="C4151" s="60" t="s">
        <v>3760</v>
      </c>
      <c r="D4151" s="60"/>
      <c r="E4151" s="74">
        <v>2022</v>
      </c>
      <c r="F4151" s="74" t="s">
        <v>489</v>
      </c>
      <c r="G4151" s="61">
        <v>1</v>
      </c>
      <c r="H4151" s="45">
        <v>7.5</v>
      </c>
      <c r="I4151" s="74">
        <v>17.202000000000002</v>
      </c>
    </row>
    <row r="4152" spans="1:9" s="71" customFormat="1" ht="16.5" hidden="1" customHeight="1" outlineLevel="1" x14ac:dyDescent="0.25">
      <c r="A4152" s="74">
        <v>5808</v>
      </c>
      <c r="B4152" s="45" t="s">
        <v>664</v>
      </c>
      <c r="C4152" s="60" t="s">
        <v>3761</v>
      </c>
      <c r="D4152" s="60"/>
      <c r="E4152" s="74">
        <v>2022</v>
      </c>
      <c r="F4152" s="74" t="s">
        <v>489</v>
      </c>
      <c r="G4152" s="61">
        <v>1</v>
      </c>
      <c r="H4152" s="45">
        <v>7.5</v>
      </c>
      <c r="I4152" s="74">
        <v>17.202000000000002</v>
      </c>
    </row>
    <row r="4153" spans="1:9" s="71" customFormat="1" ht="16.5" hidden="1" customHeight="1" outlineLevel="1" x14ac:dyDescent="0.25">
      <c r="A4153" s="74">
        <v>5809</v>
      </c>
      <c r="B4153" s="45" t="s">
        <v>664</v>
      </c>
      <c r="C4153" s="60" t="s">
        <v>3762</v>
      </c>
      <c r="D4153" s="60"/>
      <c r="E4153" s="74">
        <v>2022</v>
      </c>
      <c r="F4153" s="74" t="s">
        <v>489</v>
      </c>
      <c r="G4153" s="61">
        <v>1</v>
      </c>
      <c r="H4153" s="45">
        <v>7.5</v>
      </c>
      <c r="I4153" s="74">
        <v>16.940000000000001</v>
      </c>
    </row>
    <row r="4154" spans="1:9" s="71" customFormat="1" ht="16.5" hidden="1" customHeight="1" outlineLevel="1" x14ac:dyDescent="0.25">
      <c r="A4154" s="74">
        <v>5817</v>
      </c>
      <c r="B4154" s="45" t="s">
        <v>664</v>
      </c>
      <c r="C4154" s="60" t="s">
        <v>3763</v>
      </c>
      <c r="D4154" s="60"/>
      <c r="E4154" s="74">
        <v>2022</v>
      </c>
      <c r="F4154" s="74" t="s">
        <v>489</v>
      </c>
      <c r="G4154" s="61">
        <v>1</v>
      </c>
      <c r="H4154" s="45">
        <v>6</v>
      </c>
      <c r="I4154" s="74">
        <v>16.940000000000001</v>
      </c>
    </row>
    <row r="4155" spans="1:9" s="71" customFormat="1" ht="16.5" hidden="1" customHeight="1" outlineLevel="1" x14ac:dyDescent="0.25">
      <c r="A4155" s="74">
        <v>5818</v>
      </c>
      <c r="B4155" s="45" t="s">
        <v>664</v>
      </c>
      <c r="C4155" s="60" t="s">
        <v>3764</v>
      </c>
      <c r="D4155" s="60"/>
      <c r="E4155" s="74">
        <v>2022</v>
      </c>
      <c r="F4155" s="74" t="s">
        <v>489</v>
      </c>
      <c r="G4155" s="61">
        <v>1</v>
      </c>
      <c r="H4155" s="45">
        <v>13.9</v>
      </c>
      <c r="I4155" s="74">
        <v>17.334</v>
      </c>
    </row>
    <row r="4156" spans="1:9" s="71" customFormat="1" ht="16.5" hidden="1" customHeight="1" outlineLevel="1" x14ac:dyDescent="0.25">
      <c r="A4156" s="74">
        <v>5844</v>
      </c>
      <c r="B4156" s="45" t="s">
        <v>664</v>
      </c>
      <c r="C4156" s="60" t="s">
        <v>3765</v>
      </c>
      <c r="D4156" s="60"/>
      <c r="E4156" s="74">
        <v>2022</v>
      </c>
      <c r="F4156" s="74" t="s">
        <v>489</v>
      </c>
      <c r="G4156" s="61">
        <v>1</v>
      </c>
      <c r="H4156" s="45">
        <v>15</v>
      </c>
      <c r="I4156" s="74">
        <v>22.547000000000001</v>
      </c>
    </row>
    <row r="4157" spans="1:9" s="71" customFormat="1" ht="16.5" hidden="1" customHeight="1" outlineLevel="1" x14ac:dyDescent="0.25">
      <c r="A4157" s="74">
        <v>5461</v>
      </c>
      <c r="B4157" s="45" t="s">
        <v>664</v>
      </c>
      <c r="C4157" s="60" t="s">
        <v>3766</v>
      </c>
      <c r="D4157" s="60"/>
      <c r="E4157" s="74">
        <v>2022</v>
      </c>
      <c r="F4157" s="74" t="s">
        <v>489</v>
      </c>
      <c r="G4157" s="61" t="s">
        <v>3720</v>
      </c>
      <c r="H4157" s="45">
        <v>15</v>
      </c>
      <c r="I4157" s="74">
        <v>31.725999999999999</v>
      </c>
    </row>
    <row r="4158" spans="1:9" s="71" customFormat="1" ht="16.5" hidden="1" customHeight="1" outlineLevel="1" x14ac:dyDescent="0.25">
      <c r="A4158" s="74">
        <v>5685</v>
      </c>
      <c r="B4158" s="45" t="s">
        <v>664</v>
      </c>
      <c r="C4158" s="60" t="s">
        <v>3767</v>
      </c>
      <c r="D4158" s="60"/>
      <c r="E4158" s="74">
        <v>2022</v>
      </c>
      <c r="F4158" s="74" t="s">
        <v>489</v>
      </c>
      <c r="G4158" s="61" t="s">
        <v>3720</v>
      </c>
      <c r="H4158" s="45">
        <v>15</v>
      </c>
      <c r="I4158" s="74">
        <v>34.729999999999997</v>
      </c>
    </row>
    <row r="4159" spans="1:9" s="71" customFormat="1" ht="16.5" hidden="1" customHeight="1" outlineLevel="1" x14ac:dyDescent="0.25">
      <c r="A4159" s="74">
        <v>5688</v>
      </c>
      <c r="B4159" s="45" t="s">
        <v>664</v>
      </c>
      <c r="C4159" s="60" t="s">
        <v>3768</v>
      </c>
      <c r="D4159" s="60"/>
      <c r="E4159" s="74">
        <v>2022</v>
      </c>
      <c r="F4159" s="74" t="s">
        <v>489</v>
      </c>
      <c r="G4159" s="61" t="s">
        <v>3720</v>
      </c>
      <c r="H4159" s="45">
        <v>3.8849999999999998</v>
      </c>
      <c r="I4159" s="74">
        <v>45.198999999999998</v>
      </c>
    </row>
    <row r="4160" spans="1:9" s="71" customFormat="1" ht="16.5" hidden="1" customHeight="1" outlineLevel="1" x14ac:dyDescent="0.25">
      <c r="A4160" s="74">
        <v>5689</v>
      </c>
      <c r="B4160" s="45" t="s">
        <v>664</v>
      </c>
      <c r="C4160" s="60" t="s">
        <v>3769</v>
      </c>
      <c r="D4160" s="60"/>
      <c r="E4160" s="74">
        <v>2022</v>
      </c>
      <c r="F4160" s="74" t="s">
        <v>489</v>
      </c>
      <c r="G4160" s="61" t="s">
        <v>3720</v>
      </c>
      <c r="H4160" s="45">
        <v>3.145</v>
      </c>
      <c r="I4160" s="74">
        <v>49.112000000000002</v>
      </c>
    </row>
    <row r="4161" spans="1:9" s="71" customFormat="1" ht="16.5" hidden="1" customHeight="1" outlineLevel="1" x14ac:dyDescent="0.25">
      <c r="A4161" s="74">
        <v>5705</v>
      </c>
      <c r="B4161" s="45" t="s">
        <v>664</v>
      </c>
      <c r="C4161" s="60" t="s">
        <v>3770</v>
      </c>
      <c r="D4161" s="60"/>
      <c r="E4161" s="74">
        <v>2022</v>
      </c>
      <c r="F4161" s="74" t="s">
        <v>489</v>
      </c>
      <c r="G4161" s="61" t="s">
        <v>3720</v>
      </c>
      <c r="H4161" s="45">
        <v>10</v>
      </c>
      <c r="I4161" s="74">
        <v>29.408999999999999</v>
      </c>
    </row>
    <row r="4162" spans="1:9" s="71" customFormat="1" ht="16.5" hidden="1" customHeight="1" outlineLevel="1" x14ac:dyDescent="0.25">
      <c r="A4162" s="74">
        <v>5742</v>
      </c>
      <c r="B4162" s="45" t="s">
        <v>664</v>
      </c>
      <c r="C4162" s="60" t="s">
        <v>3771</v>
      </c>
      <c r="D4162" s="60"/>
      <c r="E4162" s="74">
        <v>2022</v>
      </c>
      <c r="F4162" s="74" t="s">
        <v>489</v>
      </c>
      <c r="G4162" s="61" t="s">
        <v>3720</v>
      </c>
      <c r="H4162" s="45">
        <v>15</v>
      </c>
      <c r="I4162" s="74">
        <v>22.576000000000001</v>
      </c>
    </row>
    <row r="4163" spans="1:9" s="71" customFormat="1" ht="16.5" hidden="1" customHeight="1" outlineLevel="1" x14ac:dyDescent="0.25">
      <c r="A4163" s="74">
        <v>5747</v>
      </c>
      <c r="B4163" s="45" t="s">
        <v>664</v>
      </c>
      <c r="C4163" s="60" t="s">
        <v>3772</v>
      </c>
      <c r="D4163" s="60"/>
      <c r="E4163" s="74">
        <v>2022</v>
      </c>
      <c r="F4163" s="74" t="s">
        <v>489</v>
      </c>
      <c r="G4163" s="61" t="s">
        <v>3720</v>
      </c>
      <c r="H4163" s="45">
        <v>7.5</v>
      </c>
      <c r="I4163" s="74">
        <v>60.911000000000001</v>
      </c>
    </row>
    <row r="4164" spans="1:9" s="71" customFormat="1" ht="16.5" hidden="1" customHeight="1" outlineLevel="1" x14ac:dyDescent="0.25">
      <c r="A4164" s="74">
        <v>5748</v>
      </c>
      <c r="B4164" s="45" t="s">
        <v>664</v>
      </c>
      <c r="C4164" s="60" t="s">
        <v>3773</v>
      </c>
      <c r="D4164" s="60"/>
      <c r="E4164" s="74">
        <v>2022</v>
      </c>
      <c r="F4164" s="74" t="s">
        <v>489</v>
      </c>
      <c r="G4164" s="61" t="s">
        <v>3720</v>
      </c>
      <c r="H4164" s="45">
        <v>7.5</v>
      </c>
      <c r="I4164" s="74">
        <v>45.588000000000001</v>
      </c>
    </row>
    <row r="4165" spans="1:9" s="71" customFormat="1" ht="16.5" hidden="1" customHeight="1" outlineLevel="1" x14ac:dyDescent="0.25">
      <c r="A4165" s="74">
        <v>5755</v>
      </c>
      <c r="B4165" s="45" t="s">
        <v>664</v>
      </c>
      <c r="C4165" s="60" t="s">
        <v>3774</v>
      </c>
      <c r="D4165" s="60"/>
      <c r="E4165" s="74">
        <v>2022</v>
      </c>
      <c r="F4165" s="74" t="s">
        <v>489</v>
      </c>
      <c r="G4165" s="61" t="s">
        <v>3720</v>
      </c>
      <c r="H4165" s="45">
        <v>7.1</v>
      </c>
      <c r="I4165" s="74">
        <v>20.010999999999999</v>
      </c>
    </row>
    <row r="4166" spans="1:9" s="71" customFormat="1" ht="16.5" hidden="1" customHeight="1" outlineLevel="1" x14ac:dyDescent="0.25">
      <c r="A4166" s="74">
        <v>5769</v>
      </c>
      <c r="B4166" s="45" t="s">
        <v>664</v>
      </c>
      <c r="C4166" s="60" t="s">
        <v>3775</v>
      </c>
      <c r="D4166" s="60"/>
      <c r="E4166" s="74">
        <v>2022</v>
      </c>
      <c r="F4166" s="74" t="s">
        <v>489</v>
      </c>
      <c r="G4166" s="61" t="s">
        <v>3720</v>
      </c>
      <c r="H4166" s="45">
        <v>15</v>
      </c>
      <c r="I4166" s="74">
        <v>22.001999999999999</v>
      </c>
    </row>
    <row r="4167" spans="1:9" s="71" customFormat="1" ht="16.5" hidden="1" customHeight="1" outlineLevel="1" x14ac:dyDescent="0.25">
      <c r="A4167" s="74">
        <v>5770</v>
      </c>
      <c r="B4167" s="45" t="s">
        <v>664</v>
      </c>
      <c r="C4167" s="60" t="s">
        <v>3776</v>
      </c>
      <c r="D4167" s="60"/>
      <c r="E4167" s="74">
        <v>2022</v>
      </c>
      <c r="F4167" s="74" t="s">
        <v>489</v>
      </c>
      <c r="G4167" s="61" t="s">
        <v>3720</v>
      </c>
      <c r="H4167" s="45">
        <v>15</v>
      </c>
      <c r="I4167" s="74">
        <v>19.279</v>
      </c>
    </row>
    <row r="4168" spans="1:9" s="71" customFormat="1" ht="16.5" hidden="1" customHeight="1" outlineLevel="1" x14ac:dyDescent="0.25">
      <c r="A4168" s="74">
        <v>5772</v>
      </c>
      <c r="B4168" s="45" t="s">
        <v>664</v>
      </c>
      <c r="C4168" s="60" t="s">
        <v>3777</v>
      </c>
      <c r="D4168" s="60"/>
      <c r="E4168" s="74">
        <v>2022</v>
      </c>
      <c r="F4168" s="74" t="s">
        <v>489</v>
      </c>
      <c r="G4168" s="61" t="s">
        <v>3720</v>
      </c>
      <c r="H4168" s="45">
        <v>15</v>
      </c>
      <c r="I4168" s="74">
        <v>18.363</v>
      </c>
    </row>
    <row r="4169" spans="1:9" s="71" customFormat="1" ht="16.5" hidden="1" customHeight="1" outlineLevel="1" x14ac:dyDescent="0.25">
      <c r="A4169" s="74">
        <v>5773</v>
      </c>
      <c r="B4169" s="45" t="s">
        <v>664</v>
      </c>
      <c r="C4169" s="60" t="s">
        <v>3778</v>
      </c>
      <c r="D4169" s="60"/>
      <c r="E4169" s="74">
        <v>2022</v>
      </c>
      <c r="F4169" s="74" t="s">
        <v>489</v>
      </c>
      <c r="G4169" s="61" t="s">
        <v>3720</v>
      </c>
      <c r="H4169" s="45">
        <v>15</v>
      </c>
      <c r="I4169" s="74">
        <v>22.096</v>
      </c>
    </row>
    <row r="4170" spans="1:9" s="71" customFormat="1" ht="16.5" hidden="1" customHeight="1" outlineLevel="1" x14ac:dyDescent="0.25">
      <c r="A4170" s="74">
        <v>5782</v>
      </c>
      <c r="B4170" s="45" t="s">
        <v>664</v>
      </c>
      <c r="C4170" s="60" t="s">
        <v>3779</v>
      </c>
      <c r="D4170" s="60"/>
      <c r="E4170" s="74">
        <v>2022</v>
      </c>
      <c r="F4170" s="74" t="s">
        <v>489</v>
      </c>
      <c r="G4170" s="61" t="s">
        <v>3720</v>
      </c>
      <c r="H4170" s="45">
        <v>15</v>
      </c>
      <c r="I4170" s="74">
        <v>21.779</v>
      </c>
    </row>
    <row r="4171" spans="1:9" s="71" customFormat="1" ht="16.5" hidden="1" customHeight="1" outlineLevel="1" x14ac:dyDescent="0.25">
      <c r="A4171" s="74">
        <v>5834</v>
      </c>
      <c r="B4171" s="45" t="s">
        <v>664</v>
      </c>
      <c r="C4171" s="60" t="s">
        <v>444</v>
      </c>
      <c r="D4171" s="60"/>
      <c r="E4171" s="74">
        <v>2022</v>
      </c>
      <c r="F4171" s="74" t="s">
        <v>489</v>
      </c>
      <c r="G4171" s="61" t="s">
        <v>3720</v>
      </c>
      <c r="H4171" s="45">
        <v>100</v>
      </c>
      <c r="I4171" s="74">
        <v>53.552999999999997</v>
      </c>
    </row>
    <row r="4172" spans="1:9" s="71" customFormat="1" ht="16.5" hidden="1" customHeight="1" outlineLevel="1" x14ac:dyDescent="0.25">
      <c r="A4172" s="74">
        <v>5843</v>
      </c>
      <c r="B4172" s="45" t="s">
        <v>664</v>
      </c>
      <c r="C4172" s="60" t="s">
        <v>3780</v>
      </c>
      <c r="D4172" s="60"/>
      <c r="E4172" s="74">
        <v>2022</v>
      </c>
      <c r="F4172" s="74" t="s">
        <v>489</v>
      </c>
      <c r="G4172" s="61" t="s">
        <v>3720</v>
      </c>
      <c r="H4172" s="45">
        <v>15</v>
      </c>
      <c r="I4172" s="74">
        <v>29.666</v>
      </c>
    </row>
    <row r="4173" spans="1:9" s="71" customFormat="1" ht="16.5" hidden="1" customHeight="1" outlineLevel="1" x14ac:dyDescent="0.25">
      <c r="A4173" s="74">
        <v>5420</v>
      </c>
      <c r="B4173" s="45" t="s">
        <v>664</v>
      </c>
      <c r="C4173" s="60" t="s">
        <v>445</v>
      </c>
      <c r="D4173" s="60"/>
      <c r="E4173" s="74">
        <v>2022</v>
      </c>
      <c r="F4173" s="74" t="s">
        <v>489</v>
      </c>
      <c r="G4173" s="61">
        <v>1</v>
      </c>
      <c r="H4173" s="45">
        <v>30</v>
      </c>
      <c r="I4173" s="74">
        <v>59.915999999999997</v>
      </c>
    </row>
    <row r="4174" spans="1:9" s="71" customFormat="1" ht="16.5" hidden="1" customHeight="1" outlineLevel="1" x14ac:dyDescent="0.25">
      <c r="A4174" s="74">
        <v>5429</v>
      </c>
      <c r="B4174" s="45" t="s">
        <v>664</v>
      </c>
      <c r="C4174" s="60" t="s">
        <v>3781</v>
      </c>
      <c r="D4174" s="60"/>
      <c r="E4174" s="74">
        <v>2022</v>
      </c>
      <c r="F4174" s="74" t="s">
        <v>489</v>
      </c>
      <c r="G4174" s="61">
        <v>1</v>
      </c>
      <c r="H4174" s="45">
        <v>15</v>
      </c>
      <c r="I4174" s="74">
        <v>31.434000000000001</v>
      </c>
    </row>
    <row r="4175" spans="1:9" s="71" customFormat="1" ht="16.5" hidden="1" customHeight="1" outlineLevel="1" x14ac:dyDescent="0.25">
      <c r="A4175" s="74">
        <v>5440</v>
      </c>
      <c r="B4175" s="45" t="s">
        <v>664</v>
      </c>
      <c r="C4175" s="60" t="s">
        <v>3782</v>
      </c>
      <c r="D4175" s="60"/>
      <c r="E4175" s="74">
        <v>2022</v>
      </c>
      <c r="F4175" s="74" t="s">
        <v>489</v>
      </c>
      <c r="G4175" s="61">
        <v>1</v>
      </c>
      <c r="H4175" s="45">
        <v>10</v>
      </c>
      <c r="I4175" s="74">
        <v>32.01</v>
      </c>
    </row>
    <row r="4176" spans="1:9" s="71" customFormat="1" ht="16.5" hidden="1" customHeight="1" outlineLevel="1" x14ac:dyDescent="0.25">
      <c r="A4176" s="74">
        <v>5473</v>
      </c>
      <c r="B4176" s="45" t="s">
        <v>664</v>
      </c>
      <c r="C4176" s="60" t="s">
        <v>3783</v>
      </c>
      <c r="D4176" s="60"/>
      <c r="E4176" s="74">
        <v>2022</v>
      </c>
      <c r="F4176" s="74" t="s">
        <v>489</v>
      </c>
      <c r="G4176" s="61">
        <v>1</v>
      </c>
      <c r="H4176" s="45">
        <v>15</v>
      </c>
      <c r="I4176" s="74">
        <v>32.036000000000001</v>
      </c>
    </row>
    <row r="4177" spans="1:9" s="71" customFormat="1" ht="16.5" hidden="1" customHeight="1" outlineLevel="1" x14ac:dyDescent="0.25">
      <c r="A4177" s="74">
        <v>5477</v>
      </c>
      <c r="B4177" s="45" t="s">
        <v>664</v>
      </c>
      <c r="C4177" s="60" t="s">
        <v>3784</v>
      </c>
      <c r="D4177" s="60"/>
      <c r="E4177" s="74">
        <v>2022</v>
      </c>
      <c r="F4177" s="74" t="s">
        <v>489</v>
      </c>
      <c r="G4177" s="61">
        <v>1</v>
      </c>
      <c r="H4177" s="45">
        <v>15</v>
      </c>
      <c r="I4177" s="74">
        <v>90.459000000000003</v>
      </c>
    </row>
    <row r="4178" spans="1:9" s="71" customFormat="1" ht="16.5" hidden="1" customHeight="1" outlineLevel="1" x14ac:dyDescent="0.25">
      <c r="A4178" s="74">
        <v>5485</v>
      </c>
      <c r="B4178" s="45" t="s">
        <v>664</v>
      </c>
      <c r="C4178" s="60" t="s">
        <v>3785</v>
      </c>
      <c r="D4178" s="60"/>
      <c r="E4178" s="74">
        <v>2022</v>
      </c>
      <c r="F4178" s="74" t="s">
        <v>489</v>
      </c>
      <c r="G4178" s="61">
        <v>1</v>
      </c>
      <c r="H4178" s="45">
        <v>3</v>
      </c>
      <c r="I4178" s="74">
        <v>33.844000000000001</v>
      </c>
    </row>
    <row r="4179" spans="1:9" s="71" customFormat="1" ht="16.5" hidden="1" customHeight="1" outlineLevel="1" x14ac:dyDescent="0.25">
      <c r="A4179" s="74">
        <v>5513</v>
      </c>
      <c r="B4179" s="45" t="s">
        <v>664</v>
      </c>
      <c r="C4179" s="60" t="s">
        <v>3786</v>
      </c>
      <c r="D4179" s="60"/>
      <c r="E4179" s="74">
        <v>2022</v>
      </c>
      <c r="F4179" s="74" t="s">
        <v>489</v>
      </c>
      <c r="G4179" s="61">
        <v>1</v>
      </c>
      <c r="H4179" s="45">
        <v>10</v>
      </c>
      <c r="I4179" s="74">
        <v>33.536999999999999</v>
      </c>
    </row>
    <row r="4180" spans="1:9" s="71" customFormat="1" ht="16.5" hidden="1" customHeight="1" outlineLevel="1" x14ac:dyDescent="0.25">
      <c r="A4180" s="74">
        <v>5556</v>
      </c>
      <c r="B4180" s="45" t="s">
        <v>664</v>
      </c>
      <c r="C4180" s="60" t="s">
        <v>3787</v>
      </c>
      <c r="D4180" s="60"/>
      <c r="E4180" s="74">
        <v>2022</v>
      </c>
      <c r="F4180" s="74" t="s">
        <v>489</v>
      </c>
      <c r="G4180" s="61">
        <v>1</v>
      </c>
      <c r="H4180" s="45">
        <v>10</v>
      </c>
      <c r="I4180" s="74">
        <v>36.152999999999999</v>
      </c>
    </row>
    <row r="4181" spans="1:9" s="71" customFormat="1" ht="16.5" hidden="1" customHeight="1" outlineLevel="1" x14ac:dyDescent="0.25">
      <c r="A4181" s="74">
        <v>5580</v>
      </c>
      <c r="B4181" s="45" t="s">
        <v>664</v>
      </c>
      <c r="C4181" s="60" t="s">
        <v>3788</v>
      </c>
      <c r="D4181" s="60"/>
      <c r="E4181" s="74">
        <v>2022</v>
      </c>
      <c r="F4181" s="74" t="s">
        <v>489</v>
      </c>
      <c r="G4181" s="61">
        <v>1</v>
      </c>
      <c r="H4181" s="45">
        <v>7</v>
      </c>
      <c r="I4181" s="74">
        <v>30.463999999999999</v>
      </c>
    </row>
    <row r="4182" spans="1:9" s="71" customFormat="1" ht="16.5" hidden="1" customHeight="1" outlineLevel="1" x14ac:dyDescent="0.25">
      <c r="A4182" s="74">
        <v>5587</v>
      </c>
      <c r="B4182" s="45" t="s">
        <v>664</v>
      </c>
      <c r="C4182" s="60" t="s">
        <v>3789</v>
      </c>
      <c r="D4182" s="60"/>
      <c r="E4182" s="74">
        <v>2022</v>
      </c>
      <c r="F4182" s="74" t="s">
        <v>489</v>
      </c>
      <c r="G4182" s="61">
        <v>1</v>
      </c>
      <c r="H4182" s="45">
        <v>15</v>
      </c>
      <c r="I4182" s="74">
        <v>32.667999999999999</v>
      </c>
    </row>
    <row r="4183" spans="1:9" s="71" customFormat="1" ht="16.5" hidden="1" customHeight="1" outlineLevel="1" x14ac:dyDescent="0.25">
      <c r="A4183" s="74">
        <v>5588</v>
      </c>
      <c r="B4183" s="45" t="s">
        <v>664</v>
      </c>
      <c r="C4183" s="60" t="s">
        <v>3790</v>
      </c>
      <c r="D4183" s="60"/>
      <c r="E4183" s="74">
        <v>2022</v>
      </c>
      <c r="F4183" s="74" t="s">
        <v>489</v>
      </c>
      <c r="G4183" s="61">
        <v>1</v>
      </c>
      <c r="H4183" s="45">
        <v>14</v>
      </c>
      <c r="I4183" s="74">
        <v>28.991</v>
      </c>
    </row>
    <row r="4184" spans="1:9" s="71" customFormat="1" ht="16.5" hidden="1" customHeight="1" outlineLevel="1" x14ac:dyDescent="0.25">
      <c r="A4184" s="74">
        <v>5594</v>
      </c>
      <c r="B4184" s="45" t="s">
        <v>664</v>
      </c>
      <c r="C4184" s="60" t="s">
        <v>3791</v>
      </c>
      <c r="D4184" s="60"/>
      <c r="E4184" s="74">
        <v>2022</v>
      </c>
      <c r="F4184" s="74" t="s">
        <v>489</v>
      </c>
      <c r="G4184" s="61">
        <v>1</v>
      </c>
      <c r="H4184" s="45">
        <v>15</v>
      </c>
      <c r="I4184" s="74">
        <v>31.562000000000001</v>
      </c>
    </row>
    <row r="4185" spans="1:9" s="71" customFormat="1" ht="16.5" hidden="1" customHeight="1" outlineLevel="1" x14ac:dyDescent="0.25">
      <c r="A4185" s="74">
        <v>5598</v>
      </c>
      <c r="B4185" s="45" t="s">
        <v>664</v>
      </c>
      <c r="C4185" s="60" t="s">
        <v>3792</v>
      </c>
      <c r="D4185" s="60"/>
      <c r="E4185" s="74">
        <v>2022</v>
      </c>
      <c r="F4185" s="74" t="s">
        <v>489</v>
      </c>
      <c r="G4185" s="61">
        <v>1</v>
      </c>
      <c r="H4185" s="45">
        <v>15</v>
      </c>
      <c r="I4185" s="74">
        <v>32.137</v>
      </c>
    </row>
    <row r="4186" spans="1:9" s="71" customFormat="1" ht="16.5" hidden="1" customHeight="1" outlineLevel="1" x14ac:dyDescent="0.25">
      <c r="A4186" s="74">
        <v>5599</v>
      </c>
      <c r="B4186" s="45" t="s">
        <v>664</v>
      </c>
      <c r="C4186" s="60" t="s">
        <v>3793</v>
      </c>
      <c r="D4186" s="60"/>
      <c r="E4186" s="74">
        <v>2022</v>
      </c>
      <c r="F4186" s="74" t="s">
        <v>489</v>
      </c>
      <c r="G4186" s="61">
        <v>1</v>
      </c>
      <c r="H4186" s="45">
        <v>15</v>
      </c>
      <c r="I4186" s="74">
        <v>30.231999999999999</v>
      </c>
    </row>
    <row r="4187" spans="1:9" s="71" customFormat="1" ht="16.5" hidden="1" customHeight="1" outlineLevel="1" x14ac:dyDescent="0.25">
      <c r="A4187" s="74">
        <v>5615</v>
      </c>
      <c r="B4187" s="45" t="s">
        <v>664</v>
      </c>
      <c r="C4187" s="60" t="s">
        <v>3794</v>
      </c>
      <c r="D4187" s="60"/>
      <c r="E4187" s="74">
        <v>2022</v>
      </c>
      <c r="F4187" s="74" t="s">
        <v>489</v>
      </c>
      <c r="G4187" s="61">
        <v>1</v>
      </c>
      <c r="H4187" s="45">
        <v>15</v>
      </c>
      <c r="I4187" s="74">
        <v>30.041</v>
      </c>
    </row>
    <row r="4188" spans="1:9" s="71" customFormat="1" ht="16.5" hidden="1" customHeight="1" outlineLevel="1" x14ac:dyDescent="0.25">
      <c r="A4188" s="74">
        <v>5621</v>
      </c>
      <c r="B4188" s="45" t="s">
        <v>664</v>
      </c>
      <c r="C4188" s="60" t="s">
        <v>3795</v>
      </c>
      <c r="D4188" s="60"/>
      <c r="E4188" s="74">
        <v>2022</v>
      </c>
      <c r="F4188" s="74" t="s">
        <v>489</v>
      </c>
      <c r="G4188" s="61">
        <v>1</v>
      </c>
      <c r="H4188" s="45">
        <v>15</v>
      </c>
      <c r="I4188" s="74">
        <v>28.920999999999999</v>
      </c>
    </row>
    <row r="4189" spans="1:9" s="71" customFormat="1" ht="16.5" hidden="1" customHeight="1" outlineLevel="1" x14ac:dyDescent="0.25">
      <c r="A4189" s="74">
        <v>5657</v>
      </c>
      <c r="B4189" s="45" t="s">
        <v>664</v>
      </c>
      <c r="C4189" s="60" t="s">
        <v>3796</v>
      </c>
      <c r="D4189" s="60"/>
      <c r="E4189" s="74">
        <v>2022</v>
      </c>
      <c r="F4189" s="74" t="s">
        <v>489</v>
      </c>
      <c r="G4189" s="61">
        <v>1</v>
      </c>
      <c r="H4189" s="45">
        <v>10</v>
      </c>
      <c r="I4189" s="74">
        <v>32.454000000000001</v>
      </c>
    </row>
    <row r="4190" spans="1:9" s="71" customFormat="1" ht="16.5" hidden="1" customHeight="1" outlineLevel="1" x14ac:dyDescent="0.25">
      <c r="A4190" s="74">
        <v>5666</v>
      </c>
      <c r="B4190" s="45" t="s">
        <v>664</v>
      </c>
      <c r="C4190" s="60" t="s">
        <v>3797</v>
      </c>
      <c r="D4190" s="60"/>
      <c r="E4190" s="74">
        <v>2022</v>
      </c>
      <c r="F4190" s="74" t="s">
        <v>489</v>
      </c>
      <c r="G4190" s="61">
        <v>1</v>
      </c>
      <c r="H4190" s="45">
        <v>15</v>
      </c>
      <c r="I4190" s="74">
        <v>34.220999999999997</v>
      </c>
    </row>
    <row r="4191" spans="1:9" s="71" customFormat="1" ht="16.5" hidden="1" customHeight="1" outlineLevel="1" x14ac:dyDescent="0.25">
      <c r="A4191" s="74">
        <v>5672</v>
      </c>
      <c r="B4191" s="45" t="s">
        <v>664</v>
      </c>
      <c r="C4191" s="60" t="s">
        <v>3798</v>
      </c>
      <c r="D4191" s="60"/>
      <c r="E4191" s="74">
        <v>2022</v>
      </c>
      <c r="F4191" s="74" t="s">
        <v>489</v>
      </c>
      <c r="G4191" s="61">
        <v>1</v>
      </c>
      <c r="H4191" s="45">
        <v>7</v>
      </c>
      <c r="I4191" s="74">
        <v>32.125</v>
      </c>
    </row>
    <row r="4192" spans="1:9" s="71" customFormat="1" ht="16.5" hidden="1" customHeight="1" outlineLevel="1" x14ac:dyDescent="0.25">
      <c r="A4192" s="74">
        <v>5686</v>
      </c>
      <c r="B4192" s="45" t="s">
        <v>664</v>
      </c>
      <c r="C4192" s="60" t="s">
        <v>3799</v>
      </c>
      <c r="D4192" s="60"/>
      <c r="E4192" s="74">
        <v>2022</v>
      </c>
      <c r="F4192" s="74" t="s">
        <v>489</v>
      </c>
      <c r="G4192" s="61">
        <v>1</v>
      </c>
      <c r="H4192" s="45">
        <v>15</v>
      </c>
      <c r="I4192" s="74">
        <v>27.783999999999999</v>
      </c>
    </row>
    <row r="4193" spans="1:9" s="71" customFormat="1" ht="16.5" hidden="1" customHeight="1" outlineLevel="1" x14ac:dyDescent="0.25">
      <c r="A4193" s="74">
        <v>5710</v>
      </c>
      <c r="B4193" s="45" t="s">
        <v>664</v>
      </c>
      <c r="C4193" s="60" t="s">
        <v>3800</v>
      </c>
      <c r="D4193" s="60"/>
      <c r="E4193" s="74">
        <v>2022</v>
      </c>
      <c r="F4193" s="74" t="s">
        <v>489</v>
      </c>
      <c r="G4193" s="61">
        <v>1</v>
      </c>
      <c r="H4193" s="45">
        <v>15</v>
      </c>
      <c r="I4193" s="74">
        <v>23.373999999999999</v>
      </c>
    </row>
    <row r="4194" spans="1:9" s="71" customFormat="1" ht="16.5" hidden="1" customHeight="1" outlineLevel="1" x14ac:dyDescent="0.25">
      <c r="A4194" s="74">
        <v>5711</v>
      </c>
      <c r="B4194" s="45" t="s">
        <v>664</v>
      </c>
      <c r="C4194" s="60" t="s">
        <v>3801</v>
      </c>
      <c r="D4194" s="60"/>
      <c r="E4194" s="74">
        <v>2022</v>
      </c>
      <c r="F4194" s="74" t="s">
        <v>489</v>
      </c>
      <c r="G4194" s="61">
        <v>1</v>
      </c>
      <c r="H4194" s="45">
        <v>5</v>
      </c>
      <c r="I4194" s="74">
        <v>23.202000000000002</v>
      </c>
    </row>
    <row r="4195" spans="1:9" s="71" customFormat="1" ht="16.5" hidden="1" customHeight="1" outlineLevel="1" x14ac:dyDescent="0.25">
      <c r="A4195" s="74">
        <v>5738</v>
      </c>
      <c r="B4195" s="45" t="s">
        <v>664</v>
      </c>
      <c r="C4195" s="60" t="s">
        <v>3802</v>
      </c>
      <c r="D4195" s="60"/>
      <c r="E4195" s="74">
        <v>2022</v>
      </c>
      <c r="F4195" s="74" t="s">
        <v>489</v>
      </c>
      <c r="G4195" s="61">
        <v>1</v>
      </c>
      <c r="H4195" s="45">
        <v>10</v>
      </c>
      <c r="I4195" s="74">
        <v>23.202000000000002</v>
      </c>
    </row>
    <row r="4196" spans="1:9" s="71" customFormat="1" ht="16.5" hidden="1" customHeight="1" outlineLevel="1" x14ac:dyDescent="0.25">
      <c r="A4196" s="74">
        <v>5763</v>
      </c>
      <c r="B4196" s="45" t="s">
        <v>664</v>
      </c>
      <c r="C4196" s="60" t="s">
        <v>3803</v>
      </c>
      <c r="D4196" s="60"/>
      <c r="E4196" s="74">
        <v>2022</v>
      </c>
      <c r="F4196" s="74" t="s">
        <v>489</v>
      </c>
      <c r="G4196" s="61">
        <v>1</v>
      </c>
      <c r="H4196" s="45">
        <v>15</v>
      </c>
      <c r="I4196" s="74">
        <v>33.280999999999999</v>
      </c>
    </row>
    <row r="4197" spans="1:9" s="71" customFormat="1" ht="16.5" hidden="1" customHeight="1" outlineLevel="1" x14ac:dyDescent="0.25">
      <c r="A4197" s="74">
        <v>5764</v>
      </c>
      <c r="B4197" s="45" t="s">
        <v>664</v>
      </c>
      <c r="C4197" s="60" t="s">
        <v>3804</v>
      </c>
      <c r="D4197" s="60"/>
      <c r="E4197" s="74">
        <v>2022</v>
      </c>
      <c r="F4197" s="74" t="s">
        <v>489</v>
      </c>
      <c r="G4197" s="61">
        <v>1</v>
      </c>
      <c r="H4197" s="45">
        <v>6.5</v>
      </c>
      <c r="I4197" s="74">
        <v>61.311999999999998</v>
      </c>
    </row>
    <row r="4198" spans="1:9" s="71" customFormat="1" ht="16.5" hidden="1" customHeight="1" outlineLevel="1" x14ac:dyDescent="0.25">
      <c r="A4198" s="74">
        <v>5788</v>
      </c>
      <c r="B4198" s="45" t="s">
        <v>664</v>
      </c>
      <c r="C4198" s="60" t="s">
        <v>3805</v>
      </c>
      <c r="D4198" s="60"/>
      <c r="E4198" s="74">
        <v>2022</v>
      </c>
      <c r="F4198" s="74" t="s">
        <v>489</v>
      </c>
      <c r="G4198" s="61">
        <v>1</v>
      </c>
      <c r="H4198" s="45">
        <v>100</v>
      </c>
      <c r="I4198" s="74">
        <v>26.38</v>
      </c>
    </row>
    <row r="4199" spans="1:9" s="71" customFormat="1" ht="16.5" hidden="1" customHeight="1" outlineLevel="1" x14ac:dyDescent="0.25">
      <c r="A4199" s="74">
        <v>5802</v>
      </c>
      <c r="B4199" s="45" t="s">
        <v>664</v>
      </c>
      <c r="C4199" s="60" t="s">
        <v>3806</v>
      </c>
      <c r="D4199" s="60"/>
      <c r="E4199" s="74">
        <v>2022</v>
      </c>
      <c r="F4199" s="74" t="s">
        <v>489</v>
      </c>
      <c r="G4199" s="61">
        <v>1</v>
      </c>
      <c r="H4199" s="45">
        <v>15</v>
      </c>
      <c r="I4199" s="74">
        <v>21.009</v>
      </c>
    </row>
    <row r="4200" spans="1:9" s="71" customFormat="1" ht="16.5" hidden="1" customHeight="1" outlineLevel="1" x14ac:dyDescent="0.25">
      <c r="A4200" s="74">
        <v>5810</v>
      </c>
      <c r="B4200" s="45" t="s">
        <v>664</v>
      </c>
      <c r="C4200" s="60" t="s">
        <v>3807</v>
      </c>
      <c r="D4200" s="60"/>
      <c r="E4200" s="74">
        <v>2022</v>
      </c>
      <c r="F4200" s="74" t="s">
        <v>489</v>
      </c>
      <c r="G4200" s="61">
        <v>1</v>
      </c>
      <c r="H4200" s="45">
        <v>15</v>
      </c>
      <c r="I4200" s="74">
        <v>24.689</v>
      </c>
    </row>
    <row r="4201" spans="1:9" s="71" customFormat="1" ht="16.5" hidden="1" customHeight="1" outlineLevel="1" x14ac:dyDescent="0.25">
      <c r="A4201" s="74">
        <v>5815</v>
      </c>
      <c r="B4201" s="45" t="s">
        <v>664</v>
      </c>
      <c r="C4201" s="60" t="s">
        <v>3808</v>
      </c>
      <c r="D4201" s="60"/>
      <c r="E4201" s="74">
        <v>2022</v>
      </c>
      <c r="F4201" s="74" t="s">
        <v>489</v>
      </c>
      <c r="G4201" s="61">
        <v>1</v>
      </c>
      <c r="H4201" s="45">
        <v>15</v>
      </c>
      <c r="I4201" s="74">
        <v>22.359000000000002</v>
      </c>
    </row>
    <row r="4202" spans="1:9" s="71" customFormat="1" ht="16.5" hidden="1" customHeight="1" outlineLevel="1" x14ac:dyDescent="0.25">
      <c r="A4202" s="74">
        <v>5828</v>
      </c>
      <c r="B4202" s="45" t="s">
        <v>664</v>
      </c>
      <c r="C4202" s="60" t="s">
        <v>3809</v>
      </c>
      <c r="D4202" s="60"/>
      <c r="E4202" s="74">
        <v>2022</v>
      </c>
      <c r="F4202" s="74" t="s">
        <v>489</v>
      </c>
      <c r="G4202" s="61">
        <v>1</v>
      </c>
      <c r="H4202" s="45">
        <v>10</v>
      </c>
      <c r="I4202" s="74">
        <v>24.279</v>
      </c>
    </row>
    <row r="4203" spans="1:9" s="71" customFormat="1" ht="16.5" hidden="1" customHeight="1" outlineLevel="1" x14ac:dyDescent="0.25">
      <c r="A4203" s="74">
        <v>5829</v>
      </c>
      <c r="B4203" s="45" t="s">
        <v>664</v>
      </c>
      <c r="C4203" s="60" t="s">
        <v>3810</v>
      </c>
      <c r="D4203" s="60"/>
      <c r="E4203" s="74">
        <v>2022</v>
      </c>
      <c r="F4203" s="74" t="s">
        <v>489</v>
      </c>
      <c r="G4203" s="61">
        <v>1</v>
      </c>
      <c r="H4203" s="45">
        <v>15</v>
      </c>
      <c r="I4203" s="74">
        <v>44.686</v>
      </c>
    </row>
    <row r="4204" spans="1:9" s="71" customFormat="1" ht="16.5" hidden="1" customHeight="1" outlineLevel="1" x14ac:dyDescent="0.25">
      <c r="A4204" s="74">
        <v>5830</v>
      </c>
      <c r="B4204" s="45" t="s">
        <v>664</v>
      </c>
      <c r="C4204" s="60" t="s">
        <v>3811</v>
      </c>
      <c r="D4204" s="60"/>
      <c r="E4204" s="74">
        <v>2022</v>
      </c>
      <c r="F4204" s="74" t="s">
        <v>489</v>
      </c>
      <c r="G4204" s="61">
        <v>1</v>
      </c>
      <c r="H4204" s="45">
        <v>45</v>
      </c>
      <c r="I4204" s="74">
        <v>20.228999999999999</v>
      </c>
    </row>
    <row r="4205" spans="1:9" s="71" customFormat="1" ht="16.5" hidden="1" customHeight="1" outlineLevel="1" x14ac:dyDescent="0.25">
      <c r="A4205" s="74">
        <v>5837</v>
      </c>
      <c r="B4205" s="45" t="s">
        <v>664</v>
      </c>
      <c r="C4205" s="60" t="s">
        <v>3812</v>
      </c>
      <c r="D4205" s="60"/>
      <c r="E4205" s="74">
        <v>2022</v>
      </c>
      <c r="F4205" s="74" t="s">
        <v>489</v>
      </c>
      <c r="G4205" s="61">
        <v>1</v>
      </c>
      <c r="H4205" s="45">
        <v>15</v>
      </c>
      <c r="I4205" s="74">
        <v>22.878</v>
      </c>
    </row>
    <row r="4206" spans="1:9" s="71" customFormat="1" ht="16.5" hidden="1" customHeight="1" outlineLevel="1" x14ac:dyDescent="0.25">
      <c r="A4206" s="74">
        <v>5840</v>
      </c>
      <c r="B4206" s="45" t="s">
        <v>664</v>
      </c>
      <c r="C4206" s="60" t="s">
        <v>3813</v>
      </c>
      <c r="D4206" s="60"/>
      <c r="E4206" s="74">
        <v>2022</v>
      </c>
      <c r="F4206" s="74" t="s">
        <v>489</v>
      </c>
      <c r="G4206" s="61">
        <v>1</v>
      </c>
      <c r="H4206" s="45">
        <v>15</v>
      </c>
      <c r="I4206" s="74">
        <v>21.552</v>
      </c>
    </row>
    <row r="4207" spans="1:9" s="71" customFormat="1" ht="16.5" hidden="1" customHeight="1" outlineLevel="1" x14ac:dyDescent="0.25">
      <c r="A4207" s="74">
        <v>5849</v>
      </c>
      <c r="B4207" s="45" t="s">
        <v>664</v>
      </c>
      <c r="C4207" s="60" t="s">
        <v>3814</v>
      </c>
      <c r="D4207" s="60"/>
      <c r="E4207" s="74">
        <v>2022</v>
      </c>
      <c r="F4207" s="74" t="s">
        <v>489</v>
      </c>
      <c r="G4207" s="61">
        <v>1</v>
      </c>
      <c r="H4207" s="45">
        <v>15</v>
      </c>
      <c r="I4207" s="74">
        <v>29.385999999999999</v>
      </c>
    </row>
    <row r="4208" spans="1:9" s="71" customFormat="1" ht="16.5" hidden="1" customHeight="1" outlineLevel="1" x14ac:dyDescent="0.25">
      <c r="A4208" s="74">
        <v>5850</v>
      </c>
      <c r="B4208" s="45" t="s">
        <v>664</v>
      </c>
      <c r="C4208" s="60" t="s">
        <v>3815</v>
      </c>
      <c r="D4208" s="60"/>
      <c r="E4208" s="74">
        <v>2022</v>
      </c>
      <c r="F4208" s="74" t="s">
        <v>489</v>
      </c>
      <c r="G4208" s="61">
        <v>1</v>
      </c>
      <c r="H4208" s="45">
        <v>9</v>
      </c>
      <c r="I4208" s="74">
        <v>27.567</v>
      </c>
    </row>
    <row r="4209" spans="1:9" s="71" customFormat="1" ht="16.5" hidden="1" customHeight="1" outlineLevel="1" x14ac:dyDescent="0.25">
      <c r="A4209" s="74">
        <v>5851</v>
      </c>
      <c r="B4209" s="45" t="s">
        <v>664</v>
      </c>
      <c r="C4209" s="60" t="s">
        <v>3816</v>
      </c>
      <c r="D4209" s="60"/>
      <c r="E4209" s="74">
        <v>2022</v>
      </c>
      <c r="F4209" s="74" t="s">
        <v>489</v>
      </c>
      <c r="G4209" s="61">
        <v>1</v>
      </c>
      <c r="H4209" s="45">
        <v>12</v>
      </c>
      <c r="I4209" s="74">
        <v>21.216999999999999</v>
      </c>
    </row>
    <row r="4210" spans="1:9" s="71" customFormat="1" ht="16.5" hidden="1" customHeight="1" outlineLevel="1" x14ac:dyDescent="0.25">
      <c r="A4210" s="74">
        <v>5852</v>
      </c>
      <c r="B4210" s="45" t="s">
        <v>664</v>
      </c>
      <c r="C4210" s="60" t="s">
        <v>3817</v>
      </c>
      <c r="D4210" s="60"/>
      <c r="E4210" s="74">
        <v>2022</v>
      </c>
      <c r="F4210" s="74" t="s">
        <v>489</v>
      </c>
      <c r="G4210" s="61">
        <v>1</v>
      </c>
      <c r="H4210" s="45">
        <v>6</v>
      </c>
      <c r="I4210" s="74">
        <v>46.216000000000001</v>
      </c>
    </row>
    <row r="4211" spans="1:9" s="71" customFormat="1" ht="16.5" hidden="1" customHeight="1" outlineLevel="1" x14ac:dyDescent="0.25">
      <c r="A4211" s="74">
        <v>5853</v>
      </c>
      <c r="B4211" s="45" t="s">
        <v>664</v>
      </c>
      <c r="C4211" s="60" t="s">
        <v>3818</v>
      </c>
      <c r="D4211" s="60"/>
      <c r="E4211" s="74">
        <v>2022</v>
      </c>
      <c r="F4211" s="74" t="s">
        <v>489</v>
      </c>
      <c r="G4211" s="61">
        <v>1</v>
      </c>
      <c r="H4211" s="45">
        <v>15</v>
      </c>
      <c r="I4211" s="74">
        <v>23.75</v>
      </c>
    </row>
    <row r="4212" spans="1:9" s="71" customFormat="1" ht="16.5" hidden="1" customHeight="1" outlineLevel="1" x14ac:dyDescent="0.25">
      <c r="A4212" s="74">
        <v>5854</v>
      </c>
      <c r="B4212" s="45" t="s">
        <v>664</v>
      </c>
      <c r="C4212" s="60" t="s">
        <v>3819</v>
      </c>
      <c r="D4212" s="60"/>
      <c r="E4212" s="74">
        <v>2022</v>
      </c>
      <c r="F4212" s="74" t="s">
        <v>489</v>
      </c>
      <c r="G4212" s="61">
        <v>1</v>
      </c>
      <c r="H4212" s="45">
        <v>13</v>
      </c>
      <c r="I4212" s="74">
        <v>22.193000000000001</v>
      </c>
    </row>
    <row r="4213" spans="1:9" s="71" customFormat="1" ht="16.5" hidden="1" customHeight="1" outlineLevel="1" x14ac:dyDescent="0.25">
      <c r="A4213" s="74">
        <v>5855</v>
      </c>
      <c r="B4213" s="45" t="s">
        <v>664</v>
      </c>
      <c r="C4213" s="60" t="s">
        <v>3820</v>
      </c>
      <c r="D4213" s="60"/>
      <c r="E4213" s="74">
        <v>2022</v>
      </c>
      <c r="F4213" s="74" t="s">
        <v>489</v>
      </c>
      <c r="G4213" s="61">
        <v>1</v>
      </c>
      <c r="H4213" s="45">
        <v>11.5</v>
      </c>
      <c r="I4213" s="74">
        <v>20.177</v>
      </c>
    </row>
    <row r="4214" spans="1:9" s="71" customFormat="1" ht="16.5" hidden="1" customHeight="1" outlineLevel="1" x14ac:dyDescent="0.25">
      <c r="A4214" s="74">
        <v>5858</v>
      </c>
      <c r="B4214" s="45" t="s">
        <v>664</v>
      </c>
      <c r="C4214" s="60" t="s">
        <v>3821</v>
      </c>
      <c r="D4214" s="60"/>
      <c r="E4214" s="74">
        <v>2022</v>
      </c>
      <c r="F4214" s="74" t="s">
        <v>489</v>
      </c>
      <c r="G4214" s="61">
        <v>1</v>
      </c>
      <c r="H4214" s="45">
        <v>10</v>
      </c>
      <c r="I4214" s="74">
        <v>21.056000000000001</v>
      </c>
    </row>
    <row r="4215" spans="1:9" s="71" customFormat="1" ht="16.5" hidden="1" customHeight="1" outlineLevel="1" x14ac:dyDescent="0.25">
      <c r="A4215" s="74">
        <v>5862</v>
      </c>
      <c r="B4215" s="45" t="s">
        <v>664</v>
      </c>
      <c r="C4215" s="60" t="s">
        <v>3822</v>
      </c>
      <c r="D4215" s="60"/>
      <c r="E4215" s="74">
        <v>2022</v>
      </c>
      <c r="F4215" s="74" t="s">
        <v>489</v>
      </c>
      <c r="G4215" s="61">
        <v>1</v>
      </c>
      <c r="H4215" s="45">
        <v>15</v>
      </c>
      <c r="I4215" s="74">
        <v>22.193999999999999</v>
      </c>
    </row>
    <row r="4216" spans="1:9" s="71" customFormat="1" ht="16.5" hidden="1" customHeight="1" outlineLevel="1" x14ac:dyDescent="0.25">
      <c r="A4216" s="74">
        <v>5863</v>
      </c>
      <c r="B4216" s="45" t="s">
        <v>664</v>
      </c>
      <c r="C4216" s="60" t="s">
        <v>3823</v>
      </c>
      <c r="D4216" s="60"/>
      <c r="E4216" s="74">
        <v>2022</v>
      </c>
      <c r="F4216" s="74" t="s">
        <v>489</v>
      </c>
      <c r="G4216" s="61">
        <v>1</v>
      </c>
      <c r="H4216" s="45">
        <v>15</v>
      </c>
      <c r="I4216" s="74">
        <v>28.65</v>
      </c>
    </row>
    <row r="4217" spans="1:9" s="71" customFormat="1" ht="16.5" hidden="1" customHeight="1" outlineLevel="1" x14ac:dyDescent="0.25">
      <c r="A4217" s="74">
        <v>5878</v>
      </c>
      <c r="B4217" s="45" t="s">
        <v>664</v>
      </c>
      <c r="C4217" s="60" t="s">
        <v>3824</v>
      </c>
      <c r="D4217" s="60"/>
      <c r="E4217" s="74">
        <v>2022</v>
      </c>
      <c r="F4217" s="74" t="s">
        <v>489</v>
      </c>
      <c r="G4217" s="61">
        <v>1</v>
      </c>
      <c r="H4217" s="45">
        <v>15</v>
      </c>
      <c r="I4217" s="74">
        <v>20.786000000000001</v>
      </c>
    </row>
    <row r="4218" spans="1:9" s="71" customFormat="1" ht="16.5" hidden="1" customHeight="1" outlineLevel="1" x14ac:dyDescent="0.25">
      <c r="A4218" s="74">
        <v>5434</v>
      </c>
      <c r="B4218" s="45" t="s">
        <v>664</v>
      </c>
      <c r="C4218" s="60" t="s">
        <v>3825</v>
      </c>
      <c r="D4218" s="60"/>
      <c r="E4218" s="74">
        <v>2022</v>
      </c>
      <c r="F4218" s="74" t="s">
        <v>489</v>
      </c>
      <c r="G4218" s="61">
        <v>1</v>
      </c>
      <c r="H4218" s="45">
        <v>15</v>
      </c>
      <c r="I4218" s="74">
        <v>47.4</v>
      </c>
    </row>
    <row r="4219" spans="1:9" s="71" customFormat="1" ht="16.5" hidden="1" customHeight="1" outlineLevel="1" x14ac:dyDescent="0.25">
      <c r="A4219" s="74">
        <v>5436</v>
      </c>
      <c r="B4219" s="45" t="s">
        <v>664</v>
      </c>
      <c r="C4219" s="60" t="s">
        <v>446</v>
      </c>
      <c r="D4219" s="60"/>
      <c r="E4219" s="74">
        <v>2022</v>
      </c>
      <c r="F4219" s="74" t="s">
        <v>489</v>
      </c>
      <c r="G4219" s="61">
        <v>1</v>
      </c>
      <c r="H4219" s="45">
        <v>15</v>
      </c>
      <c r="I4219" s="74">
        <v>43.798999999999999</v>
      </c>
    </row>
    <row r="4220" spans="1:9" s="71" customFormat="1" ht="16.5" hidden="1" customHeight="1" outlineLevel="1" x14ac:dyDescent="0.25">
      <c r="A4220" s="74">
        <v>5475</v>
      </c>
      <c r="B4220" s="45" t="s">
        <v>664</v>
      </c>
      <c r="C4220" s="60" t="s">
        <v>3826</v>
      </c>
      <c r="D4220" s="60"/>
      <c r="E4220" s="74">
        <v>2022</v>
      </c>
      <c r="F4220" s="74" t="s">
        <v>489</v>
      </c>
      <c r="G4220" s="61">
        <v>1</v>
      </c>
      <c r="H4220" s="45">
        <v>4.95</v>
      </c>
      <c r="I4220" s="74">
        <v>26.974</v>
      </c>
    </row>
    <row r="4221" spans="1:9" s="71" customFormat="1" ht="16.5" hidden="1" customHeight="1" outlineLevel="1" x14ac:dyDescent="0.25">
      <c r="A4221" s="74">
        <v>5480</v>
      </c>
      <c r="B4221" s="45" t="s">
        <v>664</v>
      </c>
      <c r="C4221" s="60" t="s">
        <v>3827</v>
      </c>
      <c r="D4221" s="60"/>
      <c r="E4221" s="74">
        <v>2022</v>
      </c>
      <c r="F4221" s="74" t="s">
        <v>489</v>
      </c>
      <c r="G4221" s="61">
        <v>1</v>
      </c>
      <c r="H4221" s="45">
        <v>5</v>
      </c>
      <c r="I4221" s="74">
        <v>46.070999999999998</v>
      </c>
    </row>
    <row r="4222" spans="1:9" s="71" customFormat="1" ht="16.5" hidden="1" customHeight="1" outlineLevel="1" x14ac:dyDescent="0.25">
      <c r="A4222" s="74">
        <v>5498</v>
      </c>
      <c r="B4222" s="45" t="s">
        <v>664</v>
      </c>
      <c r="C4222" s="60" t="s">
        <v>3828</v>
      </c>
      <c r="D4222" s="60"/>
      <c r="E4222" s="74">
        <v>2022</v>
      </c>
      <c r="F4222" s="74" t="s">
        <v>489</v>
      </c>
      <c r="G4222" s="61">
        <v>1</v>
      </c>
      <c r="H4222" s="45">
        <v>15</v>
      </c>
      <c r="I4222" s="74">
        <v>49.838000000000001</v>
      </c>
    </row>
    <row r="4223" spans="1:9" s="71" customFormat="1" ht="16.5" hidden="1" customHeight="1" outlineLevel="1" x14ac:dyDescent="0.25">
      <c r="A4223" s="74">
        <v>5508</v>
      </c>
      <c r="B4223" s="45" t="s">
        <v>664</v>
      </c>
      <c r="C4223" s="60" t="s">
        <v>3829</v>
      </c>
      <c r="D4223" s="60"/>
      <c r="E4223" s="74">
        <v>2022</v>
      </c>
      <c r="F4223" s="74" t="s">
        <v>489</v>
      </c>
      <c r="G4223" s="61">
        <v>1</v>
      </c>
      <c r="H4223" s="45">
        <v>10</v>
      </c>
      <c r="I4223" s="74">
        <v>48.654000000000003</v>
      </c>
    </row>
    <row r="4224" spans="1:9" s="71" customFormat="1" ht="16.5" hidden="1" customHeight="1" outlineLevel="1" x14ac:dyDescent="0.25">
      <c r="A4224" s="74">
        <v>5514</v>
      </c>
      <c r="B4224" s="45" t="s">
        <v>664</v>
      </c>
      <c r="C4224" s="60" t="s">
        <v>3830</v>
      </c>
      <c r="D4224" s="60"/>
      <c r="E4224" s="74">
        <v>2022</v>
      </c>
      <c r="F4224" s="74" t="s">
        <v>489</v>
      </c>
      <c r="G4224" s="61">
        <v>1</v>
      </c>
      <c r="H4224" s="45">
        <v>15</v>
      </c>
      <c r="I4224" s="74">
        <v>46.956000000000003</v>
      </c>
    </row>
    <row r="4225" spans="1:9" s="71" customFormat="1" ht="16.5" hidden="1" customHeight="1" outlineLevel="1" x14ac:dyDescent="0.25">
      <c r="A4225" s="74">
        <v>5515</v>
      </c>
      <c r="B4225" s="45" t="s">
        <v>664</v>
      </c>
      <c r="C4225" s="60" t="s">
        <v>3831</v>
      </c>
      <c r="D4225" s="60"/>
      <c r="E4225" s="74">
        <v>2022</v>
      </c>
      <c r="F4225" s="74" t="s">
        <v>489</v>
      </c>
      <c r="G4225" s="61">
        <v>1</v>
      </c>
      <c r="H4225" s="45">
        <v>15</v>
      </c>
      <c r="I4225" s="74">
        <v>45.04</v>
      </c>
    </row>
    <row r="4226" spans="1:9" s="71" customFormat="1" ht="16.5" hidden="1" customHeight="1" outlineLevel="1" x14ac:dyDescent="0.25">
      <c r="A4226" s="74">
        <v>5516</v>
      </c>
      <c r="B4226" s="45" t="s">
        <v>664</v>
      </c>
      <c r="C4226" s="60" t="s">
        <v>3832</v>
      </c>
      <c r="D4226" s="60"/>
      <c r="E4226" s="74">
        <v>2022</v>
      </c>
      <c r="F4226" s="74" t="s">
        <v>489</v>
      </c>
      <c r="G4226" s="61">
        <v>1</v>
      </c>
      <c r="H4226" s="45">
        <v>1.1000000000000001</v>
      </c>
      <c r="I4226" s="74">
        <v>26.248000000000001</v>
      </c>
    </row>
    <row r="4227" spans="1:9" s="71" customFormat="1" ht="16.5" hidden="1" customHeight="1" outlineLevel="1" x14ac:dyDescent="0.25">
      <c r="A4227" s="74">
        <v>5520</v>
      </c>
      <c r="B4227" s="45" t="s">
        <v>664</v>
      </c>
      <c r="C4227" s="60" t="s">
        <v>3833</v>
      </c>
      <c r="D4227" s="60"/>
      <c r="E4227" s="74">
        <v>2022</v>
      </c>
      <c r="F4227" s="74" t="s">
        <v>489</v>
      </c>
      <c r="G4227" s="61">
        <v>1</v>
      </c>
      <c r="H4227" s="45">
        <v>5</v>
      </c>
      <c r="I4227" s="74">
        <v>49.472000000000001</v>
      </c>
    </row>
    <row r="4228" spans="1:9" s="71" customFormat="1" ht="16.5" hidden="1" customHeight="1" outlineLevel="1" x14ac:dyDescent="0.25">
      <c r="A4228" s="74">
        <v>5534</v>
      </c>
      <c r="B4228" s="45" t="s">
        <v>664</v>
      </c>
      <c r="C4228" s="60" t="s">
        <v>3834</v>
      </c>
      <c r="D4228" s="60"/>
      <c r="E4228" s="74">
        <v>2022</v>
      </c>
      <c r="F4228" s="74" t="s">
        <v>489</v>
      </c>
      <c r="G4228" s="61">
        <v>1</v>
      </c>
      <c r="H4228" s="45">
        <v>12</v>
      </c>
      <c r="I4228" s="74">
        <v>45.031999999999996</v>
      </c>
    </row>
    <row r="4229" spans="1:9" s="71" customFormat="1" ht="16.5" hidden="1" customHeight="1" outlineLevel="1" x14ac:dyDescent="0.25">
      <c r="A4229" s="74">
        <v>5560</v>
      </c>
      <c r="B4229" s="45" t="s">
        <v>664</v>
      </c>
      <c r="C4229" s="60" t="s">
        <v>3835</v>
      </c>
      <c r="D4229" s="60"/>
      <c r="E4229" s="74">
        <v>2022</v>
      </c>
      <c r="F4229" s="74" t="s">
        <v>489</v>
      </c>
      <c r="G4229" s="61">
        <v>1</v>
      </c>
      <c r="H4229" s="45">
        <v>10</v>
      </c>
      <c r="I4229" s="74">
        <v>51.021999999999998</v>
      </c>
    </row>
    <row r="4230" spans="1:9" s="71" customFormat="1" ht="16.5" hidden="1" customHeight="1" outlineLevel="1" x14ac:dyDescent="0.25">
      <c r="A4230" s="74">
        <v>5582</v>
      </c>
      <c r="B4230" s="45" t="s">
        <v>664</v>
      </c>
      <c r="C4230" s="60" t="s">
        <v>3836</v>
      </c>
      <c r="D4230" s="60"/>
      <c r="E4230" s="74">
        <v>2022</v>
      </c>
      <c r="F4230" s="74" t="s">
        <v>489</v>
      </c>
      <c r="G4230" s="61">
        <v>1</v>
      </c>
      <c r="H4230" s="45">
        <v>15</v>
      </c>
      <c r="I4230" s="74">
        <v>47.62</v>
      </c>
    </row>
    <row r="4231" spans="1:9" s="71" customFormat="1" ht="16.5" hidden="1" customHeight="1" outlineLevel="1" x14ac:dyDescent="0.25">
      <c r="A4231" s="74">
        <v>5646</v>
      </c>
      <c r="B4231" s="45" t="s">
        <v>664</v>
      </c>
      <c r="C4231" s="60" t="s">
        <v>3837</v>
      </c>
      <c r="D4231" s="60"/>
      <c r="E4231" s="74">
        <v>2022</v>
      </c>
      <c r="F4231" s="74" t="s">
        <v>489</v>
      </c>
      <c r="G4231" s="61">
        <v>1</v>
      </c>
      <c r="H4231" s="45">
        <v>15</v>
      </c>
      <c r="I4231" s="74">
        <v>48.045999999999999</v>
      </c>
    </row>
    <row r="4232" spans="1:9" s="71" customFormat="1" ht="16.5" hidden="1" customHeight="1" outlineLevel="1" x14ac:dyDescent="0.25">
      <c r="A4232" s="74">
        <v>5648</v>
      </c>
      <c r="B4232" s="45" t="s">
        <v>664</v>
      </c>
      <c r="C4232" s="60" t="s">
        <v>3838</v>
      </c>
      <c r="D4232" s="60"/>
      <c r="E4232" s="74">
        <v>2022</v>
      </c>
      <c r="F4232" s="74" t="s">
        <v>489</v>
      </c>
      <c r="G4232" s="61">
        <v>1</v>
      </c>
      <c r="H4232" s="45">
        <v>15</v>
      </c>
      <c r="I4232" s="74">
        <v>48.063000000000002</v>
      </c>
    </row>
    <row r="4233" spans="1:9" s="71" customFormat="1" ht="16.5" hidden="1" customHeight="1" outlineLevel="1" x14ac:dyDescent="0.25">
      <c r="A4233" s="74">
        <v>5649</v>
      </c>
      <c r="B4233" s="45" t="s">
        <v>664</v>
      </c>
      <c r="C4233" s="60" t="s">
        <v>3839</v>
      </c>
      <c r="D4233" s="60"/>
      <c r="E4233" s="74">
        <v>2022</v>
      </c>
      <c r="F4233" s="74" t="s">
        <v>489</v>
      </c>
      <c r="G4233" s="61">
        <v>1</v>
      </c>
      <c r="H4233" s="45">
        <v>14</v>
      </c>
      <c r="I4233" s="74">
        <v>66.930999999999997</v>
      </c>
    </row>
    <row r="4234" spans="1:9" s="71" customFormat="1" ht="16.5" hidden="1" customHeight="1" outlineLevel="1" x14ac:dyDescent="0.25">
      <c r="A4234" s="74">
        <v>5650</v>
      </c>
      <c r="B4234" s="45" t="s">
        <v>664</v>
      </c>
      <c r="C4234" s="60" t="s">
        <v>3840</v>
      </c>
      <c r="D4234" s="60"/>
      <c r="E4234" s="74">
        <v>2022</v>
      </c>
      <c r="F4234" s="74" t="s">
        <v>489</v>
      </c>
      <c r="G4234" s="61">
        <v>1</v>
      </c>
      <c r="H4234" s="45">
        <v>14</v>
      </c>
      <c r="I4234" s="74">
        <v>68.275000000000006</v>
      </c>
    </row>
    <row r="4235" spans="1:9" s="71" customFormat="1" ht="16.5" hidden="1" customHeight="1" outlineLevel="1" x14ac:dyDescent="0.25">
      <c r="A4235" s="74">
        <v>5651</v>
      </c>
      <c r="B4235" s="45" t="s">
        <v>664</v>
      </c>
      <c r="C4235" s="60" t="s">
        <v>3841</v>
      </c>
      <c r="D4235" s="60"/>
      <c r="E4235" s="74">
        <v>2022</v>
      </c>
      <c r="F4235" s="74" t="s">
        <v>489</v>
      </c>
      <c r="G4235" s="61">
        <v>1</v>
      </c>
      <c r="H4235" s="45">
        <v>14</v>
      </c>
      <c r="I4235" s="74">
        <v>68.275000000000006</v>
      </c>
    </row>
    <row r="4236" spans="1:9" s="71" customFormat="1" ht="16.5" hidden="1" customHeight="1" outlineLevel="1" x14ac:dyDescent="0.25">
      <c r="A4236" s="74">
        <v>5652</v>
      </c>
      <c r="B4236" s="45" t="s">
        <v>664</v>
      </c>
      <c r="C4236" s="60" t="s">
        <v>3842</v>
      </c>
      <c r="D4236" s="60"/>
      <c r="E4236" s="74">
        <v>2022</v>
      </c>
      <c r="F4236" s="74" t="s">
        <v>489</v>
      </c>
      <c r="G4236" s="61">
        <v>1</v>
      </c>
      <c r="H4236" s="45">
        <v>14</v>
      </c>
      <c r="I4236" s="74">
        <v>68.212000000000003</v>
      </c>
    </row>
    <row r="4237" spans="1:9" s="71" customFormat="1" ht="16.5" hidden="1" customHeight="1" outlineLevel="1" x14ac:dyDescent="0.25">
      <c r="A4237" s="74">
        <v>5660</v>
      </c>
      <c r="B4237" s="45" t="s">
        <v>664</v>
      </c>
      <c r="C4237" s="60" t="s">
        <v>3843</v>
      </c>
      <c r="D4237" s="60"/>
      <c r="E4237" s="74">
        <v>2022</v>
      </c>
      <c r="F4237" s="74" t="s">
        <v>489</v>
      </c>
      <c r="G4237" s="61">
        <v>1</v>
      </c>
      <c r="H4237" s="45">
        <v>15</v>
      </c>
      <c r="I4237" s="74">
        <v>44.212000000000003</v>
      </c>
    </row>
    <row r="4238" spans="1:9" s="71" customFormat="1" ht="16.5" hidden="1" customHeight="1" outlineLevel="1" x14ac:dyDescent="0.25">
      <c r="A4238" s="74">
        <v>5662</v>
      </c>
      <c r="B4238" s="45" t="s">
        <v>664</v>
      </c>
      <c r="C4238" s="60" t="s">
        <v>3844</v>
      </c>
      <c r="D4238" s="60"/>
      <c r="E4238" s="74">
        <v>2022</v>
      </c>
      <c r="F4238" s="74" t="s">
        <v>489</v>
      </c>
      <c r="G4238" s="61">
        <v>1</v>
      </c>
      <c r="H4238" s="45">
        <v>15</v>
      </c>
      <c r="I4238" s="74">
        <v>47.463000000000001</v>
      </c>
    </row>
    <row r="4239" spans="1:9" s="71" customFormat="1" ht="16.5" hidden="1" customHeight="1" outlineLevel="1" x14ac:dyDescent="0.25">
      <c r="A4239" s="74">
        <v>5664</v>
      </c>
      <c r="B4239" s="45" t="s">
        <v>664</v>
      </c>
      <c r="C4239" s="60" t="s">
        <v>3845</v>
      </c>
      <c r="D4239" s="60"/>
      <c r="E4239" s="74">
        <v>2022</v>
      </c>
      <c r="F4239" s="74" t="s">
        <v>489</v>
      </c>
      <c r="G4239" s="61">
        <v>1</v>
      </c>
      <c r="H4239" s="45">
        <v>11</v>
      </c>
      <c r="I4239" s="74">
        <v>44.201999999999998</v>
      </c>
    </row>
    <row r="4240" spans="1:9" s="71" customFormat="1" ht="16.5" hidden="1" customHeight="1" outlineLevel="1" x14ac:dyDescent="0.25">
      <c r="A4240" s="74">
        <v>5675</v>
      </c>
      <c r="B4240" s="45" t="s">
        <v>664</v>
      </c>
      <c r="C4240" s="60" t="s">
        <v>3846</v>
      </c>
      <c r="D4240" s="60"/>
      <c r="E4240" s="74">
        <v>2022</v>
      </c>
      <c r="F4240" s="74" t="s">
        <v>489</v>
      </c>
      <c r="G4240" s="61">
        <v>1</v>
      </c>
      <c r="H4240" s="45">
        <v>15</v>
      </c>
      <c r="I4240" s="74">
        <v>50.256</v>
      </c>
    </row>
    <row r="4241" spans="1:9" s="71" customFormat="1" ht="16.5" hidden="1" customHeight="1" outlineLevel="1" x14ac:dyDescent="0.25">
      <c r="A4241" s="74">
        <v>5677</v>
      </c>
      <c r="B4241" s="45" t="s">
        <v>664</v>
      </c>
      <c r="C4241" s="60" t="s">
        <v>3847</v>
      </c>
      <c r="D4241" s="60"/>
      <c r="E4241" s="74">
        <v>2022</v>
      </c>
      <c r="F4241" s="74" t="s">
        <v>489</v>
      </c>
      <c r="G4241" s="61">
        <v>1</v>
      </c>
      <c r="H4241" s="45">
        <v>15</v>
      </c>
      <c r="I4241" s="74">
        <v>49.057000000000002</v>
      </c>
    </row>
    <row r="4242" spans="1:9" s="71" customFormat="1" ht="16.5" hidden="1" customHeight="1" outlineLevel="1" x14ac:dyDescent="0.25">
      <c r="A4242" s="74">
        <v>5679</v>
      </c>
      <c r="B4242" s="45" t="s">
        <v>664</v>
      </c>
      <c r="C4242" s="60" t="s">
        <v>3848</v>
      </c>
      <c r="D4242" s="60"/>
      <c r="E4242" s="74">
        <v>2022</v>
      </c>
      <c r="F4242" s="74" t="s">
        <v>489</v>
      </c>
      <c r="G4242" s="61">
        <v>1</v>
      </c>
      <c r="H4242" s="45">
        <v>10</v>
      </c>
      <c r="I4242" s="74">
        <v>48.457000000000001</v>
      </c>
    </row>
    <row r="4243" spans="1:9" s="71" customFormat="1" ht="16.5" hidden="1" customHeight="1" outlineLevel="1" x14ac:dyDescent="0.25">
      <c r="A4243" s="74">
        <v>5680</v>
      </c>
      <c r="B4243" s="45" t="s">
        <v>664</v>
      </c>
      <c r="C4243" s="60" t="s">
        <v>3849</v>
      </c>
      <c r="D4243" s="60"/>
      <c r="E4243" s="74">
        <v>2022</v>
      </c>
      <c r="F4243" s="74" t="s">
        <v>489</v>
      </c>
      <c r="G4243" s="61">
        <v>1</v>
      </c>
      <c r="H4243" s="45">
        <v>15</v>
      </c>
      <c r="I4243" s="74">
        <v>48.457000000000001</v>
      </c>
    </row>
    <row r="4244" spans="1:9" s="71" customFormat="1" ht="16.5" hidden="1" customHeight="1" outlineLevel="1" x14ac:dyDescent="0.25">
      <c r="A4244" s="74">
        <v>5681</v>
      </c>
      <c r="B4244" s="45" t="s">
        <v>664</v>
      </c>
      <c r="C4244" s="60" t="s">
        <v>3850</v>
      </c>
      <c r="D4244" s="60"/>
      <c r="E4244" s="74">
        <v>2022</v>
      </c>
      <c r="F4244" s="74" t="s">
        <v>489</v>
      </c>
      <c r="G4244" s="61">
        <v>1</v>
      </c>
      <c r="H4244" s="45">
        <v>15</v>
      </c>
      <c r="I4244" s="74">
        <v>49.506</v>
      </c>
    </row>
    <row r="4245" spans="1:9" s="71" customFormat="1" ht="16.5" hidden="1" customHeight="1" outlineLevel="1" x14ac:dyDescent="0.25">
      <c r="A4245" s="74">
        <v>5692</v>
      </c>
      <c r="B4245" s="45" t="s">
        <v>664</v>
      </c>
      <c r="C4245" s="60" t="s">
        <v>3851</v>
      </c>
      <c r="D4245" s="60"/>
      <c r="E4245" s="74">
        <v>2022</v>
      </c>
      <c r="F4245" s="74" t="s">
        <v>489</v>
      </c>
      <c r="G4245" s="61" t="s">
        <v>3720</v>
      </c>
      <c r="H4245" s="45">
        <v>15</v>
      </c>
      <c r="I4245" s="74">
        <v>31.021000000000001</v>
      </c>
    </row>
    <row r="4246" spans="1:9" s="71" customFormat="1" ht="16.5" hidden="1" customHeight="1" outlineLevel="1" x14ac:dyDescent="0.25">
      <c r="A4246" s="74">
        <v>5702</v>
      </c>
      <c r="B4246" s="45" t="s">
        <v>664</v>
      </c>
      <c r="C4246" s="60" t="s">
        <v>3852</v>
      </c>
      <c r="D4246" s="60"/>
      <c r="E4246" s="74">
        <v>2022</v>
      </c>
      <c r="F4246" s="74" t="s">
        <v>489</v>
      </c>
      <c r="G4246" s="61">
        <v>1</v>
      </c>
      <c r="H4246" s="45">
        <v>10</v>
      </c>
      <c r="I4246" s="74">
        <v>43.674999999999997</v>
      </c>
    </row>
    <row r="4247" spans="1:9" s="71" customFormat="1" ht="16.5" hidden="1" customHeight="1" outlineLevel="1" x14ac:dyDescent="0.25">
      <c r="A4247" s="74">
        <v>5708</v>
      </c>
      <c r="B4247" s="45" t="s">
        <v>664</v>
      </c>
      <c r="C4247" s="60" t="s">
        <v>3853</v>
      </c>
      <c r="D4247" s="60"/>
      <c r="E4247" s="74">
        <v>2022</v>
      </c>
      <c r="F4247" s="74" t="s">
        <v>489</v>
      </c>
      <c r="G4247" s="61" t="s">
        <v>3720</v>
      </c>
      <c r="H4247" s="45">
        <v>15</v>
      </c>
      <c r="I4247" s="74">
        <v>49.031999999999996</v>
      </c>
    </row>
    <row r="4248" spans="1:9" s="71" customFormat="1" ht="16.5" hidden="1" customHeight="1" outlineLevel="1" x14ac:dyDescent="0.25">
      <c r="A4248" s="74">
        <v>5709</v>
      </c>
      <c r="B4248" s="45" t="s">
        <v>664</v>
      </c>
      <c r="C4248" s="60" t="s">
        <v>3854</v>
      </c>
      <c r="D4248" s="60"/>
      <c r="E4248" s="74">
        <v>2022</v>
      </c>
      <c r="F4248" s="74" t="s">
        <v>489</v>
      </c>
      <c r="G4248" s="61" t="s">
        <v>3720</v>
      </c>
      <c r="H4248" s="45">
        <v>15</v>
      </c>
      <c r="I4248" s="74">
        <v>39.390999999999998</v>
      </c>
    </row>
    <row r="4249" spans="1:9" s="71" customFormat="1" ht="16.5" hidden="1" customHeight="1" outlineLevel="1" x14ac:dyDescent="0.25">
      <c r="A4249" s="74">
        <v>5716</v>
      </c>
      <c r="B4249" s="45" t="s">
        <v>664</v>
      </c>
      <c r="C4249" s="60" t="s">
        <v>3855</v>
      </c>
      <c r="D4249" s="60"/>
      <c r="E4249" s="74">
        <v>2022</v>
      </c>
      <c r="F4249" s="74" t="s">
        <v>489</v>
      </c>
      <c r="G4249" s="61" t="s">
        <v>3720</v>
      </c>
      <c r="H4249" s="45">
        <v>5</v>
      </c>
      <c r="I4249" s="74">
        <v>41.884999999999998</v>
      </c>
    </row>
    <row r="4250" spans="1:9" s="71" customFormat="1" ht="16.5" hidden="1" customHeight="1" outlineLevel="1" x14ac:dyDescent="0.25">
      <c r="A4250" s="74">
        <v>5762</v>
      </c>
      <c r="B4250" s="45" t="s">
        <v>664</v>
      </c>
      <c r="C4250" s="60" t="s">
        <v>3856</v>
      </c>
      <c r="D4250" s="60"/>
      <c r="E4250" s="74">
        <v>2022</v>
      </c>
      <c r="F4250" s="74" t="s">
        <v>489</v>
      </c>
      <c r="G4250" s="61" t="s">
        <v>3720</v>
      </c>
      <c r="H4250" s="45">
        <v>15</v>
      </c>
      <c r="I4250" s="74">
        <v>42.552999999999997</v>
      </c>
    </row>
    <row r="4251" spans="1:9" s="71" customFormat="1" ht="16.5" hidden="1" customHeight="1" outlineLevel="1" x14ac:dyDescent="0.25">
      <c r="A4251" s="74">
        <v>5766</v>
      </c>
      <c r="B4251" s="45" t="s">
        <v>664</v>
      </c>
      <c r="C4251" s="60" t="s">
        <v>3857</v>
      </c>
      <c r="D4251" s="60"/>
      <c r="E4251" s="74">
        <v>2022</v>
      </c>
      <c r="F4251" s="74" t="s">
        <v>489</v>
      </c>
      <c r="G4251" s="61">
        <v>1</v>
      </c>
      <c r="H4251" s="45">
        <v>15</v>
      </c>
      <c r="I4251" s="74">
        <v>51.91</v>
      </c>
    </row>
    <row r="4252" spans="1:9" s="71" customFormat="1" ht="16.5" hidden="1" customHeight="1" outlineLevel="1" x14ac:dyDescent="0.25">
      <c r="A4252" s="74">
        <v>5777</v>
      </c>
      <c r="B4252" s="45" t="s">
        <v>664</v>
      </c>
      <c r="C4252" s="60" t="s">
        <v>3858</v>
      </c>
      <c r="D4252" s="60"/>
      <c r="E4252" s="74">
        <v>2022</v>
      </c>
      <c r="F4252" s="74" t="s">
        <v>489</v>
      </c>
      <c r="G4252" s="61">
        <v>1</v>
      </c>
      <c r="H4252" s="45">
        <v>15</v>
      </c>
      <c r="I4252" s="74">
        <v>39.280999999999999</v>
      </c>
    </row>
    <row r="4253" spans="1:9" s="71" customFormat="1" ht="16.5" hidden="1" customHeight="1" outlineLevel="1" x14ac:dyDescent="0.25">
      <c r="A4253" s="74">
        <v>5781</v>
      </c>
      <c r="B4253" s="45" t="s">
        <v>664</v>
      </c>
      <c r="C4253" s="60" t="s">
        <v>3859</v>
      </c>
      <c r="D4253" s="60"/>
      <c r="E4253" s="74">
        <v>2022</v>
      </c>
      <c r="F4253" s="74" t="s">
        <v>489</v>
      </c>
      <c r="G4253" s="61">
        <v>1</v>
      </c>
      <c r="H4253" s="45">
        <v>11.5</v>
      </c>
      <c r="I4253" s="74">
        <v>38.985999999999997</v>
      </c>
    </row>
    <row r="4254" spans="1:9" s="71" customFormat="1" ht="16.5" hidden="1" customHeight="1" outlineLevel="1" x14ac:dyDescent="0.25">
      <c r="A4254" s="74">
        <v>5800</v>
      </c>
      <c r="B4254" s="45" t="s">
        <v>664</v>
      </c>
      <c r="C4254" s="60" t="s">
        <v>3860</v>
      </c>
      <c r="D4254" s="60"/>
      <c r="E4254" s="74">
        <v>2022</v>
      </c>
      <c r="F4254" s="74" t="s">
        <v>489</v>
      </c>
      <c r="G4254" s="61">
        <v>1</v>
      </c>
      <c r="H4254" s="45">
        <v>15</v>
      </c>
      <c r="I4254" s="74">
        <v>39.499000000000002</v>
      </c>
    </row>
    <row r="4255" spans="1:9" s="71" customFormat="1" ht="16.5" hidden="1" customHeight="1" outlineLevel="1" x14ac:dyDescent="0.25">
      <c r="A4255" s="74">
        <v>5806</v>
      </c>
      <c r="B4255" s="45" t="s">
        <v>664</v>
      </c>
      <c r="C4255" s="60" t="s">
        <v>3861</v>
      </c>
      <c r="D4255" s="60"/>
      <c r="E4255" s="74">
        <v>2022</v>
      </c>
      <c r="F4255" s="74" t="s">
        <v>489</v>
      </c>
      <c r="G4255" s="61">
        <v>1</v>
      </c>
      <c r="H4255" s="45">
        <v>10</v>
      </c>
      <c r="I4255" s="74">
        <v>42.994999999999997</v>
      </c>
    </row>
    <row r="4256" spans="1:9" s="71" customFormat="1" ht="16.5" hidden="1" customHeight="1" outlineLevel="1" x14ac:dyDescent="0.25">
      <c r="A4256" s="74">
        <v>5816</v>
      </c>
      <c r="B4256" s="45" t="s">
        <v>664</v>
      </c>
      <c r="C4256" s="60" t="s">
        <v>3862</v>
      </c>
      <c r="D4256" s="60"/>
      <c r="E4256" s="74">
        <v>2022</v>
      </c>
      <c r="F4256" s="74" t="s">
        <v>489</v>
      </c>
      <c r="G4256" s="61">
        <v>1</v>
      </c>
      <c r="H4256" s="45">
        <v>15</v>
      </c>
      <c r="I4256" s="74">
        <v>39.707000000000001</v>
      </c>
    </row>
    <row r="4257" spans="1:9" s="71" customFormat="1" ht="16.5" hidden="1" customHeight="1" outlineLevel="1" x14ac:dyDescent="0.25">
      <c r="A4257" s="74">
        <v>5824</v>
      </c>
      <c r="B4257" s="45" t="s">
        <v>664</v>
      </c>
      <c r="C4257" s="60" t="s">
        <v>3863</v>
      </c>
      <c r="D4257" s="60"/>
      <c r="E4257" s="74">
        <v>2022</v>
      </c>
      <c r="F4257" s="74" t="s">
        <v>489</v>
      </c>
      <c r="G4257" s="61">
        <v>1</v>
      </c>
      <c r="H4257" s="45">
        <v>10</v>
      </c>
      <c r="I4257" s="74">
        <v>65.409000000000006</v>
      </c>
    </row>
    <row r="4258" spans="1:9" s="71" customFormat="1" ht="16.5" hidden="1" customHeight="1" outlineLevel="1" x14ac:dyDescent="0.25">
      <c r="A4258" s="74">
        <v>5833</v>
      </c>
      <c r="B4258" s="45" t="s">
        <v>664</v>
      </c>
      <c r="C4258" s="60" t="s">
        <v>3864</v>
      </c>
      <c r="D4258" s="60"/>
      <c r="E4258" s="74">
        <v>2022</v>
      </c>
      <c r="F4258" s="74" t="s">
        <v>489</v>
      </c>
      <c r="G4258" s="61">
        <v>1</v>
      </c>
      <c r="H4258" s="45">
        <v>15</v>
      </c>
      <c r="I4258" s="74">
        <v>39.585000000000001</v>
      </c>
    </row>
    <row r="4259" spans="1:9" s="71" customFormat="1" ht="16.5" hidden="1" customHeight="1" outlineLevel="1" x14ac:dyDescent="0.25">
      <c r="A4259" s="74">
        <v>5836</v>
      </c>
      <c r="B4259" s="45" t="s">
        <v>664</v>
      </c>
      <c r="C4259" s="60" t="s">
        <v>3865</v>
      </c>
      <c r="D4259" s="60"/>
      <c r="E4259" s="74">
        <v>2022</v>
      </c>
      <c r="F4259" s="74" t="s">
        <v>489</v>
      </c>
      <c r="G4259" s="61">
        <v>1</v>
      </c>
      <c r="H4259" s="45">
        <v>11.5</v>
      </c>
      <c r="I4259" s="74">
        <v>39.585000000000001</v>
      </c>
    </row>
    <row r="4260" spans="1:9" s="71" customFormat="1" ht="16.5" hidden="1" customHeight="1" outlineLevel="1" x14ac:dyDescent="0.25">
      <c r="A4260" s="74">
        <v>5838</v>
      </c>
      <c r="B4260" s="45" t="s">
        <v>664</v>
      </c>
      <c r="C4260" s="60" t="s">
        <v>3866</v>
      </c>
      <c r="D4260" s="60"/>
      <c r="E4260" s="74">
        <v>2022</v>
      </c>
      <c r="F4260" s="74" t="s">
        <v>489</v>
      </c>
      <c r="G4260" s="61" t="s">
        <v>3720</v>
      </c>
      <c r="H4260" s="45">
        <v>15</v>
      </c>
      <c r="I4260" s="74">
        <v>39.585000000000001</v>
      </c>
    </row>
    <row r="4261" spans="1:9" s="71" customFormat="1" ht="16.5" hidden="1" customHeight="1" outlineLevel="1" x14ac:dyDescent="0.25">
      <c r="A4261" s="74">
        <v>5839</v>
      </c>
      <c r="B4261" s="45" t="s">
        <v>664</v>
      </c>
      <c r="C4261" s="60" t="s">
        <v>3867</v>
      </c>
      <c r="D4261" s="60"/>
      <c r="E4261" s="74">
        <v>2022</v>
      </c>
      <c r="F4261" s="74" t="s">
        <v>489</v>
      </c>
      <c r="G4261" s="61" t="s">
        <v>3720</v>
      </c>
      <c r="H4261" s="45">
        <v>1</v>
      </c>
      <c r="I4261" s="74">
        <v>39.585000000000001</v>
      </c>
    </row>
    <row r="4262" spans="1:9" s="71" customFormat="1" ht="16.5" hidden="1" customHeight="1" outlineLevel="1" x14ac:dyDescent="0.25">
      <c r="A4262" s="74">
        <v>5841</v>
      </c>
      <c r="B4262" s="45" t="s">
        <v>664</v>
      </c>
      <c r="C4262" s="60" t="s">
        <v>3868</v>
      </c>
      <c r="D4262" s="60"/>
      <c r="E4262" s="74">
        <v>2022</v>
      </c>
      <c r="F4262" s="74" t="s">
        <v>489</v>
      </c>
      <c r="G4262" s="61" t="s">
        <v>3720</v>
      </c>
      <c r="H4262" s="45">
        <v>9</v>
      </c>
      <c r="I4262" s="74">
        <v>39.427999999999997</v>
      </c>
    </row>
    <row r="4263" spans="1:9" s="71" customFormat="1" ht="16.5" hidden="1" customHeight="1" outlineLevel="1" x14ac:dyDescent="0.25">
      <c r="A4263" s="74">
        <v>5856</v>
      </c>
      <c r="B4263" s="45" t="s">
        <v>664</v>
      </c>
      <c r="C4263" s="60" t="s">
        <v>3869</v>
      </c>
      <c r="D4263" s="60"/>
      <c r="E4263" s="74">
        <v>2022</v>
      </c>
      <c r="F4263" s="74" t="s">
        <v>489</v>
      </c>
      <c r="G4263" s="61" t="s">
        <v>3720</v>
      </c>
      <c r="H4263" s="45">
        <v>15</v>
      </c>
      <c r="I4263" s="74">
        <v>20.387</v>
      </c>
    </row>
    <row r="4264" spans="1:9" s="71" customFormat="1" ht="16.5" hidden="1" customHeight="1" outlineLevel="1" x14ac:dyDescent="0.25">
      <c r="A4264" s="74">
        <v>5864</v>
      </c>
      <c r="B4264" s="45" t="s">
        <v>664</v>
      </c>
      <c r="C4264" s="60" t="s">
        <v>3870</v>
      </c>
      <c r="D4264" s="60"/>
      <c r="E4264" s="74">
        <v>2022</v>
      </c>
      <c r="F4264" s="74" t="s">
        <v>489</v>
      </c>
      <c r="G4264" s="61" t="s">
        <v>3720</v>
      </c>
      <c r="H4264" s="45">
        <v>4</v>
      </c>
      <c r="I4264" s="74">
        <v>18.72</v>
      </c>
    </row>
    <row r="4265" spans="1:9" s="71" customFormat="1" ht="16.5" hidden="1" customHeight="1" outlineLevel="1" x14ac:dyDescent="0.25">
      <c r="A4265" s="74">
        <v>5874</v>
      </c>
      <c r="B4265" s="45" t="s">
        <v>664</v>
      </c>
      <c r="C4265" s="60" t="s">
        <v>3871</v>
      </c>
      <c r="D4265" s="60"/>
      <c r="E4265" s="74">
        <v>2022</v>
      </c>
      <c r="F4265" s="74" t="s">
        <v>489</v>
      </c>
      <c r="G4265" s="61">
        <v>1</v>
      </c>
      <c r="H4265" s="45">
        <v>13</v>
      </c>
      <c r="I4265" s="74">
        <v>39.865000000000002</v>
      </c>
    </row>
    <row r="4266" spans="1:9" s="71" customFormat="1" ht="16.5" hidden="1" customHeight="1" outlineLevel="1" x14ac:dyDescent="0.25">
      <c r="A4266" s="74">
        <v>5875</v>
      </c>
      <c r="B4266" s="45" t="s">
        <v>664</v>
      </c>
      <c r="C4266" s="60" t="s">
        <v>3872</v>
      </c>
      <c r="D4266" s="60"/>
      <c r="E4266" s="74">
        <v>2022</v>
      </c>
      <c r="F4266" s="74" t="s">
        <v>489</v>
      </c>
      <c r="G4266" s="61">
        <v>1</v>
      </c>
      <c r="H4266" s="45">
        <v>15</v>
      </c>
      <c r="I4266" s="74">
        <v>21.145</v>
      </c>
    </row>
    <row r="4267" spans="1:9" s="71" customFormat="1" ht="16.5" hidden="1" customHeight="1" outlineLevel="1" x14ac:dyDescent="0.25">
      <c r="A4267" s="74">
        <v>5885</v>
      </c>
      <c r="B4267" s="45" t="s">
        <v>664</v>
      </c>
      <c r="C4267" s="60" t="s">
        <v>559</v>
      </c>
      <c r="D4267" s="60"/>
      <c r="E4267" s="74">
        <v>2022</v>
      </c>
      <c r="F4267" s="74" t="s">
        <v>489</v>
      </c>
      <c r="G4267" s="61">
        <v>2</v>
      </c>
      <c r="H4267" s="45">
        <v>30</v>
      </c>
      <c r="I4267" s="74">
        <v>275.74599999999998</v>
      </c>
    </row>
    <row r="4268" spans="1:9" s="71" customFormat="1" ht="16.5" hidden="1" customHeight="1" outlineLevel="1" x14ac:dyDescent="0.25">
      <c r="A4268" s="74">
        <v>5462</v>
      </c>
      <c r="B4268" s="45" t="s">
        <v>664</v>
      </c>
      <c r="C4268" s="60" t="s">
        <v>3873</v>
      </c>
      <c r="D4268" s="60"/>
      <c r="E4268" s="74">
        <v>2022</v>
      </c>
      <c r="F4268" s="74" t="s">
        <v>489</v>
      </c>
      <c r="G4268" s="61">
        <v>1</v>
      </c>
      <c r="H4268" s="45">
        <v>15</v>
      </c>
      <c r="I4268" s="74">
        <v>42.325000000000003</v>
      </c>
    </row>
    <row r="4269" spans="1:9" s="71" customFormat="1" ht="16.5" hidden="1" customHeight="1" outlineLevel="1" x14ac:dyDescent="0.25">
      <c r="A4269" s="74">
        <v>5494</v>
      </c>
      <c r="B4269" s="45" t="s">
        <v>664</v>
      </c>
      <c r="C4269" s="60" t="s">
        <v>3874</v>
      </c>
      <c r="D4269" s="60"/>
      <c r="E4269" s="74">
        <v>2022</v>
      </c>
      <c r="F4269" s="74" t="s">
        <v>489</v>
      </c>
      <c r="G4269" s="61" t="s">
        <v>3720</v>
      </c>
      <c r="H4269" s="45">
        <v>15</v>
      </c>
      <c r="I4269" s="74">
        <v>26.085999999999999</v>
      </c>
    </row>
    <row r="4270" spans="1:9" s="71" customFormat="1" ht="16.5" hidden="1" customHeight="1" outlineLevel="1" x14ac:dyDescent="0.25">
      <c r="A4270" s="74">
        <v>5547</v>
      </c>
      <c r="B4270" s="45" t="s">
        <v>664</v>
      </c>
      <c r="C4270" s="60" t="s">
        <v>3875</v>
      </c>
      <c r="D4270" s="60"/>
      <c r="E4270" s="74">
        <v>2022</v>
      </c>
      <c r="F4270" s="74" t="s">
        <v>489</v>
      </c>
      <c r="G4270" s="61" t="s">
        <v>3720</v>
      </c>
      <c r="H4270" s="45">
        <v>5</v>
      </c>
      <c r="I4270" s="74">
        <v>54.750999999999998</v>
      </c>
    </row>
    <row r="4271" spans="1:9" s="71" customFormat="1" ht="16.5" hidden="1" customHeight="1" outlineLevel="1" x14ac:dyDescent="0.25">
      <c r="A4271" s="74">
        <v>5577</v>
      </c>
      <c r="B4271" s="45" t="s">
        <v>664</v>
      </c>
      <c r="C4271" s="60" t="s">
        <v>3876</v>
      </c>
      <c r="D4271" s="60"/>
      <c r="E4271" s="74">
        <v>2022</v>
      </c>
      <c r="F4271" s="74" t="s">
        <v>489</v>
      </c>
      <c r="G4271" s="61" t="s">
        <v>3720</v>
      </c>
      <c r="H4271" s="45">
        <v>15</v>
      </c>
      <c r="I4271" s="74">
        <v>58.671999999999997</v>
      </c>
    </row>
    <row r="4272" spans="1:9" s="71" customFormat="1" ht="16.5" hidden="1" customHeight="1" outlineLevel="1" x14ac:dyDescent="0.25">
      <c r="A4272" s="74">
        <v>5596</v>
      </c>
      <c r="B4272" s="45" t="s">
        <v>664</v>
      </c>
      <c r="C4272" s="60" t="s">
        <v>3877</v>
      </c>
      <c r="D4272" s="60"/>
      <c r="E4272" s="74">
        <v>2022</v>
      </c>
      <c r="F4272" s="74" t="s">
        <v>489</v>
      </c>
      <c r="G4272" s="61" t="s">
        <v>3720</v>
      </c>
      <c r="H4272" s="45">
        <v>15</v>
      </c>
      <c r="I4272" s="74">
        <v>45.570999999999998</v>
      </c>
    </row>
    <row r="4273" spans="1:9" s="71" customFormat="1" ht="16.5" hidden="1" customHeight="1" outlineLevel="1" x14ac:dyDescent="0.25">
      <c r="A4273" s="74">
        <v>5607</v>
      </c>
      <c r="B4273" s="45" t="s">
        <v>664</v>
      </c>
      <c r="C4273" s="60" t="s">
        <v>3878</v>
      </c>
      <c r="D4273" s="60"/>
      <c r="E4273" s="74">
        <v>2022</v>
      </c>
      <c r="F4273" s="74" t="s">
        <v>489</v>
      </c>
      <c r="G4273" s="61" t="s">
        <v>3720</v>
      </c>
      <c r="H4273" s="45">
        <v>10</v>
      </c>
      <c r="I4273" s="74">
        <v>69.036000000000001</v>
      </c>
    </row>
    <row r="4274" spans="1:9" s="71" customFormat="1" ht="16.5" hidden="1" customHeight="1" outlineLevel="1" x14ac:dyDescent="0.25">
      <c r="A4274" s="74">
        <v>5622</v>
      </c>
      <c r="B4274" s="45" t="s">
        <v>664</v>
      </c>
      <c r="C4274" s="60" t="s">
        <v>3879</v>
      </c>
      <c r="D4274" s="60"/>
      <c r="E4274" s="74">
        <v>2022</v>
      </c>
      <c r="F4274" s="74" t="s">
        <v>489</v>
      </c>
      <c r="G4274" s="61" t="s">
        <v>3720</v>
      </c>
      <c r="H4274" s="45">
        <v>15</v>
      </c>
      <c r="I4274" s="74">
        <v>51.686</v>
      </c>
    </row>
    <row r="4275" spans="1:9" s="71" customFormat="1" ht="16.5" hidden="1" customHeight="1" outlineLevel="1" x14ac:dyDescent="0.25">
      <c r="A4275" s="74">
        <v>5628</v>
      </c>
      <c r="B4275" s="45" t="s">
        <v>664</v>
      </c>
      <c r="C4275" s="60" t="s">
        <v>3880</v>
      </c>
      <c r="D4275" s="60"/>
      <c r="E4275" s="74">
        <v>2022</v>
      </c>
      <c r="F4275" s="74" t="s">
        <v>489</v>
      </c>
      <c r="G4275" s="61" t="s">
        <v>3720</v>
      </c>
      <c r="H4275" s="45">
        <v>15</v>
      </c>
      <c r="I4275" s="74">
        <v>51.008000000000003</v>
      </c>
    </row>
    <row r="4276" spans="1:9" s="71" customFormat="1" ht="16.5" hidden="1" customHeight="1" outlineLevel="1" x14ac:dyDescent="0.25">
      <c r="A4276" s="74">
        <v>5676</v>
      </c>
      <c r="B4276" s="45" t="s">
        <v>664</v>
      </c>
      <c r="C4276" s="60" t="s">
        <v>3881</v>
      </c>
      <c r="D4276" s="60"/>
      <c r="E4276" s="74">
        <v>2022</v>
      </c>
      <c r="F4276" s="74" t="s">
        <v>489</v>
      </c>
      <c r="G4276" s="61" t="s">
        <v>3720</v>
      </c>
      <c r="H4276" s="45">
        <v>15</v>
      </c>
      <c r="I4276" s="74">
        <v>51.2</v>
      </c>
    </row>
    <row r="4277" spans="1:9" s="71" customFormat="1" ht="16.5" hidden="1" customHeight="1" outlineLevel="1" x14ac:dyDescent="0.25">
      <c r="A4277" s="74">
        <v>5729</v>
      </c>
      <c r="B4277" s="45" t="s">
        <v>664</v>
      </c>
      <c r="C4277" s="60" t="s">
        <v>3882</v>
      </c>
      <c r="D4277" s="60"/>
      <c r="E4277" s="74">
        <v>2022</v>
      </c>
      <c r="F4277" s="74" t="s">
        <v>489</v>
      </c>
      <c r="G4277" s="61" t="s">
        <v>3720</v>
      </c>
      <c r="H4277" s="45">
        <v>10</v>
      </c>
      <c r="I4277" s="74">
        <v>49.817999999999998</v>
      </c>
    </row>
    <row r="4278" spans="1:9" s="71" customFormat="1" ht="16.5" hidden="1" customHeight="1" outlineLevel="1" x14ac:dyDescent="0.25">
      <c r="A4278" s="74">
        <v>5765</v>
      </c>
      <c r="B4278" s="45" t="s">
        <v>664</v>
      </c>
      <c r="C4278" s="60" t="s">
        <v>3883</v>
      </c>
      <c r="D4278" s="60"/>
      <c r="E4278" s="74">
        <v>2022</v>
      </c>
      <c r="F4278" s="74" t="s">
        <v>489</v>
      </c>
      <c r="G4278" s="61" t="s">
        <v>3720</v>
      </c>
      <c r="H4278" s="45">
        <v>10</v>
      </c>
      <c r="I4278" s="74">
        <v>33.331000000000003</v>
      </c>
    </row>
    <row r="4279" spans="1:9" s="71" customFormat="1" ht="16.5" hidden="1" customHeight="1" outlineLevel="1" x14ac:dyDescent="0.25">
      <c r="A4279" s="74">
        <v>5767</v>
      </c>
      <c r="B4279" s="45" t="s">
        <v>664</v>
      </c>
      <c r="C4279" s="60" t="s">
        <v>448</v>
      </c>
      <c r="D4279" s="60"/>
      <c r="E4279" s="74">
        <v>2022</v>
      </c>
      <c r="F4279" s="74" t="s">
        <v>489</v>
      </c>
      <c r="G4279" s="61" t="s">
        <v>3720</v>
      </c>
      <c r="H4279" s="45">
        <v>15</v>
      </c>
      <c r="I4279" s="74">
        <v>44.265000000000001</v>
      </c>
    </row>
    <row r="4280" spans="1:9" s="71" customFormat="1" ht="16.5" hidden="1" customHeight="1" outlineLevel="1" x14ac:dyDescent="0.25">
      <c r="A4280" s="74">
        <v>5785</v>
      </c>
      <c r="B4280" s="45" t="s">
        <v>664</v>
      </c>
      <c r="C4280" s="60" t="s">
        <v>3884</v>
      </c>
      <c r="D4280" s="60"/>
      <c r="E4280" s="74">
        <v>2022</v>
      </c>
      <c r="F4280" s="74" t="s">
        <v>489</v>
      </c>
      <c r="G4280" s="61" t="s">
        <v>3720</v>
      </c>
      <c r="H4280" s="45">
        <v>15</v>
      </c>
      <c r="I4280" s="74">
        <v>43.738</v>
      </c>
    </row>
    <row r="4281" spans="1:9" s="71" customFormat="1" ht="16.5" hidden="1" customHeight="1" outlineLevel="1" x14ac:dyDescent="0.25">
      <c r="A4281" s="74">
        <v>5786</v>
      </c>
      <c r="B4281" s="45" t="s">
        <v>664</v>
      </c>
      <c r="C4281" s="60" t="s">
        <v>3885</v>
      </c>
      <c r="D4281" s="60"/>
      <c r="E4281" s="74">
        <v>2022</v>
      </c>
      <c r="F4281" s="74" t="s">
        <v>489</v>
      </c>
      <c r="G4281" s="61" t="s">
        <v>3720</v>
      </c>
      <c r="H4281" s="45">
        <v>15</v>
      </c>
      <c r="I4281" s="74">
        <v>41.631</v>
      </c>
    </row>
    <row r="4282" spans="1:9" s="71" customFormat="1" ht="16.5" hidden="1" customHeight="1" outlineLevel="1" x14ac:dyDescent="0.25">
      <c r="A4282" s="74">
        <v>5798</v>
      </c>
      <c r="B4282" s="45" t="s">
        <v>664</v>
      </c>
      <c r="C4282" s="60" t="s">
        <v>3886</v>
      </c>
      <c r="D4282" s="60"/>
      <c r="E4282" s="74">
        <v>2022</v>
      </c>
      <c r="F4282" s="74" t="s">
        <v>489</v>
      </c>
      <c r="G4282" s="61" t="s">
        <v>3720</v>
      </c>
      <c r="H4282" s="45">
        <v>15</v>
      </c>
      <c r="I4282" s="74">
        <v>42.420999999999999</v>
      </c>
    </row>
    <row r="4283" spans="1:9" s="71" customFormat="1" ht="16.5" hidden="1" customHeight="1" outlineLevel="1" x14ac:dyDescent="0.25">
      <c r="A4283" s="74">
        <v>5812</v>
      </c>
      <c r="B4283" s="45" t="s">
        <v>664</v>
      </c>
      <c r="C4283" s="60" t="s">
        <v>3887</v>
      </c>
      <c r="D4283" s="60"/>
      <c r="E4283" s="74">
        <v>2022</v>
      </c>
      <c r="F4283" s="74" t="s">
        <v>489</v>
      </c>
      <c r="G4283" s="61" t="s">
        <v>3720</v>
      </c>
      <c r="H4283" s="45">
        <v>15</v>
      </c>
      <c r="I4283" s="74">
        <v>41.631</v>
      </c>
    </row>
    <row r="4284" spans="1:9" s="71" customFormat="1" ht="16.5" hidden="1" customHeight="1" outlineLevel="1" x14ac:dyDescent="0.25">
      <c r="A4284" s="74">
        <v>5825</v>
      </c>
      <c r="B4284" s="45" t="s">
        <v>664</v>
      </c>
      <c r="C4284" s="60" t="s">
        <v>3888</v>
      </c>
      <c r="D4284" s="60"/>
      <c r="E4284" s="74">
        <v>2022</v>
      </c>
      <c r="F4284" s="74" t="s">
        <v>489</v>
      </c>
      <c r="G4284" s="61" t="s">
        <v>3720</v>
      </c>
      <c r="H4284" s="45">
        <v>15</v>
      </c>
      <c r="I4284" s="74">
        <v>51.896000000000001</v>
      </c>
    </row>
    <row r="4285" spans="1:9" s="71" customFormat="1" ht="16.5" hidden="1" customHeight="1" outlineLevel="1" x14ac:dyDescent="0.25">
      <c r="A4285" s="74">
        <v>5826</v>
      </c>
      <c r="B4285" s="45" t="s">
        <v>664</v>
      </c>
      <c r="C4285" s="60" t="s">
        <v>3889</v>
      </c>
      <c r="D4285" s="60"/>
      <c r="E4285" s="74">
        <v>2022</v>
      </c>
      <c r="F4285" s="74" t="s">
        <v>489</v>
      </c>
      <c r="G4285" s="61">
        <v>2</v>
      </c>
      <c r="H4285" s="45">
        <v>30</v>
      </c>
      <c r="I4285" s="74">
        <v>107.22</v>
      </c>
    </row>
    <row r="4286" spans="1:9" s="71" customFormat="1" ht="16.5" hidden="1" customHeight="1" outlineLevel="1" x14ac:dyDescent="0.25">
      <c r="A4286" s="74">
        <v>5827</v>
      </c>
      <c r="B4286" s="45" t="s">
        <v>664</v>
      </c>
      <c r="C4286" s="60" t="s">
        <v>3890</v>
      </c>
      <c r="D4286" s="60"/>
      <c r="E4286" s="74">
        <v>2022</v>
      </c>
      <c r="F4286" s="74" t="s">
        <v>489</v>
      </c>
      <c r="G4286" s="61">
        <v>3</v>
      </c>
      <c r="H4286" s="45">
        <v>33</v>
      </c>
      <c r="I4286" s="74">
        <v>165.46700000000001</v>
      </c>
    </row>
    <row r="4287" spans="1:9" s="71" customFormat="1" ht="16.5" hidden="1" customHeight="1" outlineLevel="1" x14ac:dyDescent="0.25">
      <c r="A4287" s="74">
        <v>5857</v>
      </c>
      <c r="B4287" s="45" t="s">
        <v>664</v>
      </c>
      <c r="C4287" s="60" t="s">
        <v>3891</v>
      </c>
      <c r="D4287" s="60"/>
      <c r="E4287" s="74">
        <v>2022</v>
      </c>
      <c r="F4287" s="74" t="s">
        <v>489</v>
      </c>
      <c r="G4287" s="61" t="s">
        <v>3720</v>
      </c>
      <c r="H4287" s="45">
        <v>10</v>
      </c>
      <c r="I4287" s="74">
        <v>42.890999999999998</v>
      </c>
    </row>
    <row r="4288" spans="1:9" s="71" customFormat="1" ht="16.5" hidden="1" customHeight="1" outlineLevel="1" x14ac:dyDescent="0.25">
      <c r="A4288" s="74">
        <v>5860</v>
      </c>
      <c r="B4288" s="45" t="s">
        <v>664</v>
      </c>
      <c r="C4288" s="60" t="s">
        <v>3892</v>
      </c>
      <c r="D4288" s="60"/>
      <c r="E4288" s="74">
        <v>2022</v>
      </c>
      <c r="F4288" s="74" t="s">
        <v>489</v>
      </c>
      <c r="G4288" s="61" t="s">
        <v>3720</v>
      </c>
      <c r="H4288" s="45">
        <v>60</v>
      </c>
      <c r="I4288" s="74">
        <v>71.191000000000003</v>
      </c>
    </row>
    <row r="4289" spans="1:9" s="71" customFormat="1" ht="16.5" hidden="1" customHeight="1" outlineLevel="1" x14ac:dyDescent="0.25">
      <c r="A4289" s="74">
        <v>5861</v>
      </c>
      <c r="B4289" s="45" t="s">
        <v>664</v>
      </c>
      <c r="C4289" s="60" t="s">
        <v>157</v>
      </c>
      <c r="D4289" s="60"/>
      <c r="E4289" s="74">
        <v>2022</v>
      </c>
      <c r="F4289" s="74" t="s">
        <v>489</v>
      </c>
      <c r="G4289" s="61" t="s">
        <v>3720</v>
      </c>
      <c r="H4289" s="45">
        <v>150</v>
      </c>
      <c r="I4289" s="74">
        <v>80.537999999999997</v>
      </c>
    </row>
    <row r="4290" spans="1:9" s="71" customFormat="1" ht="16.5" hidden="1" customHeight="1" outlineLevel="1" x14ac:dyDescent="0.25">
      <c r="A4290" s="74">
        <v>5873</v>
      </c>
      <c r="B4290" s="45" t="s">
        <v>664</v>
      </c>
      <c r="C4290" s="60" t="s">
        <v>3893</v>
      </c>
      <c r="D4290" s="60"/>
      <c r="E4290" s="74">
        <v>2022</v>
      </c>
      <c r="F4290" s="74" t="s">
        <v>489</v>
      </c>
      <c r="G4290" s="61" t="s">
        <v>3720</v>
      </c>
      <c r="H4290" s="45">
        <v>5</v>
      </c>
      <c r="I4290" s="74">
        <v>42.271999999999998</v>
      </c>
    </row>
    <row r="4291" spans="1:9" s="71" customFormat="1" ht="16.5" hidden="1" customHeight="1" outlineLevel="1" x14ac:dyDescent="0.25">
      <c r="A4291" s="74">
        <v>5877</v>
      </c>
      <c r="B4291" s="45" t="s">
        <v>664</v>
      </c>
      <c r="C4291" s="60" t="s">
        <v>3894</v>
      </c>
      <c r="D4291" s="60"/>
      <c r="E4291" s="74">
        <v>2022</v>
      </c>
      <c r="F4291" s="74" t="s">
        <v>489</v>
      </c>
      <c r="G4291" s="61" t="s">
        <v>3720</v>
      </c>
      <c r="H4291" s="45">
        <v>10</v>
      </c>
      <c r="I4291" s="74">
        <v>40.164000000000001</v>
      </c>
    </row>
    <row r="4292" spans="1:9" s="71" customFormat="1" ht="16.5" hidden="1" customHeight="1" outlineLevel="1" x14ac:dyDescent="0.25">
      <c r="A4292" s="74">
        <v>5879</v>
      </c>
      <c r="B4292" s="45" t="s">
        <v>664</v>
      </c>
      <c r="C4292" s="60" t="s">
        <v>3895</v>
      </c>
      <c r="D4292" s="60"/>
      <c r="E4292" s="74">
        <v>2022</v>
      </c>
      <c r="F4292" s="74" t="s">
        <v>489</v>
      </c>
      <c r="G4292" s="61" t="s">
        <v>3720</v>
      </c>
      <c r="H4292" s="45">
        <v>7</v>
      </c>
      <c r="I4292" s="74">
        <v>36.581000000000003</v>
      </c>
    </row>
    <row r="4293" spans="1:9" s="71" customFormat="1" ht="16.5" hidden="1" customHeight="1" outlineLevel="1" x14ac:dyDescent="0.25">
      <c r="A4293" s="74">
        <v>5880</v>
      </c>
      <c r="B4293" s="45" t="s">
        <v>664</v>
      </c>
      <c r="C4293" s="60" t="s">
        <v>3896</v>
      </c>
      <c r="D4293" s="60"/>
      <c r="E4293" s="74">
        <v>2022</v>
      </c>
      <c r="F4293" s="74" t="s">
        <v>489</v>
      </c>
      <c r="G4293" s="61" t="s">
        <v>3720</v>
      </c>
      <c r="H4293" s="45">
        <v>15</v>
      </c>
      <c r="I4293" s="74">
        <v>20.687999999999999</v>
      </c>
    </row>
    <row r="4294" spans="1:9" s="71" customFormat="1" ht="16.5" hidden="1" customHeight="1" outlineLevel="1" x14ac:dyDescent="0.25">
      <c r="A4294" s="74">
        <v>5881</v>
      </c>
      <c r="B4294" s="45" t="s">
        <v>664</v>
      </c>
      <c r="C4294" s="60" t="s">
        <v>3897</v>
      </c>
      <c r="D4294" s="60"/>
      <c r="E4294" s="74">
        <v>2022</v>
      </c>
      <c r="F4294" s="74" t="s">
        <v>489</v>
      </c>
      <c r="G4294" s="61" t="s">
        <v>3720</v>
      </c>
      <c r="H4294" s="45">
        <v>2</v>
      </c>
      <c r="I4294" s="74">
        <v>21.811</v>
      </c>
    </row>
    <row r="4295" spans="1:9" s="71" customFormat="1" ht="16.5" hidden="1" customHeight="1" outlineLevel="1" x14ac:dyDescent="0.25">
      <c r="A4295" s="74">
        <v>5882</v>
      </c>
      <c r="B4295" s="45" t="s">
        <v>664</v>
      </c>
      <c r="C4295" s="60" t="s">
        <v>3898</v>
      </c>
      <c r="D4295" s="60"/>
      <c r="E4295" s="74">
        <v>2022</v>
      </c>
      <c r="F4295" s="74" t="s">
        <v>489</v>
      </c>
      <c r="G4295" s="61" t="s">
        <v>3720</v>
      </c>
      <c r="H4295" s="45">
        <v>10</v>
      </c>
      <c r="I4295" s="74">
        <v>15.709</v>
      </c>
    </row>
    <row r="4296" spans="1:9" s="71" customFormat="1" ht="16.5" hidden="1" customHeight="1" outlineLevel="1" x14ac:dyDescent="0.25">
      <c r="A4296" s="74">
        <v>5883</v>
      </c>
      <c r="B4296" s="45" t="s">
        <v>664</v>
      </c>
      <c r="C4296" s="60" t="s">
        <v>3899</v>
      </c>
      <c r="D4296" s="60"/>
      <c r="E4296" s="74">
        <v>2022</v>
      </c>
      <c r="F4296" s="74" t="s">
        <v>489</v>
      </c>
      <c r="G4296" s="61" t="s">
        <v>3720</v>
      </c>
      <c r="H4296" s="45">
        <v>15</v>
      </c>
      <c r="I4296" s="74">
        <v>45.531999999999996</v>
      </c>
    </row>
    <row r="4297" spans="1:9" s="71" customFormat="1" ht="16.5" hidden="1" customHeight="1" outlineLevel="1" x14ac:dyDescent="0.25">
      <c r="A4297" s="74">
        <v>5884</v>
      </c>
      <c r="B4297" s="45" t="s">
        <v>664</v>
      </c>
      <c r="C4297" s="60" t="s">
        <v>3900</v>
      </c>
      <c r="D4297" s="60"/>
      <c r="E4297" s="74">
        <v>2022</v>
      </c>
      <c r="F4297" s="74" t="s">
        <v>489</v>
      </c>
      <c r="G4297" s="61" t="s">
        <v>3720</v>
      </c>
      <c r="H4297" s="45">
        <v>10</v>
      </c>
      <c r="I4297" s="74">
        <v>39.298000000000002</v>
      </c>
    </row>
    <row r="4298" spans="1:9" s="71" customFormat="1" ht="16.5" hidden="1" customHeight="1" outlineLevel="1" x14ac:dyDescent="0.25">
      <c r="A4298" s="74">
        <v>5886</v>
      </c>
      <c r="B4298" s="45" t="s">
        <v>664</v>
      </c>
      <c r="C4298" s="60" t="s">
        <v>3901</v>
      </c>
      <c r="D4298" s="60"/>
      <c r="E4298" s="74">
        <v>2022</v>
      </c>
      <c r="F4298" s="74" t="s">
        <v>489</v>
      </c>
      <c r="G4298" s="61" t="s">
        <v>3720</v>
      </c>
      <c r="H4298" s="45">
        <v>10</v>
      </c>
      <c r="I4298" s="74">
        <v>38.301000000000002</v>
      </c>
    </row>
    <row r="4299" spans="1:9" s="71" customFormat="1" ht="16.5" hidden="1" customHeight="1" outlineLevel="1" x14ac:dyDescent="0.25">
      <c r="A4299" s="74">
        <v>5887</v>
      </c>
      <c r="B4299" s="45" t="s">
        <v>664</v>
      </c>
      <c r="C4299" s="60" t="s">
        <v>3902</v>
      </c>
      <c r="D4299" s="60"/>
      <c r="E4299" s="74">
        <v>2022</v>
      </c>
      <c r="F4299" s="74" t="s">
        <v>489</v>
      </c>
      <c r="G4299" s="61" t="s">
        <v>3720</v>
      </c>
      <c r="H4299" s="45">
        <v>15</v>
      </c>
      <c r="I4299" s="74">
        <v>40.045000000000002</v>
      </c>
    </row>
    <row r="4300" spans="1:9" s="71" customFormat="1" ht="16.5" hidden="1" customHeight="1" outlineLevel="1" x14ac:dyDescent="0.25">
      <c r="A4300" s="74">
        <v>5888</v>
      </c>
      <c r="B4300" s="45" t="s">
        <v>664</v>
      </c>
      <c r="C4300" s="60" t="s">
        <v>3903</v>
      </c>
      <c r="D4300" s="60"/>
      <c r="E4300" s="74">
        <v>2022</v>
      </c>
      <c r="F4300" s="74" t="s">
        <v>489</v>
      </c>
      <c r="G4300" s="61" t="s">
        <v>3720</v>
      </c>
      <c r="H4300" s="45">
        <v>15</v>
      </c>
      <c r="I4300" s="74">
        <v>40.045000000000002</v>
      </c>
    </row>
    <row r="4301" spans="1:9" s="71" customFormat="1" ht="16.5" hidden="1" customHeight="1" outlineLevel="1" x14ac:dyDescent="0.25">
      <c r="A4301" s="74">
        <v>5889</v>
      </c>
      <c r="B4301" s="45" t="s">
        <v>664</v>
      </c>
      <c r="C4301" s="60" t="s">
        <v>3904</v>
      </c>
      <c r="D4301" s="60"/>
      <c r="E4301" s="74">
        <v>2022</v>
      </c>
      <c r="F4301" s="74" t="s">
        <v>489</v>
      </c>
      <c r="G4301" s="61" t="s">
        <v>3720</v>
      </c>
      <c r="H4301" s="45">
        <v>15</v>
      </c>
      <c r="I4301" s="74">
        <v>40.045000000000002</v>
      </c>
    </row>
    <row r="4302" spans="1:9" s="71" customFormat="1" ht="16.5" hidden="1" customHeight="1" outlineLevel="1" x14ac:dyDescent="0.25">
      <c r="A4302" s="74">
        <v>5890</v>
      </c>
      <c r="B4302" s="45" t="s">
        <v>664</v>
      </c>
      <c r="C4302" s="60" t="s">
        <v>3905</v>
      </c>
      <c r="D4302" s="60"/>
      <c r="E4302" s="74">
        <v>2022</v>
      </c>
      <c r="F4302" s="74" t="s">
        <v>489</v>
      </c>
      <c r="G4302" s="61" t="s">
        <v>3720</v>
      </c>
      <c r="H4302" s="45">
        <v>15</v>
      </c>
      <c r="I4302" s="74">
        <v>38.549999999999997</v>
      </c>
    </row>
    <row r="4303" spans="1:9" s="71" customFormat="1" ht="16.5" hidden="1" customHeight="1" outlineLevel="1" x14ac:dyDescent="0.25">
      <c r="A4303" s="74">
        <v>5891</v>
      </c>
      <c r="B4303" s="45" t="s">
        <v>664</v>
      </c>
      <c r="C4303" s="60" t="s">
        <v>3906</v>
      </c>
      <c r="D4303" s="60"/>
      <c r="E4303" s="74">
        <v>2022</v>
      </c>
      <c r="F4303" s="74" t="s">
        <v>489</v>
      </c>
      <c r="G4303" s="61" t="s">
        <v>3720</v>
      </c>
      <c r="H4303" s="45">
        <v>15</v>
      </c>
      <c r="I4303" s="74">
        <v>38.561999999999998</v>
      </c>
    </row>
    <row r="4304" spans="1:9" s="71" customFormat="1" ht="16.5" hidden="1" customHeight="1" outlineLevel="1" x14ac:dyDescent="0.25">
      <c r="A4304" s="74">
        <v>5892</v>
      </c>
      <c r="B4304" s="45" t="s">
        <v>664</v>
      </c>
      <c r="C4304" s="60" t="s">
        <v>3907</v>
      </c>
      <c r="D4304" s="60"/>
      <c r="E4304" s="74">
        <v>2022</v>
      </c>
      <c r="F4304" s="74" t="s">
        <v>489</v>
      </c>
      <c r="G4304" s="61" t="s">
        <v>3720</v>
      </c>
      <c r="H4304" s="45">
        <v>15</v>
      </c>
      <c r="I4304" s="74">
        <v>38.551000000000002</v>
      </c>
    </row>
    <row r="4305" spans="1:9" s="71" customFormat="1" ht="16.5" hidden="1" customHeight="1" outlineLevel="1" x14ac:dyDescent="0.25">
      <c r="A4305" s="74">
        <v>149</v>
      </c>
      <c r="B4305" s="45" t="s">
        <v>664</v>
      </c>
      <c r="C4305" s="60" t="s">
        <v>3908</v>
      </c>
      <c r="D4305" s="60"/>
      <c r="E4305" s="74">
        <v>2022</v>
      </c>
      <c r="F4305" s="74" t="s">
        <v>489</v>
      </c>
      <c r="G4305" s="61">
        <v>2</v>
      </c>
      <c r="H4305" s="45">
        <v>30</v>
      </c>
      <c r="I4305" s="74">
        <v>279</v>
      </c>
    </row>
    <row r="4306" spans="1:9" s="71" customFormat="1" ht="16.5" hidden="1" customHeight="1" outlineLevel="1" x14ac:dyDescent="0.25">
      <c r="A4306" s="74">
        <v>179</v>
      </c>
      <c r="B4306" s="45" t="s">
        <v>664</v>
      </c>
      <c r="C4306" s="60" t="s">
        <v>3909</v>
      </c>
      <c r="D4306" s="60"/>
      <c r="E4306" s="74">
        <v>2022</v>
      </c>
      <c r="F4306" s="74" t="s">
        <v>489</v>
      </c>
      <c r="G4306" s="61">
        <v>1</v>
      </c>
      <c r="H4306" s="45">
        <v>100</v>
      </c>
      <c r="I4306" s="74">
        <v>27</v>
      </c>
    </row>
    <row r="4307" spans="1:9" s="71" customFormat="1" ht="16.5" hidden="1" customHeight="1" outlineLevel="1" x14ac:dyDescent="0.25">
      <c r="A4307" s="74">
        <v>118</v>
      </c>
      <c r="B4307" s="45" t="s">
        <v>664</v>
      </c>
      <c r="C4307" s="60" t="s">
        <v>3910</v>
      </c>
      <c r="D4307" s="60"/>
      <c r="E4307" s="74">
        <v>2022</v>
      </c>
      <c r="F4307" s="74" t="s">
        <v>489</v>
      </c>
      <c r="G4307" s="61">
        <v>1</v>
      </c>
      <c r="H4307" s="45">
        <v>100</v>
      </c>
      <c r="I4307" s="74">
        <v>32</v>
      </c>
    </row>
    <row r="4308" spans="1:9" s="71" customFormat="1" ht="16.5" hidden="1" customHeight="1" outlineLevel="1" x14ac:dyDescent="0.25">
      <c r="A4308" s="74">
        <v>114</v>
      </c>
      <c r="B4308" s="45" t="s">
        <v>664</v>
      </c>
      <c r="C4308" s="60" t="s">
        <v>3911</v>
      </c>
      <c r="D4308" s="60"/>
      <c r="E4308" s="74">
        <v>2022</v>
      </c>
      <c r="F4308" s="74" t="s">
        <v>489</v>
      </c>
      <c r="G4308" s="61">
        <v>2</v>
      </c>
      <c r="H4308" s="45">
        <v>14</v>
      </c>
      <c r="I4308" s="74">
        <v>59</v>
      </c>
    </row>
    <row r="4309" spans="1:9" s="71" customFormat="1" ht="16.5" hidden="1" customHeight="1" outlineLevel="1" x14ac:dyDescent="0.25">
      <c r="A4309" s="74">
        <v>119</v>
      </c>
      <c r="B4309" s="45" t="s">
        <v>664</v>
      </c>
      <c r="C4309" s="60" t="s">
        <v>3912</v>
      </c>
      <c r="D4309" s="60"/>
      <c r="E4309" s="74">
        <v>2022</v>
      </c>
      <c r="F4309" s="74" t="s">
        <v>489</v>
      </c>
      <c r="G4309" s="61">
        <v>1</v>
      </c>
      <c r="H4309" s="45">
        <v>15</v>
      </c>
      <c r="I4309" s="74">
        <v>28</v>
      </c>
    </row>
    <row r="4310" spans="1:9" s="71" customFormat="1" ht="16.5" hidden="1" customHeight="1" outlineLevel="1" x14ac:dyDescent="0.25">
      <c r="A4310" s="74">
        <v>112</v>
      </c>
      <c r="B4310" s="45" t="s">
        <v>664</v>
      </c>
      <c r="C4310" s="60" t="s">
        <v>3913</v>
      </c>
      <c r="D4310" s="60"/>
      <c r="E4310" s="74">
        <v>2022</v>
      </c>
      <c r="F4310" s="74" t="s">
        <v>489</v>
      </c>
      <c r="G4310" s="61">
        <v>2</v>
      </c>
      <c r="H4310" s="45">
        <v>20</v>
      </c>
      <c r="I4310" s="74">
        <v>55</v>
      </c>
    </row>
    <row r="4311" spans="1:9" s="71" customFormat="1" ht="16.5" hidden="1" customHeight="1" outlineLevel="1" x14ac:dyDescent="0.25">
      <c r="A4311" s="74">
        <v>48</v>
      </c>
      <c r="B4311" s="45" t="s">
        <v>664</v>
      </c>
      <c r="C4311" s="60" t="s">
        <v>3914</v>
      </c>
      <c r="D4311" s="60"/>
      <c r="E4311" s="74">
        <v>2022</v>
      </c>
      <c r="F4311" s="74" t="s">
        <v>489</v>
      </c>
      <c r="G4311" s="61">
        <v>2</v>
      </c>
      <c r="H4311" s="45">
        <v>30</v>
      </c>
      <c r="I4311" s="74">
        <v>54</v>
      </c>
    </row>
    <row r="4312" spans="1:9" s="71" customFormat="1" ht="16.5" hidden="1" customHeight="1" outlineLevel="1" x14ac:dyDescent="0.25">
      <c r="A4312" s="74">
        <v>181</v>
      </c>
      <c r="B4312" s="45" t="s">
        <v>664</v>
      </c>
      <c r="C4312" s="60" t="s">
        <v>560</v>
      </c>
      <c r="D4312" s="60"/>
      <c r="E4312" s="74">
        <v>2022</v>
      </c>
      <c r="F4312" s="74" t="s">
        <v>489</v>
      </c>
      <c r="G4312" s="61">
        <v>1</v>
      </c>
      <c r="H4312" s="45">
        <v>15</v>
      </c>
      <c r="I4312" s="74">
        <v>42</v>
      </c>
    </row>
    <row r="4313" spans="1:9" s="71" customFormat="1" ht="16.5" hidden="1" customHeight="1" outlineLevel="1" x14ac:dyDescent="0.25">
      <c r="A4313" s="74">
        <v>116</v>
      </c>
      <c r="B4313" s="45" t="s">
        <v>664</v>
      </c>
      <c r="C4313" s="60" t="s">
        <v>3915</v>
      </c>
      <c r="D4313" s="60"/>
      <c r="E4313" s="74">
        <v>2022</v>
      </c>
      <c r="F4313" s="74" t="s">
        <v>489</v>
      </c>
      <c r="G4313" s="61">
        <v>1</v>
      </c>
      <c r="H4313" s="45">
        <v>150</v>
      </c>
      <c r="I4313" s="74">
        <v>39</v>
      </c>
    </row>
    <row r="4314" spans="1:9" s="71" customFormat="1" ht="16.5" hidden="1" customHeight="1" outlineLevel="1" x14ac:dyDescent="0.25">
      <c r="A4314" s="74">
        <v>108</v>
      </c>
      <c r="B4314" s="45" t="s">
        <v>664</v>
      </c>
      <c r="C4314" s="60" t="s">
        <v>3916</v>
      </c>
      <c r="D4314" s="60"/>
      <c r="E4314" s="74">
        <v>2022</v>
      </c>
      <c r="F4314" s="74" t="s">
        <v>489</v>
      </c>
      <c r="G4314" s="61">
        <v>1</v>
      </c>
      <c r="H4314" s="45">
        <v>15</v>
      </c>
      <c r="I4314" s="74">
        <v>29</v>
      </c>
    </row>
    <row r="4315" spans="1:9" s="71" customFormat="1" ht="16.5" hidden="1" customHeight="1" outlineLevel="1" x14ac:dyDescent="0.25">
      <c r="A4315" s="74">
        <v>110</v>
      </c>
      <c r="B4315" s="45" t="s">
        <v>664</v>
      </c>
      <c r="C4315" s="60" t="s">
        <v>3917</v>
      </c>
      <c r="D4315" s="60"/>
      <c r="E4315" s="74">
        <v>2022</v>
      </c>
      <c r="F4315" s="74" t="s">
        <v>489</v>
      </c>
      <c r="G4315" s="61">
        <v>1</v>
      </c>
      <c r="H4315" s="45">
        <v>15</v>
      </c>
      <c r="I4315" s="74">
        <v>38</v>
      </c>
    </row>
    <row r="4316" spans="1:9" s="71" customFormat="1" ht="16.5" hidden="1" customHeight="1" outlineLevel="1" x14ac:dyDescent="0.25">
      <c r="A4316" s="74">
        <v>117</v>
      </c>
      <c r="B4316" s="45" t="s">
        <v>664</v>
      </c>
      <c r="C4316" s="60" t="s">
        <v>3918</v>
      </c>
      <c r="D4316" s="60"/>
      <c r="E4316" s="74">
        <v>2022</v>
      </c>
      <c r="F4316" s="74" t="s">
        <v>489</v>
      </c>
      <c r="G4316" s="61">
        <v>1</v>
      </c>
      <c r="H4316" s="45">
        <v>15</v>
      </c>
      <c r="I4316" s="74">
        <v>25</v>
      </c>
    </row>
    <row r="4317" spans="1:9" s="71" customFormat="1" ht="16.5" hidden="1" customHeight="1" outlineLevel="1" x14ac:dyDescent="0.25">
      <c r="A4317" s="74">
        <v>113</v>
      </c>
      <c r="B4317" s="45" t="s">
        <v>664</v>
      </c>
      <c r="C4317" s="60" t="s">
        <v>3919</v>
      </c>
      <c r="D4317" s="60"/>
      <c r="E4317" s="74">
        <v>2022</v>
      </c>
      <c r="F4317" s="74" t="s">
        <v>489</v>
      </c>
      <c r="G4317" s="61">
        <v>1</v>
      </c>
      <c r="H4317" s="45">
        <v>7</v>
      </c>
      <c r="I4317" s="74">
        <v>42</v>
      </c>
    </row>
    <row r="4318" spans="1:9" s="71" customFormat="1" ht="16.5" hidden="1" customHeight="1" outlineLevel="1" x14ac:dyDescent="0.25">
      <c r="A4318" s="74">
        <v>152</v>
      </c>
      <c r="B4318" s="45" t="s">
        <v>664</v>
      </c>
      <c r="C4318" s="60" t="s">
        <v>3920</v>
      </c>
      <c r="D4318" s="60"/>
      <c r="E4318" s="74">
        <v>2022</v>
      </c>
      <c r="F4318" s="74" t="s">
        <v>489</v>
      </c>
      <c r="G4318" s="61">
        <v>1</v>
      </c>
      <c r="H4318" s="45">
        <v>150</v>
      </c>
      <c r="I4318" s="74">
        <v>18</v>
      </c>
    </row>
    <row r="4319" spans="1:9" s="71" customFormat="1" ht="16.5" hidden="1" customHeight="1" outlineLevel="1" x14ac:dyDescent="0.25">
      <c r="A4319" s="74">
        <v>111</v>
      </c>
      <c r="B4319" s="45" t="s">
        <v>664</v>
      </c>
      <c r="C4319" s="60" t="s">
        <v>3921</v>
      </c>
      <c r="D4319" s="60"/>
      <c r="E4319" s="74">
        <v>2022</v>
      </c>
      <c r="F4319" s="74" t="s">
        <v>489</v>
      </c>
      <c r="G4319" s="61">
        <v>1</v>
      </c>
      <c r="H4319" s="45">
        <v>10</v>
      </c>
      <c r="I4319" s="74">
        <v>40</v>
      </c>
    </row>
    <row r="4320" spans="1:9" s="71" customFormat="1" ht="16.5" hidden="1" customHeight="1" outlineLevel="1" x14ac:dyDescent="0.25">
      <c r="A4320" s="74">
        <v>140</v>
      </c>
      <c r="B4320" s="45" t="s">
        <v>664</v>
      </c>
      <c r="C4320" s="60" t="s">
        <v>3922</v>
      </c>
      <c r="D4320" s="60"/>
      <c r="E4320" s="74">
        <v>2022</v>
      </c>
      <c r="F4320" s="74" t="s">
        <v>489</v>
      </c>
      <c r="G4320" s="61">
        <v>1</v>
      </c>
      <c r="H4320" s="45">
        <v>15</v>
      </c>
      <c r="I4320" s="74">
        <v>36</v>
      </c>
    </row>
    <row r="4321" spans="1:9" s="71" customFormat="1" ht="16.5" hidden="1" customHeight="1" outlineLevel="1" x14ac:dyDescent="0.25">
      <c r="A4321" s="74">
        <v>156</v>
      </c>
      <c r="B4321" s="45" t="s">
        <v>664</v>
      </c>
      <c r="C4321" s="60" t="s">
        <v>3923</v>
      </c>
      <c r="D4321" s="60"/>
      <c r="E4321" s="74">
        <v>2022</v>
      </c>
      <c r="F4321" s="74" t="s">
        <v>489</v>
      </c>
      <c r="G4321" s="61">
        <v>2</v>
      </c>
      <c r="H4321" s="45">
        <v>30</v>
      </c>
      <c r="I4321" s="74">
        <v>47</v>
      </c>
    </row>
    <row r="4322" spans="1:9" s="71" customFormat="1" ht="16.5" hidden="1" customHeight="1" outlineLevel="1" x14ac:dyDescent="0.25">
      <c r="A4322" s="74">
        <v>157</v>
      </c>
      <c r="B4322" s="45" t="s">
        <v>664</v>
      </c>
      <c r="C4322" s="60" t="s">
        <v>3924</v>
      </c>
      <c r="D4322" s="60"/>
      <c r="E4322" s="74">
        <v>2022</v>
      </c>
      <c r="F4322" s="74" t="s">
        <v>489</v>
      </c>
      <c r="G4322" s="61">
        <v>1</v>
      </c>
      <c r="H4322" s="45">
        <v>15</v>
      </c>
      <c r="I4322" s="74">
        <v>24</v>
      </c>
    </row>
    <row r="4323" spans="1:9" s="71" customFormat="1" ht="16.5" hidden="1" customHeight="1" outlineLevel="1" x14ac:dyDescent="0.25">
      <c r="A4323" s="74">
        <v>141</v>
      </c>
      <c r="B4323" s="45" t="s">
        <v>664</v>
      </c>
      <c r="C4323" s="60" t="s">
        <v>3925</v>
      </c>
      <c r="D4323" s="60"/>
      <c r="E4323" s="74">
        <v>2022</v>
      </c>
      <c r="F4323" s="74" t="s">
        <v>489</v>
      </c>
      <c r="G4323" s="61">
        <v>1</v>
      </c>
      <c r="H4323" s="45">
        <v>10</v>
      </c>
      <c r="I4323" s="74">
        <v>24</v>
      </c>
    </row>
    <row r="4324" spans="1:9" s="71" customFormat="1" ht="16.5" hidden="1" customHeight="1" outlineLevel="1" x14ac:dyDescent="0.25">
      <c r="A4324" s="74">
        <v>202</v>
      </c>
      <c r="B4324" s="45" t="s">
        <v>664</v>
      </c>
      <c r="C4324" s="60" t="s">
        <v>3926</v>
      </c>
      <c r="D4324" s="60"/>
      <c r="E4324" s="74">
        <v>2022</v>
      </c>
      <c r="F4324" s="74" t="s">
        <v>489</v>
      </c>
      <c r="G4324" s="61">
        <v>4</v>
      </c>
      <c r="H4324" s="45">
        <v>60</v>
      </c>
      <c r="I4324" s="74">
        <v>114</v>
      </c>
    </row>
    <row r="4325" spans="1:9" s="71" customFormat="1" ht="16.5" hidden="1" customHeight="1" outlineLevel="1" x14ac:dyDescent="0.25">
      <c r="A4325" s="74">
        <v>206</v>
      </c>
      <c r="B4325" s="45" t="s">
        <v>664</v>
      </c>
      <c r="C4325" s="60" t="s">
        <v>3927</v>
      </c>
      <c r="D4325" s="60"/>
      <c r="E4325" s="74">
        <v>2022</v>
      </c>
      <c r="F4325" s="74" t="s">
        <v>489</v>
      </c>
      <c r="G4325" s="61">
        <v>4</v>
      </c>
      <c r="H4325" s="45">
        <v>60</v>
      </c>
      <c r="I4325" s="74">
        <v>260</v>
      </c>
    </row>
    <row r="4326" spans="1:9" s="71" customFormat="1" ht="16.5" hidden="1" customHeight="1" outlineLevel="1" x14ac:dyDescent="0.25">
      <c r="A4326" s="74">
        <v>251</v>
      </c>
      <c r="B4326" s="45" t="s">
        <v>664</v>
      </c>
      <c r="C4326" s="60" t="s">
        <v>3928</v>
      </c>
      <c r="D4326" s="60"/>
      <c r="E4326" s="74">
        <v>2022</v>
      </c>
      <c r="F4326" s="74" t="s">
        <v>489</v>
      </c>
      <c r="G4326" s="61">
        <v>1</v>
      </c>
      <c r="H4326" s="45">
        <v>45</v>
      </c>
      <c r="I4326" s="74">
        <v>209</v>
      </c>
    </row>
    <row r="4327" spans="1:9" s="71" customFormat="1" ht="16.5" hidden="1" customHeight="1" outlineLevel="1" x14ac:dyDescent="0.25">
      <c r="A4327" s="74">
        <v>128</v>
      </c>
      <c r="B4327" s="45" t="s">
        <v>664</v>
      </c>
      <c r="C4327" s="60" t="s">
        <v>3929</v>
      </c>
      <c r="D4327" s="60"/>
      <c r="E4327" s="74">
        <v>2022</v>
      </c>
      <c r="F4327" s="74" t="s">
        <v>489</v>
      </c>
      <c r="G4327" s="61">
        <v>2</v>
      </c>
      <c r="H4327" s="45">
        <v>45</v>
      </c>
      <c r="I4327" s="74">
        <v>73</v>
      </c>
    </row>
    <row r="4328" spans="1:9" s="71" customFormat="1" ht="16.5" hidden="1" customHeight="1" outlineLevel="1" x14ac:dyDescent="0.25">
      <c r="A4328" s="74">
        <v>154</v>
      </c>
      <c r="B4328" s="45" t="s">
        <v>664</v>
      </c>
      <c r="C4328" s="60" t="s">
        <v>3930</v>
      </c>
      <c r="D4328" s="60"/>
      <c r="E4328" s="74">
        <v>2022</v>
      </c>
      <c r="F4328" s="74" t="s">
        <v>489</v>
      </c>
      <c r="G4328" s="61">
        <v>1</v>
      </c>
      <c r="H4328" s="45">
        <v>10</v>
      </c>
      <c r="I4328" s="74">
        <v>26</v>
      </c>
    </row>
    <row r="4329" spans="1:9" s="71" customFormat="1" ht="16.5" hidden="1" customHeight="1" outlineLevel="1" x14ac:dyDescent="0.25">
      <c r="A4329" s="74">
        <v>155</v>
      </c>
      <c r="B4329" s="45" t="s">
        <v>664</v>
      </c>
      <c r="C4329" s="60" t="s">
        <v>3931</v>
      </c>
      <c r="D4329" s="60"/>
      <c r="E4329" s="74">
        <v>2022</v>
      </c>
      <c r="F4329" s="74" t="s">
        <v>489</v>
      </c>
      <c r="G4329" s="61">
        <v>1</v>
      </c>
      <c r="H4329" s="45">
        <v>15</v>
      </c>
      <c r="I4329" s="74">
        <v>26</v>
      </c>
    </row>
    <row r="4330" spans="1:9" s="71" customFormat="1" ht="16.5" hidden="1" customHeight="1" outlineLevel="1" x14ac:dyDescent="0.25">
      <c r="A4330" s="74">
        <v>145</v>
      </c>
      <c r="B4330" s="45" t="s">
        <v>664</v>
      </c>
      <c r="C4330" s="60" t="s">
        <v>3932</v>
      </c>
      <c r="D4330" s="60"/>
      <c r="E4330" s="74">
        <v>2022</v>
      </c>
      <c r="F4330" s="74" t="s">
        <v>489</v>
      </c>
      <c r="G4330" s="61">
        <v>1</v>
      </c>
      <c r="H4330" s="45">
        <v>15</v>
      </c>
      <c r="I4330" s="74">
        <v>33</v>
      </c>
    </row>
    <row r="4331" spans="1:9" s="71" customFormat="1" ht="16.5" hidden="1" customHeight="1" outlineLevel="1" x14ac:dyDescent="0.25">
      <c r="A4331" s="74">
        <v>143</v>
      </c>
      <c r="B4331" s="45" t="s">
        <v>664</v>
      </c>
      <c r="C4331" s="60" t="s">
        <v>3933</v>
      </c>
      <c r="D4331" s="60"/>
      <c r="E4331" s="74">
        <v>2022</v>
      </c>
      <c r="F4331" s="74" t="s">
        <v>489</v>
      </c>
      <c r="G4331" s="61">
        <v>1</v>
      </c>
      <c r="H4331" s="45">
        <v>15</v>
      </c>
      <c r="I4331" s="74">
        <v>30</v>
      </c>
    </row>
    <row r="4332" spans="1:9" s="71" customFormat="1" ht="16.5" hidden="1" customHeight="1" outlineLevel="1" x14ac:dyDescent="0.25">
      <c r="A4332" s="74">
        <v>147</v>
      </c>
      <c r="B4332" s="45" t="s">
        <v>664</v>
      </c>
      <c r="C4332" s="60" t="s">
        <v>3934</v>
      </c>
      <c r="D4332" s="60"/>
      <c r="E4332" s="74">
        <v>2022</v>
      </c>
      <c r="F4332" s="74" t="s">
        <v>489</v>
      </c>
      <c r="G4332" s="61">
        <v>1</v>
      </c>
      <c r="H4332" s="45">
        <v>15</v>
      </c>
      <c r="I4332" s="74">
        <v>27</v>
      </c>
    </row>
    <row r="4333" spans="1:9" s="71" customFormat="1" ht="16.5" hidden="1" customHeight="1" outlineLevel="1" x14ac:dyDescent="0.25">
      <c r="A4333" s="74">
        <v>165</v>
      </c>
      <c r="B4333" s="45" t="s">
        <v>664</v>
      </c>
      <c r="C4333" s="60" t="s">
        <v>3935</v>
      </c>
      <c r="D4333" s="60"/>
      <c r="E4333" s="74">
        <v>2022</v>
      </c>
      <c r="F4333" s="74" t="s">
        <v>489</v>
      </c>
      <c r="G4333" s="61">
        <v>1</v>
      </c>
      <c r="H4333" s="45">
        <v>15</v>
      </c>
      <c r="I4333" s="74">
        <v>24</v>
      </c>
    </row>
    <row r="4334" spans="1:9" s="71" customFormat="1" ht="16.5" hidden="1" customHeight="1" outlineLevel="1" x14ac:dyDescent="0.25">
      <c r="A4334" s="74">
        <v>169</v>
      </c>
      <c r="B4334" s="45" t="s">
        <v>664</v>
      </c>
      <c r="C4334" s="60" t="s">
        <v>3936</v>
      </c>
      <c r="D4334" s="60"/>
      <c r="E4334" s="74">
        <v>2022</v>
      </c>
      <c r="F4334" s="74" t="s">
        <v>489</v>
      </c>
      <c r="G4334" s="61">
        <v>1</v>
      </c>
      <c r="H4334" s="45">
        <v>15</v>
      </c>
      <c r="I4334" s="74">
        <v>27</v>
      </c>
    </row>
    <row r="4335" spans="1:9" s="71" customFormat="1" ht="16.5" hidden="1" customHeight="1" outlineLevel="1" x14ac:dyDescent="0.25">
      <c r="A4335" s="74">
        <v>217</v>
      </c>
      <c r="B4335" s="45" t="s">
        <v>664</v>
      </c>
      <c r="C4335" s="60" t="s">
        <v>3937</v>
      </c>
      <c r="D4335" s="60"/>
      <c r="E4335" s="74">
        <v>2022</v>
      </c>
      <c r="F4335" s="74" t="s">
        <v>489</v>
      </c>
      <c r="G4335" s="61">
        <v>1</v>
      </c>
      <c r="H4335" s="45">
        <v>10</v>
      </c>
      <c r="I4335" s="74">
        <v>26</v>
      </c>
    </row>
    <row r="4336" spans="1:9" s="71" customFormat="1" ht="16.5" hidden="1" customHeight="1" outlineLevel="1" x14ac:dyDescent="0.25">
      <c r="A4336" s="74">
        <v>213</v>
      </c>
      <c r="B4336" s="45" t="s">
        <v>664</v>
      </c>
      <c r="C4336" s="60" t="s">
        <v>3938</v>
      </c>
      <c r="D4336" s="60"/>
      <c r="E4336" s="74">
        <v>2022</v>
      </c>
      <c r="F4336" s="74" t="s">
        <v>489</v>
      </c>
      <c r="G4336" s="61">
        <v>1</v>
      </c>
      <c r="H4336" s="45">
        <v>15</v>
      </c>
      <c r="I4336" s="74">
        <v>30</v>
      </c>
    </row>
    <row r="4337" spans="1:9" s="71" customFormat="1" ht="16.5" hidden="1" customHeight="1" outlineLevel="1" x14ac:dyDescent="0.25">
      <c r="A4337" s="74">
        <v>223</v>
      </c>
      <c r="B4337" s="45" t="s">
        <v>664</v>
      </c>
      <c r="C4337" s="60" t="s">
        <v>3939</v>
      </c>
      <c r="D4337" s="60"/>
      <c r="E4337" s="74">
        <v>2022</v>
      </c>
      <c r="F4337" s="74" t="s">
        <v>489</v>
      </c>
      <c r="G4337" s="61">
        <v>1</v>
      </c>
      <c r="H4337" s="45">
        <v>15</v>
      </c>
      <c r="I4337" s="74">
        <v>29</v>
      </c>
    </row>
    <row r="4338" spans="1:9" s="71" customFormat="1" ht="16.5" hidden="1" customHeight="1" outlineLevel="1" x14ac:dyDescent="0.25">
      <c r="A4338" s="74">
        <v>215</v>
      </c>
      <c r="B4338" s="45" t="s">
        <v>664</v>
      </c>
      <c r="C4338" s="60" t="s">
        <v>3940</v>
      </c>
      <c r="D4338" s="60"/>
      <c r="E4338" s="74">
        <v>2022</v>
      </c>
      <c r="F4338" s="74" t="s">
        <v>489</v>
      </c>
      <c r="G4338" s="61">
        <v>1</v>
      </c>
      <c r="H4338" s="45">
        <v>10</v>
      </c>
      <c r="I4338" s="74">
        <v>26</v>
      </c>
    </row>
    <row r="4339" spans="1:9" s="71" customFormat="1" ht="16.5" hidden="1" customHeight="1" outlineLevel="1" x14ac:dyDescent="0.25">
      <c r="A4339" s="74">
        <v>144</v>
      </c>
      <c r="B4339" s="45" t="s">
        <v>664</v>
      </c>
      <c r="C4339" s="60" t="s">
        <v>3941</v>
      </c>
      <c r="D4339" s="60"/>
      <c r="E4339" s="74">
        <v>2022</v>
      </c>
      <c r="F4339" s="74" t="s">
        <v>489</v>
      </c>
      <c r="G4339" s="61">
        <v>1</v>
      </c>
      <c r="H4339" s="45">
        <v>15</v>
      </c>
      <c r="I4339" s="74">
        <v>29</v>
      </c>
    </row>
    <row r="4340" spans="1:9" s="71" customFormat="1" ht="16.5" hidden="1" customHeight="1" outlineLevel="1" x14ac:dyDescent="0.25">
      <c r="A4340" s="74">
        <v>135</v>
      </c>
      <c r="B4340" s="45" t="s">
        <v>664</v>
      </c>
      <c r="C4340" s="60" t="s">
        <v>3942</v>
      </c>
      <c r="D4340" s="60"/>
      <c r="E4340" s="74">
        <v>2022</v>
      </c>
      <c r="F4340" s="74" t="s">
        <v>489</v>
      </c>
      <c r="G4340" s="61">
        <v>1</v>
      </c>
      <c r="H4340" s="45">
        <v>15</v>
      </c>
      <c r="I4340" s="74">
        <v>30</v>
      </c>
    </row>
    <row r="4341" spans="1:9" s="71" customFormat="1" ht="16.5" hidden="1" customHeight="1" outlineLevel="1" x14ac:dyDescent="0.25">
      <c r="A4341" s="74">
        <v>142</v>
      </c>
      <c r="B4341" s="45" t="s">
        <v>664</v>
      </c>
      <c r="C4341" s="60" t="s">
        <v>3943</v>
      </c>
      <c r="D4341" s="60"/>
      <c r="E4341" s="74">
        <v>2022</v>
      </c>
      <c r="F4341" s="74" t="s">
        <v>489</v>
      </c>
      <c r="G4341" s="61">
        <v>1</v>
      </c>
      <c r="H4341" s="45">
        <v>10</v>
      </c>
      <c r="I4341" s="74">
        <v>26</v>
      </c>
    </row>
    <row r="4342" spans="1:9" s="71" customFormat="1" ht="16.5" hidden="1" customHeight="1" outlineLevel="1" x14ac:dyDescent="0.25">
      <c r="A4342" s="74">
        <v>183</v>
      </c>
      <c r="B4342" s="45" t="s">
        <v>664</v>
      </c>
      <c r="C4342" s="60" t="s">
        <v>3944</v>
      </c>
      <c r="D4342" s="60"/>
      <c r="E4342" s="74">
        <v>2022</v>
      </c>
      <c r="F4342" s="74" t="s">
        <v>489</v>
      </c>
      <c r="G4342" s="61">
        <v>1</v>
      </c>
      <c r="H4342" s="45">
        <v>15</v>
      </c>
      <c r="I4342" s="74">
        <v>23</v>
      </c>
    </row>
    <row r="4343" spans="1:9" s="71" customFormat="1" ht="16.5" hidden="1" customHeight="1" outlineLevel="1" x14ac:dyDescent="0.25">
      <c r="A4343" s="74">
        <v>102</v>
      </c>
      <c r="B4343" s="45" t="s">
        <v>664</v>
      </c>
      <c r="C4343" s="60" t="s">
        <v>3945</v>
      </c>
      <c r="D4343" s="60"/>
      <c r="E4343" s="74">
        <v>2022</v>
      </c>
      <c r="F4343" s="74" t="s">
        <v>489</v>
      </c>
      <c r="G4343" s="61">
        <v>1</v>
      </c>
      <c r="H4343" s="45">
        <v>15</v>
      </c>
      <c r="I4343" s="74">
        <v>40</v>
      </c>
    </row>
    <row r="4344" spans="1:9" s="71" customFormat="1" ht="16.5" hidden="1" customHeight="1" outlineLevel="1" x14ac:dyDescent="0.25">
      <c r="A4344" s="74">
        <v>106</v>
      </c>
      <c r="B4344" s="45" t="s">
        <v>664</v>
      </c>
      <c r="C4344" s="60" t="s">
        <v>3946</v>
      </c>
      <c r="D4344" s="60"/>
      <c r="E4344" s="74">
        <v>2022</v>
      </c>
      <c r="F4344" s="74" t="s">
        <v>489</v>
      </c>
      <c r="G4344" s="61">
        <v>3</v>
      </c>
      <c r="H4344" s="45">
        <v>45</v>
      </c>
      <c r="I4344" s="74">
        <v>119</v>
      </c>
    </row>
    <row r="4345" spans="1:9" s="71" customFormat="1" ht="16.5" hidden="1" customHeight="1" outlineLevel="1" x14ac:dyDescent="0.25">
      <c r="A4345" s="74">
        <v>101</v>
      </c>
      <c r="B4345" s="45" t="s">
        <v>664</v>
      </c>
      <c r="C4345" s="60" t="s">
        <v>3947</v>
      </c>
      <c r="D4345" s="60"/>
      <c r="E4345" s="74">
        <v>2022</v>
      </c>
      <c r="F4345" s="74" t="s">
        <v>489</v>
      </c>
      <c r="G4345" s="61">
        <v>1</v>
      </c>
      <c r="H4345" s="45">
        <v>15</v>
      </c>
      <c r="I4345" s="74">
        <v>49</v>
      </c>
    </row>
    <row r="4346" spans="1:9" s="71" customFormat="1" ht="16.5" hidden="1" customHeight="1" outlineLevel="1" x14ac:dyDescent="0.25">
      <c r="A4346" s="74">
        <v>22</v>
      </c>
      <c r="B4346" s="45" t="s">
        <v>664</v>
      </c>
      <c r="C4346" s="60" t="s">
        <v>3948</v>
      </c>
      <c r="D4346" s="60"/>
      <c r="E4346" s="74">
        <v>2022</v>
      </c>
      <c r="F4346" s="74" t="s">
        <v>489</v>
      </c>
      <c r="G4346" s="61">
        <v>2</v>
      </c>
      <c r="H4346" s="45">
        <v>15</v>
      </c>
      <c r="I4346" s="74">
        <v>51</v>
      </c>
    </row>
    <row r="4347" spans="1:9" s="71" customFormat="1" ht="16.5" hidden="1" customHeight="1" outlineLevel="1" x14ac:dyDescent="0.25">
      <c r="A4347" s="74">
        <v>29</v>
      </c>
      <c r="B4347" s="45" t="s">
        <v>664</v>
      </c>
      <c r="C4347" s="60" t="s">
        <v>3949</v>
      </c>
      <c r="D4347" s="60"/>
      <c r="E4347" s="74">
        <v>2022</v>
      </c>
      <c r="F4347" s="74" t="s">
        <v>489</v>
      </c>
      <c r="G4347" s="61">
        <v>3</v>
      </c>
      <c r="H4347" s="45">
        <v>45</v>
      </c>
      <c r="I4347" s="74">
        <v>63</v>
      </c>
    </row>
    <row r="4348" spans="1:9" s="71" customFormat="1" ht="16.5" hidden="1" customHeight="1" outlineLevel="1" x14ac:dyDescent="0.25">
      <c r="A4348" s="74">
        <v>18</v>
      </c>
      <c r="B4348" s="45" t="s">
        <v>664</v>
      </c>
      <c r="C4348" s="60" t="s">
        <v>3950</v>
      </c>
      <c r="D4348" s="60"/>
      <c r="E4348" s="74">
        <v>2022</v>
      </c>
      <c r="F4348" s="74" t="s">
        <v>489</v>
      </c>
      <c r="G4348" s="61">
        <v>1</v>
      </c>
      <c r="H4348" s="45">
        <v>150</v>
      </c>
      <c r="I4348" s="74">
        <v>33</v>
      </c>
    </row>
    <row r="4349" spans="1:9" s="71" customFormat="1" ht="16.5" hidden="1" customHeight="1" outlineLevel="1" x14ac:dyDescent="0.25">
      <c r="A4349" s="74">
        <v>37</v>
      </c>
      <c r="B4349" s="45" t="s">
        <v>664</v>
      </c>
      <c r="C4349" s="60" t="s">
        <v>3951</v>
      </c>
      <c r="D4349" s="60"/>
      <c r="E4349" s="74">
        <v>2022</v>
      </c>
      <c r="F4349" s="74" t="s">
        <v>489</v>
      </c>
      <c r="G4349" s="61">
        <v>1</v>
      </c>
      <c r="H4349" s="45">
        <v>150</v>
      </c>
      <c r="I4349" s="74">
        <v>31</v>
      </c>
    </row>
    <row r="4350" spans="1:9" s="71" customFormat="1" ht="16.5" hidden="1" customHeight="1" outlineLevel="1" x14ac:dyDescent="0.25">
      <c r="A4350" s="74">
        <v>21</v>
      </c>
      <c r="B4350" s="45" t="s">
        <v>664</v>
      </c>
      <c r="C4350" s="60" t="s">
        <v>3952</v>
      </c>
      <c r="D4350" s="60"/>
      <c r="E4350" s="74">
        <v>2022</v>
      </c>
      <c r="F4350" s="74" t="s">
        <v>489</v>
      </c>
      <c r="G4350" s="61">
        <v>1</v>
      </c>
      <c r="H4350" s="45">
        <v>15</v>
      </c>
      <c r="I4350" s="74">
        <v>27</v>
      </c>
    </row>
    <row r="4351" spans="1:9" s="71" customFormat="1" ht="16.5" hidden="1" customHeight="1" outlineLevel="1" x14ac:dyDescent="0.25">
      <c r="A4351" s="74">
        <v>35</v>
      </c>
      <c r="B4351" s="45" t="s">
        <v>664</v>
      </c>
      <c r="C4351" s="60" t="s">
        <v>3953</v>
      </c>
      <c r="D4351" s="60"/>
      <c r="E4351" s="74">
        <v>2022</v>
      </c>
      <c r="F4351" s="74" t="s">
        <v>489</v>
      </c>
      <c r="G4351" s="61">
        <v>2</v>
      </c>
      <c r="H4351" s="45">
        <v>60</v>
      </c>
      <c r="I4351" s="74">
        <v>54</v>
      </c>
    </row>
    <row r="4352" spans="1:9" s="71" customFormat="1" ht="16.5" hidden="1" customHeight="1" outlineLevel="1" x14ac:dyDescent="0.25">
      <c r="A4352" s="74">
        <v>41</v>
      </c>
      <c r="B4352" s="45" t="s">
        <v>664</v>
      </c>
      <c r="C4352" s="60" t="s">
        <v>3954</v>
      </c>
      <c r="D4352" s="60"/>
      <c r="E4352" s="74">
        <v>2022</v>
      </c>
      <c r="F4352" s="74" t="s">
        <v>489</v>
      </c>
      <c r="G4352" s="61">
        <v>1</v>
      </c>
      <c r="H4352" s="45">
        <v>15</v>
      </c>
      <c r="I4352" s="74">
        <v>27</v>
      </c>
    </row>
    <row r="4353" spans="1:9" s="71" customFormat="1" ht="16.5" hidden="1" customHeight="1" outlineLevel="1" x14ac:dyDescent="0.25">
      <c r="A4353" s="74">
        <v>42</v>
      </c>
      <c r="B4353" s="45" t="s">
        <v>664</v>
      </c>
      <c r="C4353" s="60" t="s">
        <v>3955</v>
      </c>
      <c r="D4353" s="60"/>
      <c r="E4353" s="74">
        <v>2022</v>
      </c>
      <c r="F4353" s="74" t="s">
        <v>489</v>
      </c>
      <c r="G4353" s="61">
        <v>1</v>
      </c>
      <c r="H4353" s="45">
        <v>15</v>
      </c>
      <c r="I4353" s="74">
        <v>29</v>
      </c>
    </row>
    <row r="4354" spans="1:9" s="71" customFormat="1" ht="16.5" hidden="1" customHeight="1" outlineLevel="1" x14ac:dyDescent="0.25">
      <c r="A4354" s="74">
        <v>23</v>
      </c>
      <c r="B4354" s="45" t="s">
        <v>664</v>
      </c>
      <c r="C4354" s="60" t="s">
        <v>3956</v>
      </c>
      <c r="D4354" s="60"/>
      <c r="E4354" s="74">
        <v>2022</v>
      </c>
      <c r="F4354" s="74" t="s">
        <v>489</v>
      </c>
      <c r="G4354" s="61">
        <v>1</v>
      </c>
      <c r="H4354" s="45">
        <v>15</v>
      </c>
      <c r="I4354" s="74">
        <v>29</v>
      </c>
    </row>
    <row r="4355" spans="1:9" s="71" customFormat="1" ht="16.5" hidden="1" customHeight="1" outlineLevel="1" x14ac:dyDescent="0.25">
      <c r="A4355" s="74">
        <v>25</v>
      </c>
      <c r="B4355" s="45" t="s">
        <v>664</v>
      </c>
      <c r="C4355" s="60" t="s">
        <v>3957</v>
      </c>
      <c r="D4355" s="60"/>
      <c r="E4355" s="74">
        <v>2022</v>
      </c>
      <c r="F4355" s="74" t="s">
        <v>489</v>
      </c>
      <c r="G4355" s="61">
        <v>1</v>
      </c>
      <c r="H4355" s="45">
        <v>100</v>
      </c>
      <c r="I4355" s="74">
        <v>31</v>
      </c>
    </row>
    <row r="4356" spans="1:9" s="71" customFormat="1" ht="16.5" hidden="1" customHeight="1" outlineLevel="1" x14ac:dyDescent="0.25">
      <c r="A4356" s="74">
        <v>47</v>
      </c>
      <c r="B4356" s="45" t="s">
        <v>664</v>
      </c>
      <c r="C4356" s="60" t="s">
        <v>622</v>
      </c>
      <c r="D4356" s="60"/>
      <c r="E4356" s="74">
        <v>2022</v>
      </c>
      <c r="F4356" s="74" t="s">
        <v>489</v>
      </c>
      <c r="G4356" s="61">
        <v>1</v>
      </c>
      <c r="H4356" s="45">
        <v>40</v>
      </c>
      <c r="I4356" s="74">
        <v>46</v>
      </c>
    </row>
    <row r="4357" spans="1:9" s="71" customFormat="1" ht="16.5" hidden="1" customHeight="1" outlineLevel="1" x14ac:dyDescent="0.25">
      <c r="A4357" s="74">
        <v>45</v>
      </c>
      <c r="B4357" s="45" t="s">
        <v>664</v>
      </c>
      <c r="C4357" s="60" t="s">
        <v>3958</v>
      </c>
      <c r="D4357" s="60"/>
      <c r="E4357" s="74">
        <v>2022</v>
      </c>
      <c r="F4357" s="74" t="s">
        <v>489</v>
      </c>
      <c r="G4357" s="61">
        <v>1</v>
      </c>
      <c r="H4357" s="45">
        <v>100</v>
      </c>
      <c r="I4357" s="74">
        <v>43</v>
      </c>
    </row>
    <row r="4358" spans="1:9" s="71" customFormat="1" ht="16.5" hidden="1" customHeight="1" outlineLevel="1" x14ac:dyDescent="0.25">
      <c r="A4358" s="74">
        <v>43</v>
      </c>
      <c r="B4358" s="45" t="s">
        <v>664</v>
      </c>
      <c r="C4358" s="60" t="s">
        <v>3959</v>
      </c>
      <c r="D4358" s="60"/>
      <c r="E4358" s="74">
        <v>2022</v>
      </c>
      <c r="F4358" s="74" t="s">
        <v>489</v>
      </c>
      <c r="G4358" s="61">
        <v>1</v>
      </c>
      <c r="H4358" s="45">
        <v>15</v>
      </c>
      <c r="I4358" s="74">
        <v>34</v>
      </c>
    </row>
    <row r="4359" spans="1:9" s="71" customFormat="1" ht="16.5" hidden="1" customHeight="1" outlineLevel="1" x14ac:dyDescent="0.25">
      <c r="A4359" s="74">
        <v>20</v>
      </c>
      <c r="B4359" s="45" t="s">
        <v>664</v>
      </c>
      <c r="C4359" s="60" t="s">
        <v>3960</v>
      </c>
      <c r="D4359" s="60"/>
      <c r="E4359" s="74">
        <v>2022</v>
      </c>
      <c r="F4359" s="74" t="s">
        <v>489</v>
      </c>
      <c r="G4359" s="61">
        <v>1</v>
      </c>
      <c r="H4359" s="45">
        <v>15</v>
      </c>
      <c r="I4359" s="74">
        <v>25</v>
      </c>
    </row>
    <row r="4360" spans="1:9" s="71" customFormat="1" ht="16.5" hidden="1" customHeight="1" outlineLevel="1" x14ac:dyDescent="0.25">
      <c r="A4360" s="74">
        <v>33</v>
      </c>
      <c r="B4360" s="45" t="s">
        <v>664</v>
      </c>
      <c r="C4360" s="60" t="s">
        <v>3961</v>
      </c>
      <c r="D4360" s="60"/>
      <c r="E4360" s="74">
        <v>2022</v>
      </c>
      <c r="F4360" s="74" t="s">
        <v>489</v>
      </c>
      <c r="G4360" s="61">
        <v>1</v>
      </c>
      <c r="H4360" s="45">
        <v>15</v>
      </c>
      <c r="I4360" s="74">
        <v>25</v>
      </c>
    </row>
    <row r="4361" spans="1:9" s="71" customFormat="1" ht="16.5" hidden="1" customHeight="1" outlineLevel="1" x14ac:dyDescent="0.25">
      <c r="A4361" s="74">
        <v>38</v>
      </c>
      <c r="B4361" s="45" t="s">
        <v>664</v>
      </c>
      <c r="C4361" s="60" t="s">
        <v>3962</v>
      </c>
      <c r="D4361" s="60"/>
      <c r="E4361" s="74">
        <v>2022</v>
      </c>
      <c r="F4361" s="74" t="s">
        <v>489</v>
      </c>
      <c r="G4361" s="61">
        <v>1</v>
      </c>
      <c r="H4361" s="45">
        <v>6</v>
      </c>
      <c r="I4361" s="74">
        <v>24</v>
      </c>
    </row>
    <row r="4362" spans="1:9" s="71" customFormat="1" ht="16.5" hidden="1" customHeight="1" outlineLevel="1" x14ac:dyDescent="0.25">
      <c r="A4362" s="74">
        <v>107</v>
      </c>
      <c r="B4362" s="45" t="s">
        <v>664</v>
      </c>
      <c r="C4362" s="60" t="s">
        <v>3963</v>
      </c>
      <c r="D4362" s="60"/>
      <c r="E4362" s="74">
        <v>2022</v>
      </c>
      <c r="F4362" s="74" t="s">
        <v>489</v>
      </c>
      <c r="G4362" s="61">
        <v>1</v>
      </c>
      <c r="H4362" s="45">
        <v>15</v>
      </c>
      <c r="I4362" s="74">
        <v>27</v>
      </c>
    </row>
    <row r="4363" spans="1:9" s="71" customFormat="1" ht="16.5" hidden="1" customHeight="1" outlineLevel="1" x14ac:dyDescent="0.25">
      <c r="A4363" s="74">
        <v>39</v>
      </c>
      <c r="B4363" s="45" t="s">
        <v>664</v>
      </c>
      <c r="C4363" s="60" t="s">
        <v>3964</v>
      </c>
      <c r="D4363" s="60"/>
      <c r="E4363" s="74">
        <v>2022</v>
      </c>
      <c r="F4363" s="74" t="s">
        <v>489</v>
      </c>
      <c r="G4363" s="61">
        <v>1</v>
      </c>
      <c r="H4363" s="45">
        <v>15</v>
      </c>
      <c r="I4363" s="74">
        <v>25</v>
      </c>
    </row>
    <row r="4364" spans="1:9" s="71" customFormat="1" ht="16.5" hidden="1" customHeight="1" outlineLevel="1" x14ac:dyDescent="0.25">
      <c r="A4364" s="74">
        <v>31</v>
      </c>
      <c r="B4364" s="45" t="s">
        <v>664</v>
      </c>
      <c r="C4364" s="60" t="s">
        <v>3965</v>
      </c>
      <c r="D4364" s="60"/>
      <c r="E4364" s="74">
        <v>2022</v>
      </c>
      <c r="F4364" s="74" t="s">
        <v>489</v>
      </c>
      <c r="G4364" s="61">
        <v>1</v>
      </c>
      <c r="H4364" s="45">
        <v>7</v>
      </c>
      <c r="I4364" s="74">
        <v>24</v>
      </c>
    </row>
    <row r="4365" spans="1:9" s="71" customFormat="1" ht="16.5" hidden="1" customHeight="1" outlineLevel="1" x14ac:dyDescent="0.25">
      <c r="A4365" s="74">
        <v>136</v>
      </c>
      <c r="B4365" s="45" t="s">
        <v>664</v>
      </c>
      <c r="C4365" s="60" t="s">
        <v>3966</v>
      </c>
      <c r="D4365" s="60"/>
      <c r="E4365" s="74">
        <v>2022</v>
      </c>
      <c r="F4365" s="74" t="s">
        <v>489</v>
      </c>
      <c r="G4365" s="61">
        <v>5</v>
      </c>
      <c r="H4365" s="45">
        <v>75</v>
      </c>
      <c r="I4365" s="74">
        <v>296</v>
      </c>
    </row>
    <row r="4366" spans="1:9" s="71" customFormat="1" ht="16.5" hidden="1" customHeight="1" outlineLevel="1" x14ac:dyDescent="0.25">
      <c r="A4366" s="74">
        <v>94</v>
      </c>
      <c r="B4366" s="45" t="s">
        <v>664</v>
      </c>
      <c r="C4366" s="60" t="s">
        <v>3967</v>
      </c>
      <c r="D4366" s="60"/>
      <c r="E4366" s="74">
        <v>2022</v>
      </c>
      <c r="F4366" s="74" t="s">
        <v>489</v>
      </c>
      <c r="G4366" s="61">
        <v>1</v>
      </c>
      <c r="H4366" s="45">
        <v>7.5</v>
      </c>
      <c r="I4366" s="74">
        <v>29</v>
      </c>
    </row>
    <row r="4367" spans="1:9" s="71" customFormat="1" ht="16.5" hidden="1" customHeight="1" outlineLevel="1" x14ac:dyDescent="0.25">
      <c r="A4367" s="74">
        <v>44</v>
      </c>
      <c r="B4367" s="45" t="s">
        <v>664</v>
      </c>
      <c r="C4367" s="60" t="s">
        <v>3968</v>
      </c>
      <c r="D4367" s="60"/>
      <c r="E4367" s="74">
        <v>2022</v>
      </c>
      <c r="F4367" s="74" t="s">
        <v>489</v>
      </c>
      <c r="G4367" s="61">
        <v>2</v>
      </c>
      <c r="H4367" s="45">
        <v>30</v>
      </c>
      <c r="I4367" s="74">
        <v>61</v>
      </c>
    </row>
    <row r="4368" spans="1:9" s="71" customFormat="1" ht="16.5" hidden="1" customHeight="1" outlineLevel="1" x14ac:dyDescent="0.25">
      <c r="A4368" s="74">
        <v>76</v>
      </c>
      <c r="B4368" s="45" t="s">
        <v>664</v>
      </c>
      <c r="C4368" s="60" t="s">
        <v>3969</v>
      </c>
      <c r="D4368" s="60"/>
      <c r="E4368" s="74">
        <v>2022</v>
      </c>
      <c r="F4368" s="74" t="s">
        <v>489</v>
      </c>
      <c r="G4368" s="61">
        <v>1</v>
      </c>
      <c r="H4368" s="45">
        <v>15</v>
      </c>
      <c r="I4368" s="74">
        <v>25</v>
      </c>
    </row>
    <row r="4369" spans="1:9" s="71" customFormat="1" ht="16.5" hidden="1" customHeight="1" outlineLevel="1" x14ac:dyDescent="0.25">
      <c r="A4369" s="74">
        <v>34</v>
      </c>
      <c r="B4369" s="45" t="s">
        <v>664</v>
      </c>
      <c r="C4369" s="60" t="s">
        <v>3970</v>
      </c>
      <c r="D4369" s="60"/>
      <c r="E4369" s="74">
        <v>2022</v>
      </c>
      <c r="F4369" s="74" t="s">
        <v>489</v>
      </c>
      <c r="G4369" s="61">
        <v>1</v>
      </c>
      <c r="H4369" s="45">
        <v>15</v>
      </c>
      <c r="I4369" s="74">
        <v>25</v>
      </c>
    </row>
    <row r="4370" spans="1:9" s="71" customFormat="1" ht="16.5" hidden="1" customHeight="1" outlineLevel="1" x14ac:dyDescent="0.25">
      <c r="A4370" s="74">
        <v>36</v>
      </c>
      <c r="B4370" s="45" t="s">
        <v>664</v>
      </c>
      <c r="C4370" s="60" t="s">
        <v>3971</v>
      </c>
      <c r="D4370" s="60"/>
      <c r="E4370" s="74">
        <v>2022</v>
      </c>
      <c r="F4370" s="74" t="s">
        <v>489</v>
      </c>
      <c r="G4370" s="61">
        <v>1</v>
      </c>
      <c r="H4370" s="45">
        <v>13.5</v>
      </c>
      <c r="I4370" s="74">
        <v>24</v>
      </c>
    </row>
    <row r="4371" spans="1:9" s="71" customFormat="1" ht="16.5" hidden="1" customHeight="1" outlineLevel="1" x14ac:dyDescent="0.25">
      <c r="A4371" s="74">
        <v>93</v>
      </c>
      <c r="B4371" s="45" t="s">
        <v>664</v>
      </c>
      <c r="C4371" s="60" t="s">
        <v>3972</v>
      </c>
      <c r="D4371" s="60"/>
      <c r="E4371" s="74">
        <v>2022</v>
      </c>
      <c r="F4371" s="74" t="s">
        <v>489</v>
      </c>
      <c r="G4371" s="61">
        <v>1</v>
      </c>
      <c r="H4371" s="45">
        <v>15</v>
      </c>
      <c r="I4371" s="74">
        <v>25</v>
      </c>
    </row>
    <row r="4372" spans="1:9" s="71" customFormat="1" ht="16.5" hidden="1" customHeight="1" outlineLevel="1" x14ac:dyDescent="0.25">
      <c r="A4372" s="74">
        <v>109</v>
      </c>
      <c r="B4372" s="45" t="s">
        <v>664</v>
      </c>
      <c r="C4372" s="60" t="s">
        <v>3973</v>
      </c>
      <c r="D4372" s="60"/>
      <c r="E4372" s="74">
        <v>2022</v>
      </c>
      <c r="F4372" s="74" t="s">
        <v>489</v>
      </c>
      <c r="G4372" s="61">
        <v>1</v>
      </c>
      <c r="H4372" s="45">
        <v>15</v>
      </c>
      <c r="I4372" s="74">
        <v>28</v>
      </c>
    </row>
    <row r="4373" spans="1:9" s="71" customFormat="1" ht="16.5" hidden="1" customHeight="1" outlineLevel="1" x14ac:dyDescent="0.25">
      <c r="A4373" s="74">
        <v>30</v>
      </c>
      <c r="B4373" s="45" t="s">
        <v>664</v>
      </c>
      <c r="C4373" s="60" t="s">
        <v>3974</v>
      </c>
      <c r="D4373" s="60"/>
      <c r="E4373" s="74">
        <v>2022</v>
      </c>
      <c r="F4373" s="74" t="s">
        <v>489</v>
      </c>
      <c r="G4373" s="61">
        <v>1</v>
      </c>
      <c r="H4373" s="45">
        <v>15</v>
      </c>
      <c r="I4373" s="74">
        <v>27</v>
      </c>
    </row>
    <row r="4374" spans="1:9" s="71" customFormat="1" ht="16.5" hidden="1" customHeight="1" outlineLevel="1" x14ac:dyDescent="0.25">
      <c r="A4374" s="74">
        <v>90</v>
      </c>
      <c r="B4374" s="45" t="s">
        <v>664</v>
      </c>
      <c r="C4374" s="60" t="s">
        <v>3975</v>
      </c>
      <c r="D4374" s="60"/>
      <c r="E4374" s="74">
        <v>2022</v>
      </c>
      <c r="F4374" s="74" t="s">
        <v>489</v>
      </c>
      <c r="G4374" s="61">
        <v>1</v>
      </c>
      <c r="H4374" s="45">
        <v>15</v>
      </c>
      <c r="I4374" s="74">
        <v>24</v>
      </c>
    </row>
    <row r="4375" spans="1:9" s="71" customFormat="1" ht="16.5" hidden="1" customHeight="1" outlineLevel="1" x14ac:dyDescent="0.25">
      <c r="A4375" s="74">
        <v>32</v>
      </c>
      <c r="B4375" s="45" t="s">
        <v>664</v>
      </c>
      <c r="C4375" s="60" t="s">
        <v>3976</v>
      </c>
      <c r="D4375" s="60"/>
      <c r="E4375" s="74">
        <v>2022</v>
      </c>
      <c r="F4375" s="74" t="s">
        <v>489</v>
      </c>
      <c r="G4375" s="61">
        <v>1</v>
      </c>
      <c r="H4375" s="45">
        <v>15</v>
      </c>
      <c r="I4375" s="74">
        <v>25</v>
      </c>
    </row>
    <row r="4376" spans="1:9" s="71" customFormat="1" ht="16.5" hidden="1" customHeight="1" outlineLevel="1" x14ac:dyDescent="0.25">
      <c r="A4376" s="74">
        <v>166</v>
      </c>
      <c r="B4376" s="45" t="s">
        <v>664</v>
      </c>
      <c r="C4376" s="60" t="s">
        <v>652</v>
      </c>
      <c r="D4376" s="60"/>
      <c r="E4376" s="74">
        <v>2022</v>
      </c>
      <c r="F4376" s="74" t="s">
        <v>489</v>
      </c>
      <c r="G4376" s="61">
        <v>4</v>
      </c>
      <c r="H4376" s="45">
        <v>600</v>
      </c>
      <c r="I4376" s="74">
        <v>55</v>
      </c>
    </row>
    <row r="4377" spans="1:9" s="71" customFormat="1" ht="16.5" hidden="1" customHeight="1" outlineLevel="1" x14ac:dyDescent="0.25">
      <c r="A4377" s="74">
        <v>125</v>
      </c>
      <c r="B4377" s="45" t="s">
        <v>664</v>
      </c>
      <c r="C4377" s="60" t="s">
        <v>3977</v>
      </c>
      <c r="D4377" s="60"/>
      <c r="E4377" s="74">
        <v>2022</v>
      </c>
      <c r="F4377" s="74" t="s">
        <v>489</v>
      </c>
      <c r="G4377" s="61">
        <v>93</v>
      </c>
      <c r="H4377" s="45">
        <v>1300</v>
      </c>
      <c r="I4377" s="74">
        <v>2090</v>
      </c>
    </row>
    <row r="4378" spans="1:9" s="71" customFormat="1" ht="16.5" hidden="1" customHeight="1" outlineLevel="1" x14ac:dyDescent="0.25">
      <c r="A4378" s="74">
        <v>97</v>
      </c>
      <c r="B4378" s="45" t="s">
        <v>664</v>
      </c>
      <c r="C4378" s="60" t="s">
        <v>3978</v>
      </c>
      <c r="D4378" s="60"/>
      <c r="E4378" s="74">
        <v>2022</v>
      </c>
      <c r="F4378" s="74" t="s">
        <v>489</v>
      </c>
      <c r="G4378" s="61">
        <v>39</v>
      </c>
      <c r="H4378" s="45">
        <v>493</v>
      </c>
      <c r="I4378" s="74">
        <v>906</v>
      </c>
    </row>
    <row r="4379" spans="1:9" s="71" customFormat="1" ht="16.5" hidden="1" customHeight="1" outlineLevel="1" x14ac:dyDescent="0.25">
      <c r="A4379" s="74">
        <v>175</v>
      </c>
      <c r="B4379" s="45" t="s">
        <v>664</v>
      </c>
      <c r="C4379" s="60" t="s">
        <v>3979</v>
      </c>
      <c r="D4379" s="60"/>
      <c r="E4379" s="74">
        <v>2022</v>
      </c>
      <c r="F4379" s="74" t="s">
        <v>489</v>
      </c>
      <c r="G4379" s="61">
        <v>33</v>
      </c>
      <c r="H4379" s="45">
        <v>435</v>
      </c>
      <c r="I4379" s="74">
        <v>640</v>
      </c>
    </row>
    <row r="4380" spans="1:9" s="71" customFormat="1" ht="16.5" hidden="1" customHeight="1" outlineLevel="1" x14ac:dyDescent="0.25">
      <c r="A4380" s="74">
        <v>159</v>
      </c>
      <c r="B4380" s="45" t="s">
        <v>664</v>
      </c>
      <c r="C4380" s="60" t="s">
        <v>3980</v>
      </c>
      <c r="D4380" s="60"/>
      <c r="E4380" s="74">
        <v>2022</v>
      </c>
      <c r="F4380" s="74" t="s">
        <v>489</v>
      </c>
      <c r="G4380" s="61">
        <v>1</v>
      </c>
      <c r="H4380" s="45">
        <v>10</v>
      </c>
      <c r="I4380" s="74">
        <v>20</v>
      </c>
    </row>
    <row r="4381" spans="1:9" s="71" customFormat="1" ht="16.5" hidden="1" customHeight="1" outlineLevel="1" x14ac:dyDescent="0.25">
      <c r="A4381" s="74">
        <v>161</v>
      </c>
      <c r="B4381" s="45" t="s">
        <v>664</v>
      </c>
      <c r="C4381" s="60" t="s">
        <v>3981</v>
      </c>
      <c r="D4381" s="60"/>
      <c r="E4381" s="74">
        <v>2022</v>
      </c>
      <c r="F4381" s="74" t="s">
        <v>489</v>
      </c>
      <c r="G4381" s="61">
        <v>1</v>
      </c>
      <c r="H4381" s="45">
        <v>14</v>
      </c>
      <c r="I4381" s="74">
        <v>20</v>
      </c>
    </row>
    <row r="4382" spans="1:9" s="71" customFormat="1" ht="16.5" hidden="1" customHeight="1" outlineLevel="1" x14ac:dyDescent="0.25">
      <c r="A4382" s="74">
        <v>173</v>
      </c>
      <c r="B4382" s="45" t="s">
        <v>664</v>
      </c>
      <c r="C4382" s="60" t="s">
        <v>3982</v>
      </c>
      <c r="D4382" s="60"/>
      <c r="E4382" s="74">
        <v>2022</v>
      </c>
      <c r="F4382" s="74" t="s">
        <v>489</v>
      </c>
      <c r="G4382" s="61">
        <v>1</v>
      </c>
      <c r="H4382" s="45">
        <v>15</v>
      </c>
      <c r="I4382" s="74">
        <v>19</v>
      </c>
    </row>
    <row r="4383" spans="1:9" s="71" customFormat="1" ht="16.5" hidden="1" customHeight="1" outlineLevel="1" x14ac:dyDescent="0.25">
      <c r="A4383" s="74">
        <v>174</v>
      </c>
      <c r="B4383" s="45" t="s">
        <v>664</v>
      </c>
      <c r="C4383" s="60" t="s">
        <v>3983</v>
      </c>
      <c r="D4383" s="60"/>
      <c r="E4383" s="74">
        <v>2022</v>
      </c>
      <c r="F4383" s="74" t="s">
        <v>489</v>
      </c>
      <c r="G4383" s="61">
        <v>1</v>
      </c>
      <c r="H4383" s="45">
        <v>15</v>
      </c>
      <c r="I4383" s="74">
        <v>19</v>
      </c>
    </row>
    <row r="4384" spans="1:9" s="71" customFormat="1" ht="16.5" hidden="1" customHeight="1" outlineLevel="1" x14ac:dyDescent="0.25">
      <c r="A4384" s="74">
        <v>163</v>
      </c>
      <c r="B4384" s="45" t="s">
        <v>664</v>
      </c>
      <c r="C4384" s="60" t="s">
        <v>3984</v>
      </c>
      <c r="D4384" s="60"/>
      <c r="E4384" s="74">
        <v>2022</v>
      </c>
      <c r="F4384" s="74" t="s">
        <v>489</v>
      </c>
      <c r="G4384" s="61">
        <v>75</v>
      </c>
      <c r="H4384" s="45">
        <v>1110</v>
      </c>
      <c r="I4384" s="74">
        <v>1711</v>
      </c>
    </row>
    <row r="4385" spans="1:9" s="71" customFormat="1" ht="16.5" hidden="1" customHeight="1" outlineLevel="1" x14ac:dyDescent="0.25">
      <c r="A4385" s="74">
        <v>199</v>
      </c>
      <c r="B4385" s="45" t="s">
        <v>664</v>
      </c>
      <c r="C4385" s="60" t="s">
        <v>3985</v>
      </c>
      <c r="D4385" s="60"/>
      <c r="E4385" s="74">
        <v>2022</v>
      </c>
      <c r="F4385" s="74" t="s">
        <v>489</v>
      </c>
      <c r="G4385" s="61">
        <v>126</v>
      </c>
      <c r="H4385" s="45">
        <v>1786.5</v>
      </c>
      <c r="I4385" s="74">
        <v>2099</v>
      </c>
    </row>
    <row r="4386" spans="1:9" s="71" customFormat="1" ht="16.5" hidden="1" customHeight="1" outlineLevel="1" x14ac:dyDescent="0.25">
      <c r="A4386" s="74">
        <v>191</v>
      </c>
      <c r="B4386" s="45" t="s">
        <v>664</v>
      </c>
      <c r="C4386" s="60" t="s">
        <v>3986</v>
      </c>
      <c r="D4386" s="60"/>
      <c r="E4386" s="74">
        <v>2022</v>
      </c>
      <c r="F4386" s="74" t="s">
        <v>489</v>
      </c>
      <c r="G4386" s="61">
        <v>2</v>
      </c>
      <c r="H4386" s="45">
        <v>15</v>
      </c>
      <c r="I4386" s="74">
        <v>35</v>
      </c>
    </row>
    <row r="4387" spans="1:9" s="71" customFormat="1" ht="16.5" hidden="1" customHeight="1" outlineLevel="1" x14ac:dyDescent="0.25">
      <c r="A4387" s="74">
        <v>190</v>
      </c>
      <c r="B4387" s="45" t="s">
        <v>664</v>
      </c>
      <c r="C4387" s="60" t="s">
        <v>3987</v>
      </c>
      <c r="D4387" s="60"/>
      <c r="E4387" s="74">
        <v>2022</v>
      </c>
      <c r="F4387" s="74" t="s">
        <v>489</v>
      </c>
      <c r="G4387" s="61">
        <v>1</v>
      </c>
      <c r="H4387" s="45">
        <v>8</v>
      </c>
      <c r="I4387" s="74">
        <v>18</v>
      </c>
    </row>
    <row r="4388" spans="1:9" s="71" customFormat="1" ht="16.5" hidden="1" customHeight="1" outlineLevel="1" x14ac:dyDescent="0.25">
      <c r="A4388" s="74">
        <v>187</v>
      </c>
      <c r="B4388" s="45" t="s">
        <v>664</v>
      </c>
      <c r="C4388" s="60" t="s">
        <v>3988</v>
      </c>
      <c r="D4388" s="60"/>
      <c r="E4388" s="74">
        <v>2022</v>
      </c>
      <c r="F4388" s="74" t="s">
        <v>489</v>
      </c>
      <c r="G4388" s="61">
        <v>1</v>
      </c>
      <c r="H4388" s="45">
        <v>15</v>
      </c>
      <c r="I4388" s="74">
        <v>19</v>
      </c>
    </row>
    <row r="4389" spans="1:9" s="71" customFormat="1" ht="16.5" hidden="1" customHeight="1" outlineLevel="1" x14ac:dyDescent="0.25">
      <c r="A4389" s="74">
        <v>188</v>
      </c>
      <c r="B4389" s="45" t="s">
        <v>664</v>
      </c>
      <c r="C4389" s="60" t="s">
        <v>3989</v>
      </c>
      <c r="D4389" s="60"/>
      <c r="E4389" s="74">
        <v>2022</v>
      </c>
      <c r="F4389" s="74" t="s">
        <v>489</v>
      </c>
      <c r="G4389" s="61">
        <v>1</v>
      </c>
      <c r="H4389" s="45">
        <v>15</v>
      </c>
      <c r="I4389" s="74">
        <v>17</v>
      </c>
    </row>
    <row r="4390" spans="1:9" s="71" customFormat="1" ht="16.5" hidden="1" customHeight="1" outlineLevel="1" x14ac:dyDescent="0.25">
      <c r="A4390" s="74">
        <v>189</v>
      </c>
      <c r="B4390" s="45" t="s">
        <v>664</v>
      </c>
      <c r="C4390" s="60" t="s">
        <v>3990</v>
      </c>
      <c r="D4390" s="60"/>
      <c r="E4390" s="74">
        <v>2022</v>
      </c>
      <c r="F4390" s="74" t="s">
        <v>489</v>
      </c>
      <c r="G4390" s="61">
        <v>1</v>
      </c>
      <c r="H4390" s="45">
        <v>15</v>
      </c>
      <c r="I4390" s="74">
        <v>20</v>
      </c>
    </row>
    <row r="4391" spans="1:9" s="71" customFormat="1" ht="16.5" hidden="1" customHeight="1" outlineLevel="1" x14ac:dyDescent="0.25">
      <c r="A4391" s="74">
        <v>227</v>
      </c>
      <c r="B4391" s="45" t="s">
        <v>664</v>
      </c>
      <c r="C4391" s="60" t="s">
        <v>3991</v>
      </c>
      <c r="D4391" s="60"/>
      <c r="E4391" s="74">
        <v>2022</v>
      </c>
      <c r="F4391" s="74" t="s">
        <v>489</v>
      </c>
      <c r="G4391" s="61">
        <v>1</v>
      </c>
      <c r="H4391" s="45">
        <v>10</v>
      </c>
      <c r="I4391" s="74">
        <v>17</v>
      </c>
    </row>
    <row r="4392" spans="1:9" s="71" customFormat="1" ht="16.5" hidden="1" customHeight="1" outlineLevel="1" x14ac:dyDescent="0.25">
      <c r="A4392" s="74">
        <v>231</v>
      </c>
      <c r="B4392" s="45" t="s">
        <v>664</v>
      </c>
      <c r="C4392" s="60" t="s">
        <v>3992</v>
      </c>
      <c r="D4392" s="60"/>
      <c r="E4392" s="74">
        <v>2022</v>
      </c>
      <c r="F4392" s="74" t="s">
        <v>489</v>
      </c>
      <c r="G4392" s="61">
        <v>1</v>
      </c>
      <c r="H4392" s="45">
        <v>15</v>
      </c>
      <c r="I4392" s="74">
        <v>17</v>
      </c>
    </row>
    <row r="4393" spans="1:9" s="71" customFormat="1" ht="16.5" hidden="1" customHeight="1" outlineLevel="1" x14ac:dyDescent="0.25">
      <c r="A4393" s="74">
        <v>235</v>
      </c>
      <c r="B4393" s="45" t="s">
        <v>664</v>
      </c>
      <c r="C4393" s="60" t="s">
        <v>3993</v>
      </c>
      <c r="D4393" s="60"/>
      <c r="E4393" s="74">
        <v>2022</v>
      </c>
      <c r="F4393" s="74" t="s">
        <v>489</v>
      </c>
      <c r="G4393" s="61">
        <v>1</v>
      </c>
      <c r="H4393" s="45">
        <v>15</v>
      </c>
      <c r="I4393" s="74">
        <v>17</v>
      </c>
    </row>
    <row r="4394" spans="1:9" s="71" customFormat="1" ht="16.5" hidden="1" customHeight="1" outlineLevel="1" x14ac:dyDescent="0.25">
      <c r="A4394" s="74">
        <v>234</v>
      </c>
      <c r="B4394" s="45" t="s">
        <v>664</v>
      </c>
      <c r="C4394" s="60" t="s">
        <v>3994</v>
      </c>
      <c r="D4394" s="60"/>
      <c r="E4394" s="74">
        <v>2022</v>
      </c>
      <c r="F4394" s="74" t="s">
        <v>489</v>
      </c>
      <c r="G4394" s="61">
        <v>1</v>
      </c>
      <c r="H4394" s="45">
        <v>10</v>
      </c>
      <c r="I4394" s="74">
        <v>17</v>
      </c>
    </row>
    <row r="4395" spans="1:9" s="71" customFormat="1" ht="16.5" hidden="1" customHeight="1" outlineLevel="1" x14ac:dyDescent="0.25">
      <c r="A4395" s="74">
        <v>233</v>
      </c>
      <c r="B4395" s="45" t="s">
        <v>664</v>
      </c>
      <c r="C4395" s="60" t="s">
        <v>3995</v>
      </c>
      <c r="D4395" s="60"/>
      <c r="E4395" s="74">
        <v>2022</v>
      </c>
      <c r="F4395" s="74" t="s">
        <v>489</v>
      </c>
      <c r="G4395" s="61">
        <v>1</v>
      </c>
      <c r="H4395" s="45">
        <v>15</v>
      </c>
      <c r="I4395" s="74">
        <v>17</v>
      </c>
    </row>
    <row r="4396" spans="1:9" s="71" customFormat="1" ht="16.5" hidden="1" customHeight="1" outlineLevel="1" x14ac:dyDescent="0.25">
      <c r="A4396" s="74">
        <v>228</v>
      </c>
      <c r="B4396" s="45" t="s">
        <v>664</v>
      </c>
      <c r="C4396" s="60" t="s">
        <v>3996</v>
      </c>
      <c r="D4396" s="60"/>
      <c r="E4396" s="74">
        <v>2022</v>
      </c>
      <c r="F4396" s="74" t="s">
        <v>489</v>
      </c>
      <c r="G4396" s="61">
        <v>1</v>
      </c>
      <c r="H4396" s="45">
        <v>15</v>
      </c>
      <c r="I4396" s="74">
        <v>17</v>
      </c>
    </row>
    <row r="4397" spans="1:9" s="71" customFormat="1" ht="16.5" hidden="1" customHeight="1" outlineLevel="1" x14ac:dyDescent="0.25">
      <c r="A4397" s="74">
        <v>232</v>
      </c>
      <c r="B4397" s="45" t="s">
        <v>664</v>
      </c>
      <c r="C4397" s="60" t="s">
        <v>3997</v>
      </c>
      <c r="D4397" s="60"/>
      <c r="E4397" s="74">
        <v>2022</v>
      </c>
      <c r="F4397" s="74" t="s">
        <v>489</v>
      </c>
      <c r="G4397" s="61">
        <v>1</v>
      </c>
      <c r="H4397" s="45">
        <v>15</v>
      </c>
      <c r="I4397" s="74">
        <v>17</v>
      </c>
    </row>
    <row r="4398" spans="1:9" s="71" customFormat="1" ht="16.5" hidden="1" customHeight="1" outlineLevel="1" x14ac:dyDescent="0.25">
      <c r="A4398" s="74">
        <v>229</v>
      </c>
      <c r="B4398" s="45" t="s">
        <v>664</v>
      </c>
      <c r="C4398" s="60" t="s">
        <v>3998</v>
      </c>
      <c r="D4398" s="60"/>
      <c r="E4398" s="74">
        <v>2022</v>
      </c>
      <c r="F4398" s="74" t="s">
        <v>489</v>
      </c>
      <c r="G4398" s="61">
        <v>1</v>
      </c>
      <c r="H4398" s="45">
        <v>15</v>
      </c>
      <c r="I4398" s="74">
        <v>17</v>
      </c>
    </row>
    <row r="4399" spans="1:9" s="71" customFormat="1" ht="16.5" hidden="1" customHeight="1" outlineLevel="1" x14ac:dyDescent="0.25">
      <c r="A4399" s="74">
        <v>27</v>
      </c>
      <c r="B4399" s="45" t="s">
        <v>664</v>
      </c>
      <c r="C4399" s="60" t="s">
        <v>3999</v>
      </c>
      <c r="D4399" s="60"/>
      <c r="E4399" s="74">
        <v>2022</v>
      </c>
      <c r="F4399" s="74" t="s">
        <v>489</v>
      </c>
      <c r="G4399" s="61">
        <v>1</v>
      </c>
      <c r="H4399" s="45">
        <v>10</v>
      </c>
      <c r="I4399" s="74">
        <v>20</v>
      </c>
    </row>
    <row r="4400" spans="1:9" s="71" customFormat="1" ht="16.5" hidden="1" customHeight="1" outlineLevel="1" x14ac:dyDescent="0.25">
      <c r="A4400" s="74">
        <v>55</v>
      </c>
      <c r="B4400" s="45" t="s">
        <v>664</v>
      </c>
      <c r="C4400" s="60" t="s">
        <v>4000</v>
      </c>
      <c r="D4400" s="60"/>
      <c r="E4400" s="74">
        <v>2022</v>
      </c>
      <c r="F4400" s="74" t="s">
        <v>489</v>
      </c>
      <c r="G4400" s="61">
        <v>1</v>
      </c>
      <c r="H4400" s="45">
        <v>10</v>
      </c>
      <c r="I4400" s="74">
        <v>20</v>
      </c>
    </row>
    <row r="4401" spans="1:9" s="71" customFormat="1" ht="16.5" hidden="1" customHeight="1" outlineLevel="1" x14ac:dyDescent="0.25">
      <c r="A4401" s="74">
        <v>122</v>
      </c>
      <c r="B4401" s="45" t="s">
        <v>664</v>
      </c>
      <c r="C4401" s="60" t="s">
        <v>4001</v>
      </c>
      <c r="D4401" s="60"/>
      <c r="E4401" s="74">
        <v>2022</v>
      </c>
      <c r="F4401" s="74" t="s">
        <v>489</v>
      </c>
      <c r="G4401" s="61">
        <v>1</v>
      </c>
      <c r="H4401" s="45">
        <v>10</v>
      </c>
      <c r="I4401" s="74">
        <v>21</v>
      </c>
    </row>
    <row r="4402" spans="1:9" s="71" customFormat="1" ht="16.5" hidden="1" customHeight="1" outlineLevel="1" x14ac:dyDescent="0.25">
      <c r="A4402" s="74">
        <v>26</v>
      </c>
      <c r="B4402" s="45" t="s">
        <v>664</v>
      </c>
      <c r="C4402" s="60" t="s">
        <v>4002</v>
      </c>
      <c r="D4402" s="60"/>
      <c r="E4402" s="74">
        <v>2022</v>
      </c>
      <c r="F4402" s="74" t="s">
        <v>489</v>
      </c>
      <c r="G4402" s="61">
        <v>1</v>
      </c>
      <c r="H4402" s="45">
        <v>10</v>
      </c>
      <c r="I4402" s="74">
        <v>25</v>
      </c>
    </row>
    <row r="4403" spans="1:9" s="71" customFormat="1" ht="16.5" hidden="1" customHeight="1" outlineLevel="1" x14ac:dyDescent="0.25">
      <c r="A4403" s="74">
        <v>71</v>
      </c>
      <c r="B4403" s="45" t="s">
        <v>664</v>
      </c>
      <c r="C4403" s="60" t="s">
        <v>4003</v>
      </c>
      <c r="D4403" s="60"/>
      <c r="E4403" s="74">
        <v>2022</v>
      </c>
      <c r="F4403" s="74" t="s">
        <v>489</v>
      </c>
      <c r="G4403" s="61">
        <v>11</v>
      </c>
      <c r="H4403" s="45">
        <v>95.5</v>
      </c>
      <c r="I4403" s="74">
        <v>217</v>
      </c>
    </row>
    <row r="4404" spans="1:9" s="71" customFormat="1" ht="16.5" hidden="1" customHeight="1" outlineLevel="1" x14ac:dyDescent="0.25">
      <c r="A4404" s="74">
        <v>50</v>
      </c>
      <c r="B4404" s="45" t="s">
        <v>664</v>
      </c>
      <c r="C4404" s="60" t="s">
        <v>4004</v>
      </c>
      <c r="D4404" s="60"/>
      <c r="E4404" s="74">
        <v>2022</v>
      </c>
      <c r="F4404" s="74" t="s">
        <v>489</v>
      </c>
      <c r="G4404" s="61">
        <v>1</v>
      </c>
      <c r="H4404" s="45">
        <v>10</v>
      </c>
      <c r="I4404" s="74">
        <v>20</v>
      </c>
    </row>
    <row r="4405" spans="1:9" s="71" customFormat="1" ht="16.5" hidden="1" customHeight="1" outlineLevel="1" x14ac:dyDescent="0.25">
      <c r="A4405" s="74">
        <v>78</v>
      </c>
      <c r="B4405" s="45" t="s">
        <v>664</v>
      </c>
      <c r="C4405" s="60" t="s">
        <v>4005</v>
      </c>
      <c r="D4405" s="60"/>
      <c r="E4405" s="74">
        <v>2022</v>
      </c>
      <c r="F4405" s="74" t="s">
        <v>489</v>
      </c>
      <c r="G4405" s="61">
        <v>1</v>
      </c>
      <c r="H4405" s="45">
        <v>14</v>
      </c>
      <c r="I4405" s="74">
        <v>20</v>
      </c>
    </row>
    <row r="4406" spans="1:9" s="71" customFormat="1" ht="16.5" hidden="1" customHeight="1" outlineLevel="1" x14ac:dyDescent="0.25">
      <c r="A4406" s="74">
        <v>79</v>
      </c>
      <c r="B4406" s="45" t="s">
        <v>664</v>
      </c>
      <c r="C4406" s="60" t="s">
        <v>4006</v>
      </c>
      <c r="D4406" s="60"/>
      <c r="E4406" s="74">
        <v>2022</v>
      </c>
      <c r="F4406" s="74" t="s">
        <v>489</v>
      </c>
      <c r="G4406" s="61">
        <v>1</v>
      </c>
      <c r="H4406" s="45">
        <v>14</v>
      </c>
      <c r="I4406" s="74">
        <v>20</v>
      </c>
    </row>
    <row r="4407" spans="1:9" s="71" customFormat="1" ht="16.5" hidden="1" customHeight="1" outlineLevel="1" x14ac:dyDescent="0.25">
      <c r="A4407" s="74">
        <v>80</v>
      </c>
      <c r="B4407" s="45" t="s">
        <v>664</v>
      </c>
      <c r="C4407" s="60" t="s">
        <v>4007</v>
      </c>
      <c r="D4407" s="60"/>
      <c r="E4407" s="74">
        <v>2022</v>
      </c>
      <c r="F4407" s="74" t="s">
        <v>489</v>
      </c>
      <c r="G4407" s="61">
        <v>1</v>
      </c>
      <c r="H4407" s="45">
        <v>10</v>
      </c>
      <c r="I4407" s="74">
        <v>20</v>
      </c>
    </row>
    <row r="4408" spans="1:9" s="71" customFormat="1" ht="16.5" hidden="1" customHeight="1" outlineLevel="1" x14ac:dyDescent="0.25">
      <c r="A4408" s="74">
        <v>85</v>
      </c>
      <c r="B4408" s="45" t="s">
        <v>664</v>
      </c>
      <c r="C4408" s="60" t="s">
        <v>4008</v>
      </c>
      <c r="D4408" s="60"/>
      <c r="E4408" s="74">
        <v>2022</v>
      </c>
      <c r="F4408" s="74" t="s">
        <v>489</v>
      </c>
      <c r="G4408" s="61">
        <v>1</v>
      </c>
      <c r="H4408" s="45">
        <v>20</v>
      </c>
      <c r="I4408" s="74">
        <v>20</v>
      </c>
    </row>
    <row r="4409" spans="1:9" s="71" customFormat="1" ht="16.5" hidden="1" customHeight="1" outlineLevel="1" x14ac:dyDescent="0.25">
      <c r="A4409" s="74">
        <v>124</v>
      </c>
      <c r="B4409" s="45" t="s">
        <v>664</v>
      </c>
      <c r="C4409" s="60" t="s">
        <v>4009</v>
      </c>
      <c r="D4409" s="60"/>
      <c r="E4409" s="74">
        <v>2022</v>
      </c>
      <c r="F4409" s="74" t="s">
        <v>489</v>
      </c>
      <c r="G4409" s="61">
        <v>1</v>
      </c>
      <c r="H4409" s="45">
        <v>15</v>
      </c>
      <c r="I4409" s="74">
        <v>21</v>
      </c>
    </row>
    <row r="4410" spans="1:9" s="71" customFormat="1" ht="16.5" hidden="1" customHeight="1" outlineLevel="1" x14ac:dyDescent="0.25">
      <c r="A4410" s="74">
        <v>153</v>
      </c>
      <c r="B4410" s="45" t="s">
        <v>664</v>
      </c>
      <c r="C4410" s="60" t="s">
        <v>163</v>
      </c>
      <c r="D4410" s="60"/>
      <c r="E4410" s="74">
        <v>2022</v>
      </c>
      <c r="F4410" s="74" t="s">
        <v>489</v>
      </c>
      <c r="G4410" s="61">
        <v>1</v>
      </c>
      <c r="H4410" s="45">
        <v>150</v>
      </c>
      <c r="I4410" s="74">
        <v>70</v>
      </c>
    </row>
    <row r="4411" spans="1:9" s="71" customFormat="1" ht="16.5" hidden="1" customHeight="1" outlineLevel="1" x14ac:dyDescent="0.25">
      <c r="A4411" s="74">
        <v>61</v>
      </c>
      <c r="B4411" s="45" t="s">
        <v>664</v>
      </c>
      <c r="C4411" s="60" t="s">
        <v>4010</v>
      </c>
      <c r="D4411" s="60"/>
      <c r="E4411" s="74">
        <v>2022</v>
      </c>
      <c r="F4411" s="74" t="s">
        <v>489</v>
      </c>
      <c r="G4411" s="61">
        <v>1</v>
      </c>
      <c r="H4411" s="45">
        <v>50</v>
      </c>
      <c r="I4411" s="74">
        <v>25</v>
      </c>
    </row>
    <row r="4412" spans="1:9" s="71" customFormat="1" ht="16.5" hidden="1" customHeight="1" outlineLevel="1" x14ac:dyDescent="0.25">
      <c r="A4412" s="74">
        <v>70</v>
      </c>
      <c r="B4412" s="45" t="s">
        <v>664</v>
      </c>
      <c r="C4412" s="60" t="s">
        <v>4011</v>
      </c>
      <c r="D4412" s="60"/>
      <c r="E4412" s="74">
        <v>2022</v>
      </c>
      <c r="F4412" s="74" t="s">
        <v>489</v>
      </c>
      <c r="G4412" s="61">
        <v>1</v>
      </c>
      <c r="H4412" s="45">
        <v>51</v>
      </c>
      <c r="I4412" s="74">
        <v>24</v>
      </c>
    </row>
    <row r="4413" spans="1:9" s="71" customFormat="1" ht="16.5" hidden="1" customHeight="1" outlineLevel="1" x14ac:dyDescent="0.25">
      <c r="A4413" s="74">
        <v>73</v>
      </c>
      <c r="B4413" s="45" t="s">
        <v>664</v>
      </c>
      <c r="C4413" s="60" t="s">
        <v>4012</v>
      </c>
      <c r="D4413" s="60"/>
      <c r="E4413" s="74">
        <v>2022</v>
      </c>
      <c r="F4413" s="74" t="s">
        <v>489</v>
      </c>
      <c r="G4413" s="61">
        <v>1</v>
      </c>
      <c r="H4413" s="45">
        <v>70</v>
      </c>
      <c r="I4413" s="74">
        <v>25</v>
      </c>
    </row>
    <row r="4414" spans="1:9" s="71" customFormat="1" ht="16.5" hidden="1" customHeight="1" outlineLevel="1" x14ac:dyDescent="0.25">
      <c r="A4414" s="74">
        <v>57</v>
      </c>
      <c r="B4414" s="45" t="s">
        <v>664</v>
      </c>
      <c r="C4414" s="60" t="s">
        <v>4013</v>
      </c>
      <c r="D4414" s="60"/>
      <c r="E4414" s="74">
        <v>2022</v>
      </c>
      <c r="F4414" s="74" t="s">
        <v>489</v>
      </c>
      <c r="G4414" s="61">
        <v>1</v>
      </c>
      <c r="H4414" s="45">
        <v>50</v>
      </c>
      <c r="I4414" s="74">
        <v>25</v>
      </c>
    </row>
    <row r="4415" spans="1:9" s="71" customFormat="1" ht="16.5" hidden="1" customHeight="1" outlineLevel="1" x14ac:dyDescent="0.25">
      <c r="A4415" s="74">
        <v>74</v>
      </c>
      <c r="B4415" s="45" t="s">
        <v>664</v>
      </c>
      <c r="C4415" s="60" t="s">
        <v>4014</v>
      </c>
      <c r="D4415" s="60"/>
      <c r="E4415" s="74">
        <v>2022</v>
      </c>
      <c r="F4415" s="74" t="s">
        <v>489</v>
      </c>
      <c r="G4415" s="61">
        <v>1</v>
      </c>
      <c r="H4415" s="45">
        <v>50</v>
      </c>
      <c r="I4415" s="74">
        <v>24</v>
      </c>
    </row>
    <row r="4416" spans="1:9" s="71" customFormat="1" ht="16.5" hidden="1" customHeight="1" outlineLevel="1" x14ac:dyDescent="0.25">
      <c r="A4416" s="74">
        <v>56</v>
      </c>
      <c r="B4416" s="45" t="s">
        <v>664</v>
      </c>
      <c r="C4416" s="60" t="s">
        <v>4015</v>
      </c>
      <c r="D4416" s="60"/>
      <c r="E4416" s="74">
        <v>2022</v>
      </c>
      <c r="F4416" s="74" t="s">
        <v>489</v>
      </c>
      <c r="G4416" s="61">
        <v>1</v>
      </c>
      <c r="H4416" s="45">
        <v>60</v>
      </c>
      <c r="I4416" s="74">
        <v>25</v>
      </c>
    </row>
    <row r="4417" spans="1:9" s="71" customFormat="1" ht="16.5" hidden="1" customHeight="1" outlineLevel="1" x14ac:dyDescent="0.25">
      <c r="A4417" s="74">
        <v>88</v>
      </c>
      <c r="B4417" s="45" t="s">
        <v>664</v>
      </c>
      <c r="C4417" s="60" t="s">
        <v>4016</v>
      </c>
      <c r="D4417" s="60"/>
      <c r="E4417" s="74">
        <v>2022</v>
      </c>
      <c r="F4417" s="74" t="s">
        <v>489</v>
      </c>
      <c r="G4417" s="61">
        <v>1</v>
      </c>
      <c r="H4417" s="45">
        <v>10</v>
      </c>
      <c r="I4417" s="74">
        <v>22</v>
      </c>
    </row>
    <row r="4418" spans="1:9" s="71" customFormat="1" ht="16.5" hidden="1" customHeight="1" outlineLevel="1" x14ac:dyDescent="0.25">
      <c r="A4418" s="74">
        <v>87</v>
      </c>
      <c r="B4418" s="45" t="s">
        <v>664</v>
      </c>
      <c r="C4418" s="60" t="s">
        <v>4017</v>
      </c>
      <c r="D4418" s="60"/>
      <c r="E4418" s="74">
        <v>2022</v>
      </c>
      <c r="F4418" s="74" t="s">
        <v>489</v>
      </c>
      <c r="G4418" s="61">
        <v>1</v>
      </c>
      <c r="H4418" s="45">
        <v>10</v>
      </c>
      <c r="I4418" s="74">
        <v>22</v>
      </c>
    </row>
    <row r="4419" spans="1:9" s="71" customFormat="1" ht="16.5" hidden="1" customHeight="1" outlineLevel="1" x14ac:dyDescent="0.25">
      <c r="A4419" s="74">
        <v>69</v>
      </c>
      <c r="B4419" s="45" t="s">
        <v>664</v>
      </c>
      <c r="C4419" s="60" t="s">
        <v>4018</v>
      </c>
      <c r="D4419" s="60"/>
      <c r="E4419" s="74">
        <v>2022</v>
      </c>
      <c r="F4419" s="74" t="s">
        <v>489</v>
      </c>
      <c r="G4419" s="61">
        <v>1</v>
      </c>
      <c r="H4419" s="45">
        <v>15</v>
      </c>
      <c r="I4419" s="74">
        <v>22</v>
      </c>
    </row>
    <row r="4420" spans="1:9" s="71" customFormat="1" ht="16.5" hidden="1" customHeight="1" outlineLevel="1" x14ac:dyDescent="0.25">
      <c r="A4420" s="74">
        <v>62</v>
      </c>
      <c r="B4420" s="45" t="s">
        <v>664</v>
      </c>
      <c r="C4420" s="60" t="s">
        <v>4019</v>
      </c>
      <c r="D4420" s="60"/>
      <c r="E4420" s="74">
        <v>2022</v>
      </c>
      <c r="F4420" s="74" t="s">
        <v>489</v>
      </c>
      <c r="G4420" s="61">
        <v>1</v>
      </c>
      <c r="H4420" s="45">
        <v>15</v>
      </c>
      <c r="I4420" s="74">
        <v>21</v>
      </c>
    </row>
    <row r="4421" spans="1:9" s="71" customFormat="1" ht="16.5" hidden="1" customHeight="1" outlineLevel="1" x14ac:dyDescent="0.25">
      <c r="A4421" s="74">
        <v>64</v>
      </c>
      <c r="B4421" s="45" t="s">
        <v>664</v>
      </c>
      <c r="C4421" s="60" t="s">
        <v>4020</v>
      </c>
      <c r="D4421" s="60"/>
      <c r="E4421" s="74">
        <v>2022</v>
      </c>
      <c r="F4421" s="74" t="s">
        <v>489</v>
      </c>
      <c r="G4421" s="61">
        <v>1</v>
      </c>
      <c r="H4421" s="45">
        <v>10</v>
      </c>
      <c r="I4421" s="74">
        <v>22</v>
      </c>
    </row>
    <row r="4422" spans="1:9" s="71" customFormat="1" ht="16.5" hidden="1" customHeight="1" outlineLevel="1" x14ac:dyDescent="0.25">
      <c r="A4422" s="74">
        <v>60</v>
      </c>
      <c r="B4422" s="45" t="s">
        <v>664</v>
      </c>
      <c r="C4422" s="60" t="s">
        <v>4021</v>
      </c>
      <c r="D4422" s="60"/>
      <c r="E4422" s="74">
        <v>2022</v>
      </c>
      <c r="F4422" s="74" t="s">
        <v>489</v>
      </c>
      <c r="G4422" s="61">
        <v>1</v>
      </c>
      <c r="H4422" s="45">
        <v>10</v>
      </c>
      <c r="I4422" s="74">
        <v>22</v>
      </c>
    </row>
    <row r="4423" spans="1:9" s="71" customFormat="1" ht="16.5" hidden="1" customHeight="1" outlineLevel="1" x14ac:dyDescent="0.25">
      <c r="A4423" s="74">
        <v>66</v>
      </c>
      <c r="B4423" s="45" t="s">
        <v>664</v>
      </c>
      <c r="C4423" s="60" t="s">
        <v>4022</v>
      </c>
      <c r="D4423" s="60"/>
      <c r="E4423" s="74">
        <v>2022</v>
      </c>
      <c r="F4423" s="74" t="s">
        <v>489</v>
      </c>
      <c r="G4423" s="61">
        <v>1</v>
      </c>
      <c r="H4423" s="45">
        <v>15</v>
      </c>
      <c r="I4423" s="74">
        <v>21</v>
      </c>
    </row>
    <row r="4424" spans="1:9" s="71" customFormat="1" ht="16.5" hidden="1" customHeight="1" outlineLevel="1" x14ac:dyDescent="0.25">
      <c r="A4424" s="74">
        <v>81</v>
      </c>
      <c r="B4424" s="45" t="s">
        <v>664</v>
      </c>
      <c r="C4424" s="60" t="s">
        <v>4023</v>
      </c>
      <c r="D4424" s="60"/>
      <c r="E4424" s="74">
        <v>2022</v>
      </c>
      <c r="F4424" s="74" t="s">
        <v>489</v>
      </c>
      <c r="G4424" s="61">
        <v>1</v>
      </c>
      <c r="H4424" s="45">
        <v>10</v>
      </c>
      <c r="I4424" s="74">
        <v>24</v>
      </c>
    </row>
    <row r="4425" spans="1:9" s="71" customFormat="1" ht="16.5" hidden="1" customHeight="1" outlineLevel="1" x14ac:dyDescent="0.25">
      <c r="A4425" s="74">
        <v>83</v>
      </c>
      <c r="B4425" s="45" t="s">
        <v>664</v>
      </c>
      <c r="C4425" s="60" t="s">
        <v>4024</v>
      </c>
      <c r="D4425" s="60"/>
      <c r="E4425" s="74">
        <v>2022</v>
      </c>
      <c r="F4425" s="74" t="s">
        <v>489</v>
      </c>
      <c r="G4425" s="61">
        <v>1</v>
      </c>
      <c r="H4425" s="45">
        <v>10</v>
      </c>
      <c r="I4425" s="74">
        <v>22</v>
      </c>
    </row>
    <row r="4426" spans="1:9" s="71" customFormat="1" ht="16.5" hidden="1" customHeight="1" outlineLevel="1" x14ac:dyDescent="0.25">
      <c r="A4426" s="74">
        <v>84</v>
      </c>
      <c r="B4426" s="45" t="s">
        <v>664</v>
      </c>
      <c r="C4426" s="60" t="s">
        <v>4025</v>
      </c>
      <c r="D4426" s="60"/>
      <c r="E4426" s="74">
        <v>2022</v>
      </c>
      <c r="F4426" s="74" t="s">
        <v>489</v>
      </c>
      <c r="G4426" s="61">
        <v>1</v>
      </c>
      <c r="H4426" s="45">
        <v>10</v>
      </c>
      <c r="I4426" s="74">
        <v>22</v>
      </c>
    </row>
    <row r="4427" spans="1:9" s="71" customFormat="1" ht="16.5" hidden="1" customHeight="1" outlineLevel="1" x14ac:dyDescent="0.25">
      <c r="A4427" s="74">
        <v>77</v>
      </c>
      <c r="B4427" s="45" t="s">
        <v>664</v>
      </c>
      <c r="C4427" s="60" t="s">
        <v>4026</v>
      </c>
      <c r="D4427" s="60"/>
      <c r="E4427" s="74">
        <v>2022</v>
      </c>
      <c r="F4427" s="74" t="s">
        <v>489</v>
      </c>
      <c r="G4427" s="61">
        <v>1</v>
      </c>
      <c r="H4427" s="45">
        <v>14</v>
      </c>
      <c r="I4427" s="74">
        <v>21</v>
      </c>
    </row>
    <row r="4428" spans="1:9" s="71" customFormat="1" ht="16.5" hidden="1" customHeight="1" outlineLevel="1" x14ac:dyDescent="0.25">
      <c r="A4428" s="74">
        <v>82</v>
      </c>
      <c r="B4428" s="45" t="s">
        <v>664</v>
      </c>
      <c r="C4428" s="60" t="s">
        <v>4027</v>
      </c>
      <c r="D4428" s="60"/>
      <c r="E4428" s="74">
        <v>2022</v>
      </c>
      <c r="F4428" s="74" t="s">
        <v>489</v>
      </c>
      <c r="G4428" s="61">
        <v>1</v>
      </c>
      <c r="H4428" s="45">
        <v>10</v>
      </c>
      <c r="I4428" s="74">
        <v>22</v>
      </c>
    </row>
    <row r="4429" spans="1:9" s="71" customFormat="1" ht="16.5" hidden="1" customHeight="1" outlineLevel="1" x14ac:dyDescent="0.25">
      <c r="A4429" s="74">
        <v>86</v>
      </c>
      <c r="B4429" s="45" t="s">
        <v>664</v>
      </c>
      <c r="C4429" s="60" t="s">
        <v>4028</v>
      </c>
      <c r="D4429" s="60"/>
      <c r="E4429" s="74">
        <v>2022</v>
      </c>
      <c r="F4429" s="74" t="s">
        <v>489</v>
      </c>
      <c r="G4429" s="61">
        <v>1</v>
      </c>
      <c r="H4429" s="45">
        <v>14</v>
      </c>
      <c r="I4429" s="74">
        <v>21</v>
      </c>
    </row>
    <row r="4430" spans="1:9" s="71" customFormat="1" ht="16.5" hidden="1" customHeight="1" outlineLevel="1" x14ac:dyDescent="0.25">
      <c r="A4430" s="74">
        <v>68</v>
      </c>
      <c r="B4430" s="45" t="s">
        <v>664</v>
      </c>
      <c r="C4430" s="60" t="s">
        <v>4029</v>
      </c>
      <c r="D4430" s="60"/>
      <c r="E4430" s="74">
        <v>2022</v>
      </c>
      <c r="F4430" s="74" t="s">
        <v>489</v>
      </c>
      <c r="G4430" s="61">
        <v>1</v>
      </c>
      <c r="H4430" s="45">
        <v>15</v>
      </c>
      <c r="I4430" s="74">
        <v>21</v>
      </c>
    </row>
    <row r="4431" spans="1:9" s="71" customFormat="1" ht="16.5" hidden="1" customHeight="1" outlineLevel="1" x14ac:dyDescent="0.25">
      <c r="A4431" s="74">
        <v>51</v>
      </c>
      <c r="B4431" s="45" t="s">
        <v>664</v>
      </c>
      <c r="C4431" s="60" t="s">
        <v>4030</v>
      </c>
      <c r="D4431" s="60"/>
      <c r="E4431" s="74">
        <v>2022</v>
      </c>
      <c r="F4431" s="74" t="s">
        <v>489</v>
      </c>
      <c r="G4431" s="61">
        <v>1</v>
      </c>
      <c r="H4431" s="45">
        <v>15</v>
      </c>
      <c r="I4431" s="74">
        <v>21</v>
      </c>
    </row>
    <row r="4432" spans="1:9" s="71" customFormat="1" ht="16.5" hidden="1" customHeight="1" outlineLevel="1" x14ac:dyDescent="0.25">
      <c r="A4432" s="74">
        <v>131</v>
      </c>
      <c r="B4432" s="45" t="s">
        <v>664</v>
      </c>
      <c r="C4432" s="60" t="s">
        <v>4031</v>
      </c>
      <c r="D4432" s="60"/>
      <c r="E4432" s="74">
        <v>2022</v>
      </c>
      <c r="F4432" s="74" t="s">
        <v>489</v>
      </c>
      <c r="G4432" s="61">
        <v>1</v>
      </c>
      <c r="H4432" s="45">
        <v>11.5</v>
      </c>
      <c r="I4432" s="74">
        <v>19</v>
      </c>
    </row>
    <row r="4433" spans="1:9" s="71" customFormat="1" ht="16.5" hidden="1" customHeight="1" outlineLevel="1" x14ac:dyDescent="0.25">
      <c r="A4433" s="74">
        <v>132</v>
      </c>
      <c r="B4433" s="45" t="s">
        <v>664</v>
      </c>
      <c r="C4433" s="60" t="s">
        <v>4032</v>
      </c>
      <c r="D4433" s="60"/>
      <c r="E4433" s="74">
        <v>2022</v>
      </c>
      <c r="F4433" s="74" t="s">
        <v>489</v>
      </c>
      <c r="G4433" s="61">
        <v>2</v>
      </c>
      <c r="H4433" s="45">
        <v>20</v>
      </c>
      <c r="I4433" s="74">
        <v>38</v>
      </c>
    </row>
    <row r="4434" spans="1:9" s="71" customFormat="1" ht="16.5" hidden="1" customHeight="1" outlineLevel="1" x14ac:dyDescent="0.25">
      <c r="A4434" s="74">
        <v>133</v>
      </c>
      <c r="B4434" s="45" t="s">
        <v>664</v>
      </c>
      <c r="C4434" s="60" t="s">
        <v>4033</v>
      </c>
      <c r="D4434" s="60"/>
      <c r="E4434" s="74">
        <v>2022</v>
      </c>
      <c r="F4434" s="74" t="s">
        <v>489</v>
      </c>
      <c r="G4434" s="61">
        <v>1</v>
      </c>
      <c r="H4434" s="45">
        <v>6</v>
      </c>
      <c r="I4434" s="74">
        <v>20</v>
      </c>
    </row>
    <row r="4435" spans="1:9" s="71" customFormat="1" ht="16.5" hidden="1" customHeight="1" outlineLevel="1" x14ac:dyDescent="0.25">
      <c r="A4435" s="74">
        <v>134</v>
      </c>
      <c r="B4435" s="45" t="s">
        <v>664</v>
      </c>
      <c r="C4435" s="60" t="s">
        <v>4034</v>
      </c>
      <c r="D4435" s="60"/>
      <c r="E4435" s="74">
        <v>2022</v>
      </c>
      <c r="F4435" s="74" t="s">
        <v>489</v>
      </c>
      <c r="G4435" s="61">
        <v>1</v>
      </c>
      <c r="H4435" s="45">
        <v>10</v>
      </c>
      <c r="I4435" s="74">
        <v>20</v>
      </c>
    </row>
    <row r="4436" spans="1:9" s="71" customFormat="1" ht="16.5" hidden="1" customHeight="1" outlineLevel="1" x14ac:dyDescent="0.25">
      <c r="A4436" s="74">
        <v>158</v>
      </c>
      <c r="B4436" s="45" t="s">
        <v>664</v>
      </c>
      <c r="C4436" s="60" t="s">
        <v>4035</v>
      </c>
      <c r="D4436" s="60"/>
      <c r="E4436" s="74">
        <v>2022</v>
      </c>
      <c r="F4436" s="74" t="s">
        <v>489</v>
      </c>
      <c r="G4436" s="61">
        <v>1</v>
      </c>
      <c r="H4436" s="45">
        <v>149</v>
      </c>
      <c r="I4436" s="74">
        <v>32</v>
      </c>
    </row>
    <row r="4437" spans="1:9" s="71" customFormat="1" ht="16.5" hidden="1" customHeight="1" outlineLevel="1" x14ac:dyDescent="0.25">
      <c r="A4437" s="74">
        <v>249</v>
      </c>
      <c r="B4437" s="45" t="s">
        <v>664</v>
      </c>
      <c r="C4437" s="60" t="s">
        <v>4036</v>
      </c>
      <c r="D4437" s="60"/>
      <c r="E4437" s="74">
        <v>2022</v>
      </c>
      <c r="F4437" s="74" t="s">
        <v>489</v>
      </c>
      <c r="G4437" s="61">
        <v>1</v>
      </c>
      <c r="H4437" s="45">
        <v>15</v>
      </c>
      <c r="I4437" s="74">
        <v>57</v>
      </c>
    </row>
    <row r="4438" spans="1:9" s="71" customFormat="1" ht="16.5" hidden="1" customHeight="1" outlineLevel="1" x14ac:dyDescent="0.25">
      <c r="A4438" s="74">
        <v>148</v>
      </c>
      <c r="B4438" s="45" t="s">
        <v>664</v>
      </c>
      <c r="C4438" s="60" t="s">
        <v>4037</v>
      </c>
      <c r="D4438" s="60"/>
      <c r="E4438" s="74">
        <v>2022</v>
      </c>
      <c r="F4438" s="74" t="s">
        <v>489</v>
      </c>
      <c r="G4438" s="61">
        <v>4</v>
      </c>
      <c r="H4438" s="45">
        <v>56</v>
      </c>
      <c r="I4438" s="74">
        <v>99</v>
      </c>
    </row>
    <row r="4439" spans="1:9" s="71" customFormat="1" ht="16.5" hidden="1" customHeight="1" outlineLevel="1" x14ac:dyDescent="0.25">
      <c r="A4439" s="74">
        <v>178</v>
      </c>
      <c r="B4439" s="45" t="s">
        <v>664</v>
      </c>
      <c r="C4439" s="60" t="s">
        <v>4038</v>
      </c>
      <c r="D4439" s="60"/>
      <c r="E4439" s="74">
        <v>2022</v>
      </c>
      <c r="F4439" s="74" t="s">
        <v>489</v>
      </c>
      <c r="G4439" s="61">
        <v>1</v>
      </c>
      <c r="H4439" s="45">
        <v>15</v>
      </c>
      <c r="I4439" s="74">
        <v>21</v>
      </c>
    </row>
    <row r="4440" spans="1:9" s="71" customFormat="1" ht="16.5" hidden="1" customHeight="1" outlineLevel="1" x14ac:dyDescent="0.25">
      <c r="A4440" s="74">
        <v>211</v>
      </c>
      <c r="B4440" s="45" t="s">
        <v>664</v>
      </c>
      <c r="C4440" s="60" t="s">
        <v>4039</v>
      </c>
      <c r="D4440" s="60"/>
      <c r="E4440" s="74">
        <v>2022</v>
      </c>
      <c r="F4440" s="74" t="s">
        <v>489</v>
      </c>
      <c r="G4440" s="61">
        <v>1</v>
      </c>
      <c r="H4440" s="45">
        <v>15</v>
      </c>
      <c r="I4440" s="74">
        <v>29</v>
      </c>
    </row>
    <row r="4441" spans="1:9" s="71" customFormat="1" ht="16.5" hidden="1" customHeight="1" outlineLevel="1" x14ac:dyDescent="0.25">
      <c r="A4441" s="74">
        <v>170</v>
      </c>
      <c r="B4441" s="45" t="s">
        <v>664</v>
      </c>
      <c r="C4441" s="60" t="s">
        <v>4040</v>
      </c>
      <c r="D4441" s="60"/>
      <c r="E4441" s="74">
        <v>2022</v>
      </c>
      <c r="F4441" s="74" t="s">
        <v>489</v>
      </c>
      <c r="G4441" s="61">
        <v>1</v>
      </c>
      <c r="H4441" s="45">
        <v>5</v>
      </c>
      <c r="I4441" s="74">
        <v>38</v>
      </c>
    </row>
    <row r="4442" spans="1:9" s="71" customFormat="1" ht="16.5" hidden="1" customHeight="1" outlineLevel="1" x14ac:dyDescent="0.25">
      <c r="A4442" s="74">
        <v>195</v>
      </c>
      <c r="B4442" s="45" t="s">
        <v>664</v>
      </c>
      <c r="C4442" s="60" t="s">
        <v>4041</v>
      </c>
      <c r="D4442" s="60"/>
      <c r="E4442" s="74">
        <v>2022</v>
      </c>
      <c r="F4442" s="74" t="s">
        <v>489</v>
      </c>
      <c r="G4442" s="61">
        <v>1</v>
      </c>
      <c r="H4442" s="45">
        <v>15</v>
      </c>
      <c r="I4442" s="74">
        <v>35</v>
      </c>
    </row>
    <row r="4443" spans="1:9" s="71" customFormat="1" ht="16.5" hidden="1" customHeight="1" outlineLevel="1" x14ac:dyDescent="0.25">
      <c r="A4443" s="74">
        <v>220</v>
      </c>
      <c r="B4443" s="45" t="s">
        <v>664</v>
      </c>
      <c r="C4443" s="60" t="s">
        <v>4042</v>
      </c>
      <c r="D4443" s="60"/>
      <c r="E4443" s="74">
        <v>2022</v>
      </c>
      <c r="F4443" s="74" t="s">
        <v>489</v>
      </c>
      <c r="G4443" s="61">
        <v>1</v>
      </c>
      <c r="H4443" s="45">
        <v>15</v>
      </c>
      <c r="I4443" s="74">
        <v>35</v>
      </c>
    </row>
    <row r="4444" spans="1:9" s="71" customFormat="1" ht="16.5" hidden="1" customHeight="1" outlineLevel="1" x14ac:dyDescent="0.25">
      <c r="A4444" s="74">
        <v>216</v>
      </c>
      <c r="B4444" s="45" t="s">
        <v>664</v>
      </c>
      <c r="C4444" s="60" t="s">
        <v>4043</v>
      </c>
      <c r="D4444" s="60"/>
      <c r="E4444" s="74">
        <v>2022</v>
      </c>
      <c r="F4444" s="74" t="s">
        <v>489</v>
      </c>
      <c r="G4444" s="61">
        <v>1</v>
      </c>
      <c r="H4444" s="45">
        <v>15</v>
      </c>
      <c r="I4444" s="74">
        <v>35</v>
      </c>
    </row>
    <row r="4445" spans="1:9" s="71" customFormat="1" ht="16.5" hidden="1" customHeight="1" outlineLevel="1" x14ac:dyDescent="0.25">
      <c r="A4445" s="74">
        <v>177</v>
      </c>
      <c r="B4445" s="45" t="s">
        <v>664</v>
      </c>
      <c r="C4445" s="60" t="s">
        <v>4044</v>
      </c>
      <c r="D4445" s="60"/>
      <c r="E4445" s="74">
        <v>2022</v>
      </c>
      <c r="F4445" s="74" t="s">
        <v>489</v>
      </c>
      <c r="G4445" s="61">
        <v>2</v>
      </c>
      <c r="H4445" s="45">
        <v>180</v>
      </c>
      <c r="I4445" s="74">
        <v>39</v>
      </c>
    </row>
    <row r="4446" spans="1:9" s="71" customFormat="1" ht="16.5" hidden="1" customHeight="1" outlineLevel="1" x14ac:dyDescent="0.25">
      <c r="A4446" s="74">
        <v>171</v>
      </c>
      <c r="B4446" s="45" t="s">
        <v>664</v>
      </c>
      <c r="C4446" s="60" t="s">
        <v>4045</v>
      </c>
      <c r="D4446" s="60"/>
      <c r="E4446" s="74">
        <v>2022</v>
      </c>
      <c r="F4446" s="74" t="s">
        <v>489</v>
      </c>
      <c r="G4446" s="61">
        <v>1</v>
      </c>
      <c r="H4446" s="45">
        <v>100</v>
      </c>
      <c r="I4446" s="74">
        <v>32</v>
      </c>
    </row>
    <row r="4447" spans="1:9" s="71" customFormat="1" ht="16.5" hidden="1" customHeight="1" outlineLevel="1" x14ac:dyDescent="0.25">
      <c r="A4447" s="74">
        <v>200</v>
      </c>
      <c r="B4447" s="45" t="s">
        <v>664</v>
      </c>
      <c r="C4447" s="60" t="s">
        <v>4046</v>
      </c>
      <c r="D4447" s="60"/>
      <c r="E4447" s="74">
        <v>2022</v>
      </c>
      <c r="F4447" s="74" t="s">
        <v>489</v>
      </c>
      <c r="G4447" s="61">
        <v>1</v>
      </c>
      <c r="H4447" s="45">
        <v>50</v>
      </c>
      <c r="I4447" s="74">
        <v>40</v>
      </c>
    </row>
    <row r="4448" spans="1:9" s="71" customFormat="1" ht="16.5" hidden="1" customHeight="1" outlineLevel="1" x14ac:dyDescent="0.25">
      <c r="A4448" s="74">
        <v>244</v>
      </c>
      <c r="B4448" s="45" t="s">
        <v>664</v>
      </c>
      <c r="C4448" s="60" t="s">
        <v>4047</v>
      </c>
      <c r="D4448" s="60"/>
      <c r="E4448" s="74">
        <v>2022</v>
      </c>
      <c r="F4448" s="74" t="s">
        <v>489</v>
      </c>
      <c r="G4448" s="61">
        <v>195</v>
      </c>
      <c r="H4448" s="45">
        <v>2775.5</v>
      </c>
      <c r="I4448" s="74">
        <v>3402</v>
      </c>
    </row>
    <row r="4449" spans="1:9" s="71" customFormat="1" ht="16.5" hidden="1" customHeight="1" outlineLevel="1" x14ac:dyDescent="0.25">
      <c r="A4449" s="74">
        <v>243</v>
      </c>
      <c r="B4449" s="45" t="s">
        <v>664</v>
      </c>
      <c r="C4449" s="60" t="s">
        <v>4048</v>
      </c>
      <c r="D4449" s="60"/>
      <c r="E4449" s="74">
        <v>2022</v>
      </c>
      <c r="F4449" s="74" t="s">
        <v>489</v>
      </c>
      <c r="G4449" s="61">
        <v>65</v>
      </c>
      <c r="H4449" s="45">
        <v>747</v>
      </c>
      <c r="I4449" s="74">
        <v>1164</v>
      </c>
    </row>
    <row r="4450" spans="1:9" s="71" customFormat="1" ht="16.5" hidden="1" customHeight="1" outlineLevel="1" x14ac:dyDescent="0.25">
      <c r="A4450" s="74">
        <v>245</v>
      </c>
      <c r="B4450" s="45" t="s">
        <v>664</v>
      </c>
      <c r="C4450" s="60" t="s">
        <v>4049</v>
      </c>
      <c r="D4450" s="60"/>
      <c r="E4450" s="74">
        <v>2022</v>
      </c>
      <c r="F4450" s="74" t="s">
        <v>489</v>
      </c>
      <c r="G4450" s="61">
        <v>90</v>
      </c>
      <c r="H4450" s="45">
        <v>1304.9000000000001</v>
      </c>
      <c r="I4450" s="74">
        <v>1588</v>
      </c>
    </row>
    <row r="4451" spans="1:9" s="71" customFormat="1" ht="16.5" hidden="1" customHeight="1" outlineLevel="1" x14ac:dyDescent="0.25">
      <c r="A4451" s="74">
        <v>246</v>
      </c>
      <c r="B4451" s="45" t="s">
        <v>664</v>
      </c>
      <c r="C4451" s="60" t="s">
        <v>4050</v>
      </c>
      <c r="D4451" s="60"/>
      <c r="E4451" s="74">
        <v>2022</v>
      </c>
      <c r="F4451" s="74" t="s">
        <v>489</v>
      </c>
      <c r="G4451" s="61">
        <v>99</v>
      </c>
      <c r="H4451" s="45">
        <v>1383.8</v>
      </c>
      <c r="I4451" s="74">
        <v>1805</v>
      </c>
    </row>
    <row r="4452" spans="1:9" s="71" customFormat="1" ht="16.5" hidden="1" customHeight="1" outlineLevel="1" x14ac:dyDescent="0.25">
      <c r="A4452" s="74">
        <v>241</v>
      </c>
      <c r="B4452" s="45" t="s">
        <v>664</v>
      </c>
      <c r="C4452" s="60" t="s">
        <v>4051</v>
      </c>
      <c r="D4452" s="60"/>
      <c r="E4452" s="74">
        <v>2022</v>
      </c>
      <c r="F4452" s="74" t="s">
        <v>489</v>
      </c>
      <c r="G4452" s="61">
        <v>83</v>
      </c>
      <c r="H4452" s="45">
        <v>1217.5</v>
      </c>
      <c r="I4452" s="74">
        <v>1458</v>
      </c>
    </row>
    <row r="4453" spans="1:9" s="71" customFormat="1" ht="16.5" hidden="1" customHeight="1" outlineLevel="1" x14ac:dyDescent="0.25">
      <c r="A4453" s="74">
        <v>242</v>
      </c>
      <c r="B4453" s="45" t="s">
        <v>664</v>
      </c>
      <c r="C4453" s="60" t="s">
        <v>4052</v>
      </c>
      <c r="D4453" s="60"/>
      <c r="E4453" s="74">
        <v>2022</v>
      </c>
      <c r="F4453" s="74" t="s">
        <v>489</v>
      </c>
      <c r="G4453" s="61">
        <v>97</v>
      </c>
      <c r="H4453" s="45">
        <v>1412.99</v>
      </c>
      <c r="I4453" s="74">
        <v>1744</v>
      </c>
    </row>
    <row r="4454" spans="1:9" s="71" customFormat="1" ht="16.5" hidden="1" customHeight="1" outlineLevel="1" x14ac:dyDescent="0.25">
      <c r="A4454" s="74">
        <v>240</v>
      </c>
      <c r="B4454" s="45" t="s">
        <v>664</v>
      </c>
      <c r="C4454" s="60" t="s">
        <v>4053</v>
      </c>
      <c r="D4454" s="60"/>
      <c r="E4454" s="74">
        <v>2022</v>
      </c>
      <c r="F4454" s="74" t="s">
        <v>489</v>
      </c>
      <c r="G4454" s="61">
        <v>19</v>
      </c>
      <c r="H4454" s="45">
        <v>120</v>
      </c>
      <c r="I4454" s="74">
        <v>190</v>
      </c>
    </row>
    <row r="4455" spans="1:9" s="71" customFormat="1" ht="16.5" hidden="1" customHeight="1" outlineLevel="1" x14ac:dyDescent="0.25">
      <c r="A4455" s="74">
        <v>238</v>
      </c>
      <c r="B4455" s="45" t="s">
        <v>664</v>
      </c>
      <c r="C4455" s="60" t="s">
        <v>4054</v>
      </c>
      <c r="D4455" s="60"/>
      <c r="E4455" s="74">
        <v>2022</v>
      </c>
      <c r="F4455" s="74" t="s">
        <v>489</v>
      </c>
      <c r="G4455" s="61">
        <v>6</v>
      </c>
      <c r="H4455" s="45">
        <v>52</v>
      </c>
      <c r="I4455" s="74">
        <v>64</v>
      </c>
    </row>
    <row r="4456" spans="1:9" s="71" customFormat="1" ht="16.5" hidden="1" customHeight="1" outlineLevel="1" x14ac:dyDescent="0.25">
      <c r="A4456" s="74">
        <v>239</v>
      </c>
      <c r="B4456" s="45" t="s">
        <v>664</v>
      </c>
      <c r="C4456" s="60" t="s">
        <v>4055</v>
      </c>
      <c r="D4456" s="60"/>
      <c r="E4456" s="74">
        <v>2022</v>
      </c>
      <c r="F4456" s="74" t="s">
        <v>489</v>
      </c>
      <c r="G4456" s="61">
        <v>43</v>
      </c>
      <c r="H4456" s="45">
        <v>237</v>
      </c>
      <c r="I4456" s="74">
        <v>437</v>
      </c>
    </row>
    <row r="4457" spans="1:9" s="71" customFormat="1" ht="16.5" hidden="1" customHeight="1" outlineLevel="1" x14ac:dyDescent="0.25">
      <c r="A4457" s="74">
        <v>237</v>
      </c>
      <c r="B4457" s="45" t="s">
        <v>664</v>
      </c>
      <c r="C4457" s="60" t="s">
        <v>4056</v>
      </c>
      <c r="D4457" s="60"/>
      <c r="E4457" s="74">
        <v>2022</v>
      </c>
      <c r="F4457" s="74" t="s">
        <v>489</v>
      </c>
      <c r="G4457" s="61">
        <v>8</v>
      </c>
      <c r="H4457" s="45">
        <v>46</v>
      </c>
      <c r="I4457" s="74">
        <v>80</v>
      </c>
    </row>
    <row r="4458" spans="1:9" s="71" customFormat="1" ht="16.5" hidden="1" customHeight="1" outlineLevel="1" x14ac:dyDescent="0.25">
      <c r="A4458" s="74">
        <v>248</v>
      </c>
      <c r="B4458" s="45" t="s">
        <v>664</v>
      </c>
      <c r="C4458" s="60" t="s">
        <v>4057</v>
      </c>
      <c r="D4458" s="60"/>
      <c r="E4458" s="74">
        <v>2022</v>
      </c>
      <c r="F4458" s="74" t="s">
        <v>489</v>
      </c>
      <c r="G4458" s="61">
        <v>6</v>
      </c>
      <c r="H4458" s="45">
        <v>37.5</v>
      </c>
      <c r="I4458" s="74">
        <v>60</v>
      </c>
    </row>
    <row r="4459" spans="1:9" s="71" customFormat="1" ht="16.5" hidden="1" customHeight="1" outlineLevel="1" x14ac:dyDescent="0.25">
      <c r="A4459" s="74">
        <v>247</v>
      </c>
      <c r="B4459" s="45" t="s">
        <v>664</v>
      </c>
      <c r="C4459" s="60" t="s">
        <v>4058</v>
      </c>
      <c r="D4459" s="60"/>
      <c r="E4459" s="74">
        <v>2022</v>
      </c>
      <c r="F4459" s="74" t="s">
        <v>489</v>
      </c>
      <c r="G4459" s="61">
        <v>4</v>
      </c>
      <c r="H4459" s="45">
        <v>40</v>
      </c>
      <c r="I4459" s="74">
        <v>40</v>
      </c>
    </row>
    <row r="4460" spans="1:9" s="71" customFormat="1" ht="16.5" hidden="1" customHeight="1" outlineLevel="1" x14ac:dyDescent="0.25">
      <c r="A4460" s="74">
        <v>192</v>
      </c>
      <c r="B4460" s="45" t="s">
        <v>664</v>
      </c>
      <c r="C4460" s="60" t="s">
        <v>4059</v>
      </c>
      <c r="D4460" s="60"/>
      <c r="E4460" s="74">
        <v>2022</v>
      </c>
      <c r="F4460" s="74" t="s">
        <v>489</v>
      </c>
      <c r="G4460" s="61">
        <v>2</v>
      </c>
      <c r="H4460" s="45">
        <v>20</v>
      </c>
      <c r="I4460" s="74">
        <v>56</v>
      </c>
    </row>
    <row r="4461" spans="1:9" s="71" customFormat="1" ht="16.5" hidden="1" customHeight="1" outlineLevel="1" x14ac:dyDescent="0.25">
      <c r="A4461" s="74">
        <v>236</v>
      </c>
      <c r="B4461" s="45" t="s">
        <v>664</v>
      </c>
      <c r="C4461" s="60" t="s">
        <v>4060</v>
      </c>
      <c r="D4461" s="60"/>
      <c r="E4461" s="74">
        <v>2022</v>
      </c>
      <c r="F4461" s="74" t="s">
        <v>489</v>
      </c>
      <c r="G4461" s="61">
        <v>1</v>
      </c>
      <c r="H4461" s="45">
        <v>15</v>
      </c>
      <c r="I4461" s="74">
        <v>18</v>
      </c>
    </row>
    <row r="4462" spans="1:9" s="71" customFormat="1" ht="16.5" hidden="1" customHeight="1" outlineLevel="1" x14ac:dyDescent="0.25">
      <c r="A4462" s="74">
        <v>264</v>
      </c>
      <c r="B4462" s="45" t="s">
        <v>664</v>
      </c>
      <c r="C4462" s="60" t="s">
        <v>4061</v>
      </c>
      <c r="D4462" s="60"/>
      <c r="E4462" s="74">
        <v>2022</v>
      </c>
      <c r="F4462" s="74" t="s">
        <v>489</v>
      </c>
      <c r="G4462" s="61">
        <v>1</v>
      </c>
      <c r="H4462" s="45">
        <v>15</v>
      </c>
      <c r="I4462" s="74">
        <v>17</v>
      </c>
    </row>
    <row r="4463" spans="1:9" s="71" customFormat="1" ht="16.5" hidden="1" customHeight="1" outlineLevel="1" x14ac:dyDescent="0.25">
      <c r="A4463" s="74">
        <v>272</v>
      </c>
      <c r="B4463" s="45" t="s">
        <v>664</v>
      </c>
      <c r="C4463" s="60" t="s">
        <v>4062</v>
      </c>
      <c r="D4463" s="60"/>
      <c r="E4463" s="74">
        <v>2022</v>
      </c>
      <c r="F4463" s="74" t="s">
        <v>489</v>
      </c>
      <c r="G4463" s="61">
        <v>1</v>
      </c>
      <c r="H4463" s="45">
        <v>12</v>
      </c>
      <c r="I4463" s="74">
        <v>17</v>
      </c>
    </row>
    <row r="4464" spans="1:9" s="71" customFormat="1" ht="16.5" hidden="1" customHeight="1" outlineLevel="1" x14ac:dyDescent="0.25">
      <c r="A4464" s="74">
        <v>274</v>
      </c>
      <c r="B4464" s="45" t="s">
        <v>664</v>
      </c>
      <c r="C4464" s="60" t="s">
        <v>4063</v>
      </c>
      <c r="D4464" s="60"/>
      <c r="E4464" s="74">
        <v>2022</v>
      </c>
      <c r="F4464" s="74" t="s">
        <v>489</v>
      </c>
      <c r="G4464" s="61">
        <v>1</v>
      </c>
      <c r="H4464" s="45">
        <v>10</v>
      </c>
      <c r="I4464" s="74">
        <v>17</v>
      </c>
    </row>
    <row r="4465" spans="1:9" s="71" customFormat="1" ht="16.5" hidden="1" customHeight="1" outlineLevel="1" x14ac:dyDescent="0.25">
      <c r="A4465" s="74">
        <v>267</v>
      </c>
      <c r="B4465" s="45" t="s">
        <v>664</v>
      </c>
      <c r="C4465" s="60" t="s">
        <v>4064</v>
      </c>
      <c r="D4465" s="60"/>
      <c r="E4465" s="74">
        <v>2022</v>
      </c>
      <c r="F4465" s="74" t="s">
        <v>489</v>
      </c>
      <c r="G4465" s="61">
        <v>1</v>
      </c>
      <c r="H4465" s="45">
        <v>10</v>
      </c>
      <c r="I4465" s="74">
        <v>17</v>
      </c>
    </row>
    <row r="4466" spans="1:9" s="71" customFormat="1" ht="16.5" hidden="1" customHeight="1" outlineLevel="1" x14ac:dyDescent="0.25">
      <c r="A4466" s="74">
        <v>265</v>
      </c>
      <c r="B4466" s="45" t="s">
        <v>664</v>
      </c>
      <c r="C4466" s="60" t="s">
        <v>4065</v>
      </c>
      <c r="D4466" s="60"/>
      <c r="E4466" s="74">
        <v>2022</v>
      </c>
      <c r="F4466" s="74" t="s">
        <v>489</v>
      </c>
      <c r="G4466" s="61">
        <v>1</v>
      </c>
      <c r="H4466" s="45">
        <v>15</v>
      </c>
      <c r="I4466" s="74">
        <v>17</v>
      </c>
    </row>
    <row r="4467" spans="1:9" s="71" customFormat="1" ht="16.5" hidden="1" customHeight="1" outlineLevel="1" x14ac:dyDescent="0.25">
      <c r="A4467" s="74">
        <v>172</v>
      </c>
      <c r="B4467" s="45" t="s">
        <v>664</v>
      </c>
      <c r="C4467" s="60" t="s">
        <v>4066</v>
      </c>
      <c r="D4467" s="60"/>
      <c r="E4467" s="74">
        <v>2022</v>
      </c>
      <c r="F4467" s="74" t="s">
        <v>489</v>
      </c>
      <c r="G4467" s="61">
        <v>1</v>
      </c>
      <c r="H4467" s="45">
        <v>15</v>
      </c>
      <c r="I4467" s="74">
        <v>33</v>
      </c>
    </row>
    <row r="4468" spans="1:9" s="71" customFormat="1" ht="16.5" hidden="1" customHeight="1" outlineLevel="1" x14ac:dyDescent="0.25">
      <c r="A4468" s="74">
        <v>182</v>
      </c>
      <c r="B4468" s="45" t="s">
        <v>664</v>
      </c>
      <c r="C4468" s="60" t="s">
        <v>4067</v>
      </c>
      <c r="D4468" s="60"/>
      <c r="E4468" s="74">
        <v>2022</v>
      </c>
      <c r="F4468" s="74" t="s">
        <v>489</v>
      </c>
      <c r="G4468" s="61">
        <v>1</v>
      </c>
      <c r="H4468" s="45">
        <v>15</v>
      </c>
      <c r="I4468" s="74">
        <v>27</v>
      </c>
    </row>
    <row r="4469" spans="1:9" s="71" customFormat="1" ht="16.5" hidden="1" customHeight="1" outlineLevel="1" x14ac:dyDescent="0.25">
      <c r="A4469" s="74">
        <v>268</v>
      </c>
      <c r="B4469" s="45" t="s">
        <v>664</v>
      </c>
      <c r="C4469" s="60" t="s">
        <v>4068</v>
      </c>
      <c r="D4469" s="60"/>
      <c r="E4469" s="74">
        <v>2022</v>
      </c>
      <c r="F4469" s="74" t="s">
        <v>489</v>
      </c>
      <c r="G4469" s="61">
        <v>1</v>
      </c>
      <c r="H4469" s="45">
        <v>11</v>
      </c>
      <c r="I4469" s="74">
        <v>18</v>
      </c>
    </row>
    <row r="4470" spans="1:9" s="71" customFormat="1" ht="16.5" hidden="1" customHeight="1" outlineLevel="1" x14ac:dyDescent="0.25">
      <c r="A4470" s="74">
        <v>275</v>
      </c>
      <c r="B4470" s="45" t="s">
        <v>664</v>
      </c>
      <c r="C4470" s="60" t="s">
        <v>4069</v>
      </c>
      <c r="D4470" s="60"/>
      <c r="E4470" s="74">
        <v>2022</v>
      </c>
      <c r="F4470" s="74" t="s">
        <v>489</v>
      </c>
      <c r="G4470" s="61">
        <v>1</v>
      </c>
      <c r="H4470" s="45">
        <v>40</v>
      </c>
      <c r="I4470" s="74">
        <v>18</v>
      </c>
    </row>
    <row r="4471" spans="1:9" s="71" customFormat="1" ht="16.5" hidden="1" customHeight="1" outlineLevel="1" x14ac:dyDescent="0.25">
      <c r="A4471" s="74">
        <v>266</v>
      </c>
      <c r="B4471" s="45" t="s">
        <v>664</v>
      </c>
      <c r="C4471" s="60" t="s">
        <v>4070</v>
      </c>
      <c r="D4471" s="60"/>
      <c r="E4471" s="74">
        <v>2022</v>
      </c>
      <c r="F4471" s="74" t="s">
        <v>489</v>
      </c>
      <c r="G4471" s="61">
        <v>1</v>
      </c>
      <c r="H4471" s="45">
        <v>10</v>
      </c>
      <c r="I4471" s="74">
        <v>17</v>
      </c>
    </row>
    <row r="4472" spans="1:9" s="71" customFormat="1" ht="16.5" hidden="1" customHeight="1" outlineLevel="1" x14ac:dyDescent="0.25">
      <c r="A4472" s="74">
        <v>269</v>
      </c>
      <c r="B4472" s="45" t="s">
        <v>664</v>
      </c>
      <c r="C4472" s="60" t="s">
        <v>4071</v>
      </c>
      <c r="D4472" s="60"/>
      <c r="E4472" s="74">
        <v>2022</v>
      </c>
      <c r="F4472" s="74" t="s">
        <v>489</v>
      </c>
      <c r="G4472" s="61">
        <v>1</v>
      </c>
      <c r="H4472" s="45">
        <v>15</v>
      </c>
      <c r="I4472" s="74">
        <v>17</v>
      </c>
    </row>
    <row r="4473" spans="1:9" s="71" customFormat="1" ht="16.5" hidden="1" customHeight="1" outlineLevel="1" x14ac:dyDescent="0.25">
      <c r="A4473" s="74">
        <v>273</v>
      </c>
      <c r="B4473" s="45" t="s">
        <v>664</v>
      </c>
      <c r="C4473" s="60" t="s">
        <v>4072</v>
      </c>
      <c r="D4473" s="60"/>
      <c r="E4473" s="74">
        <v>2022</v>
      </c>
      <c r="F4473" s="74" t="s">
        <v>489</v>
      </c>
      <c r="G4473" s="61">
        <v>1</v>
      </c>
      <c r="H4473" s="45">
        <v>10</v>
      </c>
      <c r="I4473" s="74">
        <v>17</v>
      </c>
    </row>
    <row r="4474" spans="1:9" s="71" customFormat="1" ht="16.5" hidden="1" customHeight="1" outlineLevel="1" x14ac:dyDescent="0.25">
      <c r="A4474" s="74">
        <v>270</v>
      </c>
      <c r="B4474" s="45" t="s">
        <v>664</v>
      </c>
      <c r="C4474" s="60" t="s">
        <v>4073</v>
      </c>
      <c r="D4474" s="60"/>
      <c r="E4474" s="74">
        <v>2022</v>
      </c>
      <c r="F4474" s="74" t="s">
        <v>489</v>
      </c>
      <c r="G4474" s="61">
        <v>3</v>
      </c>
      <c r="H4474" s="45">
        <v>35</v>
      </c>
      <c r="I4474" s="74">
        <v>52</v>
      </c>
    </row>
    <row r="4475" spans="1:9" s="71" customFormat="1" ht="16.5" hidden="1" customHeight="1" outlineLevel="1" x14ac:dyDescent="0.25">
      <c r="A4475" s="74">
        <v>283</v>
      </c>
      <c r="B4475" s="45" t="s">
        <v>664</v>
      </c>
      <c r="C4475" s="60" t="s">
        <v>611</v>
      </c>
      <c r="D4475" s="60"/>
      <c r="E4475" s="74">
        <v>2022</v>
      </c>
      <c r="F4475" s="74" t="s">
        <v>489</v>
      </c>
      <c r="G4475" s="61">
        <v>1</v>
      </c>
      <c r="H4475" s="45">
        <v>15</v>
      </c>
      <c r="I4475" s="74">
        <v>31</v>
      </c>
    </row>
    <row r="4476" spans="1:9" s="71" customFormat="1" ht="16.5" hidden="1" customHeight="1" outlineLevel="1" x14ac:dyDescent="0.25">
      <c r="A4476" s="74">
        <v>352</v>
      </c>
      <c r="B4476" s="45" t="s">
        <v>664</v>
      </c>
      <c r="C4476" s="60" t="s">
        <v>4074</v>
      </c>
      <c r="D4476" s="60"/>
      <c r="E4476" s="74">
        <v>2022</v>
      </c>
      <c r="F4476" s="74" t="s">
        <v>489</v>
      </c>
      <c r="G4476" s="61">
        <v>1</v>
      </c>
      <c r="H4476" s="45">
        <v>7</v>
      </c>
      <c r="I4476" s="74">
        <v>55</v>
      </c>
    </row>
    <row r="4477" spans="1:9" s="71" customFormat="1" ht="16.5" hidden="1" customHeight="1" outlineLevel="1" x14ac:dyDescent="0.25">
      <c r="A4477" s="74">
        <v>359</v>
      </c>
      <c r="B4477" s="45" t="s">
        <v>664</v>
      </c>
      <c r="C4477" s="60" t="s">
        <v>4075</v>
      </c>
      <c r="D4477" s="60"/>
      <c r="E4477" s="74">
        <v>2022</v>
      </c>
      <c r="F4477" s="74" t="s">
        <v>489</v>
      </c>
      <c r="G4477" s="61">
        <v>1</v>
      </c>
      <c r="H4477" s="45">
        <v>15</v>
      </c>
      <c r="I4477" s="74">
        <v>83</v>
      </c>
    </row>
    <row r="4478" spans="1:9" s="71" customFormat="1" ht="16.5" hidden="1" customHeight="1" outlineLevel="1" x14ac:dyDescent="0.25">
      <c r="A4478" s="74">
        <v>185</v>
      </c>
      <c r="B4478" s="45" t="s">
        <v>664</v>
      </c>
      <c r="C4478" s="60" t="s">
        <v>4076</v>
      </c>
      <c r="D4478" s="60"/>
      <c r="E4478" s="74">
        <v>2022</v>
      </c>
      <c r="F4478" s="74" t="s">
        <v>489</v>
      </c>
      <c r="G4478" s="61">
        <v>1</v>
      </c>
      <c r="H4478" s="45">
        <v>150</v>
      </c>
      <c r="I4478" s="74">
        <v>46</v>
      </c>
    </row>
    <row r="4479" spans="1:9" s="71" customFormat="1" ht="16.5" hidden="1" customHeight="1" outlineLevel="1" x14ac:dyDescent="0.25">
      <c r="A4479" s="74">
        <v>186</v>
      </c>
      <c r="B4479" s="45" t="s">
        <v>664</v>
      </c>
      <c r="C4479" s="60" t="s">
        <v>4077</v>
      </c>
      <c r="D4479" s="60"/>
      <c r="E4479" s="74">
        <v>2022</v>
      </c>
      <c r="F4479" s="74" t="s">
        <v>489</v>
      </c>
      <c r="G4479" s="61">
        <v>1</v>
      </c>
      <c r="H4479" s="45">
        <v>150</v>
      </c>
      <c r="I4479" s="74">
        <v>30</v>
      </c>
    </row>
    <row r="4480" spans="1:9" s="71" customFormat="1" ht="16.5" hidden="1" customHeight="1" outlineLevel="1" x14ac:dyDescent="0.25">
      <c r="A4480" s="74">
        <v>262</v>
      </c>
      <c r="B4480" s="45" t="s">
        <v>664</v>
      </c>
      <c r="C4480" s="60" t="s">
        <v>4078</v>
      </c>
      <c r="D4480" s="60"/>
      <c r="E4480" s="74">
        <v>2022</v>
      </c>
      <c r="F4480" s="74" t="s">
        <v>489</v>
      </c>
      <c r="G4480" s="61">
        <v>1</v>
      </c>
      <c r="H4480" s="45">
        <v>15</v>
      </c>
      <c r="I4480" s="74">
        <v>23</v>
      </c>
    </row>
    <row r="4481" spans="1:9" s="71" customFormat="1" ht="16.5" hidden="1" customHeight="1" outlineLevel="1" x14ac:dyDescent="0.25">
      <c r="A4481" s="74">
        <v>286</v>
      </c>
      <c r="B4481" s="45" t="s">
        <v>664</v>
      </c>
      <c r="C4481" s="60" t="s">
        <v>4079</v>
      </c>
      <c r="D4481" s="60"/>
      <c r="E4481" s="74">
        <v>2022</v>
      </c>
      <c r="F4481" s="74" t="s">
        <v>489</v>
      </c>
      <c r="G4481" s="61">
        <v>1</v>
      </c>
      <c r="H4481" s="45">
        <v>15</v>
      </c>
      <c r="I4481" s="74">
        <v>28</v>
      </c>
    </row>
    <row r="4482" spans="1:9" s="71" customFormat="1" ht="16.5" hidden="1" customHeight="1" outlineLevel="1" x14ac:dyDescent="0.25">
      <c r="A4482" s="74">
        <v>208</v>
      </c>
      <c r="B4482" s="45" t="s">
        <v>664</v>
      </c>
      <c r="C4482" s="60" t="s">
        <v>4080</v>
      </c>
      <c r="D4482" s="60"/>
      <c r="E4482" s="74">
        <v>2022</v>
      </c>
      <c r="F4482" s="74" t="s">
        <v>489</v>
      </c>
      <c r="G4482" s="61">
        <v>1</v>
      </c>
      <c r="H4482" s="45">
        <v>15</v>
      </c>
      <c r="I4482" s="74">
        <v>24</v>
      </c>
    </row>
    <row r="4483" spans="1:9" s="71" customFormat="1" ht="16.5" hidden="1" customHeight="1" outlineLevel="1" x14ac:dyDescent="0.25">
      <c r="A4483" s="74">
        <v>260</v>
      </c>
      <c r="B4483" s="45" t="s">
        <v>664</v>
      </c>
      <c r="C4483" s="60" t="s">
        <v>4081</v>
      </c>
      <c r="D4483" s="60"/>
      <c r="E4483" s="74">
        <v>2022</v>
      </c>
      <c r="F4483" s="74" t="s">
        <v>489</v>
      </c>
      <c r="G4483" s="61">
        <v>1</v>
      </c>
      <c r="H4483" s="45">
        <v>15</v>
      </c>
      <c r="I4483" s="74">
        <v>23</v>
      </c>
    </row>
    <row r="4484" spans="1:9" s="71" customFormat="1" ht="16.5" hidden="1" customHeight="1" outlineLevel="1" x14ac:dyDescent="0.25">
      <c r="A4484" s="74">
        <v>209</v>
      </c>
      <c r="B4484" s="45" t="s">
        <v>664</v>
      </c>
      <c r="C4484" s="60" t="s">
        <v>4082</v>
      </c>
      <c r="D4484" s="60"/>
      <c r="E4484" s="74">
        <v>2022</v>
      </c>
      <c r="F4484" s="74" t="s">
        <v>489</v>
      </c>
      <c r="G4484" s="61">
        <v>1</v>
      </c>
      <c r="H4484" s="45">
        <v>15</v>
      </c>
      <c r="I4484" s="74">
        <v>25</v>
      </c>
    </row>
    <row r="4485" spans="1:9" s="71" customFormat="1" ht="16.5" hidden="1" customHeight="1" outlineLevel="1" x14ac:dyDescent="0.25">
      <c r="A4485" s="74">
        <v>218</v>
      </c>
      <c r="B4485" s="45" t="s">
        <v>664</v>
      </c>
      <c r="C4485" s="60" t="s">
        <v>4083</v>
      </c>
      <c r="D4485" s="60"/>
      <c r="E4485" s="74">
        <v>2022</v>
      </c>
      <c r="F4485" s="74" t="s">
        <v>489</v>
      </c>
      <c r="G4485" s="61">
        <v>2</v>
      </c>
      <c r="H4485" s="45">
        <v>28</v>
      </c>
      <c r="I4485" s="74">
        <v>42</v>
      </c>
    </row>
    <row r="4486" spans="1:9" s="71" customFormat="1" ht="16.5" hidden="1" customHeight="1" outlineLevel="1" x14ac:dyDescent="0.25">
      <c r="A4486" s="74">
        <v>212</v>
      </c>
      <c r="B4486" s="45" t="s">
        <v>664</v>
      </c>
      <c r="C4486" s="60" t="s">
        <v>4084</v>
      </c>
      <c r="D4486" s="60"/>
      <c r="E4486" s="74">
        <v>2022</v>
      </c>
      <c r="F4486" s="74" t="s">
        <v>489</v>
      </c>
      <c r="G4486" s="61">
        <v>1</v>
      </c>
      <c r="H4486" s="45">
        <v>15</v>
      </c>
      <c r="I4486" s="74">
        <v>28</v>
      </c>
    </row>
    <row r="4487" spans="1:9" s="71" customFormat="1" ht="16.5" hidden="1" customHeight="1" outlineLevel="1" x14ac:dyDescent="0.25">
      <c r="A4487" s="74">
        <v>193</v>
      </c>
      <c r="B4487" s="45" t="s">
        <v>664</v>
      </c>
      <c r="C4487" s="60" t="s">
        <v>4085</v>
      </c>
      <c r="D4487" s="60"/>
      <c r="E4487" s="74">
        <v>2022</v>
      </c>
      <c r="F4487" s="74" t="s">
        <v>489</v>
      </c>
      <c r="G4487" s="61">
        <v>1</v>
      </c>
      <c r="H4487" s="45">
        <v>15</v>
      </c>
      <c r="I4487" s="74">
        <v>24</v>
      </c>
    </row>
    <row r="4488" spans="1:9" s="71" customFormat="1" ht="16.5" hidden="1" customHeight="1" outlineLevel="1" x14ac:dyDescent="0.25">
      <c r="A4488" s="74">
        <v>194</v>
      </c>
      <c r="B4488" s="45" t="s">
        <v>664</v>
      </c>
      <c r="C4488" s="60" t="s">
        <v>4086</v>
      </c>
      <c r="D4488" s="60"/>
      <c r="E4488" s="74">
        <v>2022</v>
      </c>
      <c r="F4488" s="74" t="s">
        <v>489</v>
      </c>
      <c r="G4488" s="61">
        <v>1</v>
      </c>
      <c r="H4488" s="45">
        <v>15</v>
      </c>
      <c r="I4488" s="74">
        <v>30</v>
      </c>
    </row>
    <row r="4489" spans="1:9" s="71" customFormat="1" ht="16.5" hidden="1" customHeight="1" outlineLevel="1" x14ac:dyDescent="0.25">
      <c r="A4489" s="74">
        <v>290</v>
      </c>
      <c r="B4489" s="45" t="s">
        <v>664</v>
      </c>
      <c r="C4489" s="60" t="s">
        <v>4087</v>
      </c>
      <c r="D4489" s="60"/>
      <c r="E4489" s="74">
        <v>2022</v>
      </c>
      <c r="F4489" s="74" t="s">
        <v>489</v>
      </c>
      <c r="G4489" s="61">
        <v>6</v>
      </c>
      <c r="H4489" s="45">
        <v>90</v>
      </c>
      <c r="I4489" s="74">
        <v>126</v>
      </c>
    </row>
    <row r="4490" spans="1:9" s="71" customFormat="1" ht="16.5" hidden="1" customHeight="1" outlineLevel="1" x14ac:dyDescent="0.25">
      <c r="A4490" s="74">
        <v>253</v>
      </c>
      <c r="B4490" s="45" t="s">
        <v>664</v>
      </c>
      <c r="C4490" s="60" t="s">
        <v>4088</v>
      </c>
      <c r="D4490" s="60"/>
      <c r="E4490" s="74">
        <v>2022</v>
      </c>
      <c r="F4490" s="74" t="s">
        <v>489</v>
      </c>
      <c r="G4490" s="61">
        <v>1</v>
      </c>
      <c r="H4490" s="45">
        <v>15</v>
      </c>
      <c r="I4490" s="74">
        <v>30</v>
      </c>
    </row>
    <row r="4491" spans="1:9" s="71" customFormat="1" ht="16.5" hidden="1" customHeight="1" outlineLevel="1" x14ac:dyDescent="0.25">
      <c r="A4491" s="74">
        <v>252</v>
      </c>
      <c r="B4491" s="45" t="s">
        <v>664</v>
      </c>
      <c r="C4491" s="60" t="s">
        <v>4089</v>
      </c>
      <c r="D4491" s="60"/>
      <c r="E4491" s="74">
        <v>2022</v>
      </c>
      <c r="F4491" s="74" t="s">
        <v>489</v>
      </c>
      <c r="G4491" s="61">
        <v>1</v>
      </c>
      <c r="H4491" s="45">
        <v>15</v>
      </c>
      <c r="I4491" s="74">
        <v>24</v>
      </c>
    </row>
    <row r="4492" spans="1:9" s="71" customFormat="1" ht="16.5" hidden="1" customHeight="1" outlineLevel="1" x14ac:dyDescent="0.25">
      <c r="A4492" s="74">
        <v>196</v>
      </c>
      <c r="B4492" s="45" t="s">
        <v>664</v>
      </c>
      <c r="C4492" s="60" t="s">
        <v>4090</v>
      </c>
      <c r="D4492" s="60"/>
      <c r="E4492" s="74">
        <v>2022</v>
      </c>
      <c r="F4492" s="74" t="s">
        <v>489</v>
      </c>
      <c r="G4492" s="61">
        <v>2</v>
      </c>
      <c r="H4492" s="45">
        <v>30</v>
      </c>
      <c r="I4492" s="74">
        <v>54</v>
      </c>
    </row>
    <row r="4493" spans="1:9" s="71" customFormat="1" ht="16.5" hidden="1" customHeight="1" outlineLevel="1" x14ac:dyDescent="0.25">
      <c r="A4493" s="74">
        <v>197</v>
      </c>
      <c r="B4493" s="45" t="s">
        <v>664</v>
      </c>
      <c r="C4493" s="60" t="s">
        <v>4091</v>
      </c>
      <c r="D4493" s="60"/>
      <c r="E4493" s="74">
        <v>2022</v>
      </c>
      <c r="F4493" s="74" t="s">
        <v>489</v>
      </c>
      <c r="G4493" s="61">
        <v>1</v>
      </c>
      <c r="H4493" s="45">
        <v>15</v>
      </c>
      <c r="I4493" s="74">
        <v>24</v>
      </c>
    </row>
    <row r="4494" spans="1:9" s="71" customFormat="1" ht="16.5" hidden="1" customHeight="1" outlineLevel="1" x14ac:dyDescent="0.25">
      <c r="A4494" s="74">
        <v>254</v>
      </c>
      <c r="B4494" s="45" t="s">
        <v>664</v>
      </c>
      <c r="C4494" s="60" t="s">
        <v>4092</v>
      </c>
      <c r="D4494" s="60"/>
      <c r="E4494" s="74">
        <v>2022</v>
      </c>
      <c r="F4494" s="74" t="s">
        <v>489</v>
      </c>
      <c r="G4494" s="61">
        <v>1</v>
      </c>
      <c r="H4494" s="45">
        <v>25</v>
      </c>
      <c r="I4494" s="74">
        <v>29</v>
      </c>
    </row>
    <row r="4495" spans="1:9" s="71" customFormat="1" ht="16.5" hidden="1" customHeight="1" outlineLevel="1" x14ac:dyDescent="0.25">
      <c r="A4495" s="74">
        <v>256</v>
      </c>
      <c r="B4495" s="45" t="s">
        <v>664</v>
      </c>
      <c r="C4495" s="60" t="s">
        <v>4093</v>
      </c>
      <c r="D4495" s="60"/>
      <c r="E4495" s="74">
        <v>2022</v>
      </c>
      <c r="F4495" s="74" t="s">
        <v>489</v>
      </c>
      <c r="G4495" s="61">
        <v>1</v>
      </c>
      <c r="H4495" s="45">
        <v>15</v>
      </c>
      <c r="I4495" s="74">
        <v>23</v>
      </c>
    </row>
    <row r="4496" spans="1:9" s="71" customFormat="1" ht="16.5" hidden="1" customHeight="1" outlineLevel="1" x14ac:dyDescent="0.25">
      <c r="A4496" s="74">
        <v>279</v>
      </c>
      <c r="B4496" s="45" t="s">
        <v>664</v>
      </c>
      <c r="C4496" s="60" t="s">
        <v>4094</v>
      </c>
      <c r="D4496" s="60"/>
      <c r="E4496" s="74">
        <v>2022</v>
      </c>
      <c r="F4496" s="74" t="s">
        <v>489</v>
      </c>
      <c r="G4496" s="61">
        <v>1</v>
      </c>
      <c r="H4496" s="45">
        <v>15</v>
      </c>
      <c r="I4496" s="74">
        <v>24</v>
      </c>
    </row>
    <row r="4497" spans="1:9" s="71" customFormat="1" ht="16.5" hidden="1" customHeight="1" outlineLevel="1" x14ac:dyDescent="0.25">
      <c r="A4497" s="74">
        <v>302</v>
      </c>
      <c r="B4497" s="45" t="s">
        <v>664</v>
      </c>
      <c r="C4497" s="60" t="s">
        <v>168</v>
      </c>
      <c r="D4497" s="60"/>
      <c r="E4497" s="74">
        <v>2022</v>
      </c>
      <c r="F4497" s="74" t="s">
        <v>489</v>
      </c>
      <c r="G4497" s="61">
        <v>1</v>
      </c>
      <c r="H4497" s="45">
        <v>150</v>
      </c>
      <c r="I4497" s="74">
        <v>35</v>
      </c>
    </row>
    <row r="4498" spans="1:9" s="71" customFormat="1" ht="16.5" hidden="1" customHeight="1" outlineLevel="1" x14ac:dyDescent="0.25">
      <c r="A4498" s="74">
        <v>289</v>
      </c>
      <c r="B4498" s="45" t="s">
        <v>664</v>
      </c>
      <c r="C4498" s="60" t="s">
        <v>4095</v>
      </c>
      <c r="D4498" s="60"/>
      <c r="E4498" s="74">
        <v>2022</v>
      </c>
      <c r="F4498" s="74" t="s">
        <v>489</v>
      </c>
      <c r="G4498" s="61">
        <v>1</v>
      </c>
      <c r="H4498" s="45">
        <v>150</v>
      </c>
      <c r="I4498" s="74">
        <v>34</v>
      </c>
    </row>
    <row r="4499" spans="1:9" s="71" customFormat="1" ht="16.5" hidden="1" customHeight="1" outlineLevel="1" x14ac:dyDescent="0.25">
      <c r="A4499" s="74">
        <v>259</v>
      </c>
      <c r="B4499" s="45" t="s">
        <v>664</v>
      </c>
      <c r="C4499" s="60" t="s">
        <v>4096</v>
      </c>
      <c r="D4499" s="60"/>
      <c r="E4499" s="74">
        <v>2022</v>
      </c>
      <c r="F4499" s="74" t="s">
        <v>489</v>
      </c>
      <c r="G4499" s="61">
        <v>1</v>
      </c>
      <c r="H4499" s="45">
        <v>15</v>
      </c>
      <c r="I4499" s="74">
        <v>29</v>
      </c>
    </row>
    <row r="4500" spans="1:9" s="71" customFormat="1" ht="16.5" hidden="1" customHeight="1" outlineLevel="1" x14ac:dyDescent="0.25">
      <c r="A4500" s="74">
        <v>258</v>
      </c>
      <c r="B4500" s="45" t="s">
        <v>664</v>
      </c>
      <c r="C4500" s="60" t="s">
        <v>4097</v>
      </c>
      <c r="D4500" s="60"/>
      <c r="E4500" s="74">
        <v>2022</v>
      </c>
      <c r="F4500" s="74" t="s">
        <v>489</v>
      </c>
      <c r="G4500" s="61">
        <v>3</v>
      </c>
      <c r="H4500" s="45">
        <v>45</v>
      </c>
      <c r="I4500" s="74">
        <v>65</v>
      </c>
    </row>
    <row r="4501" spans="1:9" s="71" customFormat="1" ht="16.5" hidden="1" customHeight="1" outlineLevel="1" x14ac:dyDescent="0.25">
      <c r="A4501" s="74">
        <v>276</v>
      </c>
      <c r="B4501" s="45" t="s">
        <v>664</v>
      </c>
      <c r="C4501" s="60" t="s">
        <v>4098</v>
      </c>
      <c r="D4501" s="60"/>
      <c r="E4501" s="74">
        <v>2022</v>
      </c>
      <c r="F4501" s="74" t="s">
        <v>489</v>
      </c>
      <c r="G4501" s="61">
        <v>90</v>
      </c>
      <c r="H4501" s="45">
        <v>1298.9939999999999</v>
      </c>
      <c r="I4501" s="74">
        <v>1615</v>
      </c>
    </row>
    <row r="4502" spans="1:9" s="71" customFormat="1" ht="16.5" hidden="1" customHeight="1" outlineLevel="1" x14ac:dyDescent="0.25">
      <c r="A4502" s="74">
        <v>230</v>
      </c>
      <c r="B4502" s="45" t="s">
        <v>664</v>
      </c>
      <c r="C4502" s="60" t="s">
        <v>4099</v>
      </c>
      <c r="D4502" s="60"/>
      <c r="E4502" s="74">
        <v>2022</v>
      </c>
      <c r="F4502" s="74" t="s">
        <v>489</v>
      </c>
      <c r="G4502" s="61">
        <v>1</v>
      </c>
      <c r="H4502" s="45">
        <v>15</v>
      </c>
      <c r="I4502" s="74">
        <v>19</v>
      </c>
    </row>
    <row r="4503" spans="1:9" s="71" customFormat="1" ht="16.5" hidden="1" customHeight="1" outlineLevel="1" x14ac:dyDescent="0.25">
      <c r="A4503" s="74">
        <v>315</v>
      </c>
      <c r="B4503" s="45" t="s">
        <v>664</v>
      </c>
      <c r="C4503" s="60" t="s">
        <v>4100</v>
      </c>
      <c r="D4503" s="60"/>
      <c r="E4503" s="74">
        <v>2022</v>
      </c>
      <c r="F4503" s="74" t="s">
        <v>489</v>
      </c>
      <c r="G4503" s="61">
        <v>3</v>
      </c>
      <c r="H4503" s="45">
        <v>35</v>
      </c>
      <c r="I4503" s="74">
        <v>52</v>
      </c>
    </row>
    <row r="4504" spans="1:9" s="71" customFormat="1" ht="16.5" hidden="1" customHeight="1" outlineLevel="1" x14ac:dyDescent="0.25">
      <c r="A4504" s="74">
        <v>317</v>
      </c>
      <c r="B4504" s="45" t="s">
        <v>664</v>
      </c>
      <c r="C4504" s="60" t="s">
        <v>4101</v>
      </c>
      <c r="D4504" s="60"/>
      <c r="E4504" s="74">
        <v>2022</v>
      </c>
      <c r="F4504" s="74" t="s">
        <v>489</v>
      </c>
      <c r="G4504" s="61">
        <v>3</v>
      </c>
      <c r="H4504" s="45">
        <v>25</v>
      </c>
      <c r="I4504" s="74">
        <v>53</v>
      </c>
    </row>
    <row r="4505" spans="1:9" s="71" customFormat="1" ht="16.5" hidden="1" customHeight="1" outlineLevel="1" x14ac:dyDescent="0.25">
      <c r="A4505" s="74">
        <v>313</v>
      </c>
      <c r="B4505" s="45" t="s">
        <v>664</v>
      </c>
      <c r="C4505" s="60" t="s">
        <v>4102</v>
      </c>
      <c r="D4505" s="60"/>
      <c r="E4505" s="74">
        <v>2022</v>
      </c>
      <c r="F4505" s="74" t="s">
        <v>489</v>
      </c>
      <c r="G4505" s="61">
        <v>2</v>
      </c>
      <c r="H4505" s="45">
        <v>10</v>
      </c>
      <c r="I4505" s="74">
        <v>35</v>
      </c>
    </row>
    <row r="4506" spans="1:9" s="71" customFormat="1" ht="16.5" hidden="1" customHeight="1" outlineLevel="1" x14ac:dyDescent="0.25">
      <c r="A4506" s="74">
        <v>314</v>
      </c>
      <c r="B4506" s="45" t="s">
        <v>664</v>
      </c>
      <c r="C4506" s="60" t="s">
        <v>4103</v>
      </c>
      <c r="D4506" s="60"/>
      <c r="E4506" s="74">
        <v>2022</v>
      </c>
      <c r="F4506" s="74" t="s">
        <v>489</v>
      </c>
      <c r="G4506" s="61">
        <v>8</v>
      </c>
      <c r="H4506" s="45">
        <v>95</v>
      </c>
      <c r="I4506" s="74">
        <v>142</v>
      </c>
    </row>
    <row r="4507" spans="1:9" s="71" customFormat="1" ht="16.5" hidden="1" customHeight="1" outlineLevel="1" x14ac:dyDescent="0.25">
      <c r="A4507" s="74">
        <v>257</v>
      </c>
      <c r="B4507" s="45" t="s">
        <v>664</v>
      </c>
      <c r="C4507" s="60" t="s">
        <v>4104</v>
      </c>
      <c r="D4507" s="60"/>
      <c r="E4507" s="74">
        <v>2022</v>
      </c>
      <c r="F4507" s="74" t="s">
        <v>489</v>
      </c>
      <c r="G4507" s="61">
        <v>1</v>
      </c>
      <c r="H4507" s="45">
        <v>15</v>
      </c>
      <c r="I4507" s="74">
        <v>26</v>
      </c>
    </row>
    <row r="4508" spans="1:9" s="71" customFormat="1" ht="16.5" hidden="1" customHeight="1" outlineLevel="1" x14ac:dyDescent="0.25">
      <c r="A4508" s="74">
        <v>306</v>
      </c>
      <c r="B4508" s="45" t="s">
        <v>664</v>
      </c>
      <c r="C4508" s="60" t="s">
        <v>4105</v>
      </c>
      <c r="D4508" s="60"/>
      <c r="E4508" s="74">
        <v>2022</v>
      </c>
      <c r="F4508" s="74" t="s">
        <v>489</v>
      </c>
      <c r="G4508" s="61">
        <v>1</v>
      </c>
      <c r="H4508" s="45">
        <v>5</v>
      </c>
      <c r="I4508" s="74">
        <v>18</v>
      </c>
    </row>
    <row r="4509" spans="1:9" s="71" customFormat="1" ht="16.5" hidden="1" customHeight="1" outlineLevel="1" x14ac:dyDescent="0.25">
      <c r="A4509" s="74">
        <v>305</v>
      </c>
      <c r="B4509" s="45" t="s">
        <v>664</v>
      </c>
      <c r="C4509" s="60" t="s">
        <v>4106</v>
      </c>
      <c r="D4509" s="60"/>
      <c r="E4509" s="74">
        <v>2022</v>
      </c>
      <c r="F4509" s="74" t="s">
        <v>489</v>
      </c>
      <c r="G4509" s="61">
        <v>1</v>
      </c>
      <c r="H4509" s="45">
        <v>10</v>
      </c>
      <c r="I4509" s="74">
        <v>17</v>
      </c>
    </row>
    <row r="4510" spans="1:9" s="71" customFormat="1" ht="16.5" hidden="1" customHeight="1" outlineLevel="1" x14ac:dyDescent="0.25">
      <c r="A4510" s="74">
        <v>281</v>
      </c>
      <c r="B4510" s="45" t="s">
        <v>664</v>
      </c>
      <c r="C4510" s="60" t="s">
        <v>4107</v>
      </c>
      <c r="D4510" s="60"/>
      <c r="E4510" s="74">
        <v>2022</v>
      </c>
      <c r="F4510" s="74" t="s">
        <v>489</v>
      </c>
      <c r="G4510" s="61">
        <v>1</v>
      </c>
      <c r="H4510" s="45">
        <v>15</v>
      </c>
      <c r="I4510" s="74">
        <v>18</v>
      </c>
    </row>
    <row r="4511" spans="1:9" s="71" customFormat="1" ht="16.5" hidden="1" customHeight="1" outlineLevel="1" x14ac:dyDescent="0.25">
      <c r="A4511" s="74">
        <v>280</v>
      </c>
      <c r="B4511" s="45" t="s">
        <v>664</v>
      </c>
      <c r="C4511" s="60" t="s">
        <v>4108</v>
      </c>
      <c r="D4511" s="60"/>
      <c r="E4511" s="74">
        <v>2022</v>
      </c>
      <c r="F4511" s="74" t="s">
        <v>489</v>
      </c>
      <c r="G4511" s="61">
        <v>1</v>
      </c>
      <c r="H4511" s="45">
        <v>15</v>
      </c>
      <c r="I4511" s="74">
        <v>18</v>
      </c>
    </row>
    <row r="4512" spans="1:9" s="71" customFormat="1" ht="16.5" hidden="1" customHeight="1" outlineLevel="1" x14ac:dyDescent="0.25">
      <c r="A4512" s="74">
        <v>310</v>
      </c>
      <c r="B4512" s="45" t="s">
        <v>664</v>
      </c>
      <c r="C4512" s="60" t="s">
        <v>4109</v>
      </c>
      <c r="D4512" s="60"/>
      <c r="E4512" s="74">
        <v>2022</v>
      </c>
      <c r="F4512" s="74" t="s">
        <v>489</v>
      </c>
      <c r="G4512" s="61">
        <v>1</v>
      </c>
      <c r="H4512" s="45">
        <v>15</v>
      </c>
      <c r="I4512" s="74">
        <v>18</v>
      </c>
    </row>
    <row r="4513" spans="1:9" s="71" customFormat="1" ht="16.5" hidden="1" customHeight="1" outlineLevel="1" x14ac:dyDescent="0.25">
      <c r="A4513" s="74">
        <v>309</v>
      </c>
      <c r="B4513" s="45" t="s">
        <v>664</v>
      </c>
      <c r="C4513" s="60" t="s">
        <v>4110</v>
      </c>
      <c r="D4513" s="60"/>
      <c r="E4513" s="74">
        <v>2022</v>
      </c>
      <c r="F4513" s="74" t="s">
        <v>489</v>
      </c>
      <c r="G4513" s="61">
        <v>1</v>
      </c>
      <c r="H4513" s="45">
        <v>20</v>
      </c>
      <c r="I4513" s="74">
        <v>17</v>
      </c>
    </row>
    <row r="4514" spans="1:9" s="71" customFormat="1" ht="16.5" hidden="1" customHeight="1" outlineLevel="1" x14ac:dyDescent="0.25">
      <c r="A4514" s="74">
        <v>307</v>
      </c>
      <c r="B4514" s="45" t="s">
        <v>664</v>
      </c>
      <c r="C4514" s="60" t="s">
        <v>4111</v>
      </c>
      <c r="D4514" s="60"/>
      <c r="E4514" s="74">
        <v>2022</v>
      </c>
      <c r="F4514" s="74" t="s">
        <v>489</v>
      </c>
      <c r="G4514" s="61">
        <v>1</v>
      </c>
      <c r="H4514" s="45">
        <v>1</v>
      </c>
      <c r="I4514" s="74">
        <v>17</v>
      </c>
    </row>
    <row r="4515" spans="1:9" s="71" customFormat="1" ht="16.5" hidden="1" customHeight="1" outlineLevel="1" x14ac:dyDescent="0.25">
      <c r="A4515" s="74">
        <v>308</v>
      </c>
      <c r="B4515" s="45" t="s">
        <v>664</v>
      </c>
      <c r="C4515" s="60" t="s">
        <v>4112</v>
      </c>
      <c r="D4515" s="60"/>
      <c r="E4515" s="74">
        <v>2022</v>
      </c>
      <c r="F4515" s="74" t="s">
        <v>489</v>
      </c>
      <c r="G4515" s="61">
        <v>1</v>
      </c>
      <c r="H4515" s="45">
        <v>3</v>
      </c>
      <c r="I4515" s="74">
        <v>17</v>
      </c>
    </row>
    <row r="4516" spans="1:9" s="71" customFormat="1" ht="16.5" hidden="1" customHeight="1" outlineLevel="1" x14ac:dyDescent="0.25">
      <c r="A4516" s="74">
        <v>354</v>
      </c>
      <c r="B4516" s="45" t="s">
        <v>664</v>
      </c>
      <c r="C4516" s="60" t="s">
        <v>561</v>
      </c>
      <c r="D4516" s="60"/>
      <c r="E4516" s="74">
        <v>2022</v>
      </c>
      <c r="F4516" s="74" t="s">
        <v>489</v>
      </c>
      <c r="G4516" s="61">
        <v>5</v>
      </c>
      <c r="H4516" s="45">
        <v>15</v>
      </c>
      <c r="I4516" s="74">
        <v>344</v>
      </c>
    </row>
    <row r="4517" spans="1:9" s="71" customFormat="1" ht="16.5" hidden="1" customHeight="1" outlineLevel="1" x14ac:dyDescent="0.25">
      <c r="A4517" s="74">
        <v>396</v>
      </c>
      <c r="B4517" s="45" t="s">
        <v>664</v>
      </c>
      <c r="C4517" s="60" t="s">
        <v>4113</v>
      </c>
      <c r="D4517" s="60"/>
      <c r="E4517" s="74">
        <v>2022</v>
      </c>
      <c r="F4517" s="74" t="s">
        <v>489</v>
      </c>
      <c r="G4517" s="61">
        <v>2</v>
      </c>
      <c r="H4517" s="45">
        <v>21</v>
      </c>
      <c r="I4517" s="74">
        <v>73</v>
      </c>
    </row>
    <row r="4518" spans="1:9" s="71" customFormat="1" ht="16.5" hidden="1" customHeight="1" outlineLevel="1" x14ac:dyDescent="0.25">
      <c r="A4518" s="74">
        <v>398</v>
      </c>
      <c r="B4518" s="45" t="s">
        <v>664</v>
      </c>
      <c r="C4518" s="60" t="s">
        <v>562</v>
      </c>
      <c r="D4518" s="60"/>
      <c r="E4518" s="74">
        <v>2022</v>
      </c>
      <c r="F4518" s="74" t="s">
        <v>489</v>
      </c>
      <c r="G4518" s="61">
        <v>2</v>
      </c>
      <c r="H4518" s="45">
        <v>30</v>
      </c>
      <c r="I4518" s="74">
        <v>127</v>
      </c>
    </row>
    <row r="4519" spans="1:9" s="71" customFormat="1" ht="16.5" hidden="1" customHeight="1" outlineLevel="1" x14ac:dyDescent="0.25">
      <c r="A4519" s="74">
        <v>399</v>
      </c>
      <c r="B4519" s="45" t="s">
        <v>664</v>
      </c>
      <c r="C4519" s="60" t="s">
        <v>171</v>
      </c>
      <c r="D4519" s="60"/>
      <c r="E4519" s="74">
        <v>2022</v>
      </c>
      <c r="F4519" s="74" t="s">
        <v>489</v>
      </c>
      <c r="G4519" s="61">
        <v>1</v>
      </c>
      <c r="H4519" s="45">
        <v>150</v>
      </c>
      <c r="I4519" s="74">
        <v>53</v>
      </c>
    </row>
    <row r="4520" spans="1:9" s="71" customFormat="1" ht="16.5" hidden="1" customHeight="1" outlineLevel="1" x14ac:dyDescent="0.25">
      <c r="A4520" s="74">
        <v>351</v>
      </c>
      <c r="B4520" s="45" t="s">
        <v>664</v>
      </c>
      <c r="C4520" s="60" t="s">
        <v>4114</v>
      </c>
      <c r="D4520" s="60"/>
      <c r="E4520" s="74">
        <v>2022</v>
      </c>
      <c r="F4520" s="74" t="s">
        <v>489</v>
      </c>
      <c r="G4520" s="61">
        <v>6</v>
      </c>
      <c r="H4520" s="45">
        <v>40</v>
      </c>
      <c r="I4520" s="74">
        <v>326</v>
      </c>
    </row>
    <row r="4521" spans="1:9" s="71" customFormat="1" ht="16.5" hidden="1" customHeight="1" outlineLevel="1" x14ac:dyDescent="0.25">
      <c r="A4521" s="74">
        <v>316</v>
      </c>
      <c r="B4521" s="45" t="s">
        <v>664</v>
      </c>
      <c r="C4521" s="60" t="s">
        <v>4115</v>
      </c>
      <c r="D4521" s="60"/>
      <c r="E4521" s="74">
        <v>2022</v>
      </c>
      <c r="F4521" s="74" t="s">
        <v>489</v>
      </c>
      <c r="G4521" s="61">
        <v>1</v>
      </c>
      <c r="H4521" s="45">
        <v>1133.5</v>
      </c>
      <c r="I4521" s="74">
        <v>391</v>
      </c>
    </row>
    <row r="4522" spans="1:9" s="71" customFormat="1" ht="16.5" hidden="1" customHeight="1" outlineLevel="1" x14ac:dyDescent="0.25">
      <c r="A4522" s="74">
        <v>311</v>
      </c>
      <c r="B4522" s="45" t="s">
        <v>664</v>
      </c>
      <c r="C4522" s="60" t="s">
        <v>4116</v>
      </c>
      <c r="D4522" s="60"/>
      <c r="E4522" s="74">
        <v>2022</v>
      </c>
      <c r="F4522" s="74" t="s">
        <v>489</v>
      </c>
      <c r="G4522" s="61">
        <v>1</v>
      </c>
      <c r="H4522" s="45">
        <v>15</v>
      </c>
      <c r="I4522" s="74">
        <v>19</v>
      </c>
    </row>
    <row r="4523" spans="1:9" s="71" customFormat="1" ht="16.5" hidden="1" customHeight="1" outlineLevel="1" x14ac:dyDescent="0.25">
      <c r="A4523" s="74">
        <v>333</v>
      </c>
      <c r="B4523" s="45" t="s">
        <v>664</v>
      </c>
      <c r="C4523" s="60" t="s">
        <v>4117</v>
      </c>
      <c r="D4523" s="60"/>
      <c r="E4523" s="74">
        <v>2022</v>
      </c>
      <c r="F4523" s="74" t="s">
        <v>489</v>
      </c>
      <c r="G4523" s="61">
        <v>1</v>
      </c>
      <c r="H4523" s="45">
        <v>15</v>
      </c>
      <c r="I4523" s="74">
        <v>17</v>
      </c>
    </row>
    <row r="4524" spans="1:9" s="71" customFormat="1" ht="16.5" hidden="1" customHeight="1" outlineLevel="1" x14ac:dyDescent="0.25">
      <c r="A4524" s="74">
        <v>335</v>
      </c>
      <c r="B4524" s="45" t="s">
        <v>664</v>
      </c>
      <c r="C4524" s="60" t="s">
        <v>4118</v>
      </c>
      <c r="D4524" s="60"/>
      <c r="E4524" s="74">
        <v>2022</v>
      </c>
      <c r="F4524" s="74" t="s">
        <v>489</v>
      </c>
      <c r="G4524" s="61">
        <v>1</v>
      </c>
      <c r="H4524" s="45">
        <v>35</v>
      </c>
      <c r="I4524" s="74">
        <v>17</v>
      </c>
    </row>
    <row r="4525" spans="1:9" s="71" customFormat="1" ht="16.5" hidden="1" customHeight="1" outlineLevel="1" x14ac:dyDescent="0.25">
      <c r="A4525" s="74">
        <v>332</v>
      </c>
      <c r="B4525" s="45" t="s">
        <v>664</v>
      </c>
      <c r="C4525" s="60" t="s">
        <v>4119</v>
      </c>
      <c r="D4525" s="60"/>
      <c r="E4525" s="74">
        <v>2022</v>
      </c>
      <c r="F4525" s="74" t="s">
        <v>489</v>
      </c>
      <c r="G4525" s="61">
        <v>1</v>
      </c>
      <c r="H4525" s="45">
        <v>35</v>
      </c>
      <c r="I4525" s="74">
        <v>18</v>
      </c>
    </row>
    <row r="4526" spans="1:9" s="71" customFormat="1" ht="16.5" hidden="1" customHeight="1" outlineLevel="1" x14ac:dyDescent="0.25">
      <c r="A4526" s="74">
        <v>338</v>
      </c>
      <c r="B4526" s="45" t="s">
        <v>664</v>
      </c>
      <c r="C4526" s="60" t="s">
        <v>4120</v>
      </c>
      <c r="D4526" s="60"/>
      <c r="E4526" s="74">
        <v>2022</v>
      </c>
      <c r="F4526" s="74" t="s">
        <v>489</v>
      </c>
      <c r="G4526" s="61">
        <v>1</v>
      </c>
      <c r="H4526" s="45">
        <v>45</v>
      </c>
      <c r="I4526" s="74">
        <v>18</v>
      </c>
    </row>
    <row r="4527" spans="1:9" s="71" customFormat="1" ht="16.5" hidden="1" customHeight="1" outlineLevel="1" x14ac:dyDescent="0.25">
      <c r="A4527" s="74">
        <v>339</v>
      </c>
      <c r="B4527" s="45" t="s">
        <v>664</v>
      </c>
      <c r="C4527" s="60" t="s">
        <v>4121</v>
      </c>
      <c r="D4527" s="60"/>
      <c r="E4527" s="74">
        <v>2022</v>
      </c>
      <c r="F4527" s="74" t="s">
        <v>489</v>
      </c>
      <c r="G4527" s="61">
        <v>1</v>
      </c>
      <c r="H4527" s="45">
        <v>30</v>
      </c>
      <c r="I4527" s="74">
        <v>17</v>
      </c>
    </row>
    <row r="4528" spans="1:9" s="71" customFormat="1" ht="16.5" hidden="1" customHeight="1" outlineLevel="1" x14ac:dyDescent="0.25">
      <c r="A4528" s="74">
        <v>341</v>
      </c>
      <c r="B4528" s="45" t="s">
        <v>664</v>
      </c>
      <c r="C4528" s="60" t="s">
        <v>4122</v>
      </c>
      <c r="D4528" s="60"/>
      <c r="E4528" s="74">
        <v>2022</v>
      </c>
      <c r="F4528" s="74" t="s">
        <v>489</v>
      </c>
      <c r="G4528" s="61">
        <v>1</v>
      </c>
      <c r="H4528" s="45">
        <v>30</v>
      </c>
      <c r="I4528" s="74">
        <v>17</v>
      </c>
    </row>
    <row r="4529" spans="1:9" s="71" customFormat="1" ht="16.5" hidden="1" customHeight="1" outlineLevel="1" x14ac:dyDescent="0.25">
      <c r="A4529" s="74">
        <v>342</v>
      </c>
      <c r="B4529" s="45" t="s">
        <v>664</v>
      </c>
      <c r="C4529" s="60" t="s">
        <v>4123</v>
      </c>
      <c r="D4529" s="60"/>
      <c r="E4529" s="74">
        <v>2022</v>
      </c>
      <c r="F4529" s="74" t="s">
        <v>489</v>
      </c>
      <c r="G4529" s="61">
        <v>1</v>
      </c>
      <c r="H4529" s="45">
        <v>30</v>
      </c>
      <c r="I4529" s="74">
        <v>17</v>
      </c>
    </row>
    <row r="4530" spans="1:9" s="71" customFormat="1" ht="16.5" hidden="1" customHeight="1" outlineLevel="1" x14ac:dyDescent="0.25">
      <c r="A4530" s="74">
        <v>348</v>
      </c>
      <c r="B4530" s="45" t="s">
        <v>664</v>
      </c>
      <c r="C4530" s="60" t="s">
        <v>4124</v>
      </c>
      <c r="D4530" s="60"/>
      <c r="E4530" s="74">
        <v>2022</v>
      </c>
      <c r="F4530" s="74" t="s">
        <v>489</v>
      </c>
      <c r="G4530" s="61">
        <v>3</v>
      </c>
      <c r="H4530" s="45">
        <v>45</v>
      </c>
      <c r="I4530" s="74">
        <v>52</v>
      </c>
    </row>
    <row r="4531" spans="1:9" s="71" customFormat="1" ht="16.5" hidden="1" customHeight="1" outlineLevel="1" x14ac:dyDescent="0.25">
      <c r="A4531" s="74">
        <v>331</v>
      </c>
      <c r="B4531" s="45" t="s">
        <v>664</v>
      </c>
      <c r="C4531" s="60" t="s">
        <v>4125</v>
      </c>
      <c r="D4531" s="60"/>
      <c r="E4531" s="74">
        <v>2022</v>
      </c>
      <c r="F4531" s="74" t="s">
        <v>489</v>
      </c>
      <c r="G4531" s="61">
        <v>3</v>
      </c>
      <c r="H4531" s="45">
        <v>17</v>
      </c>
      <c r="I4531" s="74">
        <v>51</v>
      </c>
    </row>
    <row r="4532" spans="1:9" s="71" customFormat="1" ht="16.5" hidden="1" customHeight="1" outlineLevel="1" x14ac:dyDescent="0.25">
      <c r="A4532" s="74">
        <v>349</v>
      </c>
      <c r="B4532" s="45" t="s">
        <v>664</v>
      </c>
      <c r="C4532" s="60" t="s">
        <v>4126</v>
      </c>
      <c r="D4532" s="60"/>
      <c r="E4532" s="74">
        <v>2022</v>
      </c>
      <c r="F4532" s="74" t="s">
        <v>489</v>
      </c>
      <c r="G4532" s="61">
        <v>9</v>
      </c>
      <c r="H4532" s="45">
        <v>99</v>
      </c>
      <c r="I4532" s="74">
        <v>152</v>
      </c>
    </row>
    <row r="4533" spans="1:9" s="71" customFormat="1" ht="16.5" hidden="1" customHeight="1" outlineLevel="1" x14ac:dyDescent="0.25">
      <c r="A4533" s="74">
        <v>346</v>
      </c>
      <c r="B4533" s="45" t="s">
        <v>664</v>
      </c>
      <c r="C4533" s="60" t="s">
        <v>4127</v>
      </c>
      <c r="D4533" s="60"/>
      <c r="E4533" s="74">
        <v>2022</v>
      </c>
      <c r="F4533" s="74" t="s">
        <v>489</v>
      </c>
      <c r="G4533" s="61">
        <v>44</v>
      </c>
      <c r="H4533" s="45">
        <v>506.99</v>
      </c>
      <c r="I4533" s="74">
        <v>753</v>
      </c>
    </row>
    <row r="4534" spans="1:9" s="71" customFormat="1" ht="16.5" hidden="1" customHeight="1" outlineLevel="1" x14ac:dyDescent="0.25">
      <c r="A4534" s="74">
        <v>336</v>
      </c>
      <c r="B4534" s="45" t="s">
        <v>664</v>
      </c>
      <c r="C4534" s="60" t="s">
        <v>4128</v>
      </c>
      <c r="D4534" s="60"/>
      <c r="E4534" s="74">
        <v>2022</v>
      </c>
      <c r="F4534" s="74" t="s">
        <v>489</v>
      </c>
      <c r="G4534" s="61">
        <v>1</v>
      </c>
      <c r="H4534" s="45">
        <v>10</v>
      </c>
      <c r="I4534" s="74">
        <v>17</v>
      </c>
    </row>
    <row r="4535" spans="1:9" s="71" customFormat="1" ht="16.5" hidden="1" customHeight="1" outlineLevel="1" x14ac:dyDescent="0.25">
      <c r="A4535" s="74">
        <v>344</v>
      </c>
      <c r="B4535" s="45" t="s">
        <v>664</v>
      </c>
      <c r="C4535" s="60" t="s">
        <v>4129</v>
      </c>
      <c r="D4535" s="60"/>
      <c r="E4535" s="74">
        <v>2022</v>
      </c>
      <c r="F4535" s="74" t="s">
        <v>489</v>
      </c>
      <c r="G4535" s="61">
        <v>4</v>
      </c>
      <c r="H4535" s="45">
        <v>52</v>
      </c>
      <c r="I4535" s="74">
        <v>68</v>
      </c>
    </row>
    <row r="4536" spans="1:9" s="71" customFormat="1" ht="16.5" hidden="1" customHeight="1" outlineLevel="1" x14ac:dyDescent="0.25">
      <c r="A4536" s="74">
        <v>340</v>
      </c>
      <c r="B4536" s="45" t="s">
        <v>664</v>
      </c>
      <c r="C4536" s="60" t="s">
        <v>4130</v>
      </c>
      <c r="D4536" s="60"/>
      <c r="E4536" s="74">
        <v>2022</v>
      </c>
      <c r="F4536" s="74" t="s">
        <v>489</v>
      </c>
      <c r="G4536" s="61">
        <v>1</v>
      </c>
      <c r="H4536" s="45">
        <v>15</v>
      </c>
      <c r="I4536" s="74">
        <v>17</v>
      </c>
    </row>
    <row r="4537" spans="1:9" s="71" customFormat="1" ht="16.5" hidden="1" customHeight="1" outlineLevel="1" x14ac:dyDescent="0.25">
      <c r="A4537" s="74">
        <v>337</v>
      </c>
      <c r="B4537" s="45" t="s">
        <v>664</v>
      </c>
      <c r="C4537" s="60" t="s">
        <v>4131</v>
      </c>
      <c r="D4537" s="60"/>
      <c r="E4537" s="74">
        <v>2022</v>
      </c>
      <c r="F4537" s="74" t="s">
        <v>489</v>
      </c>
      <c r="G4537" s="61">
        <v>1</v>
      </c>
      <c r="H4537" s="45">
        <v>14</v>
      </c>
      <c r="I4537" s="74">
        <v>18</v>
      </c>
    </row>
    <row r="4538" spans="1:9" s="71" customFormat="1" ht="16.5" hidden="1" customHeight="1" outlineLevel="1" x14ac:dyDescent="0.25">
      <c r="A4538" s="74">
        <v>386</v>
      </c>
      <c r="B4538" s="45" t="s">
        <v>664</v>
      </c>
      <c r="C4538" s="60" t="s">
        <v>4132</v>
      </c>
      <c r="D4538" s="60"/>
      <c r="E4538" s="74">
        <v>2022</v>
      </c>
      <c r="F4538" s="74" t="s">
        <v>489</v>
      </c>
      <c r="G4538" s="61">
        <v>1</v>
      </c>
      <c r="H4538" s="45">
        <v>5</v>
      </c>
      <c r="I4538" s="74">
        <v>18</v>
      </c>
    </row>
    <row r="4539" spans="1:9" s="71" customFormat="1" ht="16.5" hidden="1" customHeight="1" outlineLevel="1" x14ac:dyDescent="0.25">
      <c r="A4539" s="74">
        <v>431</v>
      </c>
      <c r="B4539" s="45" t="s">
        <v>664</v>
      </c>
      <c r="C4539" s="60" t="s">
        <v>172</v>
      </c>
      <c r="D4539" s="60"/>
      <c r="E4539" s="74">
        <v>2022</v>
      </c>
      <c r="F4539" s="74" t="s">
        <v>489</v>
      </c>
      <c r="G4539" s="61">
        <v>21</v>
      </c>
      <c r="H4539" s="45">
        <v>405</v>
      </c>
      <c r="I4539" s="74">
        <v>724</v>
      </c>
    </row>
    <row r="4540" spans="1:9" s="71" customFormat="1" ht="16.5" hidden="1" customHeight="1" outlineLevel="1" x14ac:dyDescent="0.25">
      <c r="A4540" s="74">
        <v>428</v>
      </c>
      <c r="B4540" s="45" t="s">
        <v>664</v>
      </c>
      <c r="C4540" s="60" t="s">
        <v>4133</v>
      </c>
      <c r="D4540" s="60"/>
      <c r="E4540" s="74">
        <v>2022</v>
      </c>
      <c r="F4540" s="74" t="s">
        <v>489</v>
      </c>
      <c r="G4540" s="61">
        <v>2</v>
      </c>
      <c r="H4540" s="45">
        <v>30</v>
      </c>
      <c r="I4540" s="74">
        <v>47</v>
      </c>
    </row>
    <row r="4541" spans="1:9" s="71" customFormat="1" ht="16.5" hidden="1" customHeight="1" outlineLevel="1" x14ac:dyDescent="0.25">
      <c r="A4541" s="74">
        <v>429</v>
      </c>
      <c r="B4541" s="45" t="s">
        <v>664</v>
      </c>
      <c r="C4541" s="60" t="s">
        <v>4134</v>
      </c>
      <c r="D4541" s="60"/>
      <c r="E4541" s="74">
        <v>2022</v>
      </c>
      <c r="F4541" s="74" t="s">
        <v>489</v>
      </c>
      <c r="G4541" s="61">
        <v>1</v>
      </c>
      <c r="H4541" s="45">
        <v>15</v>
      </c>
      <c r="I4541" s="74">
        <v>68</v>
      </c>
    </row>
    <row r="4542" spans="1:9" s="71" customFormat="1" ht="16.5" hidden="1" customHeight="1" outlineLevel="1" x14ac:dyDescent="0.25">
      <c r="A4542" s="74">
        <v>427</v>
      </c>
      <c r="B4542" s="45" t="s">
        <v>664</v>
      </c>
      <c r="C4542" s="60" t="s">
        <v>4135</v>
      </c>
      <c r="D4542" s="60"/>
      <c r="E4542" s="74">
        <v>2022</v>
      </c>
      <c r="F4542" s="74" t="s">
        <v>489</v>
      </c>
      <c r="G4542" s="61">
        <v>1</v>
      </c>
      <c r="H4542" s="45">
        <v>15</v>
      </c>
      <c r="I4542" s="74">
        <v>78</v>
      </c>
    </row>
    <row r="4543" spans="1:9" s="71" customFormat="1" ht="16.5" hidden="1" customHeight="1" outlineLevel="1" x14ac:dyDescent="0.25">
      <c r="A4543" s="74">
        <v>430</v>
      </c>
      <c r="B4543" s="45" t="s">
        <v>664</v>
      </c>
      <c r="C4543" s="60" t="s">
        <v>450</v>
      </c>
      <c r="D4543" s="60"/>
      <c r="E4543" s="74">
        <v>2022</v>
      </c>
      <c r="F4543" s="74" t="s">
        <v>489</v>
      </c>
      <c r="G4543" s="61">
        <v>2</v>
      </c>
      <c r="H4543" s="45">
        <v>160</v>
      </c>
      <c r="I4543" s="74">
        <v>232</v>
      </c>
    </row>
    <row r="4544" spans="1:9" s="71" customFormat="1" ht="16.5" hidden="1" customHeight="1" outlineLevel="1" x14ac:dyDescent="0.25">
      <c r="A4544" s="74">
        <v>423</v>
      </c>
      <c r="B4544" s="45" t="s">
        <v>664</v>
      </c>
      <c r="C4544" s="60" t="s">
        <v>173</v>
      </c>
      <c r="D4544" s="60"/>
      <c r="E4544" s="74">
        <v>2022</v>
      </c>
      <c r="F4544" s="74" t="s">
        <v>489</v>
      </c>
      <c r="G4544" s="61">
        <v>3</v>
      </c>
      <c r="H4544" s="45">
        <v>45</v>
      </c>
      <c r="I4544" s="74">
        <v>115</v>
      </c>
    </row>
    <row r="4545" spans="1:9" s="71" customFormat="1" ht="16.5" hidden="1" customHeight="1" outlineLevel="1" x14ac:dyDescent="0.25">
      <c r="A4545" s="74">
        <v>424</v>
      </c>
      <c r="B4545" s="45" t="s">
        <v>664</v>
      </c>
      <c r="C4545" s="60" t="s">
        <v>174</v>
      </c>
      <c r="D4545" s="60"/>
      <c r="E4545" s="74">
        <v>2022</v>
      </c>
      <c r="F4545" s="74" t="s">
        <v>489</v>
      </c>
      <c r="G4545" s="61">
        <v>1</v>
      </c>
      <c r="H4545" s="45">
        <v>15</v>
      </c>
      <c r="I4545" s="74">
        <v>80</v>
      </c>
    </row>
    <row r="4546" spans="1:9" s="71" customFormat="1" ht="16.5" hidden="1" customHeight="1" outlineLevel="1" x14ac:dyDescent="0.25">
      <c r="A4546" s="74">
        <v>425</v>
      </c>
      <c r="B4546" s="45" t="s">
        <v>664</v>
      </c>
      <c r="C4546" s="60" t="s">
        <v>4136</v>
      </c>
      <c r="D4546" s="60"/>
      <c r="E4546" s="74">
        <v>2022</v>
      </c>
      <c r="F4546" s="74" t="s">
        <v>489</v>
      </c>
      <c r="G4546" s="61">
        <v>8</v>
      </c>
      <c r="H4546" s="45">
        <v>120</v>
      </c>
      <c r="I4546" s="74">
        <v>371</v>
      </c>
    </row>
    <row r="4547" spans="1:9" s="71" customFormat="1" ht="16.5" hidden="1" customHeight="1" outlineLevel="1" x14ac:dyDescent="0.25">
      <c r="A4547" s="74">
        <v>397</v>
      </c>
      <c r="B4547" s="45" t="s">
        <v>664</v>
      </c>
      <c r="C4547" s="60" t="s">
        <v>4137</v>
      </c>
      <c r="D4547" s="60"/>
      <c r="E4547" s="74">
        <v>2022</v>
      </c>
      <c r="F4547" s="74" t="s">
        <v>489</v>
      </c>
      <c r="G4547" s="61">
        <v>1</v>
      </c>
      <c r="H4547" s="45">
        <v>15</v>
      </c>
      <c r="I4547" s="74">
        <v>88</v>
      </c>
    </row>
    <row r="4548" spans="1:9" s="71" customFormat="1" ht="16.5" hidden="1" customHeight="1" outlineLevel="1" x14ac:dyDescent="0.25">
      <c r="A4548" s="74">
        <v>288</v>
      </c>
      <c r="B4548" s="45" t="s">
        <v>664</v>
      </c>
      <c r="C4548" s="60" t="s">
        <v>4138</v>
      </c>
      <c r="D4548" s="60"/>
      <c r="E4548" s="74">
        <v>2022</v>
      </c>
      <c r="F4548" s="74" t="s">
        <v>489</v>
      </c>
      <c r="G4548" s="61">
        <v>12</v>
      </c>
      <c r="H4548" s="45">
        <v>179.97</v>
      </c>
      <c r="I4548" s="74">
        <v>247</v>
      </c>
    </row>
    <row r="4549" spans="1:9" s="71" customFormat="1" ht="16.5" hidden="1" customHeight="1" outlineLevel="1" x14ac:dyDescent="0.25">
      <c r="A4549" s="74">
        <v>323</v>
      </c>
      <c r="B4549" s="45" t="s">
        <v>664</v>
      </c>
      <c r="C4549" s="60" t="s">
        <v>4139</v>
      </c>
      <c r="D4549" s="60"/>
      <c r="E4549" s="74">
        <v>2022</v>
      </c>
      <c r="F4549" s="74" t="s">
        <v>489</v>
      </c>
      <c r="G4549" s="61">
        <v>2</v>
      </c>
      <c r="H4549" s="45">
        <v>30</v>
      </c>
      <c r="I4549" s="74">
        <v>44</v>
      </c>
    </row>
    <row r="4550" spans="1:9" s="71" customFormat="1" ht="16.5" hidden="1" customHeight="1" outlineLevel="1" x14ac:dyDescent="0.25">
      <c r="A4550" s="74">
        <v>375</v>
      </c>
      <c r="B4550" s="45" t="s">
        <v>664</v>
      </c>
      <c r="C4550" s="60" t="s">
        <v>4140</v>
      </c>
      <c r="D4550" s="60"/>
      <c r="E4550" s="74">
        <v>2022</v>
      </c>
      <c r="F4550" s="74" t="s">
        <v>489</v>
      </c>
      <c r="G4550" s="61">
        <v>1</v>
      </c>
      <c r="H4550" s="45">
        <v>15</v>
      </c>
      <c r="I4550" s="74">
        <v>23</v>
      </c>
    </row>
    <row r="4551" spans="1:9" s="71" customFormat="1" ht="16.5" hidden="1" customHeight="1" outlineLevel="1" x14ac:dyDescent="0.25">
      <c r="A4551" s="74">
        <v>297</v>
      </c>
      <c r="B4551" s="45" t="s">
        <v>664</v>
      </c>
      <c r="C4551" s="60" t="s">
        <v>175</v>
      </c>
      <c r="D4551" s="60"/>
      <c r="E4551" s="74">
        <v>2022</v>
      </c>
      <c r="F4551" s="74" t="s">
        <v>489</v>
      </c>
      <c r="G4551" s="61">
        <v>1</v>
      </c>
      <c r="H4551" s="45">
        <v>15</v>
      </c>
      <c r="I4551" s="74">
        <v>24</v>
      </c>
    </row>
    <row r="4552" spans="1:9" s="71" customFormat="1" ht="16.5" hidden="1" customHeight="1" outlineLevel="1" x14ac:dyDescent="0.25">
      <c r="A4552" s="74">
        <v>326</v>
      </c>
      <c r="B4552" s="45" t="s">
        <v>664</v>
      </c>
      <c r="C4552" s="60" t="s">
        <v>4141</v>
      </c>
      <c r="D4552" s="60"/>
      <c r="E4552" s="74">
        <v>2022</v>
      </c>
      <c r="F4552" s="74" t="s">
        <v>489</v>
      </c>
      <c r="G4552" s="61">
        <v>1</v>
      </c>
      <c r="H4552" s="45">
        <v>15</v>
      </c>
      <c r="I4552" s="74">
        <v>23</v>
      </c>
    </row>
    <row r="4553" spans="1:9" s="71" customFormat="1" ht="16.5" hidden="1" customHeight="1" outlineLevel="1" x14ac:dyDescent="0.25">
      <c r="A4553" s="74">
        <v>319</v>
      </c>
      <c r="B4553" s="45" t="s">
        <v>664</v>
      </c>
      <c r="C4553" s="60" t="s">
        <v>4142</v>
      </c>
      <c r="D4553" s="60"/>
      <c r="E4553" s="74">
        <v>2022</v>
      </c>
      <c r="F4553" s="74" t="s">
        <v>489</v>
      </c>
      <c r="G4553" s="61">
        <v>1</v>
      </c>
      <c r="H4553" s="45">
        <v>15</v>
      </c>
      <c r="I4553" s="74">
        <v>23</v>
      </c>
    </row>
    <row r="4554" spans="1:9" s="71" customFormat="1" ht="16.5" hidden="1" customHeight="1" outlineLevel="1" x14ac:dyDescent="0.25">
      <c r="A4554" s="74">
        <v>295</v>
      </c>
      <c r="B4554" s="45" t="s">
        <v>664</v>
      </c>
      <c r="C4554" s="60" t="s">
        <v>176</v>
      </c>
      <c r="D4554" s="60"/>
      <c r="E4554" s="74">
        <v>2022</v>
      </c>
      <c r="F4554" s="74" t="s">
        <v>489</v>
      </c>
      <c r="G4554" s="61">
        <v>1</v>
      </c>
      <c r="H4554" s="45">
        <v>15</v>
      </c>
      <c r="I4554" s="74">
        <v>24</v>
      </c>
    </row>
    <row r="4555" spans="1:9" s="71" customFormat="1" ht="16.5" hidden="1" customHeight="1" outlineLevel="1" x14ac:dyDescent="0.25">
      <c r="A4555" s="74">
        <v>383</v>
      </c>
      <c r="B4555" s="45" t="s">
        <v>664</v>
      </c>
      <c r="C4555" s="60" t="s">
        <v>4143</v>
      </c>
      <c r="D4555" s="60"/>
      <c r="E4555" s="74">
        <v>2022</v>
      </c>
      <c r="F4555" s="74" t="s">
        <v>489</v>
      </c>
      <c r="G4555" s="61">
        <v>1</v>
      </c>
      <c r="H4555" s="45">
        <v>15</v>
      </c>
      <c r="I4555" s="74">
        <v>27</v>
      </c>
    </row>
    <row r="4556" spans="1:9" s="71" customFormat="1" ht="16.5" hidden="1" customHeight="1" outlineLevel="1" x14ac:dyDescent="0.25">
      <c r="A4556" s="74">
        <v>330</v>
      </c>
      <c r="B4556" s="45" t="s">
        <v>664</v>
      </c>
      <c r="C4556" s="60" t="s">
        <v>4144</v>
      </c>
      <c r="D4556" s="60"/>
      <c r="E4556" s="74">
        <v>2022</v>
      </c>
      <c r="F4556" s="74" t="s">
        <v>489</v>
      </c>
      <c r="G4556" s="61">
        <v>1</v>
      </c>
      <c r="H4556" s="45">
        <v>15</v>
      </c>
      <c r="I4556" s="74">
        <v>24</v>
      </c>
    </row>
    <row r="4557" spans="1:9" s="71" customFormat="1" ht="16.5" hidden="1" customHeight="1" outlineLevel="1" x14ac:dyDescent="0.25">
      <c r="A4557" s="74">
        <v>320</v>
      </c>
      <c r="B4557" s="45" t="s">
        <v>664</v>
      </c>
      <c r="C4557" s="60" t="s">
        <v>4145</v>
      </c>
      <c r="D4557" s="60"/>
      <c r="E4557" s="74">
        <v>2022</v>
      </c>
      <c r="F4557" s="74" t="s">
        <v>489</v>
      </c>
      <c r="G4557" s="61">
        <v>1</v>
      </c>
      <c r="H4557" s="45">
        <v>15</v>
      </c>
      <c r="I4557" s="74">
        <v>22</v>
      </c>
    </row>
    <row r="4558" spans="1:9" s="71" customFormat="1" ht="16.5" hidden="1" customHeight="1" outlineLevel="1" x14ac:dyDescent="0.25">
      <c r="A4558" s="74">
        <v>303</v>
      </c>
      <c r="B4558" s="45" t="s">
        <v>664</v>
      </c>
      <c r="C4558" s="60" t="s">
        <v>177</v>
      </c>
      <c r="D4558" s="60"/>
      <c r="E4558" s="74">
        <v>2022</v>
      </c>
      <c r="F4558" s="74" t="s">
        <v>489</v>
      </c>
      <c r="G4558" s="61">
        <v>1</v>
      </c>
      <c r="H4558" s="45">
        <v>15</v>
      </c>
      <c r="I4558" s="74">
        <v>24</v>
      </c>
    </row>
    <row r="4559" spans="1:9" s="71" customFormat="1" ht="16.5" hidden="1" customHeight="1" outlineLevel="1" x14ac:dyDescent="0.25">
      <c r="A4559" s="74">
        <v>325</v>
      </c>
      <c r="B4559" s="45" t="s">
        <v>664</v>
      </c>
      <c r="C4559" s="60" t="s">
        <v>4146</v>
      </c>
      <c r="D4559" s="60"/>
      <c r="E4559" s="74">
        <v>2022</v>
      </c>
      <c r="F4559" s="74" t="s">
        <v>489</v>
      </c>
      <c r="G4559" s="61">
        <v>1</v>
      </c>
      <c r="H4559" s="45">
        <v>14</v>
      </c>
      <c r="I4559" s="74">
        <v>24</v>
      </c>
    </row>
    <row r="4560" spans="1:9" s="71" customFormat="1" ht="16.5" hidden="1" customHeight="1" outlineLevel="1" x14ac:dyDescent="0.25">
      <c r="A4560" s="74">
        <v>328</v>
      </c>
      <c r="B4560" s="45" t="s">
        <v>664</v>
      </c>
      <c r="C4560" s="60" t="s">
        <v>4147</v>
      </c>
      <c r="D4560" s="60"/>
      <c r="E4560" s="74">
        <v>2022</v>
      </c>
      <c r="F4560" s="74" t="s">
        <v>489</v>
      </c>
      <c r="G4560" s="61">
        <v>1</v>
      </c>
      <c r="H4560" s="45">
        <v>14</v>
      </c>
      <c r="I4560" s="74">
        <v>24</v>
      </c>
    </row>
    <row r="4561" spans="1:9" s="71" customFormat="1" ht="16.5" hidden="1" customHeight="1" outlineLevel="1" x14ac:dyDescent="0.25">
      <c r="A4561" s="74">
        <v>382</v>
      </c>
      <c r="B4561" s="45" t="s">
        <v>664</v>
      </c>
      <c r="C4561" s="60" t="s">
        <v>4148</v>
      </c>
      <c r="D4561" s="60"/>
      <c r="E4561" s="74">
        <v>2022</v>
      </c>
      <c r="F4561" s="74" t="s">
        <v>489</v>
      </c>
      <c r="G4561" s="61">
        <v>1</v>
      </c>
      <c r="H4561" s="45">
        <v>15</v>
      </c>
      <c r="I4561" s="74">
        <v>19</v>
      </c>
    </row>
    <row r="4562" spans="1:9" s="71" customFormat="1" ht="16.5" hidden="1" customHeight="1" outlineLevel="1" x14ac:dyDescent="0.25">
      <c r="A4562" s="74">
        <v>321</v>
      </c>
      <c r="B4562" s="45" t="s">
        <v>664</v>
      </c>
      <c r="C4562" s="60" t="s">
        <v>4149</v>
      </c>
      <c r="D4562" s="60"/>
      <c r="E4562" s="74">
        <v>2022</v>
      </c>
      <c r="F4562" s="74" t="s">
        <v>489</v>
      </c>
      <c r="G4562" s="61">
        <v>2</v>
      </c>
      <c r="H4562" s="45">
        <v>30</v>
      </c>
      <c r="I4562" s="74">
        <v>42</v>
      </c>
    </row>
    <row r="4563" spans="1:9" s="71" customFormat="1" ht="16.5" hidden="1" customHeight="1" outlineLevel="1" x14ac:dyDescent="0.25">
      <c r="A4563" s="74">
        <v>301</v>
      </c>
      <c r="B4563" s="45" t="s">
        <v>664</v>
      </c>
      <c r="C4563" s="60" t="s">
        <v>178</v>
      </c>
      <c r="D4563" s="60"/>
      <c r="E4563" s="74">
        <v>2022</v>
      </c>
      <c r="F4563" s="74" t="s">
        <v>489</v>
      </c>
      <c r="G4563" s="61">
        <v>1</v>
      </c>
      <c r="H4563" s="45">
        <v>15</v>
      </c>
      <c r="I4563" s="74">
        <v>24</v>
      </c>
    </row>
    <row r="4564" spans="1:9" s="71" customFormat="1" ht="16.5" hidden="1" customHeight="1" outlineLevel="1" x14ac:dyDescent="0.25">
      <c r="A4564" s="74">
        <v>374</v>
      </c>
      <c r="B4564" s="45" t="s">
        <v>664</v>
      </c>
      <c r="C4564" s="60" t="s">
        <v>4150</v>
      </c>
      <c r="D4564" s="60"/>
      <c r="E4564" s="74">
        <v>2022</v>
      </c>
      <c r="F4564" s="74" t="s">
        <v>489</v>
      </c>
      <c r="G4564" s="61">
        <v>1</v>
      </c>
      <c r="H4564" s="45">
        <v>15</v>
      </c>
      <c r="I4564" s="74">
        <v>23</v>
      </c>
    </row>
    <row r="4565" spans="1:9" s="71" customFormat="1" ht="16.5" hidden="1" customHeight="1" outlineLevel="1" x14ac:dyDescent="0.25">
      <c r="A4565" s="74">
        <v>327</v>
      </c>
      <c r="B4565" s="45" t="s">
        <v>664</v>
      </c>
      <c r="C4565" s="60" t="s">
        <v>4151</v>
      </c>
      <c r="D4565" s="60"/>
      <c r="E4565" s="74">
        <v>2022</v>
      </c>
      <c r="F4565" s="74" t="s">
        <v>489</v>
      </c>
      <c r="G4565" s="61">
        <v>1</v>
      </c>
      <c r="H4565" s="45">
        <v>15</v>
      </c>
      <c r="I4565" s="74">
        <v>23</v>
      </c>
    </row>
    <row r="4566" spans="1:9" s="71" customFormat="1" ht="16.5" hidden="1" customHeight="1" outlineLevel="1" x14ac:dyDescent="0.25">
      <c r="A4566" s="74">
        <v>365</v>
      </c>
      <c r="B4566" s="45" t="s">
        <v>664</v>
      </c>
      <c r="C4566" s="60" t="s">
        <v>4152</v>
      </c>
      <c r="D4566" s="60"/>
      <c r="E4566" s="74">
        <v>2022</v>
      </c>
      <c r="F4566" s="74" t="s">
        <v>489</v>
      </c>
      <c r="G4566" s="61">
        <v>1</v>
      </c>
      <c r="H4566" s="45">
        <v>15</v>
      </c>
      <c r="I4566" s="74">
        <v>23</v>
      </c>
    </row>
    <row r="4567" spans="1:9" s="71" customFormat="1" ht="16.5" hidden="1" customHeight="1" outlineLevel="1" x14ac:dyDescent="0.25">
      <c r="A4567" s="74">
        <v>285</v>
      </c>
      <c r="B4567" s="45" t="s">
        <v>664</v>
      </c>
      <c r="C4567" s="60" t="s">
        <v>4153</v>
      </c>
      <c r="D4567" s="60"/>
      <c r="E4567" s="74">
        <v>2022</v>
      </c>
      <c r="F4567" s="74" t="s">
        <v>489</v>
      </c>
      <c r="G4567" s="61">
        <v>1</v>
      </c>
      <c r="H4567" s="45">
        <v>15</v>
      </c>
      <c r="I4567" s="74">
        <v>24</v>
      </c>
    </row>
    <row r="4568" spans="1:9" s="71" customFormat="1" ht="16.5" hidden="1" customHeight="1" outlineLevel="1" x14ac:dyDescent="0.25">
      <c r="A4568" s="74">
        <v>389</v>
      </c>
      <c r="B4568" s="45" t="s">
        <v>664</v>
      </c>
      <c r="C4568" s="60" t="s">
        <v>4154</v>
      </c>
      <c r="D4568" s="60"/>
      <c r="E4568" s="74">
        <v>2022</v>
      </c>
      <c r="F4568" s="74" t="s">
        <v>489</v>
      </c>
      <c r="G4568" s="61">
        <v>1</v>
      </c>
      <c r="H4568" s="45">
        <v>100</v>
      </c>
      <c r="I4568" s="74">
        <v>14</v>
      </c>
    </row>
    <row r="4569" spans="1:9" s="71" customFormat="1" ht="16.5" hidden="1" customHeight="1" outlineLevel="1" x14ac:dyDescent="0.25">
      <c r="A4569" s="74">
        <v>385</v>
      </c>
      <c r="B4569" s="45" t="s">
        <v>664</v>
      </c>
      <c r="C4569" s="60" t="s">
        <v>4155</v>
      </c>
      <c r="D4569" s="60"/>
      <c r="E4569" s="74">
        <v>2022</v>
      </c>
      <c r="F4569" s="74" t="s">
        <v>489</v>
      </c>
      <c r="G4569" s="61">
        <v>1</v>
      </c>
      <c r="H4569" s="45">
        <v>150</v>
      </c>
      <c r="I4569" s="74">
        <v>14</v>
      </c>
    </row>
    <row r="4570" spans="1:9" s="71" customFormat="1" ht="16.5" hidden="1" customHeight="1" outlineLevel="1" x14ac:dyDescent="0.25">
      <c r="A4570" s="74">
        <v>391</v>
      </c>
      <c r="B4570" s="45" t="s">
        <v>664</v>
      </c>
      <c r="C4570" s="60" t="s">
        <v>4156</v>
      </c>
      <c r="D4570" s="60"/>
      <c r="E4570" s="74">
        <v>2022</v>
      </c>
      <c r="F4570" s="74" t="s">
        <v>489</v>
      </c>
      <c r="G4570" s="61">
        <v>1</v>
      </c>
      <c r="H4570" s="45">
        <v>150</v>
      </c>
      <c r="I4570" s="74">
        <v>14</v>
      </c>
    </row>
    <row r="4571" spans="1:9" s="71" customFormat="1" ht="16.5" hidden="1" customHeight="1" outlineLevel="1" x14ac:dyDescent="0.25">
      <c r="A4571" s="74">
        <v>394</v>
      </c>
      <c r="B4571" s="45" t="s">
        <v>664</v>
      </c>
      <c r="C4571" s="60" t="s">
        <v>4157</v>
      </c>
      <c r="D4571" s="60"/>
      <c r="E4571" s="74">
        <v>2022</v>
      </c>
      <c r="F4571" s="74" t="s">
        <v>489</v>
      </c>
      <c r="G4571" s="61">
        <v>2</v>
      </c>
      <c r="H4571" s="45">
        <v>10</v>
      </c>
      <c r="I4571" s="74">
        <v>35</v>
      </c>
    </row>
    <row r="4572" spans="1:9" s="71" customFormat="1" ht="16.5" hidden="1" customHeight="1" outlineLevel="1" x14ac:dyDescent="0.25">
      <c r="A4572" s="74">
        <v>395</v>
      </c>
      <c r="B4572" s="45" t="s">
        <v>664</v>
      </c>
      <c r="C4572" s="60" t="s">
        <v>4158</v>
      </c>
      <c r="D4572" s="60"/>
      <c r="E4572" s="74">
        <v>2022</v>
      </c>
      <c r="F4572" s="74" t="s">
        <v>489</v>
      </c>
      <c r="G4572" s="61">
        <v>25</v>
      </c>
      <c r="H4572" s="45">
        <v>264</v>
      </c>
      <c r="I4572" s="74">
        <v>416</v>
      </c>
    </row>
    <row r="4573" spans="1:9" s="71" customFormat="1" ht="16.5" hidden="1" customHeight="1" outlineLevel="1" x14ac:dyDescent="0.25">
      <c r="A4573" s="74">
        <v>408</v>
      </c>
      <c r="B4573" s="45" t="s">
        <v>664</v>
      </c>
      <c r="C4573" s="60" t="s">
        <v>4159</v>
      </c>
      <c r="D4573" s="60"/>
      <c r="E4573" s="74">
        <v>2022</v>
      </c>
      <c r="F4573" s="74" t="s">
        <v>489</v>
      </c>
      <c r="G4573" s="61">
        <v>46</v>
      </c>
      <c r="H4573" s="45">
        <v>574</v>
      </c>
      <c r="I4573" s="74">
        <v>1616</v>
      </c>
    </row>
    <row r="4574" spans="1:9" s="71" customFormat="1" ht="16.5" hidden="1" customHeight="1" outlineLevel="1" x14ac:dyDescent="0.25">
      <c r="A4574" s="74">
        <v>294</v>
      </c>
      <c r="B4574" s="45" t="s">
        <v>664</v>
      </c>
      <c r="C4574" s="60" t="s">
        <v>4160</v>
      </c>
      <c r="D4574" s="60"/>
      <c r="E4574" s="74">
        <v>2022</v>
      </c>
      <c r="F4574" s="74" t="s">
        <v>489</v>
      </c>
      <c r="G4574" s="61">
        <v>1</v>
      </c>
      <c r="H4574" s="45">
        <v>10</v>
      </c>
      <c r="I4574" s="74">
        <v>24</v>
      </c>
    </row>
    <row r="4575" spans="1:9" s="71" customFormat="1" ht="16.5" hidden="1" customHeight="1" outlineLevel="1" x14ac:dyDescent="0.25">
      <c r="A4575" s="74">
        <v>293</v>
      </c>
      <c r="B4575" s="45" t="s">
        <v>664</v>
      </c>
      <c r="C4575" s="60" t="s">
        <v>4161</v>
      </c>
      <c r="D4575" s="60"/>
      <c r="E4575" s="74">
        <v>2022</v>
      </c>
      <c r="F4575" s="74" t="s">
        <v>489</v>
      </c>
      <c r="G4575" s="61">
        <v>1</v>
      </c>
      <c r="H4575" s="45">
        <v>10</v>
      </c>
      <c r="I4575" s="74">
        <v>24</v>
      </c>
    </row>
    <row r="4576" spans="1:9" s="71" customFormat="1" ht="16.5" hidden="1" customHeight="1" outlineLevel="1" x14ac:dyDescent="0.25">
      <c r="A4576" s="74">
        <v>296</v>
      </c>
      <c r="B4576" s="45" t="s">
        <v>664</v>
      </c>
      <c r="C4576" s="60" t="s">
        <v>4162</v>
      </c>
      <c r="D4576" s="60"/>
      <c r="E4576" s="74">
        <v>2022</v>
      </c>
      <c r="F4576" s="74" t="s">
        <v>489</v>
      </c>
      <c r="G4576" s="61">
        <v>1</v>
      </c>
      <c r="H4576" s="45">
        <v>15</v>
      </c>
      <c r="I4576" s="74">
        <v>24</v>
      </c>
    </row>
    <row r="4577" spans="1:9" s="71" customFormat="1" ht="16.5" hidden="1" customHeight="1" outlineLevel="1" x14ac:dyDescent="0.25">
      <c r="A4577" s="74">
        <v>291</v>
      </c>
      <c r="B4577" s="45" t="s">
        <v>664</v>
      </c>
      <c r="C4577" s="60" t="s">
        <v>4163</v>
      </c>
      <c r="D4577" s="60"/>
      <c r="E4577" s="74">
        <v>2022</v>
      </c>
      <c r="F4577" s="74" t="s">
        <v>489</v>
      </c>
      <c r="G4577" s="61">
        <v>1</v>
      </c>
      <c r="H4577" s="45">
        <v>15</v>
      </c>
      <c r="I4577" s="74">
        <v>22</v>
      </c>
    </row>
    <row r="4578" spans="1:9" s="71" customFormat="1" ht="16.5" hidden="1" customHeight="1" outlineLevel="1" x14ac:dyDescent="0.25">
      <c r="A4578" s="74">
        <v>393</v>
      </c>
      <c r="B4578" s="45" t="s">
        <v>664</v>
      </c>
      <c r="C4578" s="60" t="s">
        <v>4164</v>
      </c>
      <c r="D4578" s="60"/>
      <c r="E4578" s="74">
        <v>2022</v>
      </c>
      <c r="F4578" s="74" t="s">
        <v>489</v>
      </c>
      <c r="G4578" s="61">
        <v>2</v>
      </c>
      <c r="H4578" s="45">
        <v>30</v>
      </c>
      <c r="I4578" s="74">
        <v>35</v>
      </c>
    </row>
    <row r="4579" spans="1:9" s="71" customFormat="1" ht="16.5" hidden="1" customHeight="1" outlineLevel="1" x14ac:dyDescent="0.25">
      <c r="A4579" s="74">
        <v>387</v>
      </c>
      <c r="B4579" s="45" t="s">
        <v>664</v>
      </c>
      <c r="C4579" s="60" t="s">
        <v>4165</v>
      </c>
      <c r="D4579" s="60"/>
      <c r="E4579" s="74">
        <v>2022</v>
      </c>
      <c r="F4579" s="74" t="s">
        <v>489</v>
      </c>
      <c r="G4579" s="61">
        <v>1</v>
      </c>
      <c r="H4579" s="45">
        <v>13</v>
      </c>
      <c r="I4579" s="74">
        <v>17</v>
      </c>
    </row>
    <row r="4580" spans="1:9" s="71" customFormat="1" ht="16.5" hidden="1" customHeight="1" outlineLevel="1" x14ac:dyDescent="0.25">
      <c r="A4580" s="74">
        <v>421</v>
      </c>
      <c r="B4580" s="45" t="s">
        <v>664</v>
      </c>
      <c r="C4580" s="60" t="s">
        <v>4166</v>
      </c>
      <c r="D4580" s="60"/>
      <c r="E4580" s="74">
        <v>2022</v>
      </c>
      <c r="F4580" s="74" t="s">
        <v>489</v>
      </c>
      <c r="G4580" s="61">
        <v>2</v>
      </c>
      <c r="H4580" s="45">
        <v>15</v>
      </c>
      <c r="I4580" s="74">
        <v>34</v>
      </c>
    </row>
    <row r="4581" spans="1:9" s="71" customFormat="1" ht="16.5" hidden="1" customHeight="1" outlineLevel="1" x14ac:dyDescent="0.25">
      <c r="A4581" s="74">
        <v>299</v>
      </c>
      <c r="B4581" s="45" t="s">
        <v>664</v>
      </c>
      <c r="C4581" s="60" t="s">
        <v>4167</v>
      </c>
      <c r="D4581" s="60"/>
      <c r="E4581" s="74">
        <v>2022</v>
      </c>
      <c r="F4581" s="74" t="s">
        <v>489</v>
      </c>
      <c r="G4581" s="61">
        <v>1</v>
      </c>
      <c r="H4581" s="45">
        <v>15</v>
      </c>
      <c r="I4581" s="74">
        <v>23</v>
      </c>
    </row>
    <row r="4582" spans="1:9" s="71" customFormat="1" ht="16.5" hidden="1" customHeight="1" outlineLevel="1" x14ac:dyDescent="0.25">
      <c r="A4582" s="74">
        <v>318</v>
      </c>
      <c r="B4582" s="45" t="s">
        <v>664</v>
      </c>
      <c r="C4582" s="60" t="s">
        <v>473</v>
      </c>
      <c r="D4582" s="60"/>
      <c r="E4582" s="74">
        <v>2022</v>
      </c>
      <c r="F4582" s="74" t="s">
        <v>489</v>
      </c>
      <c r="G4582" s="61">
        <v>1</v>
      </c>
      <c r="H4582" s="45">
        <v>10</v>
      </c>
      <c r="I4582" s="74">
        <v>21</v>
      </c>
    </row>
    <row r="4583" spans="1:9" s="71" customFormat="1" ht="16.5" hidden="1" customHeight="1" outlineLevel="1" x14ac:dyDescent="0.25">
      <c r="A4583" s="74">
        <v>304</v>
      </c>
      <c r="B4583" s="45" t="s">
        <v>664</v>
      </c>
      <c r="C4583" s="60" t="s">
        <v>179</v>
      </c>
      <c r="D4583" s="60"/>
      <c r="E4583" s="74">
        <v>2022</v>
      </c>
      <c r="F4583" s="74" t="s">
        <v>489</v>
      </c>
      <c r="G4583" s="61">
        <v>1</v>
      </c>
      <c r="H4583" s="45">
        <v>15</v>
      </c>
      <c r="I4583" s="74">
        <v>25</v>
      </c>
    </row>
    <row r="4584" spans="1:9" s="71" customFormat="1" ht="16.5" hidden="1" customHeight="1" outlineLevel="1" x14ac:dyDescent="0.25">
      <c r="A4584" s="74">
        <v>362</v>
      </c>
      <c r="B4584" s="45" t="s">
        <v>664</v>
      </c>
      <c r="C4584" s="60" t="s">
        <v>4168</v>
      </c>
      <c r="D4584" s="60"/>
      <c r="E4584" s="74">
        <v>2022</v>
      </c>
      <c r="F4584" s="74" t="s">
        <v>489</v>
      </c>
      <c r="G4584" s="61">
        <v>1</v>
      </c>
      <c r="H4584" s="45">
        <v>15</v>
      </c>
      <c r="I4584" s="74">
        <v>21</v>
      </c>
    </row>
    <row r="4585" spans="1:9" s="71" customFormat="1" ht="16.5" hidden="1" customHeight="1" outlineLevel="1" x14ac:dyDescent="0.25">
      <c r="A4585" s="74">
        <v>413</v>
      </c>
      <c r="B4585" s="45" t="s">
        <v>664</v>
      </c>
      <c r="C4585" s="60" t="s">
        <v>4169</v>
      </c>
      <c r="D4585" s="60"/>
      <c r="E4585" s="74">
        <v>2022</v>
      </c>
      <c r="F4585" s="74" t="s">
        <v>489</v>
      </c>
      <c r="G4585" s="61">
        <v>1</v>
      </c>
      <c r="H4585" s="45">
        <v>2</v>
      </c>
      <c r="I4585" s="74">
        <v>18</v>
      </c>
    </row>
    <row r="4586" spans="1:9" s="71" customFormat="1" ht="16.5" hidden="1" customHeight="1" outlineLevel="1" x14ac:dyDescent="0.25">
      <c r="A4586" s="74">
        <v>300</v>
      </c>
      <c r="B4586" s="45" t="s">
        <v>664</v>
      </c>
      <c r="C4586" s="60" t="s">
        <v>4170</v>
      </c>
      <c r="D4586" s="60"/>
      <c r="E4586" s="74">
        <v>2022</v>
      </c>
      <c r="F4586" s="74" t="s">
        <v>489</v>
      </c>
      <c r="G4586" s="61">
        <v>1</v>
      </c>
      <c r="H4586" s="45">
        <v>15</v>
      </c>
      <c r="I4586" s="74">
        <v>22</v>
      </c>
    </row>
    <row r="4587" spans="1:9" s="71" customFormat="1" ht="16.5" hidden="1" customHeight="1" outlineLevel="1" x14ac:dyDescent="0.25">
      <c r="A4587" s="74">
        <v>388</v>
      </c>
      <c r="B4587" s="45" t="s">
        <v>664</v>
      </c>
      <c r="C4587" s="60" t="s">
        <v>4171</v>
      </c>
      <c r="D4587" s="60"/>
      <c r="E4587" s="74">
        <v>2022</v>
      </c>
      <c r="F4587" s="74" t="s">
        <v>489</v>
      </c>
      <c r="G4587" s="61">
        <v>3</v>
      </c>
      <c r="H4587" s="45">
        <v>30</v>
      </c>
      <c r="I4587" s="74">
        <v>52</v>
      </c>
    </row>
    <row r="4588" spans="1:9" s="71" customFormat="1" ht="16.5" hidden="1" customHeight="1" outlineLevel="1" x14ac:dyDescent="0.25">
      <c r="A4588" s="74">
        <v>415</v>
      </c>
      <c r="B4588" s="45" t="s">
        <v>664</v>
      </c>
      <c r="C4588" s="60" t="s">
        <v>4172</v>
      </c>
      <c r="D4588" s="60"/>
      <c r="E4588" s="74">
        <v>2022</v>
      </c>
      <c r="F4588" s="74" t="s">
        <v>489</v>
      </c>
      <c r="G4588" s="61">
        <v>1</v>
      </c>
      <c r="H4588" s="45">
        <v>2</v>
      </c>
      <c r="I4588" s="74">
        <v>36</v>
      </c>
    </row>
    <row r="4589" spans="1:9" s="71" customFormat="1" ht="16.5" hidden="1" customHeight="1" outlineLevel="1" x14ac:dyDescent="0.25">
      <c r="A4589" s="74">
        <v>417</v>
      </c>
      <c r="B4589" s="45" t="s">
        <v>664</v>
      </c>
      <c r="C4589" s="60" t="s">
        <v>4173</v>
      </c>
      <c r="D4589" s="60"/>
      <c r="E4589" s="74">
        <v>2022</v>
      </c>
      <c r="F4589" s="74" t="s">
        <v>489</v>
      </c>
      <c r="G4589" s="61">
        <v>2</v>
      </c>
      <c r="H4589" s="45">
        <v>3</v>
      </c>
      <c r="I4589" s="74">
        <v>72</v>
      </c>
    </row>
    <row r="4590" spans="1:9" s="71" customFormat="1" ht="16.5" hidden="1" customHeight="1" outlineLevel="1" x14ac:dyDescent="0.25">
      <c r="A4590" s="74">
        <v>409</v>
      </c>
      <c r="B4590" s="45" t="s">
        <v>664</v>
      </c>
      <c r="C4590" s="60" t="s">
        <v>4174</v>
      </c>
      <c r="D4590" s="60"/>
      <c r="E4590" s="74">
        <v>2022</v>
      </c>
      <c r="F4590" s="74" t="s">
        <v>489</v>
      </c>
      <c r="G4590" s="61">
        <v>1</v>
      </c>
      <c r="H4590" s="45">
        <v>7.5</v>
      </c>
      <c r="I4590" s="74">
        <v>36</v>
      </c>
    </row>
    <row r="4591" spans="1:9" s="71" customFormat="1" ht="16.5" hidden="1" customHeight="1" outlineLevel="1" x14ac:dyDescent="0.25">
      <c r="A4591" s="74">
        <v>416</v>
      </c>
      <c r="B4591" s="45" t="s">
        <v>664</v>
      </c>
      <c r="C4591" s="60" t="s">
        <v>4175</v>
      </c>
      <c r="D4591" s="60"/>
      <c r="E4591" s="74">
        <v>2022</v>
      </c>
      <c r="F4591" s="74" t="s">
        <v>489</v>
      </c>
      <c r="G4591" s="61">
        <v>1</v>
      </c>
      <c r="H4591" s="45">
        <v>1</v>
      </c>
      <c r="I4591" s="74">
        <v>35</v>
      </c>
    </row>
    <row r="4592" spans="1:9" s="71" customFormat="1" ht="16.5" hidden="1" customHeight="1" outlineLevel="1" x14ac:dyDescent="0.25">
      <c r="A4592" s="74">
        <v>432</v>
      </c>
      <c r="B4592" s="45" t="s">
        <v>664</v>
      </c>
      <c r="C4592" s="60" t="s">
        <v>180</v>
      </c>
      <c r="D4592" s="60"/>
      <c r="E4592" s="74">
        <v>2022</v>
      </c>
      <c r="F4592" s="74" t="s">
        <v>489</v>
      </c>
      <c r="G4592" s="61">
        <v>1</v>
      </c>
      <c r="H4592" s="45">
        <v>15</v>
      </c>
      <c r="I4592" s="74">
        <v>51</v>
      </c>
    </row>
    <row r="4593" spans="1:9" s="71" customFormat="1" ht="16.5" hidden="1" customHeight="1" outlineLevel="1" x14ac:dyDescent="0.25">
      <c r="A4593" s="74">
        <v>426</v>
      </c>
      <c r="B4593" s="45" t="s">
        <v>664</v>
      </c>
      <c r="C4593" s="60" t="s">
        <v>4176</v>
      </c>
      <c r="D4593" s="60"/>
      <c r="E4593" s="74">
        <v>2022</v>
      </c>
      <c r="F4593" s="74" t="s">
        <v>489</v>
      </c>
      <c r="G4593" s="61">
        <v>7</v>
      </c>
      <c r="H4593" s="45">
        <v>104.4</v>
      </c>
      <c r="I4593" s="74">
        <v>286</v>
      </c>
    </row>
    <row r="4594" spans="1:9" s="71" customFormat="1" ht="16.5" hidden="1" customHeight="1" outlineLevel="1" x14ac:dyDescent="0.25">
      <c r="A4594" s="74">
        <v>322</v>
      </c>
      <c r="B4594" s="45" t="s">
        <v>664</v>
      </c>
      <c r="C4594" s="60" t="s">
        <v>4177</v>
      </c>
      <c r="D4594" s="60"/>
      <c r="E4594" s="74">
        <v>2022</v>
      </c>
      <c r="F4594" s="74" t="s">
        <v>489</v>
      </c>
      <c r="G4594" s="61">
        <v>1</v>
      </c>
      <c r="H4594" s="45">
        <v>15</v>
      </c>
      <c r="I4594" s="74">
        <v>23</v>
      </c>
    </row>
    <row r="4595" spans="1:9" s="71" customFormat="1" ht="16.5" hidden="1" customHeight="1" outlineLevel="1" x14ac:dyDescent="0.25">
      <c r="A4595" s="74">
        <v>324</v>
      </c>
      <c r="B4595" s="45" t="s">
        <v>664</v>
      </c>
      <c r="C4595" s="60" t="s">
        <v>4178</v>
      </c>
      <c r="D4595" s="60"/>
      <c r="E4595" s="74">
        <v>2022</v>
      </c>
      <c r="F4595" s="74" t="s">
        <v>489</v>
      </c>
      <c r="G4595" s="61">
        <v>1</v>
      </c>
      <c r="H4595" s="45">
        <v>15</v>
      </c>
      <c r="I4595" s="74">
        <v>27</v>
      </c>
    </row>
    <row r="4596" spans="1:9" s="71" customFormat="1" ht="16.5" hidden="1" customHeight="1" outlineLevel="1" x14ac:dyDescent="0.25">
      <c r="A4596" s="74">
        <v>376</v>
      </c>
      <c r="B4596" s="45" t="s">
        <v>664</v>
      </c>
      <c r="C4596" s="60" t="s">
        <v>4179</v>
      </c>
      <c r="D4596" s="60"/>
      <c r="E4596" s="74">
        <v>2022</v>
      </c>
      <c r="F4596" s="74" t="s">
        <v>489</v>
      </c>
      <c r="G4596" s="61">
        <v>1</v>
      </c>
      <c r="H4596" s="45">
        <v>15</v>
      </c>
      <c r="I4596" s="74">
        <v>26</v>
      </c>
    </row>
    <row r="4597" spans="1:9" s="71" customFormat="1" ht="16.5" hidden="1" customHeight="1" outlineLevel="1" x14ac:dyDescent="0.25">
      <c r="A4597" s="74">
        <v>360</v>
      </c>
      <c r="B4597" s="45" t="s">
        <v>664</v>
      </c>
      <c r="C4597" s="60" t="s">
        <v>4180</v>
      </c>
      <c r="D4597" s="60"/>
      <c r="E4597" s="74">
        <v>2022</v>
      </c>
      <c r="F4597" s="74" t="s">
        <v>489</v>
      </c>
      <c r="G4597" s="61">
        <v>1</v>
      </c>
      <c r="H4597" s="45">
        <v>15</v>
      </c>
      <c r="I4597" s="74">
        <v>26</v>
      </c>
    </row>
    <row r="4598" spans="1:9" s="71" customFormat="1" ht="16.5" hidden="1" customHeight="1" outlineLevel="1" x14ac:dyDescent="0.25">
      <c r="A4598" s="74">
        <v>369</v>
      </c>
      <c r="B4598" s="45" t="s">
        <v>664</v>
      </c>
      <c r="C4598" s="60" t="s">
        <v>4181</v>
      </c>
      <c r="D4598" s="60"/>
      <c r="E4598" s="74">
        <v>2022</v>
      </c>
      <c r="F4598" s="74" t="s">
        <v>489</v>
      </c>
      <c r="G4598" s="61">
        <v>1</v>
      </c>
      <c r="H4598" s="45">
        <v>15</v>
      </c>
      <c r="I4598" s="74">
        <v>26</v>
      </c>
    </row>
    <row r="4599" spans="1:9" s="71" customFormat="1" ht="16.5" hidden="1" customHeight="1" outlineLevel="1" x14ac:dyDescent="0.25">
      <c r="A4599" s="74">
        <v>373</v>
      </c>
      <c r="B4599" s="45" t="s">
        <v>664</v>
      </c>
      <c r="C4599" s="60" t="s">
        <v>4182</v>
      </c>
      <c r="D4599" s="60"/>
      <c r="E4599" s="74">
        <v>2022</v>
      </c>
      <c r="F4599" s="74" t="s">
        <v>489</v>
      </c>
      <c r="G4599" s="61">
        <v>1</v>
      </c>
      <c r="H4599" s="45">
        <v>15</v>
      </c>
      <c r="I4599" s="74">
        <v>24</v>
      </c>
    </row>
    <row r="4600" spans="1:9" s="71" customFormat="1" ht="16.5" hidden="1" customHeight="1" outlineLevel="1" x14ac:dyDescent="0.25">
      <c r="A4600" s="74">
        <v>364</v>
      </c>
      <c r="B4600" s="45" t="s">
        <v>664</v>
      </c>
      <c r="C4600" s="60" t="s">
        <v>4183</v>
      </c>
      <c r="D4600" s="60"/>
      <c r="E4600" s="74">
        <v>2022</v>
      </c>
      <c r="F4600" s="74" t="s">
        <v>489</v>
      </c>
      <c r="G4600" s="61">
        <v>1</v>
      </c>
      <c r="H4600" s="45">
        <v>15</v>
      </c>
      <c r="I4600" s="74">
        <v>27</v>
      </c>
    </row>
    <row r="4601" spans="1:9" s="71" customFormat="1" ht="16.5" hidden="1" customHeight="1" outlineLevel="1" x14ac:dyDescent="0.25">
      <c r="A4601" s="74">
        <v>367</v>
      </c>
      <c r="B4601" s="45" t="s">
        <v>664</v>
      </c>
      <c r="C4601" s="60" t="s">
        <v>4184</v>
      </c>
      <c r="D4601" s="60"/>
      <c r="E4601" s="74">
        <v>2022</v>
      </c>
      <c r="F4601" s="74" t="s">
        <v>489</v>
      </c>
      <c r="G4601" s="61">
        <v>1</v>
      </c>
      <c r="H4601" s="45">
        <v>15</v>
      </c>
      <c r="I4601" s="74">
        <v>26</v>
      </c>
    </row>
    <row r="4602" spans="1:9" s="71" customFormat="1" ht="16.5" hidden="1" customHeight="1" outlineLevel="1" x14ac:dyDescent="0.25">
      <c r="A4602" s="74">
        <v>368</v>
      </c>
      <c r="B4602" s="45" t="s">
        <v>664</v>
      </c>
      <c r="C4602" s="60" t="s">
        <v>4185</v>
      </c>
      <c r="D4602" s="60"/>
      <c r="E4602" s="74">
        <v>2022</v>
      </c>
      <c r="F4602" s="74" t="s">
        <v>489</v>
      </c>
      <c r="G4602" s="61">
        <v>1</v>
      </c>
      <c r="H4602" s="45">
        <v>15</v>
      </c>
      <c r="I4602" s="74">
        <v>26</v>
      </c>
    </row>
    <row r="4603" spans="1:9" s="71" customFormat="1" ht="16.5" hidden="1" customHeight="1" outlineLevel="1" x14ac:dyDescent="0.25">
      <c r="A4603" s="74">
        <v>372</v>
      </c>
      <c r="B4603" s="45" t="s">
        <v>664</v>
      </c>
      <c r="C4603" s="60" t="s">
        <v>4186</v>
      </c>
      <c r="D4603" s="60"/>
      <c r="E4603" s="74">
        <v>2022</v>
      </c>
      <c r="F4603" s="74" t="s">
        <v>489</v>
      </c>
      <c r="G4603" s="61">
        <v>1</v>
      </c>
      <c r="H4603" s="45">
        <v>15</v>
      </c>
      <c r="I4603" s="74">
        <v>24</v>
      </c>
    </row>
    <row r="4604" spans="1:9" s="71" customFormat="1" ht="16.5" hidden="1" customHeight="1" outlineLevel="1" x14ac:dyDescent="0.25">
      <c r="A4604" s="74">
        <v>371</v>
      </c>
      <c r="B4604" s="45" t="s">
        <v>664</v>
      </c>
      <c r="C4604" s="60" t="s">
        <v>4187</v>
      </c>
      <c r="D4604" s="60"/>
      <c r="E4604" s="74">
        <v>2022</v>
      </c>
      <c r="F4604" s="74" t="s">
        <v>489</v>
      </c>
      <c r="G4604" s="61">
        <v>1</v>
      </c>
      <c r="H4604" s="45">
        <v>15</v>
      </c>
      <c r="I4604" s="74">
        <v>24</v>
      </c>
    </row>
    <row r="4605" spans="1:9" s="71" customFormat="1" ht="16.5" hidden="1" customHeight="1" outlineLevel="1" x14ac:dyDescent="0.25">
      <c r="A4605" s="74">
        <v>377</v>
      </c>
      <c r="B4605" s="45" t="s">
        <v>664</v>
      </c>
      <c r="C4605" s="60" t="s">
        <v>4188</v>
      </c>
      <c r="D4605" s="60"/>
      <c r="E4605" s="74">
        <v>2022</v>
      </c>
      <c r="F4605" s="74" t="s">
        <v>489</v>
      </c>
      <c r="G4605" s="61">
        <v>1</v>
      </c>
      <c r="H4605" s="45">
        <v>15</v>
      </c>
      <c r="I4605" s="74">
        <v>25</v>
      </c>
    </row>
    <row r="4606" spans="1:9" s="71" customFormat="1" ht="16.5" hidden="1" customHeight="1" outlineLevel="1" x14ac:dyDescent="0.25">
      <c r="A4606" s="74">
        <v>379</v>
      </c>
      <c r="B4606" s="45" t="s">
        <v>664</v>
      </c>
      <c r="C4606" s="60" t="s">
        <v>4189</v>
      </c>
      <c r="D4606" s="60"/>
      <c r="E4606" s="74">
        <v>2022</v>
      </c>
      <c r="F4606" s="74" t="s">
        <v>489</v>
      </c>
      <c r="G4606" s="61">
        <v>1</v>
      </c>
      <c r="H4606" s="45">
        <v>15</v>
      </c>
      <c r="I4606" s="74">
        <v>26</v>
      </c>
    </row>
    <row r="4607" spans="1:9" s="71" customFormat="1" ht="16.5" hidden="1" customHeight="1" outlineLevel="1" x14ac:dyDescent="0.25">
      <c r="A4607" s="74">
        <v>378</v>
      </c>
      <c r="B4607" s="45" t="s">
        <v>664</v>
      </c>
      <c r="C4607" s="60" t="s">
        <v>4190</v>
      </c>
      <c r="D4607" s="60"/>
      <c r="E4607" s="74">
        <v>2022</v>
      </c>
      <c r="F4607" s="74" t="s">
        <v>489</v>
      </c>
      <c r="G4607" s="61">
        <v>1</v>
      </c>
      <c r="H4607" s="45">
        <v>15</v>
      </c>
      <c r="I4607" s="74">
        <v>26</v>
      </c>
    </row>
    <row r="4608" spans="1:9" s="71" customFormat="1" ht="16.5" hidden="1" customHeight="1" outlineLevel="1" x14ac:dyDescent="0.25">
      <c r="A4608" s="74">
        <v>380</v>
      </c>
      <c r="B4608" s="45" t="s">
        <v>664</v>
      </c>
      <c r="C4608" s="60" t="s">
        <v>4191</v>
      </c>
      <c r="D4608" s="60"/>
      <c r="E4608" s="74">
        <v>2022</v>
      </c>
      <c r="F4608" s="74" t="s">
        <v>489</v>
      </c>
      <c r="G4608" s="61">
        <v>1</v>
      </c>
      <c r="H4608" s="45">
        <v>15</v>
      </c>
      <c r="I4608" s="74">
        <v>23</v>
      </c>
    </row>
    <row r="4609" spans="1:9" s="71" customFormat="1" ht="16.5" hidden="1" customHeight="1" outlineLevel="1" x14ac:dyDescent="0.25">
      <c r="A4609" s="74">
        <v>361</v>
      </c>
      <c r="B4609" s="45" t="s">
        <v>664</v>
      </c>
      <c r="C4609" s="60" t="s">
        <v>4192</v>
      </c>
      <c r="D4609" s="60"/>
      <c r="E4609" s="74">
        <v>2022</v>
      </c>
      <c r="F4609" s="74" t="s">
        <v>489</v>
      </c>
      <c r="G4609" s="61">
        <v>1</v>
      </c>
      <c r="H4609" s="45">
        <v>10</v>
      </c>
      <c r="I4609" s="74">
        <v>26</v>
      </c>
    </row>
    <row r="4610" spans="1:9" s="71" customFormat="1" ht="16.5" hidden="1" customHeight="1" outlineLevel="1" x14ac:dyDescent="0.25">
      <c r="A4610" s="74">
        <v>407</v>
      </c>
      <c r="B4610" s="45" t="s">
        <v>664</v>
      </c>
      <c r="C4610" s="60" t="s">
        <v>4193</v>
      </c>
      <c r="D4610" s="60"/>
      <c r="E4610" s="74">
        <v>2022</v>
      </c>
      <c r="F4610" s="74" t="s">
        <v>489</v>
      </c>
      <c r="G4610" s="61">
        <v>2</v>
      </c>
      <c r="H4610" s="45">
        <v>30</v>
      </c>
      <c r="I4610" s="74">
        <v>94</v>
      </c>
    </row>
    <row r="4611" spans="1:9" s="71" customFormat="1" ht="16.5" hidden="1" customHeight="1" outlineLevel="1" x14ac:dyDescent="0.25">
      <c r="A4611" s="74">
        <v>441</v>
      </c>
      <c r="B4611" s="45" t="s">
        <v>664</v>
      </c>
      <c r="C4611" s="60" t="s">
        <v>4194</v>
      </c>
      <c r="D4611" s="60"/>
      <c r="E4611" s="74">
        <v>2022</v>
      </c>
      <c r="F4611" s="74" t="s">
        <v>489</v>
      </c>
      <c r="G4611" s="61">
        <v>8</v>
      </c>
      <c r="H4611" s="45">
        <v>113.5</v>
      </c>
      <c r="I4611" s="74">
        <v>281</v>
      </c>
    </row>
    <row r="4612" spans="1:9" s="71" customFormat="1" ht="16.5" hidden="1" customHeight="1" outlineLevel="1" x14ac:dyDescent="0.25">
      <c r="A4612" s="74">
        <v>442</v>
      </c>
      <c r="B4612" s="45" t="s">
        <v>664</v>
      </c>
      <c r="C4612" s="60" t="s">
        <v>4195</v>
      </c>
      <c r="D4612" s="60"/>
      <c r="E4612" s="74">
        <v>2022</v>
      </c>
      <c r="F4612" s="74" t="s">
        <v>489</v>
      </c>
      <c r="G4612" s="61">
        <v>5</v>
      </c>
      <c r="H4612" s="45">
        <v>74</v>
      </c>
      <c r="I4612" s="74">
        <v>176</v>
      </c>
    </row>
    <row r="4613" spans="1:9" s="71" customFormat="1" ht="16.5" hidden="1" customHeight="1" outlineLevel="1" x14ac:dyDescent="0.25">
      <c r="A4613" s="74">
        <v>447</v>
      </c>
      <c r="B4613" s="45" t="s">
        <v>664</v>
      </c>
      <c r="C4613" s="60" t="s">
        <v>4196</v>
      </c>
      <c r="D4613" s="60"/>
      <c r="E4613" s="74">
        <v>2022</v>
      </c>
      <c r="F4613" s="74" t="s">
        <v>489</v>
      </c>
      <c r="G4613" s="61">
        <v>1</v>
      </c>
      <c r="H4613" s="45">
        <v>15</v>
      </c>
      <c r="I4613" s="74">
        <v>35</v>
      </c>
    </row>
    <row r="4614" spans="1:9" s="71" customFormat="1" ht="16.5" hidden="1" customHeight="1" outlineLevel="1" x14ac:dyDescent="0.25">
      <c r="A4614" s="74">
        <v>434</v>
      </c>
      <c r="B4614" s="45" t="s">
        <v>664</v>
      </c>
      <c r="C4614" s="60" t="s">
        <v>4197</v>
      </c>
      <c r="D4614" s="60"/>
      <c r="E4614" s="74">
        <v>2022</v>
      </c>
      <c r="F4614" s="74" t="s">
        <v>489</v>
      </c>
      <c r="G4614" s="61">
        <v>41</v>
      </c>
      <c r="H4614" s="45">
        <v>525</v>
      </c>
      <c r="I4614" s="74">
        <v>1445</v>
      </c>
    </row>
    <row r="4615" spans="1:9" s="71" customFormat="1" ht="16.5" hidden="1" customHeight="1" outlineLevel="1" x14ac:dyDescent="0.25">
      <c r="A4615" s="74">
        <v>406</v>
      </c>
      <c r="B4615" s="45" t="s">
        <v>664</v>
      </c>
      <c r="C4615" s="60" t="s">
        <v>4198</v>
      </c>
      <c r="D4615" s="60"/>
      <c r="E4615" s="74">
        <v>2022</v>
      </c>
      <c r="F4615" s="74" t="s">
        <v>489</v>
      </c>
      <c r="G4615" s="61">
        <v>1</v>
      </c>
      <c r="H4615" s="45">
        <v>15</v>
      </c>
      <c r="I4615" s="74">
        <v>29</v>
      </c>
    </row>
    <row r="4616" spans="1:9" s="71" customFormat="1" ht="16.5" hidden="1" customHeight="1" outlineLevel="1" x14ac:dyDescent="0.25">
      <c r="A4616" s="74">
        <v>404</v>
      </c>
      <c r="B4616" s="45" t="s">
        <v>664</v>
      </c>
      <c r="C4616" s="60" t="s">
        <v>4199</v>
      </c>
      <c r="D4616" s="60"/>
      <c r="E4616" s="74">
        <v>2022</v>
      </c>
      <c r="F4616" s="74" t="s">
        <v>489</v>
      </c>
      <c r="G4616" s="61">
        <v>1</v>
      </c>
      <c r="H4616" s="45">
        <v>15</v>
      </c>
      <c r="I4616" s="74">
        <v>29</v>
      </c>
    </row>
    <row r="4617" spans="1:9" s="71" customFormat="1" ht="16.5" hidden="1" customHeight="1" outlineLevel="1" x14ac:dyDescent="0.25">
      <c r="A4617" s="74">
        <v>433</v>
      </c>
      <c r="B4617" s="45" t="s">
        <v>664</v>
      </c>
      <c r="C4617" s="60" t="s">
        <v>4200</v>
      </c>
      <c r="D4617" s="60"/>
      <c r="E4617" s="74">
        <v>2022</v>
      </c>
      <c r="F4617" s="74" t="s">
        <v>489</v>
      </c>
      <c r="G4617" s="61">
        <v>1</v>
      </c>
      <c r="H4617" s="45">
        <v>15</v>
      </c>
      <c r="I4617" s="74">
        <v>46</v>
      </c>
    </row>
    <row r="4618" spans="1:9" s="71" customFormat="1" ht="16.5" hidden="1" customHeight="1" outlineLevel="1" x14ac:dyDescent="0.25">
      <c r="A4618" s="74">
        <v>443</v>
      </c>
      <c r="B4618" s="45" t="s">
        <v>664</v>
      </c>
      <c r="C4618" s="60" t="s">
        <v>4201</v>
      </c>
      <c r="D4618" s="60"/>
      <c r="E4618" s="74">
        <v>2022</v>
      </c>
      <c r="F4618" s="74" t="s">
        <v>489</v>
      </c>
      <c r="G4618" s="61">
        <v>1</v>
      </c>
      <c r="H4618" s="45">
        <v>15</v>
      </c>
      <c r="I4618" s="74">
        <v>35</v>
      </c>
    </row>
    <row r="4619" spans="1:9" s="71" customFormat="1" ht="16.5" hidden="1" customHeight="1" outlineLevel="1" x14ac:dyDescent="0.25">
      <c r="A4619" s="74">
        <v>444</v>
      </c>
      <c r="B4619" s="45" t="s">
        <v>664</v>
      </c>
      <c r="C4619" s="60" t="s">
        <v>4202</v>
      </c>
      <c r="D4619" s="60"/>
      <c r="E4619" s="74">
        <v>2022</v>
      </c>
      <c r="F4619" s="74" t="s">
        <v>489</v>
      </c>
      <c r="G4619" s="61">
        <v>1</v>
      </c>
      <c r="H4619" s="45">
        <v>15</v>
      </c>
      <c r="I4619" s="74">
        <v>35</v>
      </c>
    </row>
    <row r="4620" spans="1:9" s="71" customFormat="1" ht="16.5" hidden="1" customHeight="1" outlineLevel="1" x14ac:dyDescent="0.25">
      <c r="A4620" s="74">
        <v>437</v>
      </c>
      <c r="B4620" s="45" t="s">
        <v>664</v>
      </c>
      <c r="C4620" s="60" t="s">
        <v>4203</v>
      </c>
      <c r="D4620" s="60"/>
      <c r="E4620" s="74">
        <v>2022</v>
      </c>
      <c r="F4620" s="74" t="s">
        <v>489</v>
      </c>
      <c r="G4620" s="61">
        <v>1</v>
      </c>
      <c r="H4620" s="45">
        <v>10</v>
      </c>
      <c r="I4620" s="74">
        <v>36</v>
      </c>
    </row>
    <row r="4621" spans="1:9" s="71" customFormat="1" ht="16.5" hidden="1" customHeight="1" outlineLevel="1" x14ac:dyDescent="0.25">
      <c r="A4621" s="74">
        <v>403</v>
      </c>
      <c r="B4621" s="45" t="s">
        <v>664</v>
      </c>
      <c r="C4621" s="60" t="s">
        <v>4204</v>
      </c>
      <c r="D4621" s="60"/>
      <c r="E4621" s="74">
        <v>2022</v>
      </c>
      <c r="F4621" s="74" t="s">
        <v>489</v>
      </c>
      <c r="G4621" s="61">
        <v>1</v>
      </c>
      <c r="H4621" s="45">
        <v>5</v>
      </c>
      <c r="I4621" s="74">
        <v>48</v>
      </c>
    </row>
    <row r="4622" spans="1:9" s="71" customFormat="1" ht="16.5" hidden="1" customHeight="1" outlineLevel="1" x14ac:dyDescent="0.25">
      <c r="A4622" s="74">
        <v>446</v>
      </c>
      <c r="B4622" s="45" t="s">
        <v>664</v>
      </c>
      <c r="C4622" s="60" t="s">
        <v>4205</v>
      </c>
      <c r="D4622" s="60"/>
      <c r="E4622" s="74">
        <v>2022</v>
      </c>
      <c r="F4622" s="74" t="s">
        <v>489</v>
      </c>
      <c r="G4622" s="61">
        <v>1</v>
      </c>
      <c r="H4622" s="45">
        <v>10</v>
      </c>
      <c r="I4622" s="74">
        <v>35</v>
      </c>
    </row>
    <row r="4623" spans="1:9" s="71" customFormat="1" ht="16.5" hidden="1" customHeight="1" outlineLevel="1" x14ac:dyDescent="0.25">
      <c r="A4623" s="74">
        <v>445</v>
      </c>
      <c r="B4623" s="45" t="s">
        <v>664</v>
      </c>
      <c r="C4623" s="60" t="s">
        <v>4206</v>
      </c>
      <c r="D4623" s="60"/>
      <c r="E4623" s="74">
        <v>2022</v>
      </c>
      <c r="F4623" s="74" t="s">
        <v>489</v>
      </c>
      <c r="G4623" s="61">
        <v>1</v>
      </c>
      <c r="H4623" s="45">
        <v>10</v>
      </c>
      <c r="I4623" s="74">
        <v>35</v>
      </c>
    </row>
    <row r="4624" spans="1:9" s="71" customFormat="1" ht="16.5" hidden="1" customHeight="1" outlineLevel="1" x14ac:dyDescent="0.25">
      <c r="A4624" s="74">
        <v>396</v>
      </c>
      <c r="B4624" s="45" t="s">
        <v>664</v>
      </c>
      <c r="C4624" s="60" t="s">
        <v>4113</v>
      </c>
      <c r="D4624" s="60"/>
      <c r="E4624" s="74">
        <v>2022</v>
      </c>
      <c r="F4624" s="74" t="s">
        <v>489</v>
      </c>
      <c r="G4624" s="61">
        <v>2</v>
      </c>
      <c r="H4624" s="45">
        <v>21</v>
      </c>
      <c r="I4624" s="74">
        <v>73</v>
      </c>
    </row>
    <row r="4625" spans="1:9" s="71" customFormat="1" ht="16.5" hidden="1" customHeight="1" outlineLevel="1" x14ac:dyDescent="0.25">
      <c r="A4625" s="74">
        <v>351</v>
      </c>
      <c r="B4625" s="45" t="s">
        <v>664</v>
      </c>
      <c r="C4625" s="60" t="s">
        <v>4114</v>
      </c>
      <c r="D4625" s="60"/>
      <c r="E4625" s="74">
        <v>2022</v>
      </c>
      <c r="F4625" s="74" t="s">
        <v>489</v>
      </c>
      <c r="G4625" s="61">
        <v>6</v>
      </c>
      <c r="H4625" s="45">
        <v>40</v>
      </c>
      <c r="I4625" s="74">
        <v>326</v>
      </c>
    </row>
    <row r="4626" spans="1:9" s="71" customFormat="1" ht="16.5" hidden="1" customHeight="1" outlineLevel="1" x14ac:dyDescent="0.25">
      <c r="A4626" s="74">
        <v>392</v>
      </c>
      <c r="B4626" s="45" t="s">
        <v>664</v>
      </c>
      <c r="C4626" s="60" t="s">
        <v>4207</v>
      </c>
      <c r="D4626" s="60"/>
      <c r="E4626" s="74">
        <v>2022</v>
      </c>
      <c r="F4626" s="74" t="s">
        <v>489</v>
      </c>
      <c r="G4626" s="61">
        <v>4</v>
      </c>
      <c r="H4626" s="45">
        <v>60</v>
      </c>
      <c r="I4626" s="74">
        <v>79</v>
      </c>
    </row>
    <row r="4627" spans="1:9" s="71" customFormat="1" ht="16.5" hidden="1" customHeight="1" outlineLevel="1" x14ac:dyDescent="0.25">
      <c r="A4627" s="74">
        <v>5399</v>
      </c>
      <c r="B4627" s="45" t="s">
        <v>664</v>
      </c>
      <c r="C4627" s="60" t="s">
        <v>4208</v>
      </c>
      <c r="D4627" s="60"/>
      <c r="E4627" s="74">
        <v>2022</v>
      </c>
      <c r="F4627" s="74" t="s">
        <v>489</v>
      </c>
      <c r="G4627" s="61">
        <v>1</v>
      </c>
      <c r="H4627" s="45">
        <v>13</v>
      </c>
      <c r="I4627" s="74">
        <v>27.149100000000001</v>
      </c>
    </row>
    <row r="4628" spans="1:9" s="71" customFormat="1" ht="16.5" hidden="1" customHeight="1" outlineLevel="1" x14ac:dyDescent="0.25">
      <c r="A4628" s="74">
        <v>5129</v>
      </c>
      <c r="B4628" s="45" t="s">
        <v>664</v>
      </c>
      <c r="C4628" s="60" t="s">
        <v>4209</v>
      </c>
      <c r="D4628" s="60"/>
      <c r="E4628" s="74">
        <v>2022</v>
      </c>
      <c r="F4628" s="74" t="s">
        <v>489</v>
      </c>
      <c r="G4628" s="61">
        <v>1</v>
      </c>
      <c r="H4628" s="45">
        <v>10</v>
      </c>
      <c r="I4628" s="74">
        <v>34.828560000000003</v>
      </c>
    </row>
    <row r="4629" spans="1:9" s="71" customFormat="1" ht="16.5" hidden="1" customHeight="1" outlineLevel="1" x14ac:dyDescent="0.25">
      <c r="A4629" s="74">
        <v>5127</v>
      </c>
      <c r="B4629" s="45" t="s">
        <v>664</v>
      </c>
      <c r="C4629" s="60" t="s">
        <v>4210</v>
      </c>
      <c r="D4629" s="60"/>
      <c r="E4629" s="74">
        <v>2022</v>
      </c>
      <c r="F4629" s="74" t="s">
        <v>489</v>
      </c>
      <c r="G4629" s="61">
        <v>1</v>
      </c>
      <c r="H4629" s="45">
        <v>13</v>
      </c>
      <c r="I4629" s="74">
        <v>49.773400000000002</v>
      </c>
    </row>
    <row r="4630" spans="1:9" s="71" customFormat="1" ht="16.5" hidden="1" customHeight="1" outlineLevel="1" x14ac:dyDescent="0.25">
      <c r="A4630" s="74">
        <v>5119</v>
      </c>
      <c r="B4630" s="45" t="s">
        <v>664</v>
      </c>
      <c r="C4630" s="60" t="s">
        <v>4211</v>
      </c>
      <c r="D4630" s="60"/>
      <c r="E4630" s="74">
        <v>2022</v>
      </c>
      <c r="F4630" s="74" t="s">
        <v>489</v>
      </c>
      <c r="G4630" s="61">
        <v>1</v>
      </c>
      <c r="H4630" s="45">
        <v>15</v>
      </c>
      <c r="I4630" s="74">
        <v>10.209059999999999</v>
      </c>
    </row>
    <row r="4631" spans="1:9" s="71" customFormat="1" ht="16.5" hidden="1" customHeight="1" outlineLevel="1" x14ac:dyDescent="0.25">
      <c r="A4631" s="74">
        <v>5118</v>
      </c>
      <c r="B4631" s="45" t="s">
        <v>664</v>
      </c>
      <c r="C4631" s="60" t="s">
        <v>4212</v>
      </c>
      <c r="D4631" s="60"/>
      <c r="E4631" s="74">
        <v>2022</v>
      </c>
      <c r="F4631" s="74" t="s">
        <v>489</v>
      </c>
      <c r="G4631" s="61">
        <v>1</v>
      </c>
      <c r="H4631" s="45">
        <v>15</v>
      </c>
      <c r="I4631" s="74">
        <v>36.338970000000003</v>
      </c>
    </row>
    <row r="4632" spans="1:9" s="71" customFormat="1" ht="16.5" hidden="1" customHeight="1" outlineLevel="1" x14ac:dyDescent="0.25">
      <c r="A4632" s="74">
        <v>5117</v>
      </c>
      <c r="B4632" s="45" t="s">
        <v>664</v>
      </c>
      <c r="C4632" s="60" t="s">
        <v>4213</v>
      </c>
      <c r="D4632" s="60"/>
      <c r="E4632" s="74">
        <v>2022</v>
      </c>
      <c r="F4632" s="74" t="s">
        <v>489</v>
      </c>
      <c r="G4632" s="61">
        <v>1</v>
      </c>
      <c r="H4632" s="45">
        <v>15</v>
      </c>
      <c r="I4632" s="74">
        <v>40.469819999999999</v>
      </c>
    </row>
    <row r="4633" spans="1:9" s="71" customFormat="1" ht="16.5" hidden="1" customHeight="1" outlineLevel="1" x14ac:dyDescent="0.25">
      <c r="A4633" s="74">
        <v>5116</v>
      </c>
      <c r="B4633" s="45" t="s">
        <v>664</v>
      </c>
      <c r="C4633" s="60" t="s">
        <v>4214</v>
      </c>
      <c r="D4633" s="60"/>
      <c r="E4633" s="74">
        <v>2022</v>
      </c>
      <c r="F4633" s="74" t="s">
        <v>489</v>
      </c>
      <c r="G4633" s="61">
        <v>1</v>
      </c>
      <c r="H4633" s="45">
        <v>15</v>
      </c>
      <c r="I4633" s="74">
        <v>40.37294</v>
      </c>
    </row>
    <row r="4634" spans="1:9" s="71" customFormat="1" ht="16.5" hidden="1" customHeight="1" outlineLevel="1" x14ac:dyDescent="0.25">
      <c r="A4634" s="74">
        <v>5115</v>
      </c>
      <c r="B4634" s="45" t="s">
        <v>664</v>
      </c>
      <c r="C4634" s="60" t="s">
        <v>4215</v>
      </c>
      <c r="D4634" s="60"/>
      <c r="E4634" s="74">
        <v>2022</v>
      </c>
      <c r="F4634" s="74" t="s">
        <v>489</v>
      </c>
      <c r="G4634" s="61">
        <v>1</v>
      </c>
      <c r="H4634" s="45">
        <v>7.5</v>
      </c>
      <c r="I4634" s="74">
        <v>58.808709999999998</v>
      </c>
    </row>
    <row r="4635" spans="1:9" s="71" customFormat="1" ht="16.5" hidden="1" customHeight="1" outlineLevel="1" x14ac:dyDescent="0.25">
      <c r="A4635" s="74">
        <v>5114</v>
      </c>
      <c r="B4635" s="45" t="s">
        <v>664</v>
      </c>
      <c r="C4635" s="60" t="s">
        <v>4216</v>
      </c>
      <c r="D4635" s="60"/>
      <c r="E4635" s="74">
        <v>2022</v>
      </c>
      <c r="F4635" s="74" t="s">
        <v>489</v>
      </c>
      <c r="G4635" s="61">
        <v>1</v>
      </c>
      <c r="H4635" s="45">
        <v>15</v>
      </c>
      <c r="I4635" s="74">
        <v>58.808709999999998</v>
      </c>
    </row>
    <row r="4636" spans="1:9" s="71" customFormat="1" ht="16.5" hidden="1" customHeight="1" outlineLevel="1" x14ac:dyDescent="0.25">
      <c r="A4636" s="74">
        <v>5113</v>
      </c>
      <c r="B4636" s="45" t="s">
        <v>664</v>
      </c>
      <c r="C4636" s="60" t="s">
        <v>4217</v>
      </c>
      <c r="D4636" s="60"/>
      <c r="E4636" s="74">
        <v>2022</v>
      </c>
      <c r="F4636" s="74" t="s">
        <v>489</v>
      </c>
      <c r="G4636" s="61">
        <v>1</v>
      </c>
      <c r="H4636" s="45">
        <v>10</v>
      </c>
      <c r="I4636" s="74">
        <v>35.240090000000002</v>
      </c>
    </row>
    <row r="4637" spans="1:9" s="71" customFormat="1" ht="16.5" hidden="1" customHeight="1" outlineLevel="1" x14ac:dyDescent="0.25">
      <c r="A4637" s="74">
        <v>5110</v>
      </c>
      <c r="B4637" s="45" t="s">
        <v>664</v>
      </c>
      <c r="C4637" s="60" t="s">
        <v>4218</v>
      </c>
      <c r="D4637" s="60"/>
      <c r="E4637" s="74">
        <v>2022</v>
      </c>
      <c r="F4637" s="74" t="s">
        <v>489</v>
      </c>
      <c r="G4637" s="61">
        <v>1</v>
      </c>
      <c r="H4637" s="45">
        <v>15</v>
      </c>
      <c r="I4637" s="74">
        <v>37.51079</v>
      </c>
    </row>
    <row r="4638" spans="1:9" s="71" customFormat="1" ht="16.5" hidden="1" customHeight="1" outlineLevel="1" x14ac:dyDescent="0.25">
      <c r="A4638" s="74">
        <v>5109</v>
      </c>
      <c r="B4638" s="45" t="s">
        <v>664</v>
      </c>
      <c r="C4638" s="60" t="s">
        <v>4219</v>
      </c>
      <c r="D4638" s="60"/>
      <c r="E4638" s="74">
        <v>2022</v>
      </c>
      <c r="F4638" s="74" t="s">
        <v>489</v>
      </c>
      <c r="G4638" s="61">
        <v>1</v>
      </c>
      <c r="H4638" s="45">
        <v>45</v>
      </c>
      <c r="I4638" s="74">
        <v>39.152639999999998</v>
      </c>
    </row>
    <row r="4639" spans="1:9" s="71" customFormat="1" ht="16.5" hidden="1" customHeight="1" outlineLevel="1" x14ac:dyDescent="0.25">
      <c r="A4639" s="74">
        <v>5299</v>
      </c>
      <c r="B4639" s="45" t="s">
        <v>664</v>
      </c>
      <c r="C4639" s="60" t="s">
        <v>4220</v>
      </c>
      <c r="D4639" s="60"/>
      <c r="E4639" s="74">
        <v>2022</v>
      </c>
      <c r="F4639" s="74" t="s">
        <v>489</v>
      </c>
      <c r="G4639" s="61">
        <v>1</v>
      </c>
      <c r="H4639" s="45">
        <v>8</v>
      </c>
      <c r="I4639" s="74">
        <v>55.414200000000001</v>
      </c>
    </row>
    <row r="4640" spans="1:9" s="71" customFormat="1" ht="16.5" hidden="1" customHeight="1" outlineLevel="1" x14ac:dyDescent="0.25">
      <c r="A4640" s="74">
        <v>5298</v>
      </c>
      <c r="B4640" s="45" t="s">
        <v>664</v>
      </c>
      <c r="C4640" s="60" t="s">
        <v>4221</v>
      </c>
      <c r="D4640" s="60"/>
      <c r="E4640" s="74">
        <v>2022</v>
      </c>
      <c r="F4640" s="74" t="s">
        <v>489</v>
      </c>
      <c r="G4640" s="61">
        <v>1</v>
      </c>
      <c r="H4640" s="45">
        <v>8</v>
      </c>
      <c r="I4640" s="74">
        <v>50.901060000000001</v>
      </c>
    </row>
    <row r="4641" spans="1:9" s="71" customFormat="1" ht="16.5" hidden="1" customHeight="1" outlineLevel="1" x14ac:dyDescent="0.25">
      <c r="A4641" s="74">
        <v>5297</v>
      </c>
      <c r="B4641" s="45" t="s">
        <v>664</v>
      </c>
      <c r="C4641" s="60" t="s">
        <v>4222</v>
      </c>
      <c r="D4641" s="60"/>
      <c r="E4641" s="74">
        <v>2022</v>
      </c>
      <c r="F4641" s="74" t="s">
        <v>489</v>
      </c>
      <c r="G4641" s="61">
        <v>1</v>
      </c>
      <c r="H4641" s="45">
        <v>7</v>
      </c>
      <c r="I4641" s="74">
        <v>50.9011</v>
      </c>
    </row>
    <row r="4642" spans="1:9" s="71" customFormat="1" ht="16.5" hidden="1" customHeight="1" outlineLevel="1" x14ac:dyDescent="0.25">
      <c r="A4642" s="74">
        <v>5296</v>
      </c>
      <c r="B4642" s="45" t="s">
        <v>664</v>
      </c>
      <c r="C4642" s="60" t="s">
        <v>4223</v>
      </c>
      <c r="D4642" s="60"/>
      <c r="E4642" s="74">
        <v>2022</v>
      </c>
      <c r="F4642" s="74" t="s">
        <v>489</v>
      </c>
      <c r="G4642" s="61">
        <v>1</v>
      </c>
      <c r="H4642" s="45">
        <v>14</v>
      </c>
      <c r="I4642" s="74">
        <v>39.79027</v>
      </c>
    </row>
    <row r="4643" spans="1:9" s="71" customFormat="1" ht="16.5" hidden="1" customHeight="1" outlineLevel="1" x14ac:dyDescent="0.25">
      <c r="A4643" s="74">
        <v>5295</v>
      </c>
      <c r="B4643" s="45" t="s">
        <v>664</v>
      </c>
      <c r="C4643" s="60" t="s">
        <v>4224</v>
      </c>
      <c r="D4643" s="60"/>
      <c r="E4643" s="74">
        <v>2022</v>
      </c>
      <c r="F4643" s="74" t="s">
        <v>489</v>
      </c>
      <c r="G4643" s="61">
        <v>1</v>
      </c>
      <c r="H4643" s="45">
        <v>13</v>
      </c>
      <c r="I4643" s="74">
        <v>39.79027</v>
      </c>
    </row>
    <row r="4644" spans="1:9" s="71" customFormat="1" ht="16.5" hidden="1" customHeight="1" outlineLevel="1" x14ac:dyDescent="0.25">
      <c r="A4644" s="74">
        <v>5294</v>
      </c>
      <c r="B4644" s="45" t="s">
        <v>664</v>
      </c>
      <c r="C4644" s="60" t="s">
        <v>4225</v>
      </c>
      <c r="D4644" s="60"/>
      <c r="E4644" s="74">
        <v>2022</v>
      </c>
      <c r="F4644" s="74" t="s">
        <v>489</v>
      </c>
      <c r="G4644" s="61">
        <v>1</v>
      </c>
      <c r="H4644" s="45">
        <v>7</v>
      </c>
      <c r="I4644" s="74">
        <v>50.901049999999998</v>
      </c>
    </row>
    <row r="4645" spans="1:9" s="71" customFormat="1" ht="16.5" hidden="1" customHeight="1" outlineLevel="1" x14ac:dyDescent="0.25">
      <c r="A4645" s="74">
        <v>5293</v>
      </c>
      <c r="B4645" s="45" t="s">
        <v>664</v>
      </c>
      <c r="C4645" s="60" t="s">
        <v>4226</v>
      </c>
      <c r="D4645" s="60"/>
      <c r="E4645" s="74">
        <v>2022</v>
      </c>
      <c r="F4645" s="74" t="s">
        <v>489</v>
      </c>
      <c r="G4645" s="61">
        <v>1</v>
      </c>
      <c r="H4645" s="45">
        <v>14</v>
      </c>
      <c r="I4645" s="74">
        <v>35.20881</v>
      </c>
    </row>
    <row r="4646" spans="1:9" s="71" customFormat="1" ht="16.5" hidden="1" customHeight="1" outlineLevel="1" x14ac:dyDescent="0.25">
      <c r="A4646" s="74">
        <v>5292</v>
      </c>
      <c r="B4646" s="45" t="s">
        <v>664</v>
      </c>
      <c r="C4646" s="60" t="s">
        <v>4227</v>
      </c>
      <c r="D4646" s="60"/>
      <c r="E4646" s="74">
        <v>2022</v>
      </c>
      <c r="F4646" s="74" t="s">
        <v>489</v>
      </c>
      <c r="G4646" s="61">
        <v>1</v>
      </c>
      <c r="H4646" s="45">
        <v>13</v>
      </c>
      <c r="I4646" s="74">
        <v>35.26831</v>
      </c>
    </row>
    <row r="4647" spans="1:9" s="71" customFormat="1" ht="16.5" hidden="1" customHeight="1" outlineLevel="1" x14ac:dyDescent="0.25">
      <c r="A4647" s="74">
        <v>5291</v>
      </c>
      <c r="B4647" s="45" t="s">
        <v>664</v>
      </c>
      <c r="C4647" s="60" t="s">
        <v>4228</v>
      </c>
      <c r="D4647" s="60"/>
      <c r="E4647" s="74">
        <v>2022</v>
      </c>
      <c r="F4647" s="74" t="s">
        <v>489</v>
      </c>
      <c r="G4647" s="61">
        <v>1</v>
      </c>
      <c r="H4647" s="45">
        <v>13</v>
      </c>
      <c r="I4647" s="74">
        <v>36.460090000000001</v>
      </c>
    </row>
    <row r="4648" spans="1:9" s="71" customFormat="1" ht="16.5" hidden="1" customHeight="1" outlineLevel="1" x14ac:dyDescent="0.25">
      <c r="A4648" s="74">
        <v>5290</v>
      </c>
      <c r="B4648" s="45" t="s">
        <v>664</v>
      </c>
      <c r="C4648" s="60" t="s">
        <v>4229</v>
      </c>
      <c r="D4648" s="60"/>
      <c r="E4648" s="74">
        <v>2022</v>
      </c>
      <c r="F4648" s="74" t="s">
        <v>489</v>
      </c>
      <c r="G4648" s="61">
        <v>1</v>
      </c>
      <c r="H4648" s="45">
        <v>13</v>
      </c>
      <c r="I4648" s="74">
        <v>37.832259999999998</v>
      </c>
    </row>
    <row r="4649" spans="1:9" s="71" customFormat="1" ht="16.5" hidden="1" customHeight="1" outlineLevel="1" x14ac:dyDescent="0.25">
      <c r="A4649" s="74">
        <v>5289</v>
      </c>
      <c r="B4649" s="45" t="s">
        <v>664</v>
      </c>
      <c r="C4649" s="60" t="s">
        <v>4230</v>
      </c>
      <c r="D4649" s="60"/>
      <c r="E4649" s="74">
        <v>2022</v>
      </c>
      <c r="F4649" s="74" t="s">
        <v>489</v>
      </c>
      <c r="G4649" s="61">
        <v>1</v>
      </c>
      <c r="H4649" s="45">
        <v>15</v>
      </c>
      <c r="I4649" s="74">
        <v>35.08952</v>
      </c>
    </row>
    <row r="4650" spans="1:9" s="71" customFormat="1" ht="16.5" hidden="1" customHeight="1" outlineLevel="1" x14ac:dyDescent="0.25">
      <c r="A4650" s="74">
        <v>5288</v>
      </c>
      <c r="B4650" s="45" t="s">
        <v>664</v>
      </c>
      <c r="C4650" s="60" t="s">
        <v>4231</v>
      </c>
      <c r="D4650" s="60"/>
      <c r="E4650" s="74">
        <v>2022</v>
      </c>
      <c r="F4650" s="74" t="s">
        <v>489</v>
      </c>
      <c r="G4650" s="61">
        <v>1</v>
      </c>
      <c r="H4650" s="45">
        <v>9</v>
      </c>
      <c r="I4650" s="74">
        <v>50.277749999999997</v>
      </c>
    </row>
    <row r="4651" spans="1:9" s="71" customFormat="1" ht="16.5" hidden="1" customHeight="1" outlineLevel="1" x14ac:dyDescent="0.25">
      <c r="A4651" s="74">
        <v>5287</v>
      </c>
      <c r="B4651" s="45" t="s">
        <v>664</v>
      </c>
      <c r="C4651" s="60" t="s">
        <v>4232</v>
      </c>
      <c r="D4651" s="60"/>
      <c r="E4651" s="74">
        <v>2022</v>
      </c>
      <c r="F4651" s="74" t="s">
        <v>489</v>
      </c>
      <c r="G4651" s="61">
        <v>1</v>
      </c>
      <c r="H4651" s="45">
        <v>12</v>
      </c>
      <c r="I4651" s="74">
        <v>34.991210000000002</v>
      </c>
    </row>
    <row r="4652" spans="1:9" s="71" customFormat="1" ht="16.5" hidden="1" customHeight="1" outlineLevel="1" x14ac:dyDescent="0.25">
      <c r="A4652" s="74">
        <v>5286</v>
      </c>
      <c r="B4652" s="45" t="s">
        <v>664</v>
      </c>
      <c r="C4652" s="60" t="s">
        <v>4233</v>
      </c>
      <c r="D4652" s="60"/>
      <c r="E4652" s="74">
        <v>2022</v>
      </c>
      <c r="F4652" s="74" t="s">
        <v>489</v>
      </c>
      <c r="G4652" s="61">
        <v>1</v>
      </c>
      <c r="H4652" s="45">
        <v>10</v>
      </c>
      <c r="I4652" s="74">
        <v>37.20664</v>
      </c>
    </row>
    <row r="4653" spans="1:9" s="71" customFormat="1" ht="16.5" hidden="1" customHeight="1" outlineLevel="1" x14ac:dyDescent="0.25">
      <c r="A4653" s="74">
        <v>5285</v>
      </c>
      <c r="B4653" s="45" t="s">
        <v>664</v>
      </c>
      <c r="C4653" s="60" t="s">
        <v>4234</v>
      </c>
      <c r="D4653" s="60"/>
      <c r="E4653" s="74">
        <v>2022</v>
      </c>
      <c r="F4653" s="74" t="s">
        <v>489</v>
      </c>
      <c r="G4653" s="61">
        <v>1</v>
      </c>
      <c r="H4653" s="45">
        <v>10</v>
      </c>
      <c r="I4653" s="74">
        <v>38.583240000000004</v>
      </c>
    </row>
    <row r="4654" spans="1:9" s="71" customFormat="1" ht="16.5" hidden="1" customHeight="1" outlineLevel="1" x14ac:dyDescent="0.25">
      <c r="A4654" s="74">
        <v>5281</v>
      </c>
      <c r="B4654" s="45" t="s">
        <v>664</v>
      </c>
      <c r="C4654" s="60" t="s">
        <v>4235</v>
      </c>
      <c r="D4654" s="60"/>
      <c r="E4654" s="74">
        <v>2022</v>
      </c>
      <c r="F4654" s="74" t="s">
        <v>489</v>
      </c>
      <c r="G4654" s="61">
        <v>1</v>
      </c>
      <c r="H4654" s="45">
        <v>8</v>
      </c>
      <c r="I4654" s="74">
        <v>37.902430000000003</v>
      </c>
    </row>
    <row r="4655" spans="1:9" s="71" customFormat="1" ht="16.5" hidden="1" customHeight="1" outlineLevel="1" x14ac:dyDescent="0.25">
      <c r="A4655" s="74">
        <v>5280</v>
      </c>
      <c r="B4655" s="45" t="s">
        <v>664</v>
      </c>
      <c r="C4655" s="60" t="s">
        <v>4236</v>
      </c>
      <c r="D4655" s="60"/>
      <c r="E4655" s="74">
        <v>2022</v>
      </c>
      <c r="F4655" s="74" t="s">
        <v>489</v>
      </c>
      <c r="G4655" s="61">
        <v>1</v>
      </c>
      <c r="H4655" s="45">
        <v>7.4</v>
      </c>
      <c r="I4655" s="74">
        <v>37.904389999999999</v>
      </c>
    </row>
    <row r="4656" spans="1:9" s="71" customFormat="1" ht="16.5" hidden="1" customHeight="1" outlineLevel="1" x14ac:dyDescent="0.25">
      <c r="A4656" s="74">
        <v>5279</v>
      </c>
      <c r="B4656" s="45" t="s">
        <v>664</v>
      </c>
      <c r="C4656" s="60" t="s">
        <v>4237</v>
      </c>
      <c r="D4656" s="60"/>
      <c r="E4656" s="74">
        <v>2022</v>
      </c>
      <c r="F4656" s="74" t="s">
        <v>489</v>
      </c>
      <c r="G4656" s="61">
        <v>1</v>
      </c>
      <c r="H4656" s="45">
        <v>10</v>
      </c>
      <c r="I4656" s="74">
        <v>36.527740000000001</v>
      </c>
    </row>
    <row r="4657" spans="1:9" s="71" customFormat="1" ht="16.5" hidden="1" customHeight="1" outlineLevel="1" x14ac:dyDescent="0.25">
      <c r="A4657" s="74">
        <v>5276</v>
      </c>
      <c r="B4657" s="45" t="s">
        <v>664</v>
      </c>
      <c r="C4657" s="60" t="s">
        <v>4238</v>
      </c>
      <c r="D4657" s="60"/>
      <c r="E4657" s="74">
        <v>2022</v>
      </c>
      <c r="F4657" s="74" t="s">
        <v>489</v>
      </c>
      <c r="G4657" s="61">
        <v>1</v>
      </c>
      <c r="H4657" s="45">
        <v>14</v>
      </c>
      <c r="I4657" s="74">
        <v>35.20881</v>
      </c>
    </row>
    <row r="4658" spans="1:9" s="71" customFormat="1" ht="16.5" hidden="1" customHeight="1" outlineLevel="1" x14ac:dyDescent="0.25">
      <c r="A4658" s="74">
        <v>5275</v>
      </c>
      <c r="B4658" s="45" t="s">
        <v>664</v>
      </c>
      <c r="C4658" s="60" t="s">
        <v>4239</v>
      </c>
      <c r="D4658" s="60"/>
      <c r="E4658" s="74">
        <v>2022</v>
      </c>
      <c r="F4658" s="74" t="s">
        <v>489</v>
      </c>
      <c r="G4658" s="61">
        <v>1</v>
      </c>
      <c r="H4658" s="45">
        <v>14</v>
      </c>
      <c r="I4658" s="74">
        <v>35.765770000000003</v>
      </c>
    </row>
    <row r="4659" spans="1:9" s="71" customFormat="1" ht="16.5" hidden="1" customHeight="1" outlineLevel="1" x14ac:dyDescent="0.25">
      <c r="A4659" s="74">
        <v>5130</v>
      </c>
      <c r="B4659" s="45" t="s">
        <v>664</v>
      </c>
      <c r="C4659" s="60" t="s">
        <v>4240</v>
      </c>
      <c r="D4659" s="60"/>
      <c r="E4659" s="74">
        <v>2022</v>
      </c>
      <c r="F4659" s="74" t="s">
        <v>489</v>
      </c>
      <c r="G4659" s="61">
        <v>1</v>
      </c>
      <c r="H4659" s="45">
        <v>15</v>
      </c>
      <c r="I4659" s="74">
        <v>34.04945</v>
      </c>
    </row>
    <row r="4660" spans="1:9" s="71" customFormat="1" ht="16.5" hidden="1" customHeight="1" outlineLevel="1" x14ac:dyDescent="0.25">
      <c r="A4660" s="74">
        <v>5274</v>
      </c>
      <c r="B4660" s="45" t="s">
        <v>664</v>
      </c>
      <c r="C4660" s="60" t="s">
        <v>4241</v>
      </c>
      <c r="D4660" s="60"/>
      <c r="E4660" s="74">
        <v>2022</v>
      </c>
      <c r="F4660" s="74" t="s">
        <v>489</v>
      </c>
      <c r="G4660" s="61">
        <v>1</v>
      </c>
      <c r="H4660" s="45">
        <v>13</v>
      </c>
      <c r="I4660" s="74">
        <v>38.93439</v>
      </c>
    </row>
    <row r="4661" spans="1:9" s="71" customFormat="1" ht="16.5" hidden="1" customHeight="1" outlineLevel="1" x14ac:dyDescent="0.25">
      <c r="A4661" s="74">
        <v>5273</v>
      </c>
      <c r="B4661" s="45" t="s">
        <v>664</v>
      </c>
      <c r="C4661" s="60" t="s">
        <v>4242</v>
      </c>
      <c r="D4661" s="60"/>
      <c r="E4661" s="74">
        <v>2022</v>
      </c>
      <c r="F4661" s="74" t="s">
        <v>489</v>
      </c>
      <c r="G4661" s="61">
        <v>1</v>
      </c>
      <c r="H4661" s="45">
        <v>13</v>
      </c>
      <c r="I4661" s="74">
        <v>36.967300000000002</v>
      </c>
    </row>
    <row r="4662" spans="1:9" s="71" customFormat="1" ht="16.5" hidden="1" customHeight="1" outlineLevel="1" x14ac:dyDescent="0.25">
      <c r="A4662" s="74">
        <v>5272</v>
      </c>
      <c r="B4662" s="45" t="s">
        <v>664</v>
      </c>
      <c r="C4662" s="60" t="s">
        <v>4243</v>
      </c>
      <c r="D4662" s="60"/>
      <c r="E4662" s="74">
        <v>2022</v>
      </c>
      <c r="F4662" s="74" t="s">
        <v>489</v>
      </c>
      <c r="G4662" s="61">
        <v>1</v>
      </c>
      <c r="H4662" s="45">
        <v>14</v>
      </c>
      <c r="I4662" s="74">
        <v>41.054340000000003</v>
      </c>
    </row>
    <row r="4663" spans="1:9" s="71" customFormat="1" ht="16.5" hidden="1" customHeight="1" outlineLevel="1" x14ac:dyDescent="0.25">
      <c r="A4663" s="74">
        <v>5270</v>
      </c>
      <c r="B4663" s="45" t="s">
        <v>664</v>
      </c>
      <c r="C4663" s="60" t="s">
        <v>4244</v>
      </c>
      <c r="D4663" s="60"/>
      <c r="E4663" s="74">
        <v>2022</v>
      </c>
      <c r="F4663" s="74" t="s">
        <v>489</v>
      </c>
      <c r="G4663" s="61">
        <v>1</v>
      </c>
      <c r="H4663" s="45">
        <v>14</v>
      </c>
      <c r="I4663" s="74">
        <v>36.188969999999998</v>
      </c>
    </row>
    <row r="4664" spans="1:9" s="71" customFormat="1" ht="16.5" hidden="1" customHeight="1" outlineLevel="1" x14ac:dyDescent="0.25">
      <c r="A4664" s="74">
        <v>5269</v>
      </c>
      <c r="B4664" s="45" t="s">
        <v>664</v>
      </c>
      <c r="C4664" s="60" t="s">
        <v>4245</v>
      </c>
      <c r="D4664" s="60"/>
      <c r="E4664" s="74">
        <v>2022</v>
      </c>
      <c r="F4664" s="74" t="s">
        <v>489</v>
      </c>
      <c r="G4664" s="61">
        <v>1</v>
      </c>
      <c r="H4664" s="45">
        <v>12</v>
      </c>
      <c r="I4664" s="74">
        <v>36.672580000000004</v>
      </c>
    </row>
    <row r="4665" spans="1:9" s="71" customFormat="1" ht="16.5" hidden="1" customHeight="1" outlineLevel="1" x14ac:dyDescent="0.25">
      <c r="A4665" s="74">
        <v>5266</v>
      </c>
      <c r="B4665" s="45" t="s">
        <v>664</v>
      </c>
      <c r="C4665" s="60" t="s">
        <v>4246</v>
      </c>
      <c r="D4665" s="60"/>
      <c r="E4665" s="74">
        <v>2022</v>
      </c>
      <c r="F4665" s="74" t="s">
        <v>489</v>
      </c>
      <c r="G4665" s="61">
        <v>1</v>
      </c>
      <c r="H4665" s="45">
        <v>15</v>
      </c>
      <c r="I4665" s="74">
        <v>37.330069999999999</v>
      </c>
    </row>
    <row r="4666" spans="1:9" s="71" customFormat="1" ht="16.5" hidden="1" customHeight="1" outlineLevel="1" x14ac:dyDescent="0.25">
      <c r="A4666" s="74">
        <v>5265</v>
      </c>
      <c r="B4666" s="45" t="s">
        <v>664</v>
      </c>
      <c r="C4666" s="60" t="s">
        <v>4247</v>
      </c>
      <c r="D4666" s="60"/>
      <c r="E4666" s="74">
        <v>2022</v>
      </c>
      <c r="F4666" s="74" t="s">
        <v>489</v>
      </c>
      <c r="G4666" s="61">
        <v>1</v>
      </c>
      <c r="H4666" s="45">
        <v>15</v>
      </c>
      <c r="I4666" s="74">
        <v>41.426920000000003</v>
      </c>
    </row>
    <row r="4667" spans="1:9" s="71" customFormat="1" ht="16.5" hidden="1" customHeight="1" outlineLevel="1" x14ac:dyDescent="0.25">
      <c r="A4667" s="74">
        <v>5264</v>
      </c>
      <c r="B4667" s="45" t="s">
        <v>664</v>
      </c>
      <c r="C4667" s="60" t="s">
        <v>4248</v>
      </c>
      <c r="D4667" s="60"/>
      <c r="E4667" s="74">
        <v>2022</v>
      </c>
      <c r="F4667" s="74" t="s">
        <v>489</v>
      </c>
      <c r="G4667" s="61">
        <v>1</v>
      </c>
      <c r="H4667" s="45">
        <v>15</v>
      </c>
      <c r="I4667" s="74">
        <v>37.290109999999999</v>
      </c>
    </row>
    <row r="4668" spans="1:9" s="71" customFormat="1" ht="16.5" hidden="1" customHeight="1" outlineLevel="1" x14ac:dyDescent="0.25">
      <c r="A4668" s="74">
        <v>5263</v>
      </c>
      <c r="B4668" s="45" t="s">
        <v>664</v>
      </c>
      <c r="C4668" s="60" t="s">
        <v>4249</v>
      </c>
      <c r="D4668" s="60"/>
      <c r="E4668" s="74">
        <v>2022</v>
      </c>
      <c r="F4668" s="74" t="s">
        <v>489</v>
      </c>
      <c r="G4668" s="61">
        <v>1</v>
      </c>
      <c r="H4668" s="45">
        <v>15</v>
      </c>
      <c r="I4668" s="74">
        <v>43.480150000000002</v>
      </c>
    </row>
    <row r="4669" spans="1:9" s="71" customFormat="1" ht="16.5" hidden="1" customHeight="1" outlineLevel="1" x14ac:dyDescent="0.25">
      <c r="A4669" s="74">
        <v>5131</v>
      </c>
      <c r="B4669" s="45" t="s">
        <v>664</v>
      </c>
      <c r="C4669" s="60" t="s">
        <v>4250</v>
      </c>
      <c r="D4669" s="60"/>
      <c r="E4669" s="74">
        <v>2022</v>
      </c>
      <c r="F4669" s="74" t="s">
        <v>489</v>
      </c>
      <c r="G4669" s="61">
        <v>1</v>
      </c>
      <c r="H4669" s="45">
        <v>13</v>
      </c>
      <c r="I4669" s="74">
        <v>39.06221</v>
      </c>
    </row>
    <row r="4670" spans="1:9" s="71" customFormat="1" ht="16.5" hidden="1" customHeight="1" outlineLevel="1" x14ac:dyDescent="0.25">
      <c r="A4670" s="74">
        <v>5132</v>
      </c>
      <c r="B4670" s="45" t="s">
        <v>664</v>
      </c>
      <c r="C4670" s="60" t="s">
        <v>4251</v>
      </c>
      <c r="D4670" s="60"/>
      <c r="E4670" s="74">
        <v>2022</v>
      </c>
      <c r="F4670" s="74" t="s">
        <v>489</v>
      </c>
      <c r="G4670" s="61">
        <v>1</v>
      </c>
      <c r="H4670" s="45">
        <v>10</v>
      </c>
      <c r="I4670" s="74">
        <v>43.480150000000002</v>
      </c>
    </row>
    <row r="4671" spans="1:9" s="71" customFormat="1" ht="16.5" hidden="1" customHeight="1" outlineLevel="1" x14ac:dyDescent="0.25">
      <c r="A4671" s="74">
        <v>5262</v>
      </c>
      <c r="B4671" s="45" t="s">
        <v>664</v>
      </c>
      <c r="C4671" s="60" t="s">
        <v>4252</v>
      </c>
      <c r="D4671" s="60"/>
      <c r="E4671" s="74">
        <v>2022</v>
      </c>
      <c r="F4671" s="74" t="s">
        <v>489</v>
      </c>
      <c r="G4671" s="61">
        <v>1</v>
      </c>
      <c r="H4671" s="45">
        <v>13</v>
      </c>
      <c r="I4671" s="74">
        <v>39.360140000000001</v>
      </c>
    </row>
    <row r="4672" spans="1:9" s="71" customFormat="1" ht="16.5" hidden="1" customHeight="1" outlineLevel="1" x14ac:dyDescent="0.25">
      <c r="A4672" s="74">
        <v>5261</v>
      </c>
      <c r="B4672" s="45" t="s">
        <v>664</v>
      </c>
      <c r="C4672" s="60" t="s">
        <v>4253</v>
      </c>
      <c r="D4672" s="60"/>
      <c r="E4672" s="74">
        <v>2022</v>
      </c>
      <c r="F4672" s="74" t="s">
        <v>489</v>
      </c>
      <c r="G4672" s="61">
        <v>1</v>
      </c>
      <c r="H4672" s="45">
        <v>13</v>
      </c>
      <c r="I4672" s="74">
        <v>45.549309999999998</v>
      </c>
    </row>
    <row r="4673" spans="1:9" s="71" customFormat="1" ht="16.5" hidden="1" customHeight="1" outlineLevel="1" x14ac:dyDescent="0.25">
      <c r="A4673" s="74">
        <v>5334</v>
      </c>
      <c r="B4673" s="45" t="s">
        <v>664</v>
      </c>
      <c r="C4673" s="60" t="s">
        <v>4254</v>
      </c>
      <c r="D4673" s="60"/>
      <c r="E4673" s="74">
        <v>2022</v>
      </c>
      <c r="F4673" s="74" t="s">
        <v>489</v>
      </c>
      <c r="G4673" s="61">
        <v>1</v>
      </c>
      <c r="H4673" s="45">
        <v>5</v>
      </c>
      <c r="I4673" s="74">
        <v>38.398859999999999</v>
      </c>
    </row>
    <row r="4674" spans="1:9" s="71" customFormat="1" ht="16.5" hidden="1" customHeight="1" outlineLevel="1" x14ac:dyDescent="0.25">
      <c r="A4674" s="74">
        <v>5333</v>
      </c>
      <c r="B4674" s="45" t="s">
        <v>664</v>
      </c>
      <c r="C4674" s="60" t="s">
        <v>4255</v>
      </c>
      <c r="D4674" s="60"/>
      <c r="E4674" s="74">
        <v>2022</v>
      </c>
      <c r="F4674" s="74" t="s">
        <v>489</v>
      </c>
      <c r="G4674" s="61">
        <v>1</v>
      </c>
      <c r="H4674" s="45">
        <v>15</v>
      </c>
      <c r="I4674" s="74">
        <v>34.908250000000002</v>
      </c>
    </row>
    <row r="4675" spans="1:9" s="71" customFormat="1" ht="16.5" hidden="1" customHeight="1" outlineLevel="1" x14ac:dyDescent="0.25">
      <c r="A4675" s="74">
        <v>5332</v>
      </c>
      <c r="B4675" s="45" t="s">
        <v>664</v>
      </c>
      <c r="C4675" s="60" t="s">
        <v>4256</v>
      </c>
      <c r="D4675" s="60"/>
      <c r="E4675" s="74">
        <v>2022</v>
      </c>
      <c r="F4675" s="74" t="s">
        <v>489</v>
      </c>
      <c r="G4675" s="61">
        <v>1</v>
      </c>
      <c r="H4675" s="45">
        <v>5</v>
      </c>
      <c r="I4675" s="74">
        <v>36.982500000000002</v>
      </c>
    </row>
    <row r="4676" spans="1:9" s="71" customFormat="1" ht="16.5" hidden="1" customHeight="1" outlineLevel="1" x14ac:dyDescent="0.25">
      <c r="A4676" s="74">
        <v>5331</v>
      </c>
      <c r="B4676" s="45" t="s">
        <v>664</v>
      </c>
      <c r="C4676" s="60" t="s">
        <v>4257</v>
      </c>
      <c r="D4676" s="60"/>
      <c r="E4676" s="74">
        <v>2022</v>
      </c>
      <c r="F4676" s="74" t="s">
        <v>489</v>
      </c>
      <c r="G4676" s="61">
        <v>1</v>
      </c>
      <c r="H4676" s="45">
        <v>10</v>
      </c>
      <c r="I4676" s="74">
        <v>37.603499999999997</v>
      </c>
    </row>
    <row r="4677" spans="1:9" s="71" customFormat="1" ht="16.5" hidden="1" customHeight="1" outlineLevel="1" x14ac:dyDescent="0.25">
      <c r="A4677" s="74">
        <v>5140</v>
      </c>
      <c r="B4677" s="45" t="s">
        <v>664</v>
      </c>
      <c r="C4677" s="60" t="s">
        <v>4258</v>
      </c>
      <c r="D4677" s="60"/>
      <c r="E4677" s="74">
        <v>2022</v>
      </c>
      <c r="F4677" s="74" t="s">
        <v>489</v>
      </c>
      <c r="G4677" s="61">
        <v>1</v>
      </c>
      <c r="H4677" s="45">
        <v>10</v>
      </c>
      <c r="I4677" s="74">
        <v>35.885109999999997</v>
      </c>
    </row>
    <row r="4678" spans="1:9" s="71" customFormat="1" ht="16.5" hidden="1" customHeight="1" outlineLevel="1" x14ac:dyDescent="0.25">
      <c r="A4678" s="74">
        <v>5330</v>
      </c>
      <c r="B4678" s="45" t="s">
        <v>664</v>
      </c>
      <c r="C4678" s="60" t="s">
        <v>4259</v>
      </c>
      <c r="D4678" s="60"/>
      <c r="E4678" s="74">
        <v>2022</v>
      </c>
      <c r="F4678" s="74" t="s">
        <v>489</v>
      </c>
      <c r="G4678" s="61">
        <v>1</v>
      </c>
      <c r="H4678" s="45">
        <v>14.5</v>
      </c>
      <c r="I4678" s="74">
        <v>36.96725</v>
      </c>
    </row>
    <row r="4679" spans="1:9" s="71" customFormat="1" ht="16.5" hidden="1" customHeight="1" outlineLevel="1" x14ac:dyDescent="0.25">
      <c r="A4679" s="74">
        <v>5141</v>
      </c>
      <c r="B4679" s="45" t="s">
        <v>664</v>
      </c>
      <c r="C4679" s="60" t="s">
        <v>4260</v>
      </c>
      <c r="D4679" s="60"/>
      <c r="E4679" s="74">
        <v>2022</v>
      </c>
      <c r="F4679" s="74" t="s">
        <v>489</v>
      </c>
      <c r="G4679" s="61">
        <v>1</v>
      </c>
      <c r="H4679" s="45">
        <v>13</v>
      </c>
      <c r="I4679" s="74">
        <v>37.960479999999997</v>
      </c>
    </row>
    <row r="4680" spans="1:9" s="71" customFormat="1" ht="16.5" hidden="1" customHeight="1" outlineLevel="1" x14ac:dyDescent="0.25">
      <c r="A4680" s="74">
        <v>5329</v>
      </c>
      <c r="B4680" s="45" t="s">
        <v>664</v>
      </c>
      <c r="C4680" s="60" t="s">
        <v>4261</v>
      </c>
      <c r="D4680" s="60"/>
      <c r="E4680" s="74">
        <v>2022</v>
      </c>
      <c r="F4680" s="74" t="s">
        <v>489</v>
      </c>
      <c r="G4680" s="61">
        <v>1</v>
      </c>
      <c r="H4680" s="45">
        <v>14.8</v>
      </c>
      <c r="I4680" s="74">
        <v>19.365670000000001</v>
      </c>
    </row>
    <row r="4681" spans="1:9" s="71" customFormat="1" ht="16.5" hidden="1" customHeight="1" outlineLevel="1" x14ac:dyDescent="0.25">
      <c r="A4681" s="74">
        <v>5328</v>
      </c>
      <c r="B4681" s="45" t="s">
        <v>664</v>
      </c>
      <c r="C4681" s="60" t="s">
        <v>4262</v>
      </c>
      <c r="D4681" s="60"/>
      <c r="E4681" s="74">
        <v>2022</v>
      </c>
      <c r="F4681" s="74" t="s">
        <v>489</v>
      </c>
      <c r="G4681" s="61">
        <v>1</v>
      </c>
      <c r="H4681" s="45">
        <v>15</v>
      </c>
      <c r="I4681" s="74">
        <v>36.982520000000001</v>
      </c>
    </row>
    <row r="4682" spans="1:9" s="71" customFormat="1" ht="16.5" hidden="1" customHeight="1" outlineLevel="1" x14ac:dyDescent="0.25">
      <c r="A4682" s="74">
        <v>5304</v>
      </c>
      <c r="B4682" s="45" t="s">
        <v>664</v>
      </c>
      <c r="C4682" s="60" t="s">
        <v>4263</v>
      </c>
      <c r="D4682" s="60"/>
      <c r="E4682" s="74">
        <v>2022</v>
      </c>
      <c r="F4682" s="74" t="s">
        <v>489</v>
      </c>
      <c r="G4682" s="61">
        <v>1</v>
      </c>
      <c r="H4682" s="45">
        <v>15</v>
      </c>
      <c r="I4682" s="74">
        <v>35.47363</v>
      </c>
    </row>
    <row r="4683" spans="1:9" s="71" customFormat="1" ht="16.5" hidden="1" customHeight="1" outlineLevel="1" x14ac:dyDescent="0.25">
      <c r="A4683" s="74">
        <v>5303</v>
      </c>
      <c r="B4683" s="45" t="s">
        <v>664</v>
      </c>
      <c r="C4683" s="60" t="s">
        <v>4264</v>
      </c>
      <c r="D4683" s="60"/>
      <c r="E4683" s="74">
        <v>2022</v>
      </c>
      <c r="F4683" s="74" t="s">
        <v>489</v>
      </c>
      <c r="G4683" s="61">
        <v>1</v>
      </c>
      <c r="H4683" s="45">
        <v>10</v>
      </c>
      <c r="I4683" s="74">
        <v>23.36703</v>
      </c>
    </row>
    <row r="4684" spans="1:9" s="71" customFormat="1" ht="16.5" hidden="1" customHeight="1" outlineLevel="1" x14ac:dyDescent="0.25">
      <c r="A4684" s="74">
        <v>5064</v>
      </c>
      <c r="B4684" s="45" t="s">
        <v>664</v>
      </c>
      <c r="C4684" s="60" t="s">
        <v>4265</v>
      </c>
      <c r="D4684" s="60"/>
      <c r="E4684" s="74">
        <v>2022</v>
      </c>
      <c r="F4684" s="74" t="s">
        <v>489</v>
      </c>
      <c r="G4684" s="61">
        <v>1</v>
      </c>
      <c r="H4684" s="45">
        <v>15</v>
      </c>
      <c r="I4684" s="74">
        <v>28.15212</v>
      </c>
    </row>
    <row r="4685" spans="1:9" s="71" customFormat="1" ht="16.5" hidden="1" customHeight="1" outlineLevel="1" x14ac:dyDescent="0.25">
      <c r="A4685" s="74">
        <v>5063</v>
      </c>
      <c r="B4685" s="45" t="s">
        <v>664</v>
      </c>
      <c r="C4685" s="60" t="s">
        <v>4266</v>
      </c>
      <c r="D4685" s="60"/>
      <c r="E4685" s="74">
        <v>2022</v>
      </c>
      <c r="F4685" s="74" t="s">
        <v>489</v>
      </c>
      <c r="G4685" s="61">
        <v>1</v>
      </c>
      <c r="H4685" s="45">
        <v>15</v>
      </c>
      <c r="I4685" s="74">
        <v>28.152090000000001</v>
      </c>
    </row>
    <row r="4686" spans="1:9" s="71" customFormat="1" ht="16.5" hidden="1" customHeight="1" outlineLevel="1" x14ac:dyDescent="0.25">
      <c r="A4686" s="74">
        <v>5061</v>
      </c>
      <c r="B4686" s="45" t="s">
        <v>664</v>
      </c>
      <c r="C4686" s="60" t="s">
        <v>4267</v>
      </c>
      <c r="D4686" s="60"/>
      <c r="E4686" s="74">
        <v>2022</v>
      </c>
      <c r="F4686" s="74" t="s">
        <v>489</v>
      </c>
      <c r="G4686" s="61">
        <v>1</v>
      </c>
      <c r="H4686" s="45">
        <v>15</v>
      </c>
      <c r="I4686" s="74">
        <v>17.078499999999998</v>
      </c>
    </row>
    <row r="4687" spans="1:9" s="71" customFormat="1" ht="16.5" hidden="1" customHeight="1" outlineLevel="1" x14ac:dyDescent="0.25">
      <c r="A4687" s="74">
        <v>5060</v>
      </c>
      <c r="B4687" s="45" t="s">
        <v>664</v>
      </c>
      <c r="C4687" s="60" t="s">
        <v>4268</v>
      </c>
      <c r="D4687" s="60"/>
      <c r="E4687" s="74">
        <v>2022</v>
      </c>
      <c r="F4687" s="74" t="s">
        <v>489</v>
      </c>
      <c r="G4687" s="61">
        <v>1</v>
      </c>
      <c r="H4687" s="45">
        <v>7</v>
      </c>
      <c r="I4687" s="74">
        <v>24.507020000000001</v>
      </c>
    </row>
    <row r="4688" spans="1:9" s="71" customFormat="1" ht="16.5" hidden="1" customHeight="1" outlineLevel="1" x14ac:dyDescent="0.25">
      <c r="A4688" s="74">
        <v>5358</v>
      </c>
      <c r="B4688" s="45" t="s">
        <v>664</v>
      </c>
      <c r="C4688" s="60" t="s">
        <v>4269</v>
      </c>
      <c r="D4688" s="60"/>
      <c r="E4688" s="74">
        <v>2022</v>
      </c>
      <c r="F4688" s="74" t="s">
        <v>489</v>
      </c>
      <c r="G4688" s="61">
        <v>1</v>
      </c>
      <c r="H4688" s="45">
        <v>10</v>
      </c>
      <c r="I4688" s="74">
        <v>17.847989999999999</v>
      </c>
    </row>
    <row r="4689" spans="1:9" s="71" customFormat="1" ht="16.5" hidden="1" customHeight="1" outlineLevel="1" x14ac:dyDescent="0.25">
      <c r="A4689" s="74">
        <v>5357</v>
      </c>
      <c r="B4689" s="45" t="s">
        <v>664</v>
      </c>
      <c r="C4689" s="60" t="s">
        <v>4270</v>
      </c>
      <c r="D4689" s="60"/>
      <c r="E4689" s="74">
        <v>2022</v>
      </c>
      <c r="F4689" s="74" t="s">
        <v>489</v>
      </c>
      <c r="G4689" s="61">
        <v>1</v>
      </c>
      <c r="H4689" s="45">
        <v>10</v>
      </c>
      <c r="I4689" s="74">
        <v>18.078900000000001</v>
      </c>
    </row>
    <row r="4690" spans="1:9" s="71" customFormat="1" ht="16.5" hidden="1" customHeight="1" outlineLevel="1" x14ac:dyDescent="0.25">
      <c r="A4690" s="74">
        <v>5356</v>
      </c>
      <c r="B4690" s="45" t="s">
        <v>664</v>
      </c>
      <c r="C4690" s="60" t="s">
        <v>4271</v>
      </c>
      <c r="D4690" s="60"/>
      <c r="E4690" s="74">
        <v>2022</v>
      </c>
      <c r="F4690" s="74" t="s">
        <v>489</v>
      </c>
      <c r="G4690" s="61">
        <v>1</v>
      </c>
      <c r="H4690" s="45">
        <v>10</v>
      </c>
      <c r="I4690" s="74">
        <v>18.078880000000002</v>
      </c>
    </row>
    <row r="4691" spans="1:9" s="71" customFormat="1" ht="16.5" hidden="1" customHeight="1" outlineLevel="1" x14ac:dyDescent="0.25">
      <c r="A4691" s="74">
        <v>5359</v>
      </c>
      <c r="B4691" s="45" t="s">
        <v>664</v>
      </c>
      <c r="C4691" s="60" t="s">
        <v>4272</v>
      </c>
      <c r="D4691" s="60"/>
      <c r="E4691" s="74">
        <v>2022</v>
      </c>
      <c r="F4691" s="74" t="s">
        <v>489</v>
      </c>
      <c r="G4691" s="61">
        <v>1</v>
      </c>
      <c r="H4691" s="45">
        <v>4</v>
      </c>
      <c r="I4691" s="74">
        <v>17.846789999999999</v>
      </c>
    </row>
    <row r="4692" spans="1:9" s="71" customFormat="1" ht="16.5" hidden="1" customHeight="1" outlineLevel="1" x14ac:dyDescent="0.25">
      <c r="A4692" s="74">
        <v>5347</v>
      </c>
      <c r="B4692" s="45" t="s">
        <v>664</v>
      </c>
      <c r="C4692" s="60" t="s">
        <v>4273</v>
      </c>
      <c r="D4692" s="60"/>
      <c r="E4692" s="74">
        <v>2022</v>
      </c>
      <c r="F4692" s="74" t="s">
        <v>489</v>
      </c>
      <c r="G4692" s="61">
        <v>1</v>
      </c>
      <c r="H4692" s="45">
        <v>15</v>
      </c>
      <c r="I4692" s="74">
        <v>17.220300000000002</v>
      </c>
    </row>
    <row r="4693" spans="1:9" s="71" customFormat="1" ht="16.5" hidden="1" customHeight="1" outlineLevel="1" x14ac:dyDescent="0.25">
      <c r="A4693" s="74">
        <v>5349</v>
      </c>
      <c r="B4693" s="45" t="s">
        <v>664</v>
      </c>
      <c r="C4693" s="60" t="s">
        <v>4274</v>
      </c>
      <c r="D4693" s="60"/>
      <c r="E4693" s="74">
        <v>2022</v>
      </c>
      <c r="F4693" s="74" t="s">
        <v>489</v>
      </c>
      <c r="G4693" s="61">
        <v>1</v>
      </c>
      <c r="H4693" s="45">
        <v>15</v>
      </c>
      <c r="I4693" s="74">
        <v>17.223040000000001</v>
      </c>
    </row>
    <row r="4694" spans="1:9" s="71" customFormat="1" ht="16.5" hidden="1" customHeight="1" outlineLevel="1" x14ac:dyDescent="0.25">
      <c r="A4694" s="74">
        <v>5345</v>
      </c>
      <c r="B4694" s="45" t="s">
        <v>664</v>
      </c>
      <c r="C4694" s="60" t="s">
        <v>4275</v>
      </c>
      <c r="D4694" s="60"/>
      <c r="E4694" s="74">
        <v>2022</v>
      </c>
      <c r="F4694" s="74" t="s">
        <v>489</v>
      </c>
      <c r="G4694" s="61">
        <v>1</v>
      </c>
      <c r="H4694" s="45">
        <v>6</v>
      </c>
      <c r="I4694" s="74">
        <v>17.55686</v>
      </c>
    </row>
    <row r="4695" spans="1:9" s="71" customFormat="1" ht="16.5" hidden="1" customHeight="1" outlineLevel="1" x14ac:dyDescent="0.25">
      <c r="A4695" s="74">
        <v>5346</v>
      </c>
      <c r="B4695" s="45" t="s">
        <v>664</v>
      </c>
      <c r="C4695" s="60" t="s">
        <v>4276</v>
      </c>
      <c r="D4695" s="60"/>
      <c r="E4695" s="74">
        <v>2022</v>
      </c>
      <c r="F4695" s="74" t="s">
        <v>489</v>
      </c>
      <c r="G4695" s="61">
        <v>1</v>
      </c>
      <c r="H4695" s="45">
        <v>15</v>
      </c>
      <c r="I4695" s="74">
        <v>17.676960000000001</v>
      </c>
    </row>
    <row r="4696" spans="1:9" s="71" customFormat="1" ht="16.5" hidden="1" customHeight="1" outlineLevel="1" x14ac:dyDescent="0.25">
      <c r="A4696" s="74">
        <v>5344</v>
      </c>
      <c r="B4696" s="45" t="s">
        <v>664</v>
      </c>
      <c r="C4696" s="60" t="s">
        <v>4277</v>
      </c>
      <c r="D4696" s="60"/>
      <c r="E4696" s="74">
        <v>2022</v>
      </c>
      <c r="F4696" s="74" t="s">
        <v>489</v>
      </c>
      <c r="G4696" s="61">
        <v>1</v>
      </c>
      <c r="H4696" s="45">
        <v>15</v>
      </c>
      <c r="I4696" s="74">
        <v>17.580870000000001</v>
      </c>
    </row>
    <row r="4697" spans="1:9" s="71" customFormat="1" ht="16.5" hidden="1" customHeight="1" outlineLevel="1" x14ac:dyDescent="0.25">
      <c r="A4697" s="74">
        <v>5343</v>
      </c>
      <c r="B4697" s="45" t="s">
        <v>664</v>
      </c>
      <c r="C4697" s="60" t="s">
        <v>4278</v>
      </c>
      <c r="D4697" s="60"/>
      <c r="E4697" s="74">
        <v>2022</v>
      </c>
      <c r="F4697" s="74" t="s">
        <v>489</v>
      </c>
      <c r="G4697" s="61">
        <v>1</v>
      </c>
      <c r="H4697" s="45">
        <v>10</v>
      </c>
      <c r="I4697" s="74">
        <v>20.873629999999999</v>
      </c>
    </row>
    <row r="4698" spans="1:9" s="71" customFormat="1" ht="16.5" hidden="1" customHeight="1" outlineLevel="1" x14ac:dyDescent="0.25">
      <c r="A4698" s="74">
        <v>5341</v>
      </c>
      <c r="B4698" s="45" t="s">
        <v>664</v>
      </c>
      <c r="C4698" s="60" t="s">
        <v>4279</v>
      </c>
      <c r="D4698" s="60"/>
      <c r="E4698" s="74">
        <v>2022</v>
      </c>
      <c r="F4698" s="74" t="s">
        <v>489</v>
      </c>
      <c r="G4698" s="61">
        <v>1</v>
      </c>
      <c r="H4698" s="45">
        <v>14</v>
      </c>
      <c r="I4698" s="74">
        <v>16.520579999999999</v>
      </c>
    </row>
    <row r="4699" spans="1:9" s="71" customFormat="1" ht="16.5" hidden="1" customHeight="1" outlineLevel="1" x14ac:dyDescent="0.25">
      <c r="A4699" s="74">
        <v>5340</v>
      </c>
      <c r="B4699" s="45" t="s">
        <v>664</v>
      </c>
      <c r="C4699" s="60" t="s">
        <v>4280</v>
      </c>
      <c r="D4699" s="60"/>
      <c r="E4699" s="74">
        <v>2022</v>
      </c>
      <c r="F4699" s="74" t="s">
        <v>489</v>
      </c>
      <c r="G4699" s="61">
        <v>1</v>
      </c>
      <c r="H4699" s="45">
        <v>14</v>
      </c>
      <c r="I4699" s="74">
        <v>16.415780000000002</v>
      </c>
    </row>
    <row r="4700" spans="1:9" s="71" customFormat="1" ht="16.5" hidden="1" customHeight="1" outlineLevel="1" x14ac:dyDescent="0.25">
      <c r="A4700" s="74">
        <v>5165</v>
      </c>
      <c r="B4700" s="45" t="s">
        <v>664</v>
      </c>
      <c r="C4700" s="60" t="s">
        <v>4281</v>
      </c>
      <c r="D4700" s="60"/>
      <c r="E4700" s="74">
        <v>2022</v>
      </c>
      <c r="F4700" s="74" t="s">
        <v>489</v>
      </c>
      <c r="G4700" s="61">
        <v>1</v>
      </c>
      <c r="H4700" s="45">
        <v>14</v>
      </c>
      <c r="I4700" s="74">
        <v>9.8198100000000004</v>
      </c>
    </row>
    <row r="4701" spans="1:9" s="71" customFormat="1" ht="16.5" hidden="1" customHeight="1" outlineLevel="1" x14ac:dyDescent="0.25">
      <c r="A4701" s="74">
        <v>5169</v>
      </c>
      <c r="B4701" s="45" t="s">
        <v>664</v>
      </c>
      <c r="C4701" s="60" t="s">
        <v>4282</v>
      </c>
      <c r="D4701" s="60"/>
      <c r="E4701" s="74">
        <v>2022</v>
      </c>
      <c r="F4701" s="74" t="s">
        <v>489</v>
      </c>
      <c r="G4701" s="61">
        <v>1</v>
      </c>
      <c r="H4701" s="45">
        <v>10</v>
      </c>
      <c r="I4701" s="74">
        <v>10.487259999999999</v>
      </c>
    </row>
    <row r="4702" spans="1:9" s="71" customFormat="1" ht="16.5" hidden="1" customHeight="1" outlineLevel="1" x14ac:dyDescent="0.25">
      <c r="A4702" s="74">
        <v>5174</v>
      </c>
      <c r="B4702" s="45" t="s">
        <v>664</v>
      </c>
      <c r="C4702" s="60" t="s">
        <v>4283</v>
      </c>
      <c r="D4702" s="60"/>
      <c r="E4702" s="74">
        <v>2022</v>
      </c>
      <c r="F4702" s="74" t="s">
        <v>489</v>
      </c>
      <c r="G4702" s="61">
        <v>1</v>
      </c>
      <c r="H4702" s="45">
        <v>10</v>
      </c>
      <c r="I4702" s="74">
        <v>10.264749999999999</v>
      </c>
    </row>
    <row r="4703" spans="1:9" s="71" customFormat="1" ht="16.5" hidden="1" customHeight="1" outlineLevel="1" x14ac:dyDescent="0.25">
      <c r="A4703" s="74">
        <v>5065</v>
      </c>
      <c r="B4703" s="45" t="s">
        <v>664</v>
      </c>
      <c r="C4703" s="60" t="s">
        <v>4284</v>
      </c>
      <c r="D4703" s="60"/>
      <c r="E4703" s="74">
        <v>2022</v>
      </c>
      <c r="F4703" s="74" t="s">
        <v>489</v>
      </c>
      <c r="G4703" s="61">
        <v>1</v>
      </c>
      <c r="H4703" s="45">
        <v>14</v>
      </c>
      <c r="I4703" s="74">
        <v>26.008109999999999</v>
      </c>
    </row>
    <row r="4704" spans="1:9" s="71" customFormat="1" ht="16.5" hidden="1" customHeight="1" outlineLevel="1" x14ac:dyDescent="0.25">
      <c r="A4704" s="74">
        <v>5348</v>
      </c>
      <c r="B4704" s="45" t="s">
        <v>664</v>
      </c>
      <c r="C4704" s="60" t="s">
        <v>4285</v>
      </c>
      <c r="D4704" s="60"/>
      <c r="E4704" s="74">
        <v>2022</v>
      </c>
      <c r="F4704" s="74" t="s">
        <v>489</v>
      </c>
      <c r="G4704" s="61">
        <v>1</v>
      </c>
      <c r="H4704" s="45">
        <v>15</v>
      </c>
      <c r="I4704" s="74">
        <v>17.276409999999998</v>
      </c>
    </row>
    <row r="4705" spans="1:9" s="71" customFormat="1" ht="16.5" hidden="1" customHeight="1" outlineLevel="1" x14ac:dyDescent="0.25">
      <c r="A4705" s="74">
        <v>5342</v>
      </c>
      <c r="B4705" s="45" t="s">
        <v>664</v>
      </c>
      <c r="C4705" s="60" t="s">
        <v>4286</v>
      </c>
      <c r="D4705" s="60"/>
      <c r="E4705" s="74">
        <v>2022</v>
      </c>
      <c r="F4705" s="74" t="s">
        <v>489</v>
      </c>
      <c r="G4705" s="61">
        <v>1</v>
      </c>
      <c r="H4705" s="45">
        <v>14</v>
      </c>
      <c r="I4705" s="74">
        <v>16.415800000000001</v>
      </c>
    </row>
    <row r="4706" spans="1:9" s="71" customFormat="1" ht="16.5" hidden="1" customHeight="1" outlineLevel="1" x14ac:dyDescent="0.25">
      <c r="A4706" s="74">
        <v>5339</v>
      </c>
      <c r="B4706" s="45" t="s">
        <v>664</v>
      </c>
      <c r="C4706" s="60" t="s">
        <v>4287</v>
      </c>
      <c r="D4706" s="60"/>
      <c r="E4706" s="74">
        <v>2022</v>
      </c>
      <c r="F4706" s="74" t="s">
        <v>489</v>
      </c>
      <c r="G4706" s="61">
        <v>1</v>
      </c>
      <c r="H4706" s="45">
        <v>10</v>
      </c>
      <c r="I4706" s="74">
        <v>16.41648</v>
      </c>
    </row>
    <row r="4707" spans="1:9" s="71" customFormat="1" ht="16.5" hidden="1" customHeight="1" outlineLevel="1" x14ac:dyDescent="0.25">
      <c r="A4707" s="74">
        <v>5067</v>
      </c>
      <c r="B4707" s="45" t="s">
        <v>664</v>
      </c>
      <c r="C4707" s="60" t="s">
        <v>4288</v>
      </c>
      <c r="D4707" s="60"/>
      <c r="E4707" s="74">
        <v>2022</v>
      </c>
      <c r="F4707" s="74" t="s">
        <v>489</v>
      </c>
      <c r="G4707" s="61">
        <v>1</v>
      </c>
      <c r="H4707" s="45">
        <v>15</v>
      </c>
      <c r="I4707" s="74">
        <v>19.8812</v>
      </c>
    </row>
    <row r="4708" spans="1:9" s="71" customFormat="1" ht="16.5" hidden="1" customHeight="1" outlineLevel="1" x14ac:dyDescent="0.25">
      <c r="A4708" s="74">
        <v>5144</v>
      </c>
      <c r="B4708" s="45" t="s">
        <v>664</v>
      </c>
      <c r="C4708" s="60" t="s">
        <v>4289</v>
      </c>
      <c r="D4708" s="60"/>
      <c r="E4708" s="74">
        <v>2022</v>
      </c>
      <c r="F4708" s="74" t="s">
        <v>489</v>
      </c>
      <c r="G4708" s="61">
        <v>1</v>
      </c>
      <c r="H4708" s="45">
        <v>10</v>
      </c>
      <c r="I4708" s="74">
        <v>45.470230000000001</v>
      </c>
    </row>
    <row r="4709" spans="1:9" s="71" customFormat="1" ht="16.5" hidden="1" customHeight="1" outlineLevel="1" x14ac:dyDescent="0.25">
      <c r="A4709" s="74">
        <v>5075</v>
      </c>
      <c r="B4709" s="45" t="s">
        <v>664</v>
      </c>
      <c r="C4709" s="60" t="s">
        <v>4290</v>
      </c>
      <c r="D4709" s="60"/>
      <c r="E4709" s="74">
        <v>2022</v>
      </c>
      <c r="F4709" s="74" t="s">
        <v>489</v>
      </c>
      <c r="G4709" s="61">
        <v>1</v>
      </c>
      <c r="H4709" s="45">
        <v>15</v>
      </c>
      <c r="I4709" s="74">
        <v>19.426939999999998</v>
      </c>
    </row>
    <row r="4710" spans="1:9" s="71" customFormat="1" ht="16.5" hidden="1" customHeight="1" outlineLevel="1" x14ac:dyDescent="0.25">
      <c r="A4710" s="74">
        <v>5072</v>
      </c>
      <c r="B4710" s="45" t="s">
        <v>664</v>
      </c>
      <c r="C4710" s="60" t="s">
        <v>4291</v>
      </c>
      <c r="D4710" s="60"/>
      <c r="E4710" s="74">
        <v>2022</v>
      </c>
      <c r="F4710" s="74" t="s">
        <v>489</v>
      </c>
      <c r="G4710" s="61">
        <v>1</v>
      </c>
      <c r="H4710" s="45">
        <v>15</v>
      </c>
      <c r="I4710" s="74">
        <v>19.600159999999999</v>
      </c>
    </row>
    <row r="4711" spans="1:9" s="71" customFormat="1" ht="16.5" hidden="1" customHeight="1" outlineLevel="1" x14ac:dyDescent="0.25">
      <c r="A4711" s="74">
        <v>5071</v>
      </c>
      <c r="B4711" s="45" t="s">
        <v>664</v>
      </c>
      <c r="C4711" s="60" t="s">
        <v>4292</v>
      </c>
      <c r="D4711" s="60"/>
      <c r="E4711" s="74">
        <v>2022</v>
      </c>
      <c r="F4711" s="74" t="s">
        <v>489</v>
      </c>
      <c r="G4711" s="61">
        <v>1</v>
      </c>
      <c r="H4711" s="45">
        <v>10</v>
      </c>
      <c r="I4711" s="74">
        <v>17.136649999999999</v>
      </c>
    </row>
    <row r="4712" spans="1:9" s="71" customFormat="1" ht="16.5" hidden="1" customHeight="1" outlineLevel="1" x14ac:dyDescent="0.25">
      <c r="A4712" s="74">
        <v>5070</v>
      </c>
      <c r="B4712" s="45" t="s">
        <v>664</v>
      </c>
      <c r="C4712" s="60" t="s">
        <v>4293</v>
      </c>
      <c r="D4712" s="60"/>
      <c r="E4712" s="74">
        <v>2022</v>
      </c>
      <c r="F4712" s="74" t="s">
        <v>489</v>
      </c>
      <c r="G4712" s="61">
        <v>1</v>
      </c>
      <c r="H4712" s="45">
        <v>10</v>
      </c>
      <c r="I4712" s="74">
        <v>19.916640000000001</v>
      </c>
    </row>
    <row r="4713" spans="1:9" s="71" customFormat="1" ht="16.5" hidden="1" customHeight="1" outlineLevel="1" x14ac:dyDescent="0.25">
      <c r="A4713" s="74">
        <v>5164</v>
      </c>
      <c r="B4713" s="45" t="s">
        <v>664</v>
      </c>
      <c r="C4713" s="60" t="s">
        <v>4294</v>
      </c>
      <c r="D4713" s="60"/>
      <c r="E4713" s="74">
        <v>2022</v>
      </c>
      <c r="F4713" s="74" t="s">
        <v>489</v>
      </c>
      <c r="G4713" s="61">
        <v>1</v>
      </c>
      <c r="H4713" s="45">
        <v>10</v>
      </c>
      <c r="I4713" s="74">
        <v>17.536449999999999</v>
      </c>
    </row>
    <row r="4714" spans="1:9" s="71" customFormat="1" ht="16.5" hidden="1" customHeight="1" outlineLevel="1" x14ac:dyDescent="0.25">
      <c r="A4714" s="74">
        <v>5166</v>
      </c>
      <c r="B4714" s="45" t="s">
        <v>664</v>
      </c>
      <c r="C4714" s="60" t="s">
        <v>4295</v>
      </c>
      <c r="D4714" s="60"/>
      <c r="E4714" s="74">
        <v>2022</v>
      </c>
      <c r="F4714" s="74" t="s">
        <v>489</v>
      </c>
      <c r="G4714" s="61">
        <v>1</v>
      </c>
      <c r="H4714" s="45">
        <v>10</v>
      </c>
      <c r="I4714" s="74">
        <v>16.646540000000002</v>
      </c>
    </row>
    <row r="4715" spans="1:9" s="71" customFormat="1" ht="16.5" hidden="1" customHeight="1" outlineLevel="1" x14ac:dyDescent="0.25">
      <c r="A4715" s="74">
        <v>5167</v>
      </c>
      <c r="B4715" s="45" t="s">
        <v>664</v>
      </c>
      <c r="C4715" s="60" t="s">
        <v>4296</v>
      </c>
      <c r="D4715" s="60"/>
      <c r="E4715" s="74">
        <v>2022</v>
      </c>
      <c r="F4715" s="74" t="s">
        <v>489</v>
      </c>
      <c r="G4715" s="61">
        <v>1</v>
      </c>
      <c r="H4715" s="45">
        <v>10</v>
      </c>
      <c r="I4715" s="74">
        <v>18.426449999999999</v>
      </c>
    </row>
    <row r="4716" spans="1:9" s="71" customFormat="1" ht="16.5" hidden="1" customHeight="1" outlineLevel="1" x14ac:dyDescent="0.25">
      <c r="A4716" s="74">
        <v>5168</v>
      </c>
      <c r="B4716" s="45" t="s">
        <v>664</v>
      </c>
      <c r="C4716" s="60" t="s">
        <v>4297</v>
      </c>
      <c r="D4716" s="60"/>
      <c r="E4716" s="74">
        <v>2022</v>
      </c>
      <c r="F4716" s="74" t="s">
        <v>489</v>
      </c>
      <c r="G4716" s="61">
        <v>1</v>
      </c>
      <c r="H4716" s="45">
        <v>10</v>
      </c>
      <c r="I4716" s="74">
        <v>18.426459999999999</v>
      </c>
    </row>
    <row r="4717" spans="1:9" s="71" customFormat="1" ht="16.5" hidden="1" customHeight="1" outlineLevel="1" x14ac:dyDescent="0.25">
      <c r="A4717" s="74">
        <v>5170</v>
      </c>
      <c r="B4717" s="45" t="s">
        <v>664</v>
      </c>
      <c r="C4717" s="60" t="s">
        <v>4298</v>
      </c>
      <c r="D4717" s="60"/>
      <c r="E4717" s="74">
        <v>2022</v>
      </c>
      <c r="F4717" s="74" t="s">
        <v>489</v>
      </c>
      <c r="G4717" s="61">
        <v>1</v>
      </c>
      <c r="H4717" s="45">
        <v>10</v>
      </c>
      <c r="I4717" s="74">
        <v>17.536449999999999</v>
      </c>
    </row>
    <row r="4718" spans="1:9" s="71" customFormat="1" ht="16.5" hidden="1" customHeight="1" outlineLevel="1" x14ac:dyDescent="0.25">
      <c r="A4718" s="74">
        <v>5176</v>
      </c>
      <c r="B4718" s="45" t="s">
        <v>664</v>
      </c>
      <c r="C4718" s="60" t="s">
        <v>4299</v>
      </c>
      <c r="D4718" s="60"/>
      <c r="E4718" s="74">
        <v>2022</v>
      </c>
      <c r="F4718" s="74" t="s">
        <v>489</v>
      </c>
      <c r="G4718" s="61">
        <v>1</v>
      </c>
      <c r="H4718" s="45">
        <v>8</v>
      </c>
      <c r="I4718" s="74">
        <v>17.31401</v>
      </c>
    </row>
    <row r="4719" spans="1:9" s="71" customFormat="1" ht="16.5" hidden="1" customHeight="1" outlineLevel="1" x14ac:dyDescent="0.25">
      <c r="A4719" s="74">
        <v>5175</v>
      </c>
      <c r="B4719" s="45" t="s">
        <v>664</v>
      </c>
      <c r="C4719" s="60" t="s">
        <v>4300</v>
      </c>
      <c r="D4719" s="60"/>
      <c r="E4719" s="74">
        <v>2022</v>
      </c>
      <c r="F4719" s="74" t="s">
        <v>489</v>
      </c>
      <c r="G4719" s="61">
        <v>1</v>
      </c>
      <c r="H4719" s="45">
        <v>10</v>
      </c>
      <c r="I4719" s="74">
        <v>16.913530000000002</v>
      </c>
    </row>
    <row r="4720" spans="1:9" s="71" customFormat="1" ht="16.5" hidden="1" customHeight="1" outlineLevel="1" x14ac:dyDescent="0.25">
      <c r="A4720" s="74">
        <v>5173</v>
      </c>
      <c r="B4720" s="45" t="s">
        <v>664</v>
      </c>
      <c r="C4720" s="60" t="s">
        <v>4301</v>
      </c>
      <c r="D4720" s="60"/>
      <c r="E4720" s="74">
        <v>2022</v>
      </c>
      <c r="F4720" s="74" t="s">
        <v>489</v>
      </c>
      <c r="G4720" s="61">
        <v>1</v>
      </c>
      <c r="H4720" s="45">
        <v>10</v>
      </c>
      <c r="I4720" s="74">
        <v>17.09186</v>
      </c>
    </row>
    <row r="4721" spans="1:9" s="71" customFormat="1" ht="16.5" hidden="1" customHeight="1" outlineLevel="1" x14ac:dyDescent="0.25">
      <c r="A4721" s="74">
        <v>5172</v>
      </c>
      <c r="B4721" s="45" t="s">
        <v>664</v>
      </c>
      <c r="C4721" s="60" t="s">
        <v>4302</v>
      </c>
      <c r="D4721" s="60"/>
      <c r="E4721" s="74">
        <v>2022</v>
      </c>
      <c r="F4721" s="74" t="s">
        <v>489</v>
      </c>
      <c r="G4721" s="61">
        <v>1</v>
      </c>
      <c r="H4721" s="45">
        <v>15</v>
      </c>
      <c r="I4721" s="74">
        <v>16.646560000000001</v>
      </c>
    </row>
    <row r="4722" spans="1:9" s="71" customFormat="1" ht="16.5" hidden="1" customHeight="1" outlineLevel="1" x14ac:dyDescent="0.25">
      <c r="A4722" s="74">
        <v>5171</v>
      </c>
      <c r="B4722" s="45" t="s">
        <v>664</v>
      </c>
      <c r="C4722" s="60" t="s">
        <v>4303</v>
      </c>
      <c r="D4722" s="60"/>
      <c r="E4722" s="74">
        <v>2022</v>
      </c>
      <c r="F4722" s="74" t="s">
        <v>489</v>
      </c>
      <c r="G4722" s="61">
        <v>1</v>
      </c>
      <c r="H4722" s="45">
        <v>15</v>
      </c>
      <c r="I4722" s="74">
        <v>16.646519999999999</v>
      </c>
    </row>
    <row r="4723" spans="1:9" s="71" customFormat="1" ht="16.5" hidden="1" customHeight="1" outlineLevel="1" x14ac:dyDescent="0.25">
      <c r="A4723" s="74">
        <v>5191</v>
      </c>
      <c r="B4723" s="45" t="s">
        <v>664</v>
      </c>
      <c r="C4723" s="60" t="s">
        <v>4304</v>
      </c>
      <c r="D4723" s="60"/>
      <c r="E4723" s="74">
        <v>2022</v>
      </c>
      <c r="F4723" s="74" t="s">
        <v>489</v>
      </c>
      <c r="G4723" s="61">
        <v>1</v>
      </c>
      <c r="H4723" s="45">
        <v>15</v>
      </c>
      <c r="I4723" s="74">
        <v>30.09684</v>
      </c>
    </row>
    <row r="4724" spans="1:9" s="71" customFormat="1" ht="16.5" hidden="1" customHeight="1" outlineLevel="1" x14ac:dyDescent="0.25">
      <c r="A4724" s="74">
        <v>5190</v>
      </c>
      <c r="B4724" s="45" t="s">
        <v>664</v>
      </c>
      <c r="C4724" s="60" t="s">
        <v>4305</v>
      </c>
      <c r="D4724" s="60"/>
      <c r="E4724" s="74">
        <v>2022</v>
      </c>
      <c r="F4724" s="74" t="s">
        <v>489</v>
      </c>
      <c r="G4724" s="61">
        <v>1</v>
      </c>
      <c r="H4724" s="45">
        <v>15</v>
      </c>
      <c r="I4724" s="74">
        <v>18.528700000000001</v>
      </c>
    </row>
    <row r="4725" spans="1:9" s="71" customFormat="1" ht="16.5" hidden="1" customHeight="1" outlineLevel="1" x14ac:dyDescent="0.25">
      <c r="A4725" s="74">
        <v>5189</v>
      </c>
      <c r="B4725" s="45" t="s">
        <v>664</v>
      </c>
      <c r="C4725" s="60" t="s">
        <v>4306</v>
      </c>
      <c r="D4725" s="60"/>
      <c r="E4725" s="74">
        <v>2022</v>
      </c>
      <c r="F4725" s="74" t="s">
        <v>489</v>
      </c>
      <c r="G4725" s="61">
        <v>1</v>
      </c>
      <c r="H4725" s="45">
        <v>13</v>
      </c>
      <c r="I4725" s="74">
        <v>19.824300000000001</v>
      </c>
    </row>
    <row r="4726" spans="1:9" s="71" customFormat="1" ht="16.5" hidden="1" customHeight="1" outlineLevel="1" x14ac:dyDescent="0.25">
      <c r="A4726" s="74">
        <v>5188</v>
      </c>
      <c r="B4726" s="45" t="s">
        <v>664</v>
      </c>
      <c r="C4726" s="60" t="s">
        <v>4307</v>
      </c>
      <c r="D4726" s="60"/>
      <c r="E4726" s="74">
        <v>2022</v>
      </c>
      <c r="F4726" s="74" t="s">
        <v>489</v>
      </c>
      <c r="G4726" s="61">
        <v>1</v>
      </c>
      <c r="H4726" s="45">
        <v>15</v>
      </c>
      <c r="I4726" s="74">
        <v>19.82396</v>
      </c>
    </row>
    <row r="4727" spans="1:9" s="71" customFormat="1" ht="16.5" hidden="1" customHeight="1" outlineLevel="1" x14ac:dyDescent="0.25">
      <c r="A4727" s="74">
        <v>5187</v>
      </c>
      <c r="B4727" s="45" t="s">
        <v>664</v>
      </c>
      <c r="C4727" s="60" t="s">
        <v>4308</v>
      </c>
      <c r="D4727" s="60"/>
      <c r="E4727" s="74">
        <v>2022</v>
      </c>
      <c r="F4727" s="74" t="s">
        <v>489</v>
      </c>
      <c r="G4727" s="61">
        <v>1</v>
      </c>
      <c r="H4727" s="45">
        <v>14</v>
      </c>
      <c r="I4727" s="74">
        <v>21.241890000000001</v>
      </c>
    </row>
    <row r="4728" spans="1:9" s="71" customFormat="1" ht="16.5" hidden="1" customHeight="1" outlineLevel="1" x14ac:dyDescent="0.25">
      <c r="A4728" s="74">
        <v>5186</v>
      </c>
      <c r="B4728" s="45" t="s">
        <v>664</v>
      </c>
      <c r="C4728" s="60" t="s">
        <v>4309</v>
      </c>
      <c r="D4728" s="60"/>
      <c r="E4728" s="74">
        <v>2022</v>
      </c>
      <c r="F4728" s="74" t="s">
        <v>489</v>
      </c>
      <c r="G4728" s="61">
        <v>1</v>
      </c>
      <c r="H4728" s="45">
        <v>14</v>
      </c>
      <c r="I4728" s="74">
        <v>21.35848</v>
      </c>
    </row>
    <row r="4729" spans="1:9" s="71" customFormat="1" ht="16.5" hidden="1" customHeight="1" outlineLevel="1" x14ac:dyDescent="0.25">
      <c r="A4729" s="74">
        <v>5185</v>
      </c>
      <c r="B4729" s="45" t="s">
        <v>664</v>
      </c>
      <c r="C4729" s="60" t="s">
        <v>4310</v>
      </c>
      <c r="D4729" s="60"/>
      <c r="E4729" s="74">
        <v>2022</v>
      </c>
      <c r="F4729" s="74" t="s">
        <v>489</v>
      </c>
      <c r="G4729" s="61">
        <v>1</v>
      </c>
      <c r="H4729" s="45">
        <v>14</v>
      </c>
      <c r="I4729" s="74">
        <v>21.16621</v>
      </c>
    </row>
    <row r="4730" spans="1:9" s="71" customFormat="1" ht="16.5" hidden="1" customHeight="1" outlineLevel="1" x14ac:dyDescent="0.25">
      <c r="A4730" s="74">
        <v>5183</v>
      </c>
      <c r="B4730" s="45" t="s">
        <v>664</v>
      </c>
      <c r="C4730" s="60" t="s">
        <v>4311</v>
      </c>
      <c r="D4730" s="60"/>
      <c r="E4730" s="74">
        <v>2022</v>
      </c>
      <c r="F4730" s="74" t="s">
        <v>489</v>
      </c>
      <c r="G4730" s="61">
        <v>1</v>
      </c>
      <c r="H4730" s="45">
        <v>14</v>
      </c>
      <c r="I4730" s="74">
        <v>20.983830000000001</v>
      </c>
    </row>
    <row r="4731" spans="1:9" s="71" customFormat="1" ht="16.5" hidden="1" customHeight="1" outlineLevel="1" x14ac:dyDescent="0.25">
      <c r="A4731" s="74">
        <v>5184</v>
      </c>
      <c r="B4731" s="45" t="s">
        <v>664</v>
      </c>
      <c r="C4731" s="60" t="s">
        <v>4312</v>
      </c>
      <c r="D4731" s="60"/>
      <c r="E4731" s="74">
        <v>2022</v>
      </c>
      <c r="F4731" s="74" t="s">
        <v>489</v>
      </c>
      <c r="G4731" s="61">
        <v>1</v>
      </c>
      <c r="H4731" s="45">
        <v>14</v>
      </c>
      <c r="I4731" s="74">
        <v>20.328040000000001</v>
      </c>
    </row>
    <row r="4732" spans="1:9" s="71" customFormat="1" ht="16.5" hidden="1" customHeight="1" outlineLevel="1" x14ac:dyDescent="0.25">
      <c r="A4732" s="74">
        <v>5192</v>
      </c>
      <c r="B4732" s="45" t="s">
        <v>664</v>
      </c>
      <c r="C4732" s="60" t="s">
        <v>4313</v>
      </c>
      <c r="D4732" s="60"/>
      <c r="E4732" s="74">
        <v>2022</v>
      </c>
      <c r="F4732" s="74" t="s">
        <v>489</v>
      </c>
      <c r="G4732" s="61">
        <v>1</v>
      </c>
      <c r="H4732" s="45">
        <v>15</v>
      </c>
      <c r="I4732" s="74">
        <v>18.871839999999999</v>
      </c>
    </row>
    <row r="4733" spans="1:9" s="71" customFormat="1" ht="16.5" hidden="1" customHeight="1" outlineLevel="1" x14ac:dyDescent="0.25">
      <c r="A4733" s="74">
        <v>5193</v>
      </c>
      <c r="B4733" s="45" t="s">
        <v>664</v>
      </c>
      <c r="C4733" s="60" t="s">
        <v>4314</v>
      </c>
      <c r="D4733" s="60"/>
      <c r="E4733" s="74">
        <v>2022</v>
      </c>
      <c r="F4733" s="74" t="s">
        <v>489</v>
      </c>
      <c r="G4733" s="61">
        <v>1</v>
      </c>
      <c r="H4733" s="45">
        <v>15</v>
      </c>
      <c r="I4733" s="74">
        <v>17.42521</v>
      </c>
    </row>
    <row r="4734" spans="1:9" s="71" customFormat="1" ht="16.5" hidden="1" customHeight="1" outlineLevel="1" x14ac:dyDescent="0.25">
      <c r="A4734" s="74">
        <v>5182</v>
      </c>
      <c r="B4734" s="45" t="s">
        <v>664</v>
      </c>
      <c r="C4734" s="60" t="s">
        <v>4315</v>
      </c>
      <c r="D4734" s="60"/>
      <c r="E4734" s="74">
        <v>2022</v>
      </c>
      <c r="F4734" s="74" t="s">
        <v>489</v>
      </c>
      <c r="G4734" s="61">
        <v>1</v>
      </c>
      <c r="H4734" s="45">
        <v>15</v>
      </c>
      <c r="I4734" s="74">
        <v>23.354299999999999</v>
      </c>
    </row>
    <row r="4735" spans="1:9" s="71" customFormat="1" ht="16.5" hidden="1" customHeight="1" outlineLevel="1" x14ac:dyDescent="0.25">
      <c r="A4735" s="74">
        <v>5181</v>
      </c>
      <c r="B4735" s="45" t="s">
        <v>664</v>
      </c>
      <c r="C4735" s="60" t="s">
        <v>4316</v>
      </c>
      <c r="D4735" s="60"/>
      <c r="E4735" s="74">
        <v>2022</v>
      </c>
      <c r="F4735" s="74" t="s">
        <v>489</v>
      </c>
      <c r="G4735" s="61">
        <v>1</v>
      </c>
      <c r="H4735" s="45">
        <v>15</v>
      </c>
      <c r="I4735" s="74">
        <v>20.01418</v>
      </c>
    </row>
    <row r="4736" spans="1:9" s="71" customFormat="1" ht="16.5" hidden="1" customHeight="1" outlineLevel="1" x14ac:dyDescent="0.25">
      <c r="A4736" s="74">
        <v>5180</v>
      </c>
      <c r="B4736" s="45" t="s">
        <v>664</v>
      </c>
      <c r="C4736" s="60" t="s">
        <v>4317</v>
      </c>
      <c r="D4736" s="60"/>
      <c r="E4736" s="74">
        <v>2022</v>
      </c>
      <c r="F4736" s="74" t="s">
        <v>489</v>
      </c>
      <c r="G4736" s="61">
        <v>1</v>
      </c>
      <c r="H4736" s="45">
        <v>10</v>
      </c>
      <c r="I4736" s="74">
        <v>18.555209999999999</v>
      </c>
    </row>
    <row r="4737" spans="1:9" s="71" customFormat="1" ht="16.5" hidden="1" customHeight="1" outlineLevel="1" x14ac:dyDescent="0.25">
      <c r="A4737" s="74">
        <v>5179</v>
      </c>
      <c r="B4737" s="45" t="s">
        <v>664</v>
      </c>
      <c r="C4737" s="60" t="s">
        <v>4318</v>
      </c>
      <c r="D4737" s="60"/>
      <c r="E4737" s="74">
        <v>2022</v>
      </c>
      <c r="F4737" s="74" t="s">
        <v>489</v>
      </c>
      <c r="G4737" s="61">
        <v>1</v>
      </c>
      <c r="H4737" s="45">
        <v>7</v>
      </c>
      <c r="I4737" s="74">
        <v>18.50074</v>
      </c>
    </row>
    <row r="4738" spans="1:9" s="71" customFormat="1" ht="16.5" hidden="1" customHeight="1" outlineLevel="1" x14ac:dyDescent="0.25">
      <c r="A4738" s="74">
        <v>5178</v>
      </c>
      <c r="B4738" s="45" t="s">
        <v>664</v>
      </c>
      <c r="C4738" s="60" t="s">
        <v>4319</v>
      </c>
      <c r="D4738" s="60"/>
      <c r="E4738" s="74">
        <v>2022</v>
      </c>
      <c r="F4738" s="74" t="s">
        <v>489</v>
      </c>
      <c r="G4738" s="61">
        <v>1</v>
      </c>
      <c r="H4738" s="45">
        <v>10</v>
      </c>
      <c r="I4738" s="74">
        <v>18.487110000000001</v>
      </c>
    </row>
    <row r="4739" spans="1:9" s="71" customFormat="1" ht="16.5" hidden="1" customHeight="1" outlineLevel="1" x14ac:dyDescent="0.25">
      <c r="A4739" s="74">
        <v>5177</v>
      </c>
      <c r="B4739" s="45" t="s">
        <v>664</v>
      </c>
      <c r="C4739" s="60" t="s">
        <v>4320</v>
      </c>
      <c r="D4739" s="60"/>
      <c r="E4739" s="74">
        <v>2022</v>
      </c>
      <c r="F4739" s="74" t="s">
        <v>489</v>
      </c>
      <c r="G4739" s="61">
        <v>1</v>
      </c>
      <c r="H4739" s="45">
        <v>10</v>
      </c>
      <c r="I4739" s="74">
        <v>18.487719999999999</v>
      </c>
    </row>
    <row r="4740" spans="1:9" s="71" customFormat="1" ht="16.5" hidden="1" customHeight="1" outlineLevel="1" x14ac:dyDescent="0.25">
      <c r="A4740" s="74">
        <v>5210</v>
      </c>
      <c r="B4740" s="45" t="s">
        <v>664</v>
      </c>
      <c r="C4740" s="60" t="s">
        <v>4321</v>
      </c>
      <c r="D4740" s="60"/>
      <c r="E4740" s="74">
        <v>2022</v>
      </c>
      <c r="F4740" s="74" t="s">
        <v>489</v>
      </c>
      <c r="G4740" s="61">
        <v>1</v>
      </c>
      <c r="H4740" s="45">
        <v>10</v>
      </c>
      <c r="I4740" s="74">
        <v>18.083559999999999</v>
      </c>
    </row>
    <row r="4741" spans="1:9" s="71" customFormat="1" ht="16.5" hidden="1" customHeight="1" outlineLevel="1" x14ac:dyDescent="0.25">
      <c r="A4741" s="74">
        <v>5209</v>
      </c>
      <c r="B4741" s="45" t="s">
        <v>664</v>
      </c>
      <c r="C4741" s="60" t="s">
        <v>4322</v>
      </c>
      <c r="D4741" s="60"/>
      <c r="E4741" s="74">
        <v>2022</v>
      </c>
      <c r="F4741" s="74" t="s">
        <v>489</v>
      </c>
      <c r="G4741" s="61">
        <v>1</v>
      </c>
      <c r="H4741" s="45">
        <v>15</v>
      </c>
      <c r="I4741" s="74">
        <v>19.365670000000001</v>
      </c>
    </row>
    <row r="4742" spans="1:9" s="71" customFormat="1" ht="16.5" hidden="1" customHeight="1" outlineLevel="1" x14ac:dyDescent="0.25">
      <c r="A4742" s="74">
        <v>5208</v>
      </c>
      <c r="B4742" s="45" t="s">
        <v>664</v>
      </c>
      <c r="C4742" s="60" t="s">
        <v>4323</v>
      </c>
      <c r="D4742" s="60"/>
      <c r="E4742" s="74">
        <v>2022</v>
      </c>
      <c r="F4742" s="74" t="s">
        <v>489</v>
      </c>
      <c r="G4742" s="61">
        <v>1</v>
      </c>
      <c r="H4742" s="45">
        <v>10</v>
      </c>
      <c r="I4742" s="74">
        <v>16.94387</v>
      </c>
    </row>
    <row r="4743" spans="1:9" s="71" customFormat="1" ht="16.5" hidden="1" customHeight="1" outlineLevel="1" x14ac:dyDescent="0.25">
      <c r="A4743" s="74">
        <v>5207</v>
      </c>
      <c r="B4743" s="45" t="s">
        <v>664</v>
      </c>
      <c r="C4743" s="60" t="s">
        <v>4324</v>
      </c>
      <c r="D4743" s="60"/>
      <c r="E4743" s="74">
        <v>2022</v>
      </c>
      <c r="F4743" s="74" t="s">
        <v>489</v>
      </c>
      <c r="G4743" s="61">
        <v>1</v>
      </c>
      <c r="H4743" s="45">
        <v>15</v>
      </c>
      <c r="I4743" s="74">
        <v>19.365670000000001</v>
      </c>
    </row>
    <row r="4744" spans="1:9" s="71" customFormat="1" ht="16.5" hidden="1" customHeight="1" outlineLevel="1" x14ac:dyDescent="0.25">
      <c r="A4744" s="74">
        <v>5206</v>
      </c>
      <c r="B4744" s="45" t="s">
        <v>664</v>
      </c>
      <c r="C4744" s="60" t="s">
        <v>4325</v>
      </c>
      <c r="D4744" s="60"/>
      <c r="E4744" s="74">
        <v>2022</v>
      </c>
      <c r="F4744" s="74" t="s">
        <v>489</v>
      </c>
      <c r="G4744" s="61">
        <v>1</v>
      </c>
      <c r="H4744" s="45">
        <v>6</v>
      </c>
      <c r="I4744" s="74">
        <v>18.24023</v>
      </c>
    </row>
    <row r="4745" spans="1:9" s="71" customFormat="1" ht="16.5" hidden="1" customHeight="1" outlineLevel="1" x14ac:dyDescent="0.25">
      <c r="A4745" s="74">
        <v>5205</v>
      </c>
      <c r="B4745" s="45" t="s">
        <v>664</v>
      </c>
      <c r="C4745" s="60" t="s">
        <v>4326</v>
      </c>
      <c r="D4745" s="60"/>
      <c r="E4745" s="74">
        <v>2022</v>
      </c>
      <c r="F4745" s="74" t="s">
        <v>489</v>
      </c>
      <c r="G4745" s="61">
        <v>1</v>
      </c>
      <c r="H4745" s="45">
        <v>14.5</v>
      </c>
      <c r="I4745" s="74">
        <v>18.225999999999999</v>
      </c>
    </row>
    <row r="4746" spans="1:9" s="71" customFormat="1" ht="16.5" hidden="1" customHeight="1" outlineLevel="1" x14ac:dyDescent="0.25">
      <c r="A4746" s="74">
        <v>5211</v>
      </c>
      <c r="B4746" s="45" t="s">
        <v>664</v>
      </c>
      <c r="C4746" s="60" t="s">
        <v>4327</v>
      </c>
      <c r="D4746" s="60"/>
      <c r="E4746" s="74">
        <v>2022</v>
      </c>
      <c r="F4746" s="74" t="s">
        <v>489</v>
      </c>
      <c r="G4746" s="61">
        <v>1</v>
      </c>
      <c r="H4746" s="45">
        <v>10</v>
      </c>
      <c r="I4746" s="74">
        <v>18.938300000000002</v>
      </c>
    </row>
    <row r="4747" spans="1:9" s="71" customFormat="1" ht="16.5" hidden="1" customHeight="1" outlineLevel="1" x14ac:dyDescent="0.25">
      <c r="A4747" s="74">
        <v>5194</v>
      </c>
      <c r="B4747" s="45" t="s">
        <v>664</v>
      </c>
      <c r="C4747" s="60" t="s">
        <v>4328</v>
      </c>
      <c r="D4747" s="60"/>
      <c r="E4747" s="74">
        <v>2022</v>
      </c>
      <c r="F4747" s="74" t="s">
        <v>489</v>
      </c>
      <c r="G4747" s="61">
        <v>1</v>
      </c>
      <c r="H4747" s="45">
        <v>14</v>
      </c>
      <c r="I4747" s="74">
        <v>17.37087</v>
      </c>
    </row>
    <row r="4748" spans="1:9" s="71" customFormat="1" ht="16.5" hidden="1" customHeight="1" outlineLevel="1" x14ac:dyDescent="0.25">
      <c r="A4748" s="74">
        <v>5195</v>
      </c>
      <c r="B4748" s="45" t="s">
        <v>664</v>
      </c>
      <c r="C4748" s="60" t="s">
        <v>4329</v>
      </c>
      <c r="D4748" s="60"/>
      <c r="E4748" s="74">
        <v>2022</v>
      </c>
      <c r="F4748" s="74" t="s">
        <v>489</v>
      </c>
      <c r="G4748" s="61">
        <v>1</v>
      </c>
      <c r="H4748" s="45">
        <v>14</v>
      </c>
      <c r="I4748" s="74">
        <v>17.712759999999999</v>
      </c>
    </row>
    <row r="4749" spans="1:9" s="71" customFormat="1" ht="16.5" hidden="1" customHeight="1" outlineLevel="1" x14ac:dyDescent="0.25">
      <c r="A4749" s="74">
        <v>5196</v>
      </c>
      <c r="B4749" s="45" t="s">
        <v>664</v>
      </c>
      <c r="C4749" s="60" t="s">
        <v>4330</v>
      </c>
      <c r="D4749" s="60"/>
      <c r="E4749" s="74">
        <v>2022</v>
      </c>
      <c r="F4749" s="74" t="s">
        <v>489</v>
      </c>
      <c r="G4749" s="61">
        <v>1</v>
      </c>
      <c r="H4749" s="45">
        <v>14</v>
      </c>
      <c r="I4749" s="74">
        <v>17.69858</v>
      </c>
    </row>
    <row r="4750" spans="1:9" s="71" customFormat="1" ht="16.5" hidden="1" customHeight="1" outlineLevel="1" x14ac:dyDescent="0.25">
      <c r="A4750" s="74">
        <v>5197</v>
      </c>
      <c r="B4750" s="45" t="s">
        <v>664</v>
      </c>
      <c r="C4750" s="60" t="s">
        <v>4331</v>
      </c>
      <c r="D4750" s="60"/>
      <c r="E4750" s="74">
        <v>2022</v>
      </c>
      <c r="F4750" s="74" t="s">
        <v>489</v>
      </c>
      <c r="G4750" s="61">
        <v>1</v>
      </c>
      <c r="H4750" s="45">
        <v>14</v>
      </c>
      <c r="I4750" s="74">
        <v>17.37086</v>
      </c>
    </row>
    <row r="4751" spans="1:9" s="71" customFormat="1" ht="16.5" hidden="1" customHeight="1" outlineLevel="1" x14ac:dyDescent="0.25">
      <c r="A4751" s="74">
        <v>5198</v>
      </c>
      <c r="B4751" s="45" t="s">
        <v>664</v>
      </c>
      <c r="C4751" s="60" t="s">
        <v>4332</v>
      </c>
      <c r="D4751" s="60"/>
      <c r="E4751" s="74">
        <v>2022</v>
      </c>
      <c r="F4751" s="74" t="s">
        <v>489</v>
      </c>
      <c r="G4751" s="61">
        <v>1</v>
      </c>
      <c r="H4751" s="45">
        <v>14</v>
      </c>
      <c r="I4751" s="74">
        <v>17.370850000000001</v>
      </c>
    </row>
    <row r="4752" spans="1:9" s="71" customFormat="1" ht="16.5" hidden="1" customHeight="1" outlineLevel="1" x14ac:dyDescent="0.25">
      <c r="A4752" s="74">
        <v>5199</v>
      </c>
      <c r="B4752" s="45" t="s">
        <v>664</v>
      </c>
      <c r="C4752" s="60" t="s">
        <v>4333</v>
      </c>
      <c r="D4752" s="60"/>
      <c r="E4752" s="74">
        <v>2022</v>
      </c>
      <c r="F4752" s="74" t="s">
        <v>489</v>
      </c>
      <c r="G4752" s="61">
        <v>1</v>
      </c>
      <c r="H4752" s="45">
        <v>7.5</v>
      </c>
      <c r="I4752" s="74">
        <v>19.750050000000002</v>
      </c>
    </row>
    <row r="4753" spans="1:9" s="71" customFormat="1" ht="16.5" hidden="1" customHeight="1" outlineLevel="1" x14ac:dyDescent="0.25">
      <c r="A4753" s="74">
        <v>5200</v>
      </c>
      <c r="B4753" s="45" t="s">
        <v>664</v>
      </c>
      <c r="C4753" s="60" t="s">
        <v>4334</v>
      </c>
      <c r="D4753" s="60"/>
      <c r="E4753" s="74">
        <v>2022</v>
      </c>
      <c r="F4753" s="74" t="s">
        <v>489</v>
      </c>
      <c r="G4753" s="61">
        <v>1</v>
      </c>
      <c r="H4753" s="45">
        <v>15</v>
      </c>
      <c r="I4753" s="74">
        <v>21.886990000000001</v>
      </c>
    </row>
    <row r="4754" spans="1:9" s="71" customFormat="1" ht="16.5" hidden="1" customHeight="1" outlineLevel="1" x14ac:dyDescent="0.25">
      <c r="A4754" s="74">
        <v>5202</v>
      </c>
      <c r="B4754" s="45" t="s">
        <v>664</v>
      </c>
      <c r="C4754" s="60" t="s">
        <v>4335</v>
      </c>
      <c r="D4754" s="60"/>
      <c r="E4754" s="74">
        <v>2022</v>
      </c>
      <c r="F4754" s="74" t="s">
        <v>489</v>
      </c>
      <c r="G4754" s="61">
        <v>1</v>
      </c>
      <c r="H4754" s="45">
        <v>15</v>
      </c>
      <c r="I4754" s="74">
        <v>17.328099999999999</v>
      </c>
    </row>
    <row r="4755" spans="1:9" s="71" customFormat="1" ht="16.5" hidden="1" customHeight="1" outlineLevel="1" x14ac:dyDescent="0.25">
      <c r="A4755" s="74">
        <v>5203</v>
      </c>
      <c r="B4755" s="45" t="s">
        <v>664</v>
      </c>
      <c r="C4755" s="60" t="s">
        <v>4336</v>
      </c>
      <c r="D4755" s="60"/>
      <c r="E4755" s="74">
        <v>2022</v>
      </c>
      <c r="F4755" s="74" t="s">
        <v>489</v>
      </c>
      <c r="G4755" s="61">
        <v>1</v>
      </c>
      <c r="H4755" s="45">
        <v>15</v>
      </c>
      <c r="I4755" s="74">
        <v>24.308890000000002</v>
      </c>
    </row>
    <row r="4756" spans="1:9" s="71" customFormat="1" ht="16.5" hidden="1" customHeight="1" outlineLevel="1" x14ac:dyDescent="0.25">
      <c r="A4756" s="74">
        <v>5161</v>
      </c>
      <c r="B4756" s="45" t="s">
        <v>664</v>
      </c>
      <c r="C4756" s="60" t="s">
        <v>4337</v>
      </c>
      <c r="D4756" s="60"/>
      <c r="E4756" s="74">
        <v>2022</v>
      </c>
      <c r="F4756" s="74" t="s">
        <v>489</v>
      </c>
      <c r="G4756" s="61">
        <v>1</v>
      </c>
      <c r="H4756" s="45">
        <v>8.9</v>
      </c>
      <c r="I4756" s="74">
        <v>18.753160000000001</v>
      </c>
    </row>
    <row r="4757" spans="1:9" s="71" customFormat="1" ht="16.5" hidden="1" customHeight="1" outlineLevel="1" x14ac:dyDescent="0.25">
      <c r="A4757" s="74">
        <v>5074</v>
      </c>
      <c r="B4757" s="45" t="s">
        <v>664</v>
      </c>
      <c r="C4757" s="60" t="s">
        <v>4338</v>
      </c>
      <c r="D4757" s="60"/>
      <c r="E4757" s="74">
        <v>2022</v>
      </c>
      <c r="F4757" s="74" t="s">
        <v>489</v>
      </c>
      <c r="G4757" s="61">
        <v>1</v>
      </c>
      <c r="H4757" s="45">
        <v>50</v>
      </c>
      <c r="I4757" s="74">
        <v>33.277030000000003</v>
      </c>
    </row>
    <row r="4758" spans="1:9" s="71" customFormat="1" ht="16.5" hidden="1" customHeight="1" outlineLevel="1" x14ac:dyDescent="0.25">
      <c r="A4758" s="74">
        <v>5153</v>
      </c>
      <c r="B4758" s="45" t="s">
        <v>664</v>
      </c>
      <c r="C4758" s="60" t="s">
        <v>4339</v>
      </c>
      <c r="D4758" s="60"/>
      <c r="E4758" s="74">
        <v>2022</v>
      </c>
      <c r="F4758" s="74" t="s">
        <v>489</v>
      </c>
      <c r="G4758" s="61">
        <v>1</v>
      </c>
      <c r="H4758" s="45">
        <v>13.9</v>
      </c>
      <c r="I4758" s="74">
        <v>17.30789</v>
      </c>
    </row>
    <row r="4759" spans="1:9" s="71" customFormat="1" ht="16.5" hidden="1" customHeight="1" outlineLevel="1" x14ac:dyDescent="0.25">
      <c r="A4759" s="74">
        <v>5154</v>
      </c>
      <c r="B4759" s="45" t="s">
        <v>664</v>
      </c>
      <c r="C4759" s="60" t="s">
        <v>4340</v>
      </c>
      <c r="D4759" s="60"/>
      <c r="E4759" s="74">
        <v>2022</v>
      </c>
      <c r="F4759" s="74" t="s">
        <v>489</v>
      </c>
      <c r="G4759" s="61">
        <v>1</v>
      </c>
      <c r="H4759" s="45">
        <v>15</v>
      </c>
      <c r="I4759" s="74">
        <v>16.086500000000001</v>
      </c>
    </row>
    <row r="4760" spans="1:9" s="71" customFormat="1" ht="16.5" hidden="1" customHeight="1" outlineLevel="1" x14ac:dyDescent="0.25">
      <c r="A4760" s="74">
        <v>5155</v>
      </c>
      <c r="B4760" s="45" t="s">
        <v>664</v>
      </c>
      <c r="C4760" s="60" t="s">
        <v>4341</v>
      </c>
      <c r="D4760" s="60"/>
      <c r="E4760" s="74">
        <v>2022</v>
      </c>
      <c r="F4760" s="74" t="s">
        <v>489</v>
      </c>
      <c r="G4760" s="61">
        <v>1</v>
      </c>
      <c r="H4760" s="45">
        <v>14</v>
      </c>
      <c r="I4760" s="74">
        <v>16.718509999999998</v>
      </c>
    </row>
    <row r="4761" spans="1:9" s="71" customFormat="1" ht="16.5" hidden="1" customHeight="1" outlineLevel="1" x14ac:dyDescent="0.25">
      <c r="A4761" s="74">
        <v>5156</v>
      </c>
      <c r="B4761" s="45" t="s">
        <v>664</v>
      </c>
      <c r="C4761" s="60" t="s">
        <v>4342</v>
      </c>
      <c r="D4761" s="60"/>
      <c r="E4761" s="74">
        <v>2022</v>
      </c>
      <c r="F4761" s="74" t="s">
        <v>489</v>
      </c>
      <c r="G4761" s="61">
        <v>1</v>
      </c>
      <c r="H4761" s="45">
        <v>7.5</v>
      </c>
      <c r="I4761" s="74">
        <v>16.71857</v>
      </c>
    </row>
    <row r="4762" spans="1:9" s="71" customFormat="1" ht="16.5" hidden="1" customHeight="1" outlineLevel="1" x14ac:dyDescent="0.25">
      <c r="A4762" s="74">
        <v>5157</v>
      </c>
      <c r="B4762" s="45" t="s">
        <v>664</v>
      </c>
      <c r="C4762" s="60" t="s">
        <v>4343</v>
      </c>
      <c r="D4762" s="60"/>
      <c r="E4762" s="74">
        <v>2022</v>
      </c>
      <c r="F4762" s="74" t="s">
        <v>489</v>
      </c>
      <c r="G4762" s="61">
        <v>1</v>
      </c>
      <c r="H4762" s="45">
        <v>7.5</v>
      </c>
      <c r="I4762" s="74">
        <v>16.718520000000002</v>
      </c>
    </row>
    <row r="4763" spans="1:9" s="71" customFormat="1" ht="16.5" hidden="1" customHeight="1" outlineLevel="1" x14ac:dyDescent="0.25">
      <c r="A4763" s="74">
        <v>5158</v>
      </c>
      <c r="B4763" s="45" t="s">
        <v>664</v>
      </c>
      <c r="C4763" s="60" t="s">
        <v>4344</v>
      </c>
      <c r="D4763" s="60"/>
      <c r="E4763" s="74">
        <v>2022</v>
      </c>
      <c r="F4763" s="74" t="s">
        <v>489</v>
      </c>
      <c r="G4763" s="61">
        <v>1</v>
      </c>
      <c r="H4763" s="45">
        <v>7.5</v>
      </c>
      <c r="I4763" s="74">
        <v>16.72336</v>
      </c>
    </row>
    <row r="4764" spans="1:9" s="71" customFormat="1" ht="16.5" hidden="1" customHeight="1" outlineLevel="1" x14ac:dyDescent="0.25">
      <c r="A4764" s="74">
        <v>5159</v>
      </c>
      <c r="B4764" s="45" t="s">
        <v>664</v>
      </c>
      <c r="C4764" s="60" t="s">
        <v>4345</v>
      </c>
      <c r="D4764" s="60"/>
      <c r="E4764" s="74">
        <v>2022</v>
      </c>
      <c r="F4764" s="74" t="s">
        <v>489</v>
      </c>
      <c r="G4764" s="61">
        <v>1</v>
      </c>
      <c r="H4764" s="45">
        <v>90</v>
      </c>
      <c r="I4764" s="74">
        <v>30.049479999999999</v>
      </c>
    </row>
    <row r="4765" spans="1:9" s="71" customFormat="1" ht="16.5" hidden="1" customHeight="1" outlineLevel="1" x14ac:dyDescent="0.25">
      <c r="A4765" s="74">
        <v>5223</v>
      </c>
      <c r="B4765" s="45" t="s">
        <v>664</v>
      </c>
      <c r="C4765" s="60" t="s">
        <v>4346</v>
      </c>
      <c r="D4765" s="60"/>
      <c r="E4765" s="74">
        <v>2022</v>
      </c>
      <c r="F4765" s="74" t="s">
        <v>489</v>
      </c>
      <c r="G4765" s="61">
        <v>1</v>
      </c>
      <c r="H4765" s="45">
        <v>13.8</v>
      </c>
      <c r="I4765" s="74">
        <v>17.477419999999999</v>
      </c>
    </row>
    <row r="4766" spans="1:9" s="71" customFormat="1" ht="16.5" hidden="1" customHeight="1" outlineLevel="1" x14ac:dyDescent="0.25">
      <c r="A4766" s="74">
        <v>5222</v>
      </c>
      <c r="B4766" s="45" t="s">
        <v>664</v>
      </c>
      <c r="C4766" s="60" t="s">
        <v>4347</v>
      </c>
      <c r="D4766" s="60"/>
      <c r="E4766" s="74">
        <v>2022</v>
      </c>
      <c r="F4766" s="74" t="s">
        <v>489</v>
      </c>
      <c r="G4766" s="61">
        <v>1</v>
      </c>
      <c r="H4766" s="45">
        <v>15</v>
      </c>
      <c r="I4766" s="74">
        <v>16.975100000000001</v>
      </c>
    </row>
    <row r="4767" spans="1:9" s="71" customFormat="1" ht="16.5" hidden="1" customHeight="1" outlineLevel="1" x14ac:dyDescent="0.25">
      <c r="A4767" s="74">
        <v>5221</v>
      </c>
      <c r="B4767" s="45" t="s">
        <v>664</v>
      </c>
      <c r="C4767" s="60" t="s">
        <v>4348</v>
      </c>
      <c r="D4767" s="60"/>
      <c r="E4767" s="74">
        <v>2022</v>
      </c>
      <c r="F4767" s="74" t="s">
        <v>489</v>
      </c>
      <c r="G4767" s="61">
        <v>1</v>
      </c>
      <c r="H4767" s="45">
        <v>10</v>
      </c>
      <c r="I4767" s="74">
        <v>27.19078</v>
      </c>
    </row>
    <row r="4768" spans="1:9" s="71" customFormat="1" ht="16.5" hidden="1" customHeight="1" outlineLevel="1" x14ac:dyDescent="0.25">
      <c r="A4768" s="74">
        <v>5220</v>
      </c>
      <c r="B4768" s="45" t="s">
        <v>664</v>
      </c>
      <c r="C4768" s="60" t="s">
        <v>4349</v>
      </c>
      <c r="D4768" s="60"/>
      <c r="E4768" s="74">
        <v>2022</v>
      </c>
      <c r="F4768" s="74" t="s">
        <v>489</v>
      </c>
      <c r="G4768" s="61">
        <v>1</v>
      </c>
      <c r="H4768" s="45">
        <v>10</v>
      </c>
      <c r="I4768" s="74">
        <v>27.368300000000001</v>
      </c>
    </row>
    <row r="4769" spans="1:9" s="71" customFormat="1" ht="16.5" hidden="1" customHeight="1" outlineLevel="1" x14ac:dyDescent="0.25">
      <c r="A4769" s="74">
        <v>5219</v>
      </c>
      <c r="B4769" s="45" t="s">
        <v>664</v>
      </c>
      <c r="C4769" s="60" t="s">
        <v>4350</v>
      </c>
      <c r="D4769" s="60"/>
      <c r="E4769" s="74">
        <v>2022</v>
      </c>
      <c r="F4769" s="74" t="s">
        <v>489</v>
      </c>
      <c r="G4769" s="61">
        <v>1</v>
      </c>
      <c r="H4769" s="45">
        <v>10</v>
      </c>
      <c r="I4769" s="74">
        <v>27.190770000000001</v>
      </c>
    </row>
    <row r="4770" spans="1:9" s="71" customFormat="1" ht="16.5" hidden="1" customHeight="1" outlineLevel="1" x14ac:dyDescent="0.25">
      <c r="A4770" s="74">
        <v>5218</v>
      </c>
      <c r="B4770" s="45" t="s">
        <v>664</v>
      </c>
      <c r="C4770" s="60" t="s">
        <v>4351</v>
      </c>
      <c r="D4770" s="60"/>
      <c r="E4770" s="74">
        <v>2022</v>
      </c>
      <c r="F4770" s="74" t="s">
        <v>489</v>
      </c>
      <c r="G4770" s="61">
        <v>1</v>
      </c>
      <c r="H4770" s="45">
        <v>10</v>
      </c>
      <c r="I4770" s="74">
        <v>27.19078</v>
      </c>
    </row>
    <row r="4771" spans="1:9" s="71" customFormat="1" ht="16.5" hidden="1" customHeight="1" outlineLevel="1" x14ac:dyDescent="0.25">
      <c r="A4771" s="74">
        <v>5217</v>
      </c>
      <c r="B4771" s="45" t="s">
        <v>664</v>
      </c>
      <c r="C4771" s="60" t="s">
        <v>4352</v>
      </c>
      <c r="D4771" s="60"/>
      <c r="E4771" s="74">
        <v>2022</v>
      </c>
      <c r="F4771" s="74" t="s">
        <v>489</v>
      </c>
      <c r="G4771" s="61">
        <v>1</v>
      </c>
      <c r="H4771" s="45">
        <v>10</v>
      </c>
      <c r="I4771" s="74">
        <v>16.79758</v>
      </c>
    </row>
    <row r="4772" spans="1:9" s="71" customFormat="1" ht="16.5" hidden="1" customHeight="1" outlineLevel="1" x14ac:dyDescent="0.25">
      <c r="A4772" s="74">
        <v>5215</v>
      </c>
      <c r="B4772" s="45" t="s">
        <v>664</v>
      </c>
      <c r="C4772" s="60" t="s">
        <v>4353</v>
      </c>
      <c r="D4772" s="60"/>
      <c r="E4772" s="74">
        <v>2022</v>
      </c>
      <c r="F4772" s="74" t="s">
        <v>489</v>
      </c>
      <c r="G4772" s="61">
        <v>1</v>
      </c>
      <c r="H4772" s="45">
        <v>10</v>
      </c>
      <c r="I4772" s="74">
        <v>28.788440000000001</v>
      </c>
    </row>
    <row r="4773" spans="1:9" s="71" customFormat="1" ht="16.5" hidden="1" customHeight="1" outlineLevel="1" x14ac:dyDescent="0.25">
      <c r="A4773" s="74">
        <v>5097</v>
      </c>
      <c r="B4773" s="45" t="s">
        <v>664</v>
      </c>
      <c r="C4773" s="60" t="s">
        <v>4354</v>
      </c>
      <c r="D4773" s="60"/>
      <c r="E4773" s="74">
        <v>2022</v>
      </c>
      <c r="F4773" s="74" t="s">
        <v>489</v>
      </c>
      <c r="G4773" s="61">
        <v>1</v>
      </c>
      <c r="H4773" s="45">
        <v>12</v>
      </c>
      <c r="I4773" s="74">
        <v>26.891690000000001</v>
      </c>
    </row>
    <row r="4774" spans="1:9" s="71" customFormat="1" ht="16.5" hidden="1" customHeight="1" outlineLevel="1" x14ac:dyDescent="0.25">
      <c r="A4774" s="74">
        <v>5096</v>
      </c>
      <c r="B4774" s="45" t="s">
        <v>664</v>
      </c>
      <c r="C4774" s="60" t="s">
        <v>4355</v>
      </c>
      <c r="D4774" s="60"/>
      <c r="E4774" s="74">
        <v>2022</v>
      </c>
      <c r="F4774" s="74" t="s">
        <v>489</v>
      </c>
      <c r="G4774" s="61">
        <v>1</v>
      </c>
      <c r="H4774" s="45">
        <v>3.4</v>
      </c>
      <c r="I4774" s="74">
        <v>26.89161</v>
      </c>
    </row>
    <row r="4775" spans="1:9" s="71" customFormat="1" ht="16.5" hidden="1" customHeight="1" outlineLevel="1" x14ac:dyDescent="0.25">
      <c r="A4775" s="74">
        <v>5095</v>
      </c>
      <c r="B4775" s="45" t="s">
        <v>664</v>
      </c>
      <c r="C4775" s="60" t="s">
        <v>4356</v>
      </c>
      <c r="D4775" s="60"/>
      <c r="E4775" s="74">
        <v>2022</v>
      </c>
      <c r="F4775" s="74" t="s">
        <v>489</v>
      </c>
      <c r="G4775" s="61">
        <v>1</v>
      </c>
      <c r="H4775" s="45">
        <v>15</v>
      </c>
      <c r="I4775" s="74">
        <v>30.738250000000001</v>
      </c>
    </row>
    <row r="4776" spans="1:9" s="71" customFormat="1" ht="16.5" hidden="1" customHeight="1" outlineLevel="1" x14ac:dyDescent="0.25">
      <c r="A4776" s="74">
        <v>5094</v>
      </c>
      <c r="B4776" s="45" t="s">
        <v>664</v>
      </c>
      <c r="C4776" s="60" t="s">
        <v>4357</v>
      </c>
      <c r="D4776" s="60"/>
      <c r="E4776" s="74">
        <v>2022</v>
      </c>
      <c r="F4776" s="74" t="s">
        <v>489</v>
      </c>
      <c r="G4776" s="61">
        <v>1</v>
      </c>
      <c r="H4776" s="45">
        <v>15</v>
      </c>
      <c r="I4776" s="74">
        <v>27.684429999999999</v>
      </c>
    </row>
    <row r="4777" spans="1:9" s="71" customFormat="1" ht="16.5" hidden="1" customHeight="1" outlineLevel="1" x14ac:dyDescent="0.25">
      <c r="A4777" s="74">
        <v>5093</v>
      </c>
      <c r="B4777" s="45" t="s">
        <v>664</v>
      </c>
      <c r="C4777" s="60" t="s">
        <v>4358</v>
      </c>
      <c r="D4777" s="60"/>
      <c r="E4777" s="74">
        <v>2022</v>
      </c>
      <c r="F4777" s="74" t="s">
        <v>489</v>
      </c>
      <c r="G4777" s="61">
        <v>1</v>
      </c>
      <c r="H4777" s="45">
        <v>15</v>
      </c>
      <c r="I4777" s="74">
        <v>28.983920000000001</v>
      </c>
    </row>
    <row r="4778" spans="1:9" s="71" customFormat="1" ht="16.5" hidden="1" customHeight="1" outlineLevel="1" x14ac:dyDescent="0.25">
      <c r="A4778" s="74">
        <v>5092</v>
      </c>
      <c r="B4778" s="45" t="s">
        <v>664</v>
      </c>
      <c r="C4778" s="60" t="s">
        <v>4359</v>
      </c>
      <c r="D4778" s="60"/>
      <c r="E4778" s="74">
        <v>2022</v>
      </c>
      <c r="F4778" s="74" t="s">
        <v>489</v>
      </c>
      <c r="G4778" s="61">
        <v>1</v>
      </c>
      <c r="H4778" s="45">
        <v>15</v>
      </c>
      <c r="I4778" s="74">
        <v>28.983920000000001</v>
      </c>
    </row>
    <row r="4779" spans="1:9" s="71" customFormat="1" ht="16.5" hidden="1" customHeight="1" outlineLevel="1" x14ac:dyDescent="0.25">
      <c r="A4779" s="74">
        <v>5091</v>
      </c>
      <c r="B4779" s="45" t="s">
        <v>664</v>
      </c>
      <c r="C4779" s="60" t="s">
        <v>4360</v>
      </c>
      <c r="D4779" s="60"/>
      <c r="E4779" s="74">
        <v>2022</v>
      </c>
      <c r="F4779" s="74" t="s">
        <v>489</v>
      </c>
      <c r="G4779" s="61">
        <v>1</v>
      </c>
      <c r="H4779" s="45">
        <v>10</v>
      </c>
      <c r="I4779" s="74">
        <v>34.99344</v>
      </c>
    </row>
    <row r="4780" spans="1:9" s="71" customFormat="1" ht="16.5" hidden="1" customHeight="1" outlineLevel="1" x14ac:dyDescent="0.25">
      <c r="A4780" s="74">
        <v>5090</v>
      </c>
      <c r="B4780" s="45" t="s">
        <v>664</v>
      </c>
      <c r="C4780" s="60" t="s">
        <v>4361</v>
      </c>
      <c r="D4780" s="60"/>
      <c r="E4780" s="74">
        <v>2022</v>
      </c>
      <c r="F4780" s="74" t="s">
        <v>489</v>
      </c>
      <c r="G4780" s="61">
        <v>1</v>
      </c>
      <c r="H4780" s="45">
        <v>10</v>
      </c>
      <c r="I4780" s="74">
        <v>39.886429999999997</v>
      </c>
    </row>
    <row r="4781" spans="1:9" s="71" customFormat="1" ht="16.5" hidden="1" customHeight="1" outlineLevel="1" x14ac:dyDescent="0.25">
      <c r="A4781" s="74">
        <v>5089</v>
      </c>
      <c r="B4781" s="45" t="s">
        <v>664</v>
      </c>
      <c r="C4781" s="60" t="s">
        <v>4362</v>
      </c>
      <c r="D4781" s="60"/>
      <c r="E4781" s="74">
        <v>2022</v>
      </c>
      <c r="F4781" s="74" t="s">
        <v>489</v>
      </c>
      <c r="G4781" s="61">
        <v>1</v>
      </c>
      <c r="H4781" s="45">
        <v>15</v>
      </c>
      <c r="I4781" s="74">
        <v>29.946760000000001</v>
      </c>
    </row>
    <row r="4782" spans="1:9" s="71" customFormat="1" ht="16.5" hidden="1" customHeight="1" outlineLevel="1" x14ac:dyDescent="0.25">
      <c r="A4782" s="74">
        <v>5088</v>
      </c>
      <c r="B4782" s="45" t="s">
        <v>664</v>
      </c>
      <c r="C4782" s="60" t="s">
        <v>4363</v>
      </c>
      <c r="D4782" s="60"/>
      <c r="E4782" s="74">
        <v>2022</v>
      </c>
      <c r="F4782" s="74" t="s">
        <v>489</v>
      </c>
      <c r="G4782" s="61">
        <v>1</v>
      </c>
      <c r="H4782" s="45">
        <v>10</v>
      </c>
      <c r="I4782" s="74">
        <v>29.94678</v>
      </c>
    </row>
    <row r="4783" spans="1:9" s="71" customFormat="1" ht="16.5" hidden="1" customHeight="1" outlineLevel="1" x14ac:dyDescent="0.25">
      <c r="A4783" s="74">
        <v>5086</v>
      </c>
      <c r="B4783" s="45" t="s">
        <v>664</v>
      </c>
      <c r="C4783" s="60" t="s">
        <v>4364</v>
      </c>
      <c r="D4783" s="60"/>
      <c r="E4783" s="74">
        <v>2022</v>
      </c>
      <c r="F4783" s="74" t="s">
        <v>489</v>
      </c>
      <c r="G4783" s="61">
        <v>1</v>
      </c>
      <c r="H4783" s="45">
        <v>10</v>
      </c>
      <c r="I4783" s="74">
        <v>29.434750000000001</v>
      </c>
    </row>
    <row r="4784" spans="1:9" s="71" customFormat="1" ht="16.5" hidden="1" customHeight="1" outlineLevel="1" x14ac:dyDescent="0.25">
      <c r="A4784" s="74">
        <v>5085</v>
      </c>
      <c r="B4784" s="45" t="s">
        <v>664</v>
      </c>
      <c r="C4784" s="60" t="s">
        <v>4365</v>
      </c>
      <c r="D4784" s="60"/>
      <c r="E4784" s="74">
        <v>2022</v>
      </c>
      <c r="F4784" s="74" t="s">
        <v>489</v>
      </c>
      <c r="G4784" s="61">
        <v>1</v>
      </c>
      <c r="H4784" s="45">
        <v>9</v>
      </c>
      <c r="I4784" s="74">
        <v>29.436769999999999</v>
      </c>
    </row>
    <row r="4785" spans="1:9" s="71" customFormat="1" ht="16.5" hidden="1" customHeight="1" outlineLevel="1" x14ac:dyDescent="0.25">
      <c r="A4785" s="74">
        <v>5082</v>
      </c>
      <c r="B4785" s="45" t="s">
        <v>664</v>
      </c>
      <c r="C4785" s="60" t="s">
        <v>4366</v>
      </c>
      <c r="D4785" s="60"/>
      <c r="E4785" s="74">
        <v>2022</v>
      </c>
      <c r="F4785" s="74" t="s">
        <v>489</v>
      </c>
      <c r="G4785" s="61">
        <v>1</v>
      </c>
      <c r="H4785" s="45">
        <v>15</v>
      </c>
      <c r="I4785" s="74">
        <v>28.950330000000001</v>
      </c>
    </row>
    <row r="4786" spans="1:9" s="71" customFormat="1" ht="16.5" hidden="1" customHeight="1" outlineLevel="1" x14ac:dyDescent="0.25">
      <c r="A4786" s="74">
        <v>5081</v>
      </c>
      <c r="B4786" s="45" t="s">
        <v>664</v>
      </c>
      <c r="C4786" s="60" t="s">
        <v>4367</v>
      </c>
      <c r="D4786" s="60"/>
      <c r="E4786" s="74">
        <v>2022</v>
      </c>
      <c r="F4786" s="74" t="s">
        <v>489</v>
      </c>
      <c r="G4786" s="61">
        <v>1</v>
      </c>
      <c r="H4786" s="45">
        <v>8</v>
      </c>
      <c r="I4786" s="74">
        <v>28.152249999999999</v>
      </c>
    </row>
    <row r="4787" spans="1:9" s="71" customFormat="1" ht="16.5" hidden="1" customHeight="1" outlineLevel="1" x14ac:dyDescent="0.25">
      <c r="A4787" s="74">
        <v>5080</v>
      </c>
      <c r="B4787" s="45" t="s">
        <v>664</v>
      </c>
      <c r="C4787" s="60" t="s">
        <v>4368</v>
      </c>
      <c r="D4787" s="60"/>
      <c r="E4787" s="74">
        <v>2022</v>
      </c>
      <c r="F4787" s="74" t="s">
        <v>489</v>
      </c>
      <c r="G4787" s="61">
        <v>1</v>
      </c>
      <c r="H4787" s="45">
        <v>10</v>
      </c>
      <c r="I4787" s="74">
        <v>28.087330000000001</v>
      </c>
    </row>
    <row r="4788" spans="1:9" s="71" customFormat="1" ht="16.5" hidden="1" customHeight="1" outlineLevel="1" x14ac:dyDescent="0.25">
      <c r="A4788" s="74">
        <v>5370</v>
      </c>
      <c r="B4788" s="45" t="s">
        <v>664</v>
      </c>
      <c r="C4788" s="60" t="s">
        <v>4369</v>
      </c>
      <c r="D4788" s="60"/>
      <c r="E4788" s="74">
        <v>2022</v>
      </c>
      <c r="F4788" s="74" t="s">
        <v>489</v>
      </c>
      <c r="G4788" s="61">
        <v>1</v>
      </c>
      <c r="H4788" s="45">
        <v>10</v>
      </c>
      <c r="I4788" s="74">
        <v>29.644259999999999</v>
      </c>
    </row>
    <row r="4789" spans="1:9" s="71" customFormat="1" ht="16.5" hidden="1" customHeight="1" outlineLevel="1" x14ac:dyDescent="0.25">
      <c r="A4789" s="74">
        <v>5369</v>
      </c>
      <c r="B4789" s="45" t="s">
        <v>664</v>
      </c>
      <c r="C4789" s="60" t="s">
        <v>4370</v>
      </c>
      <c r="D4789" s="60"/>
      <c r="E4789" s="74">
        <v>2022</v>
      </c>
      <c r="F4789" s="74" t="s">
        <v>489</v>
      </c>
      <c r="G4789" s="61">
        <v>1</v>
      </c>
      <c r="H4789" s="45">
        <v>10</v>
      </c>
      <c r="I4789" s="74">
        <v>29.681229999999999</v>
      </c>
    </row>
    <row r="4790" spans="1:9" s="71" customFormat="1" ht="16.5" hidden="1" customHeight="1" outlineLevel="1" x14ac:dyDescent="0.25">
      <c r="A4790" s="74">
        <v>5368</v>
      </c>
      <c r="B4790" s="45" t="s">
        <v>664</v>
      </c>
      <c r="C4790" s="60" t="s">
        <v>4371</v>
      </c>
      <c r="D4790" s="60"/>
      <c r="E4790" s="74">
        <v>2022</v>
      </c>
      <c r="F4790" s="74" t="s">
        <v>489</v>
      </c>
      <c r="G4790" s="61">
        <v>1</v>
      </c>
      <c r="H4790" s="45">
        <v>10</v>
      </c>
      <c r="I4790" s="74">
        <v>29.564350000000001</v>
      </c>
    </row>
    <row r="4791" spans="1:9" s="71" customFormat="1" ht="16.5" hidden="1" customHeight="1" outlineLevel="1" x14ac:dyDescent="0.25">
      <c r="A4791" s="74">
        <v>5367</v>
      </c>
      <c r="B4791" s="45" t="s">
        <v>664</v>
      </c>
      <c r="C4791" s="60" t="s">
        <v>4372</v>
      </c>
      <c r="D4791" s="60"/>
      <c r="E4791" s="74">
        <v>2022</v>
      </c>
      <c r="F4791" s="74" t="s">
        <v>489</v>
      </c>
      <c r="G4791" s="61">
        <v>1</v>
      </c>
      <c r="H4791" s="45">
        <v>10</v>
      </c>
      <c r="I4791" s="74">
        <v>26.030619999999999</v>
      </c>
    </row>
    <row r="4792" spans="1:9" s="71" customFormat="1" ht="16.5" hidden="1" customHeight="1" outlineLevel="1" x14ac:dyDescent="0.25">
      <c r="A4792" s="74">
        <v>5366</v>
      </c>
      <c r="B4792" s="45" t="s">
        <v>664</v>
      </c>
      <c r="C4792" s="60" t="s">
        <v>4373</v>
      </c>
      <c r="D4792" s="60"/>
      <c r="E4792" s="74">
        <v>2022</v>
      </c>
      <c r="F4792" s="74" t="s">
        <v>489</v>
      </c>
      <c r="G4792" s="61">
        <v>1</v>
      </c>
      <c r="H4792" s="45">
        <v>10</v>
      </c>
      <c r="I4792" s="74">
        <v>26.142130000000002</v>
      </c>
    </row>
    <row r="4793" spans="1:9" s="71" customFormat="1" ht="16.5" hidden="1" customHeight="1" outlineLevel="1" x14ac:dyDescent="0.25">
      <c r="A4793" s="74">
        <v>5365</v>
      </c>
      <c r="B4793" s="45" t="s">
        <v>664</v>
      </c>
      <c r="C4793" s="60" t="s">
        <v>4374</v>
      </c>
      <c r="D4793" s="60"/>
      <c r="E4793" s="74">
        <v>2022</v>
      </c>
      <c r="F4793" s="74" t="s">
        <v>489</v>
      </c>
      <c r="G4793" s="61">
        <v>1</v>
      </c>
      <c r="H4793" s="45">
        <v>15</v>
      </c>
      <c r="I4793" s="74">
        <v>28.358360000000001</v>
      </c>
    </row>
    <row r="4794" spans="1:9" s="71" customFormat="1" ht="16.5" hidden="1" customHeight="1" outlineLevel="1" x14ac:dyDescent="0.25">
      <c r="A4794" s="74">
        <v>5364</v>
      </c>
      <c r="B4794" s="45" t="s">
        <v>664</v>
      </c>
      <c r="C4794" s="60" t="s">
        <v>4375</v>
      </c>
      <c r="D4794" s="60"/>
      <c r="E4794" s="74">
        <v>2022</v>
      </c>
      <c r="F4794" s="74" t="s">
        <v>489</v>
      </c>
      <c r="G4794" s="61">
        <v>1</v>
      </c>
      <c r="H4794" s="45">
        <v>9.5</v>
      </c>
      <c r="I4794" s="74">
        <v>43.062489999999997</v>
      </c>
    </row>
    <row r="4795" spans="1:9" s="71" customFormat="1" ht="16.5" hidden="1" customHeight="1" outlineLevel="1" x14ac:dyDescent="0.25">
      <c r="A4795" s="74">
        <v>5362</v>
      </c>
      <c r="B4795" s="45" t="s">
        <v>664</v>
      </c>
      <c r="C4795" s="60" t="s">
        <v>4376</v>
      </c>
      <c r="D4795" s="60"/>
      <c r="E4795" s="74">
        <v>2022</v>
      </c>
      <c r="F4795" s="74" t="s">
        <v>489</v>
      </c>
      <c r="G4795" s="61">
        <v>1</v>
      </c>
      <c r="H4795" s="45">
        <v>15</v>
      </c>
      <c r="I4795" s="74">
        <v>28.278359999999999</v>
      </c>
    </row>
    <row r="4796" spans="1:9" s="71" customFormat="1" ht="16.5" hidden="1" customHeight="1" outlineLevel="1" x14ac:dyDescent="0.25">
      <c r="A4796" s="74">
        <v>5393</v>
      </c>
      <c r="B4796" s="45" t="s">
        <v>664</v>
      </c>
      <c r="C4796" s="60" t="s">
        <v>4377</v>
      </c>
      <c r="D4796" s="60"/>
      <c r="E4796" s="74">
        <v>2022</v>
      </c>
      <c r="F4796" s="74" t="s">
        <v>489</v>
      </c>
      <c r="G4796" s="61">
        <v>1</v>
      </c>
      <c r="H4796" s="45">
        <v>10</v>
      </c>
      <c r="I4796" s="74">
        <v>35.51773</v>
      </c>
    </row>
    <row r="4797" spans="1:9" s="71" customFormat="1" ht="16.5" hidden="1" customHeight="1" outlineLevel="1" x14ac:dyDescent="0.25">
      <c r="A4797" s="74">
        <v>5394</v>
      </c>
      <c r="B4797" s="45" t="s">
        <v>664</v>
      </c>
      <c r="C4797" s="60" t="s">
        <v>4378</v>
      </c>
      <c r="D4797" s="60"/>
      <c r="E4797" s="74">
        <v>2022</v>
      </c>
      <c r="F4797" s="74" t="s">
        <v>489</v>
      </c>
      <c r="G4797" s="61">
        <v>1</v>
      </c>
      <c r="H4797" s="45">
        <v>15</v>
      </c>
      <c r="I4797" s="74">
        <v>35.469639999999998</v>
      </c>
    </row>
    <row r="4798" spans="1:9" s="71" customFormat="1" ht="16.5" hidden="1" customHeight="1" outlineLevel="1" x14ac:dyDescent="0.25">
      <c r="A4798" s="74">
        <v>5416</v>
      </c>
      <c r="B4798" s="45" t="s">
        <v>664</v>
      </c>
      <c r="C4798" s="60" t="s">
        <v>4379</v>
      </c>
      <c r="D4798" s="60"/>
      <c r="E4798" s="74">
        <v>2022</v>
      </c>
      <c r="F4798" s="74" t="s">
        <v>489</v>
      </c>
      <c r="G4798" s="61">
        <v>1</v>
      </c>
      <c r="H4798" s="45">
        <v>15</v>
      </c>
      <c r="I4798" s="74">
        <v>25.97213</v>
      </c>
    </row>
    <row r="4799" spans="1:9" s="71" customFormat="1" ht="16.5" hidden="1" customHeight="1" outlineLevel="1" x14ac:dyDescent="0.25">
      <c r="A4799" s="74">
        <v>5415</v>
      </c>
      <c r="B4799" s="45" t="s">
        <v>664</v>
      </c>
      <c r="C4799" s="60" t="s">
        <v>4380</v>
      </c>
      <c r="D4799" s="60"/>
      <c r="E4799" s="74">
        <v>2022</v>
      </c>
      <c r="F4799" s="74" t="s">
        <v>489</v>
      </c>
      <c r="G4799" s="61">
        <v>1</v>
      </c>
      <c r="H4799" s="45">
        <v>4</v>
      </c>
      <c r="I4799" s="74">
        <v>26.216930000000001</v>
      </c>
    </row>
    <row r="4800" spans="1:9" s="71" customFormat="1" ht="16.5" hidden="1" customHeight="1" outlineLevel="1" x14ac:dyDescent="0.25">
      <c r="A4800" s="74">
        <v>5414</v>
      </c>
      <c r="B4800" s="45" t="s">
        <v>664</v>
      </c>
      <c r="C4800" s="60" t="s">
        <v>4381</v>
      </c>
      <c r="D4800" s="60"/>
      <c r="E4800" s="74">
        <v>2022</v>
      </c>
      <c r="F4800" s="74" t="s">
        <v>489</v>
      </c>
      <c r="G4800" s="61">
        <v>1</v>
      </c>
      <c r="H4800" s="45">
        <v>13.1</v>
      </c>
      <c r="I4800" s="74">
        <v>25.972100000000001</v>
      </c>
    </row>
    <row r="4801" spans="1:9" s="71" customFormat="1" ht="16.5" hidden="1" customHeight="1" outlineLevel="1" x14ac:dyDescent="0.25">
      <c r="A4801" s="74">
        <v>5413</v>
      </c>
      <c r="B4801" s="45" t="s">
        <v>664</v>
      </c>
      <c r="C4801" s="60" t="s">
        <v>4382</v>
      </c>
      <c r="D4801" s="60"/>
      <c r="E4801" s="74">
        <v>2022</v>
      </c>
      <c r="F4801" s="74" t="s">
        <v>489</v>
      </c>
      <c r="G4801" s="61">
        <v>1</v>
      </c>
      <c r="H4801" s="45">
        <v>10</v>
      </c>
      <c r="I4801" s="74">
        <v>27.479710000000001</v>
      </c>
    </row>
    <row r="4802" spans="1:9" s="71" customFormat="1" ht="16.5" hidden="1" customHeight="1" outlineLevel="1" x14ac:dyDescent="0.25">
      <c r="A4802" s="74">
        <v>5412</v>
      </c>
      <c r="B4802" s="45" t="s">
        <v>664</v>
      </c>
      <c r="C4802" s="60" t="s">
        <v>4383</v>
      </c>
      <c r="D4802" s="60"/>
      <c r="E4802" s="74">
        <v>2022</v>
      </c>
      <c r="F4802" s="74" t="s">
        <v>489</v>
      </c>
      <c r="G4802" s="61">
        <v>1</v>
      </c>
      <c r="H4802" s="45">
        <v>5.5</v>
      </c>
      <c r="I4802" s="74">
        <v>28.64986</v>
      </c>
    </row>
    <row r="4803" spans="1:9" s="71" customFormat="1" ht="16.5" hidden="1" customHeight="1" outlineLevel="1" x14ac:dyDescent="0.25">
      <c r="A4803" s="74">
        <v>5411</v>
      </c>
      <c r="B4803" s="45" t="s">
        <v>664</v>
      </c>
      <c r="C4803" s="60" t="s">
        <v>4384</v>
      </c>
      <c r="D4803" s="60"/>
      <c r="E4803" s="74">
        <v>2022</v>
      </c>
      <c r="F4803" s="74" t="s">
        <v>489</v>
      </c>
      <c r="G4803" s="61">
        <v>1</v>
      </c>
      <c r="H4803" s="45">
        <v>0.75</v>
      </c>
      <c r="I4803" s="74">
        <v>26.128150000000002</v>
      </c>
    </row>
    <row r="4804" spans="1:9" s="71" customFormat="1" ht="16.5" hidden="1" customHeight="1" outlineLevel="1" x14ac:dyDescent="0.25">
      <c r="A4804" s="74">
        <v>5409</v>
      </c>
      <c r="B4804" s="45" t="s">
        <v>664</v>
      </c>
      <c r="C4804" s="60" t="s">
        <v>4385</v>
      </c>
      <c r="D4804" s="60"/>
      <c r="E4804" s="74">
        <v>2022</v>
      </c>
      <c r="F4804" s="74" t="s">
        <v>489</v>
      </c>
      <c r="G4804" s="61">
        <v>1</v>
      </c>
      <c r="H4804" s="45">
        <v>15</v>
      </c>
      <c r="I4804" s="74">
        <v>27.359580000000001</v>
      </c>
    </row>
    <row r="4805" spans="1:9" s="71" customFormat="1" ht="16.5" hidden="1" customHeight="1" outlineLevel="1" x14ac:dyDescent="0.25">
      <c r="A4805" s="74">
        <v>5408</v>
      </c>
      <c r="B4805" s="45" t="s">
        <v>664</v>
      </c>
      <c r="C4805" s="60" t="s">
        <v>4386</v>
      </c>
      <c r="D4805" s="60"/>
      <c r="E4805" s="74">
        <v>2022</v>
      </c>
      <c r="F4805" s="74" t="s">
        <v>489</v>
      </c>
      <c r="G4805" s="61">
        <v>1</v>
      </c>
      <c r="H4805" s="45">
        <v>14</v>
      </c>
      <c r="I4805" s="74">
        <v>29.832889999999999</v>
      </c>
    </row>
    <row r="4806" spans="1:9" s="71" customFormat="1" ht="16.5" hidden="1" customHeight="1" outlineLevel="1" x14ac:dyDescent="0.25">
      <c r="A4806" s="74">
        <v>5407</v>
      </c>
      <c r="B4806" s="45" t="s">
        <v>664</v>
      </c>
      <c r="C4806" s="60" t="s">
        <v>4387</v>
      </c>
      <c r="D4806" s="60"/>
      <c r="E4806" s="74">
        <v>2022</v>
      </c>
      <c r="F4806" s="74" t="s">
        <v>489</v>
      </c>
      <c r="G4806" s="61">
        <v>1</v>
      </c>
      <c r="H4806" s="45">
        <v>12</v>
      </c>
      <c r="I4806" s="74">
        <v>29.86703</v>
      </c>
    </row>
    <row r="4807" spans="1:9" s="71" customFormat="1" ht="16.5" hidden="1" customHeight="1" outlineLevel="1" x14ac:dyDescent="0.25">
      <c r="A4807" s="74">
        <v>5406</v>
      </c>
      <c r="B4807" s="45" t="s">
        <v>664</v>
      </c>
      <c r="C4807" s="60" t="s">
        <v>4388</v>
      </c>
      <c r="D4807" s="60"/>
      <c r="E4807" s="74">
        <v>2022</v>
      </c>
      <c r="F4807" s="74" t="s">
        <v>489</v>
      </c>
      <c r="G4807" s="61">
        <v>1</v>
      </c>
      <c r="H4807" s="45">
        <v>15</v>
      </c>
      <c r="I4807" s="74">
        <v>34.873359999999998</v>
      </c>
    </row>
    <row r="4808" spans="1:9" s="71" customFormat="1" ht="16.5" hidden="1" customHeight="1" outlineLevel="1" x14ac:dyDescent="0.25">
      <c r="A4808" s="74">
        <v>5405</v>
      </c>
      <c r="B4808" s="45" t="s">
        <v>664</v>
      </c>
      <c r="C4808" s="60" t="s">
        <v>4389</v>
      </c>
      <c r="D4808" s="60"/>
      <c r="E4808" s="74">
        <v>2022</v>
      </c>
      <c r="F4808" s="74" t="s">
        <v>489</v>
      </c>
      <c r="G4808" s="61">
        <v>1</v>
      </c>
      <c r="H4808" s="45">
        <v>10</v>
      </c>
      <c r="I4808" s="74">
        <v>27.302520000000001</v>
      </c>
    </row>
    <row r="4809" spans="1:9" s="71" customFormat="1" ht="16.5" hidden="1" customHeight="1" outlineLevel="1" x14ac:dyDescent="0.25">
      <c r="A4809" s="74">
        <v>5403</v>
      </c>
      <c r="B4809" s="45" t="s">
        <v>664</v>
      </c>
      <c r="C4809" s="60" t="s">
        <v>4390</v>
      </c>
      <c r="D4809" s="60"/>
      <c r="E4809" s="74">
        <v>2022</v>
      </c>
      <c r="F4809" s="74" t="s">
        <v>489</v>
      </c>
      <c r="G4809" s="61">
        <v>1</v>
      </c>
      <c r="H4809" s="45">
        <v>10</v>
      </c>
      <c r="I4809" s="74">
        <v>27.410209999999999</v>
      </c>
    </row>
    <row r="4810" spans="1:9" s="71" customFormat="1" ht="16.5" hidden="1" customHeight="1" outlineLevel="1" x14ac:dyDescent="0.25">
      <c r="A4810" s="74">
        <v>5402</v>
      </c>
      <c r="B4810" s="45" t="s">
        <v>664</v>
      </c>
      <c r="C4810" s="60" t="s">
        <v>4391</v>
      </c>
      <c r="D4810" s="60"/>
      <c r="E4810" s="74">
        <v>2022</v>
      </c>
      <c r="F4810" s="74" t="s">
        <v>489</v>
      </c>
      <c r="G4810" s="61">
        <v>1</v>
      </c>
      <c r="H4810" s="45">
        <v>13</v>
      </c>
      <c r="I4810" s="74">
        <v>27.16808</v>
      </c>
    </row>
    <row r="4811" spans="1:9" s="71" customFormat="1" ht="16.5" hidden="1" customHeight="1" outlineLevel="1" x14ac:dyDescent="0.25">
      <c r="A4811" s="74">
        <v>5401</v>
      </c>
      <c r="B4811" s="45" t="s">
        <v>664</v>
      </c>
      <c r="C4811" s="60" t="s">
        <v>4392</v>
      </c>
      <c r="D4811" s="60"/>
      <c r="E4811" s="74">
        <v>2022</v>
      </c>
      <c r="F4811" s="74" t="s">
        <v>489</v>
      </c>
      <c r="G4811" s="61">
        <v>1</v>
      </c>
      <c r="H4811" s="45">
        <v>15</v>
      </c>
      <c r="I4811" s="74">
        <v>31.88531</v>
      </c>
    </row>
    <row r="4812" spans="1:9" s="71" customFormat="1" ht="16.5" hidden="1" customHeight="1" outlineLevel="1" x14ac:dyDescent="0.25">
      <c r="A4812" s="74">
        <v>5400</v>
      </c>
      <c r="B4812" s="45" t="s">
        <v>664</v>
      </c>
      <c r="C4812" s="60" t="s">
        <v>4393</v>
      </c>
      <c r="D4812" s="60"/>
      <c r="E4812" s="74">
        <v>2022</v>
      </c>
      <c r="F4812" s="74" t="s">
        <v>489</v>
      </c>
      <c r="G4812" s="61">
        <v>1</v>
      </c>
      <c r="H4812" s="45">
        <v>5</v>
      </c>
      <c r="I4812" s="74">
        <v>27.082190000000001</v>
      </c>
    </row>
    <row r="4813" spans="1:9" s="71" customFormat="1" ht="16.5" hidden="1" customHeight="1" outlineLevel="1" x14ac:dyDescent="0.25">
      <c r="A4813" s="74">
        <v>5371</v>
      </c>
      <c r="B4813" s="45" t="s">
        <v>664</v>
      </c>
      <c r="C4813" s="60" t="s">
        <v>4394</v>
      </c>
      <c r="D4813" s="60"/>
      <c r="E4813" s="74">
        <v>2022</v>
      </c>
      <c r="F4813" s="74" t="s">
        <v>489</v>
      </c>
      <c r="G4813" s="61">
        <v>1</v>
      </c>
      <c r="H4813" s="45">
        <v>10</v>
      </c>
      <c r="I4813" s="74">
        <v>29.694089999999999</v>
      </c>
    </row>
    <row r="4814" spans="1:9" s="71" customFormat="1" ht="16.5" hidden="1" customHeight="1" outlineLevel="1" x14ac:dyDescent="0.25">
      <c r="A4814" s="74">
        <v>5372</v>
      </c>
      <c r="B4814" s="45" t="s">
        <v>664</v>
      </c>
      <c r="C4814" s="60" t="s">
        <v>4395</v>
      </c>
      <c r="D4814" s="60"/>
      <c r="E4814" s="74">
        <v>2022</v>
      </c>
      <c r="F4814" s="74" t="s">
        <v>489</v>
      </c>
      <c r="G4814" s="61">
        <v>1</v>
      </c>
      <c r="H4814" s="45">
        <v>15</v>
      </c>
      <c r="I4814" s="74">
        <v>33.91968</v>
      </c>
    </row>
    <row r="4815" spans="1:9" s="71" customFormat="1" ht="16.5" hidden="1" customHeight="1" outlineLevel="1" x14ac:dyDescent="0.25">
      <c r="A4815" s="74">
        <v>5373</v>
      </c>
      <c r="B4815" s="45" t="s">
        <v>664</v>
      </c>
      <c r="C4815" s="60" t="s">
        <v>4396</v>
      </c>
      <c r="D4815" s="60"/>
      <c r="E4815" s="74">
        <v>2022</v>
      </c>
      <c r="F4815" s="74" t="s">
        <v>489</v>
      </c>
      <c r="G4815" s="61">
        <v>1</v>
      </c>
      <c r="H4815" s="45">
        <v>10</v>
      </c>
      <c r="I4815" s="74">
        <v>41.81071</v>
      </c>
    </row>
    <row r="4816" spans="1:9" s="71" customFormat="1" ht="16.5" hidden="1" customHeight="1" outlineLevel="1" x14ac:dyDescent="0.25">
      <c r="A4816" s="74">
        <v>5374</v>
      </c>
      <c r="B4816" s="45" t="s">
        <v>664</v>
      </c>
      <c r="C4816" s="60" t="s">
        <v>4397</v>
      </c>
      <c r="D4816" s="60"/>
      <c r="E4816" s="74">
        <v>2022</v>
      </c>
      <c r="F4816" s="74" t="s">
        <v>489</v>
      </c>
      <c r="G4816" s="61">
        <v>1</v>
      </c>
      <c r="H4816" s="45">
        <v>7</v>
      </c>
      <c r="I4816" s="74">
        <v>27.66086</v>
      </c>
    </row>
    <row r="4817" spans="1:9" s="71" customFormat="1" ht="16.5" hidden="1" customHeight="1" outlineLevel="1" x14ac:dyDescent="0.25">
      <c r="A4817" s="74">
        <v>5376</v>
      </c>
      <c r="B4817" s="45" t="s">
        <v>664</v>
      </c>
      <c r="C4817" s="60" t="s">
        <v>4398</v>
      </c>
      <c r="D4817" s="60"/>
      <c r="E4817" s="74">
        <v>2022</v>
      </c>
      <c r="F4817" s="74" t="s">
        <v>489</v>
      </c>
      <c r="G4817" s="61">
        <v>1</v>
      </c>
      <c r="H4817" s="45">
        <v>4</v>
      </c>
      <c r="I4817" s="74">
        <v>27.70551</v>
      </c>
    </row>
    <row r="4818" spans="1:9" s="71" customFormat="1" ht="16.5" hidden="1" customHeight="1" outlineLevel="1" x14ac:dyDescent="0.25">
      <c r="A4818" s="74">
        <v>5377</v>
      </c>
      <c r="B4818" s="45" t="s">
        <v>664</v>
      </c>
      <c r="C4818" s="60" t="s">
        <v>4399</v>
      </c>
      <c r="D4818" s="60"/>
      <c r="E4818" s="74">
        <v>2022</v>
      </c>
      <c r="F4818" s="74" t="s">
        <v>489</v>
      </c>
      <c r="G4818" s="61">
        <v>1</v>
      </c>
      <c r="H4818" s="45">
        <v>13</v>
      </c>
      <c r="I4818" s="74">
        <v>31.901009999999999</v>
      </c>
    </row>
    <row r="4819" spans="1:9" s="71" customFormat="1" ht="16.5" hidden="1" customHeight="1" outlineLevel="1" x14ac:dyDescent="0.25">
      <c r="A4819" s="74">
        <v>5378</v>
      </c>
      <c r="B4819" s="45" t="s">
        <v>664</v>
      </c>
      <c r="C4819" s="60" t="s">
        <v>4400</v>
      </c>
      <c r="D4819" s="60"/>
      <c r="E4819" s="74">
        <v>2022</v>
      </c>
      <c r="F4819" s="74" t="s">
        <v>489</v>
      </c>
      <c r="G4819" s="61">
        <v>1</v>
      </c>
      <c r="H4819" s="45">
        <v>15</v>
      </c>
      <c r="I4819" s="74">
        <v>40.201450000000001</v>
      </c>
    </row>
    <row r="4820" spans="1:9" s="71" customFormat="1" ht="16.5" hidden="1" customHeight="1" outlineLevel="1" x14ac:dyDescent="0.25">
      <c r="A4820" s="74">
        <v>5379</v>
      </c>
      <c r="B4820" s="45" t="s">
        <v>664</v>
      </c>
      <c r="C4820" s="60" t="s">
        <v>4401</v>
      </c>
      <c r="D4820" s="60"/>
      <c r="E4820" s="74">
        <v>2022</v>
      </c>
      <c r="F4820" s="74" t="s">
        <v>489</v>
      </c>
      <c r="G4820" s="61">
        <v>1</v>
      </c>
      <c r="H4820" s="45">
        <v>15</v>
      </c>
      <c r="I4820" s="74">
        <v>33.502600000000001</v>
      </c>
    </row>
    <row r="4821" spans="1:9" s="71" customFormat="1" ht="16.5" hidden="1" customHeight="1" outlineLevel="1" x14ac:dyDescent="0.25">
      <c r="A4821" s="74">
        <v>5380</v>
      </c>
      <c r="B4821" s="45" t="s">
        <v>664</v>
      </c>
      <c r="C4821" s="60" t="s">
        <v>4402</v>
      </c>
      <c r="D4821" s="60"/>
      <c r="E4821" s="74">
        <v>2022</v>
      </c>
      <c r="F4821" s="74" t="s">
        <v>489</v>
      </c>
      <c r="G4821" s="61">
        <v>1</v>
      </c>
      <c r="H4821" s="45">
        <v>15</v>
      </c>
      <c r="I4821" s="74">
        <v>27.62463</v>
      </c>
    </row>
    <row r="4822" spans="1:9" s="71" customFormat="1" ht="16.5" hidden="1" customHeight="1" outlineLevel="1" x14ac:dyDescent="0.25">
      <c r="A4822" s="74">
        <v>5381</v>
      </c>
      <c r="B4822" s="45" t="s">
        <v>664</v>
      </c>
      <c r="C4822" s="60" t="s">
        <v>4403</v>
      </c>
      <c r="D4822" s="60"/>
      <c r="E4822" s="74">
        <v>2022</v>
      </c>
      <c r="F4822" s="74" t="s">
        <v>489</v>
      </c>
      <c r="G4822" s="61">
        <v>1</v>
      </c>
      <c r="H4822" s="45">
        <v>7</v>
      </c>
      <c r="I4822" s="74">
        <v>32.344639999999998</v>
      </c>
    </row>
    <row r="4823" spans="1:9" s="71" customFormat="1" ht="16.5" hidden="1" customHeight="1" outlineLevel="1" x14ac:dyDescent="0.25">
      <c r="A4823" s="74">
        <v>5383</v>
      </c>
      <c r="B4823" s="45" t="s">
        <v>664</v>
      </c>
      <c r="C4823" s="60" t="s">
        <v>4404</v>
      </c>
      <c r="D4823" s="60"/>
      <c r="E4823" s="74">
        <v>2022</v>
      </c>
      <c r="F4823" s="74" t="s">
        <v>489</v>
      </c>
      <c r="G4823" s="61">
        <v>1</v>
      </c>
      <c r="H4823" s="45">
        <v>10</v>
      </c>
      <c r="I4823" s="74">
        <v>27.838850000000001</v>
      </c>
    </row>
    <row r="4824" spans="1:9" s="71" customFormat="1" ht="16.5" hidden="1" customHeight="1" outlineLevel="1" x14ac:dyDescent="0.25">
      <c r="A4824" s="74">
        <v>5384</v>
      </c>
      <c r="B4824" s="45" t="s">
        <v>664</v>
      </c>
      <c r="C4824" s="60" t="s">
        <v>4405</v>
      </c>
      <c r="D4824" s="60"/>
      <c r="E4824" s="74">
        <v>2022</v>
      </c>
      <c r="F4824" s="74" t="s">
        <v>489</v>
      </c>
      <c r="G4824" s="61">
        <v>1</v>
      </c>
      <c r="H4824" s="45">
        <v>10</v>
      </c>
      <c r="I4824" s="74">
        <v>27.365349999999999</v>
      </c>
    </row>
    <row r="4825" spans="1:9" s="71" customFormat="1" ht="16.5" hidden="1" customHeight="1" outlineLevel="1" x14ac:dyDescent="0.25">
      <c r="A4825" s="74">
        <v>5385</v>
      </c>
      <c r="B4825" s="45" t="s">
        <v>664</v>
      </c>
      <c r="C4825" s="60" t="s">
        <v>4406</v>
      </c>
      <c r="D4825" s="60"/>
      <c r="E4825" s="74">
        <v>2022</v>
      </c>
      <c r="F4825" s="74" t="s">
        <v>489</v>
      </c>
      <c r="G4825" s="61">
        <v>1</v>
      </c>
      <c r="H4825" s="45">
        <v>9.8000000000000007</v>
      </c>
      <c r="I4825" s="74">
        <v>29.100809999999999</v>
      </c>
    </row>
    <row r="4826" spans="1:9" s="71" customFormat="1" ht="16.5" hidden="1" customHeight="1" outlineLevel="1" x14ac:dyDescent="0.25">
      <c r="A4826" s="74">
        <v>5386</v>
      </c>
      <c r="B4826" s="45" t="s">
        <v>664</v>
      </c>
      <c r="C4826" s="60" t="s">
        <v>4407</v>
      </c>
      <c r="D4826" s="60"/>
      <c r="E4826" s="74">
        <v>2022</v>
      </c>
      <c r="F4826" s="74" t="s">
        <v>489</v>
      </c>
      <c r="G4826" s="61">
        <v>1</v>
      </c>
      <c r="H4826" s="45">
        <v>10</v>
      </c>
      <c r="I4826" s="74">
        <v>27.600899999999999</v>
      </c>
    </row>
    <row r="4827" spans="1:9" s="71" customFormat="1" ht="16.5" hidden="1" customHeight="1" outlineLevel="1" x14ac:dyDescent="0.25">
      <c r="A4827" s="74">
        <v>5392</v>
      </c>
      <c r="B4827" s="45" t="s">
        <v>664</v>
      </c>
      <c r="C4827" s="60" t="s">
        <v>4408</v>
      </c>
      <c r="D4827" s="60"/>
      <c r="E4827" s="74">
        <v>2022</v>
      </c>
      <c r="F4827" s="74" t="s">
        <v>489</v>
      </c>
      <c r="G4827" s="61">
        <v>1</v>
      </c>
      <c r="H4827" s="45">
        <v>9.6</v>
      </c>
      <c r="I4827" s="74">
        <v>30.12388</v>
      </c>
    </row>
    <row r="4828" spans="1:9" s="71" customFormat="1" ht="16.5" hidden="1" customHeight="1" outlineLevel="1" x14ac:dyDescent="0.25">
      <c r="A4828" s="74">
        <v>5389</v>
      </c>
      <c r="B4828" s="45" t="s">
        <v>664</v>
      </c>
      <c r="C4828" s="60" t="s">
        <v>4409</v>
      </c>
      <c r="D4828" s="60"/>
      <c r="E4828" s="74">
        <v>2022</v>
      </c>
      <c r="F4828" s="74" t="s">
        <v>489</v>
      </c>
      <c r="G4828" s="61">
        <v>1</v>
      </c>
      <c r="H4828" s="45">
        <v>13</v>
      </c>
      <c r="I4828" s="74">
        <v>27.791250000000002</v>
      </c>
    </row>
    <row r="4829" spans="1:9" s="71" customFormat="1" ht="16.5" hidden="1" customHeight="1" outlineLevel="1" x14ac:dyDescent="0.25">
      <c r="A4829" s="74">
        <v>5391</v>
      </c>
      <c r="B4829" s="45" t="s">
        <v>664</v>
      </c>
      <c r="C4829" s="60" t="s">
        <v>4410</v>
      </c>
      <c r="D4829" s="60"/>
      <c r="E4829" s="74">
        <v>2022</v>
      </c>
      <c r="F4829" s="74" t="s">
        <v>489</v>
      </c>
      <c r="G4829" s="61">
        <v>1</v>
      </c>
      <c r="H4829" s="45">
        <v>9.1999999999999993</v>
      </c>
      <c r="I4829" s="74">
        <v>29.552890000000001</v>
      </c>
    </row>
    <row r="4830" spans="1:9" s="71" customFormat="1" ht="16.5" hidden="1" customHeight="1" outlineLevel="1" x14ac:dyDescent="0.25">
      <c r="A4830" s="74">
        <v>5252</v>
      </c>
      <c r="B4830" s="45" t="s">
        <v>664</v>
      </c>
      <c r="C4830" s="60" t="s">
        <v>4411</v>
      </c>
      <c r="D4830" s="60"/>
      <c r="E4830" s="74">
        <v>2022</v>
      </c>
      <c r="F4830" s="74" t="s">
        <v>489</v>
      </c>
      <c r="G4830" s="61">
        <v>1</v>
      </c>
      <c r="H4830" s="45">
        <v>9</v>
      </c>
      <c r="I4830" s="74">
        <v>52.401000000000003</v>
      </c>
    </row>
    <row r="4831" spans="1:9" s="71" customFormat="1" ht="16.5" hidden="1" customHeight="1" outlineLevel="1" x14ac:dyDescent="0.25">
      <c r="A4831" s="74">
        <v>5253</v>
      </c>
      <c r="B4831" s="45" t="s">
        <v>664</v>
      </c>
      <c r="C4831" s="60" t="s">
        <v>4412</v>
      </c>
      <c r="D4831" s="60"/>
      <c r="E4831" s="74">
        <v>2022</v>
      </c>
      <c r="F4831" s="74" t="s">
        <v>489</v>
      </c>
      <c r="G4831" s="61">
        <v>1</v>
      </c>
      <c r="H4831" s="45">
        <v>15</v>
      </c>
      <c r="I4831" s="74">
        <v>45.483980000000003</v>
      </c>
    </row>
    <row r="4832" spans="1:9" s="71" customFormat="1" ht="16.5" hidden="1" customHeight="1" outlineLevel="1" x14ac:dyDescent="0.25">
      <c r="A4832" s="74">
        <v>5254</v>
      </c>
      <c r="B4832" s="45" t="s">
        <v>664</v>
      </c>
      <c r="C4832" s="60" t="s">
        <v>4413</v>
      </c>
      <c r="D4832" s="60"/>
      <c r="E4832" s="74">
        <v>2022</v>
      </c>
      <c r="F4832" s="74" t="s">
        <v>489</v>
      </c>
      <c r="G4832" s="61">
        <v>1</v>
      </c>
      <c r="H4832" s="45">
        <v>15</v>
      </c>
      <c r="I4832" s="74">
        <v>51.499130000000001</v>
      </c>
    </row>
    <row r="4833" spans="1:9" s="71" customFormat="1" ht="16.5" hidden="1" customHeight="1" outlineLevel="1" x14ac:dyDescent="0.25">
      <c r="A4833" s="74">
        <v>5255</v>
      </c>
      <c r="B4833" s="45" t="s">
        <v>664</v>
      </c>
      <c r="C4833" s="60" t="s">
        <v>4414</v>
      </c>
      <c r="D4833" s="60"/>
      <c r="E4833" s="74">
        <v>2022</v>
      </c>
      <c r="F4833" s="74" t="s">
        <v>489</v>
      </c>
      <c r="G4833" s="61">
        <v>1</v>
      </c>
      <c r="H4833" s="45">
        <v>10</v>
      </c>
      <c r="I4833" s="74">
        <v>52.081580000000002</v>
      </c>
    </row>
    <row r="4834" spans="1:9" s="71" customFormat="1" ht="16.5" hidden="1" customHeight="1" outlineLevel="1" x14ac:dyDescent="0.25">
      <c r="A4834" s="74">
        <v>5247</v>
      </c>
      <c r="B4834" s="45" t="s">
        <v>664</v>
      </c>
      <c r="C4834" s="60" t="s">
        <v>4415</v>
      </c>
      <c r="D4834" s="60"/>
      <c r="E4834" s="74">
        <v>2022</v>
      </c>
      <c r="F4834" s="74" t="s">
        <v>489</v>
      </c>
      <c r="G4834" s="61">
        <v>1</v>
      </c>
      <c r="H4834" s="45">
        <v>15</v>
      </c>
      <c r="I4834" s="74">
        <v>58.707099999999997</v>
      </c>
    </row>
    <row r="4835" spans="1:9" s="71" customFormat="1" ht="16.5" hidden="1" customHeight="1" outlineLevel="1" x14ac:dyDescent="0.25">
      <c r="A4835" s="74">
        <v>5248</v>
      </c>
      <c r="B4835" s="45" t="s">
        <v>664</v>
      </c>
      <c r="C4835" s="60" t="s">
        <v>4416</v>
      </c>
      <c r="D4835" s="60"/>
      <c r="E4835" s="74">
        <v>2022</v>
      </c>
      <c r="F4835" s="74" t="s">
        <v>489</v>
      </c>
      <c r="G4835" s="61">
        <v>1</v>
      </c>
      <c r="H4835" s="45">
        <v>10</v>
      </c>
      <c r="I4835" s="74">
        <v>52.059179999999998</v>
      </c>
    </row>
    <row r="4836" spans="1:9" s="71" customFormat="1" ht="16.5" hidden="1" customHeight="1" outlineLevel="1" x14ac:dyDescent="0.25">
      <c r="A4836" s="74">
        <v>5249</v>
      </c>
      <c r="B4836" s="45" t="s">
        <v>664</v>
      </c>
      <c r="C4836" s="60" t="s">
        <v>4417</v>
      </c>
      <c r="D4836" s="60"/>
      <c r="E4836" s="74">
        <v>2022</v>
      </c>
      <c r="F4836" s="74" t="s">
        <v>489</v>
      </c>
      <c r="G4836" s="61">
        <v>1</v>
      </c>
      <c r="H4836" s="45">
        <v>10</v>
      </c>
      <c r="I4836" s="74">
        <v>27.262810000000002</v>
      </c>
    </row>
    <row r="4837" spans="1:9" s="71" customFormat="1" ht="16.5" hidden="1" customHeight="1" outlineLevel="1" x14ac:dyDescent="0.25">
      <c r="A4837" s="74">
        <v>5250</v>
      </c>
      <c r="B4837" s="45" t="s">
        <v>664</v>
      </c>
      <c r="C4837" s="60" t="s">
        <v>4418</v>
      </c>
      <c r="D4837" s="60"/>
      <c r="E4837" s="74">
        <v>2022</v>
      </c>
      <c r="F4837" s="74" t="s">
        <v>489</v>
      </c>
      <c r="G4837" s="61">
        <v>1</v>
      </c>
      <c r="H4837" s="45">
        <v>10</v>
      </c>
      <c r="I4837" s="74">
        <v>55.383139999999997</v>
      </c>
    </row>
    <row r="4838" spans="1:9" s="71" customFormat="1" ht="16.5" hidden="1" customHeight="1" outlineLevel="1" x14ac:dyDescent="0.25">
      <c r="A4838" s="74">
        <v>5251</v>
      </c>
      <c r="B4838" s="45" t="s">
        <v>664</v>
      </c>
      <c r="C4838" s="60" t="s">
        <v>4419</v>
      </c>
      <c r="D4838" s="60"/>
      <c r="E4838" s="74">
        <v>2022</v>
      </c>
      <c r="F4838" s="74" t="s">
        <v>489</v>
      </c>
      <c r="G4838" s="61">
        <v>1</v>
      </c>
      <c r="H4838" s="45">
        <v>15</v>
      </c>
      <c r="I4838" s="74">
        <v>30.58681</v>
      </c>
    </row>
    <row r="4839" spans="1:9" s="71" customFormat="1" ht="16.5" hidden="1" customHeight="1" outlineLevel="1" x14ac:dyDescent="0.25">
      <c r="A4839" s="74">
        <v>5242</v>
      </c>
      <c r="B4839" s="45" t="s">
        <v>664</v>
      </c>
      <c r="C4839" s="60" t="s">
        <v>4420</v>
      </c>
      <c r="D4839" s="60"/>
      <c r="E4839" s="74">
        <v>2022</v>
      </c>
      <c r="F4839" s="74" t="s">
        <v>489</v>
      </c>
      <c r="G4839" s="61">
        <v>1</v>
      </c>
      <c r="H4839" s="45">
        <v>10</v>
      </c>
      <c r="I4839" s="74">
        <v>55.428069999999998</v>
      </c>
    </row>
    <row r="4840" spans="1:9" s="71" customFormat="1" ht="16.5" hidden="1" customHeight="1" outlineLevel="1" x14ac:dyDescent="0.25">
      <c r="A4840" s="74">
        <v>5243</v>
      </c>
      <c r="B4840" s="45" t="s">
        <v>664</v>
      </c>
      <c r="C4840" s="60" t="s">
        <v>4421</v>
      </c>
      <c r="D4840" s="60"/>
      <c r="E4840" s="74">
        <v>2022</v>
      </c>
      <c r="F4840" s="74" t="s">
        <v>489</v>
      </c>
      <c r="G4840" s="61">
        <v>1</v>
      </c>
      <c r="H4840" s="45">
        <v>10</v>
      </c>
      <c r="I4840" s="74">
        <v>28.340890000000002</v>
      </c>
    </row>
    <row r="4841" spans="1:9" s="71" customFormat="1" ht="16.5" hidden="1" customHeight="1" outlineLevel="1" x14ac:dyDescent="0.25">
      <c r="A4841" s="74">
        <v>5244</v>
      </c>
      <c r="B4841" s="45" t="s">
        <v>664</v>
      </c>
      <c r="C4841" s="60" t="s">
        <v>4422</v>
      </c>
      <c r="D4841" s="60"/>
      <c r="E4841" s="74">
        <v>2022</v>
      </c>
      <c r="F4841" s="74" t="s">
        <v>489</v>
      </c>
      <c r="G4841" s="61">
        <v>1</v>
      </c>
      <c r="H4841" s="45">
        <v>15</v>
      </c>
      <c r="I4841" s="74">
        <v>55.420870000000001</v>
      </c>
    </row>
    <row r="4842" spans="1:9" s="71" customFormat="1" ht="16.5" hidden="1" customHeight="1" outlineLevel="1" x14ac:dyDescent="0.25">
      <c r="A4842" s="74">
        <v>5237</v>
      </c>
      <c r="B4842" s="45" t="s">
        <v>664</v>
      </c>
      <c r="C4842" s="60" t="s">
        <v>4423</v>
      </c>
      <c r="D4842" s="60"/>
      <c r="E4842" s="74">
        <v>2022</v>
      </c>
      <c r="F4842" s="74" t="s">
        <v>489</v>
      </c>
      <c r="G4842" s="61">
        <v>1</v>
      </c>
      <c r="H4842" s="45">
        <v>11</v>
      </c>
      <c r="I4842" s="74">
        <v>29.624659999999999</v>
      </c>
    </row>
    <row r="4843" spans="1:9" s="71" customFormat="1" ht="16.5" hidden="1" customHeight="1" outlineLevel="1" x14ac:dyDescent="0.25">
      <c r="A4843" s="74">
        <v>5246</v>
      </c>
      <c r="B4843" s="45" t="s">
        <v>664</v>
      </c>
      <c r="C4843" s="60" t="s">
        <v>4424</v>
      </c>
      <c r="D4843" s="60"/>
      <c r="E4843" s="74">
        <v>2022</v>
      </c>
      <c r="F4843" s="74" t="s">
        <v>489</v>
      </c>
      <c r="G4843" s="61">
        <v>1</v>
      </c>
      <c r="H4843" s="45">
        <v>7</v>
      </c>
      <c r="I4843" s="74">
        <v>29.624639999999999</v>
      </c>
    </row>
    <row r="4844" spans="1:9" s="71" customFormat="1" ht="16.5" hidden="1" customHeight="1" outlineLevel="1" x14ac:dyDescent="0.25">
      <c r="A4844" s="74">
        <v>5238</v>
      </c>
      <c r="B4844" s="45" t="s">
        <v>664</v>
      </c>
      <c r="C4844" s="60" t="s">
        <v>4425</v>
      </c>
      <c r="D4844" s="60"/>
      <c r="E4844" s="74">
        <v>2022</v>
      </c>
      <c r="F4844" s="74" t="s">
        <v>489</v>
      </c>
      <c r="G4844" s="61">
        <v>1</v>
      </c>
      <c r="H4844" s="45">
        <v>10</v>
      </c>
      <c r="I4844" s="74">
        <v>29.645820000000001</v>
      </c>
    </row>
    <row r="4845" spans="1:9" s="71" customFormat="1" ht="16.5" hidden="1" customHeight="1" outlineLevel="1" x14ac:dyDescent="0.25">
      <c r="A4845" s="74">
        <v>5233</v>
      </c>
      <c r="B4845" s="45" t="s">
        <v>664</v>
      </c>
      <c r="C4845" s="60" t="s">
        <v>4426</v>
      </c>
      <c r="D4845" s="60"/>
      <c r="E4845" s="74">
        <v>2022</v>
      </c>
      <c r="F4845" s="74" t="s">
        <v>489</v>
      </c>
      <c r="G4845" s="61">
        <v>1</v>
      </c>
      <c r="H4845" s="45">
        <v>14.87</v>
      </c>
      <c r="I4845" s="74">
        <v>29.578869999999998</v>
      </c>
    </row>
    <row r="4846" spans="1:9" s="71" customFormat="1" ht="16.5" hidden="1" customHeight="1" outlineLevel="1" x14ac:dyDescent="0.25">
      <c r="A4846" s="74">
        <v>5234</v>
      </c>
      <c r="B4846" s="45" t="s">
        <v>664</v>
      </c>
      <c r="C4846" s="60" t="s">
        <v>4427</v>
      </c>
      <c r="D4846" s="60"/>
      <c r="E4846" s="74">
        <v>2022</v>
      </c>
      <c r="F4846" s="74" t="s">
        <v>489</v>
      </c>
      <c r="G4846" s="61">
        <v>1</v>
      </c>
      <c r="H4846" s="45">
        <v>10</v>
      </c>
      <c r="I4846" s="74">
        <v>28.940619999999999</v>
      </c>
    </row>
    <row r="4847" spans="1:9" s="71" customFormat="1" ht="16.5" hidden="1" customHeight="1" outlineLevel="1" x14ac:dyDescent="0.25">
      <c r="A4847" s="74">
        <v>5228</v>
      </c>
      <c r="B4847" s="45" t="s">
        <v>664</v>
      </c>
      <c r="C4847" s="60" t="s">
        <v>4428</v>
      </c>
      <c r="D4847" s="60"/>
      <c r="E4847" s="74">
        <v>2022</v>
      </c>
      <c r="F4847" s="74" t="s">
        <v>489</v>
      </c>
      <c r="G4847" s="61">
        <v>1</v>
      </c>
      <c r="H4847" s="45">
        <v>9.1999999999999993</v>
      </c>
      <c r="I4847" s="74">
        <v>31.844080000000002</v>
      </c>
    </row>
    <row r="4848" spans="1:9" s="71" customFormat="1" ht="16.5" hidden="1" customHeight="1" outlineLevel="1" x14ac:dyDescent="0.25">
      <c r="A4848" s="74">
        <v>5230</v>
      </c>
      <c r="B4848" s="45" t="s">
        <v>664</v>
      </c>
      <c r="C4848" s="60" t="s">
        <v>4429</v>
      </c>
      <c r="D4848" s="60"/>
      <c r="E4848" s="74">
        <v>2022</v>
      </c>
      <c r="F4848" s="74" t="s">
        <v>489</v>
      </c>
      <c r="G4848" s="61">
        <v>1</v>
      </c>
      <c r="H4848" s="45">
        <v>15</v>
      </c>
      <c r="I4848" s="74">
        <v>28.59442</v>
      </c>
    </row>
    <row r="4849" spans="1:9" s="71" customFormat="1" ht="16.5" hidden="1" customHeight="1" outlineLevel="1" x14ac:dyDescent="0.25">
      <c r="A4849" s="74">
        <v>5229</v>
      </c>
      <c r="B4849" s="45" t="s">
        <v>664</v>
      </c>
      <c r="C4849" s="60" t="s">
        <v>4430</v>
      </c>
      <c r="D4849" s="60"/>
      <c r="E4849" s="74">
        <v>2022</v>
      </c>
      <c r="F4849" s="74" t="s">
        <v>489</v>
      </c>
      <c r="G4849" s="61">
        <v>1</v>
      </c>
      <c r="H4849" s="45">
        <v>10</v>
      </c>
      <c r="I4849" s="74">
        <v>29.070260000000001</v>
      </c>
    </row>
    <row r="4850" spans="1:9" s="71" customFormat="1" ht="16.5" hidden="1" customHeight="1" outlineLevel="1" x14ac:dyDescent="0.25">
      <c r="A4850" s="74">
        <v>5395</v>
      </c>
      <c r="B4850" s="45" t="s">
        <v>664</v>
      </c>
      <c r="C4850" s="60" t="s">
        <v>4431</v>
      </c>
      <c r="D4850" s="60"/>
      <c r="E4850" s="74">
        <v>2022</v>
      </c>
      <c r="F4850" s="74" t="s">
        <v>489</v>
      </c>
      <c r="G4850" s="61">
        <v>1</v>
      </c>
      <c r="H4850" s="45">
        <v>15</v>
      </c>
      <c r="I4850" s="74">
        <v>22</v>
      </c>
    </row>
    <row r="4851" spans="1:9" s="71" customFormat="1" ht="16.5" hidden="1" customHeight="1" outlineLevel="1" x14ac:dyDescent="0.25">
      <c r="A4851" s="74">
        <v>5396</v>
      </c>
      <c r="B4851" s="45" t="s">
        <v>664</v>
      </c>
      <c r="C4851" s="60" t="s">
        <v>4432</v>
      </c>
      <c r="D4851" s="60"/>
      <c r="E4851" s="74">
        <v>2022</v>
      </c>
      <c r="F4851" s="74" t="s">
        <v>489</v>
      </c>
      <c r="G4851" s="61">
        <v>1</v>
      </c>
      <c r="H4851" s="45">
        <v>15</v>
      </c>
      <c r="I4851" s="74">
        <v>22</v>
      </c>
    </row>
    <row r="4852" spans="1:9" s="71" customFormat="1" ht="16.5" hidden="1" customHeight="1" outlineLevel="1" x14ac:dyDescent="0.25">
      <c r="A4852" s="74">
        <v>5397</v>
      </c>
      <c r="B4852" s="45" t="s">
        <v>664</v>
      </c>
      <c r="C4852" s="60" t="s">
        <v>4433</v>
      </c>
      <c r="D4852" s="60"/>
      <c r="E4852" s="74">
        <v>2022</v>
      </c>
      <c r="F4852" s="74" t="s">
        <v>489</v>
      </c>
      <c r="G4852" s="61">
        <v>1</v>
      </c>
      <c r="H4852" s="45">
        <v>15</v>
      </c>
      <c r="I4852" s="74">
        <v>22</v>
      </c>
    </row>
    <row r="4853" spans="1:9" s="71" customFormat="1" ht="16.5" hidden="1" customHeight="1" outlineLevel="1" x14ac:dyDescent="0.25">
      <c r="A4853" s="74">
        <v>5398</v>
      </c>
      <c r="B4853" s="45" t="s">
        <v>664</v>
      </c>
      <c r="C4853" s="60" t="s">
        <v>4434</v>
      </c>
      <c r="D4853" s="60"/>
      <c r="E4853" s="74">
        <v>2022</v>
      </c>
      <c r="F4853" s="74" t="s">
        <v>489</v>
      </c>
      <c r="G4853" s="61">
        <v>1</v>
      </c>
      <c r="H4853" s="45">
        <v>150</v>
      </c>
      <c r="I4853" s="74">
        <v>22</v>
      </c>
    </row>
    <row r="4854" spans="1:9" s="71" customFormat="1" ht="16.5" hidden="1" customHeight="1" outlineLevel="1" x14ac:dyDescent="0.25">
      <c r="A4854" s="74">
        <v>5360</v>
      </c>
      <c r="B4854" s="45" t="s">
        <v>664</v>
      </c>
      <c r="C4854" s="60" t="s">
        <v>4435</v>
      </c>
      <c r="D4854" s="60"/>
      <c r="E4854" s="74">
        <v>2022</v>
      </c>
      <c r="F4854" s="74" t="s">
        <v>489</v>
      </c>
      <c r="G4854" s="61">
        <v>1</v>
      </c>
      <c r="H4854" s="45">
        <v>15</v>
      </c>
      <c r="I4854" s="74">
        <v>47</v>
      </c>
    </row>
    <row r="4855" spans="1:9" s="71" customFormat="1" ht="16.5" hidden="1" customHeight="1" outlineLevel="1" x14ac:dyDescent="0.25">
      <c r="A4855" s="74">
        <v>5361</v>
      </c>
      <c r="B4855" s="45" t="s">
        <v>664</v>
      </c>
      <c r="C4855" s="60" t="s">
        <v>4436</v>
      </c>
      <c r="D4855" s="60"/>
      <c r="E4855" s="74">
        <v>2022</v>
      </c>
      <c r="F4855" s="74" t="s">
        <v>489</v>
      </c>
      <c r="G4855" s="61">
        <v>1</v>
      </c>
      <c r="H4855" s="45">
        <v>7.5</v>
      </c>
      <c r="I4855" s="74">
        <v>41</v>
      </c>
    </row>
    <row r="4856" spans="1:9" s="71" customFormat="1" ht="16.5" hidden="1" customHeight="1" outlineLevel="1" x14ac:dyDescent="0.25">
      <c r="A4856" s="74">
        <v>5226</v>
      </c>
      <c r="B4856" s="45" t="s">
        <v>664</v>
      </c>
      <c r="C4856" s="60" t="s">
        <v>4437</v>
      </c>
      <c r="D4856" s="60"/>
      <c r="E4856" s="74">
        <v>2022</v>
      </c>
      <c r="F4856" s="74" t="s">
        <v>489</v>
      </c>
      <c r="G4856" s="61">
        <v>1</v>
      </c>
      <c r="H4856" s="45">
        <v>13</v>
      </c>
      <c r="I4856" s="74">
        <v>51</v>
      </c>
    </row>
    <row r="4857" spans="1:9" s="71" customFormat="1" ht="16.5" hidden="1" customHeight="1" outlineLevel="1" x14ac:dyDescent="0.25">
      <c r="A4857" s="74">
        <v>5227</v>
      </c>
      <c r="B4857" s="45" t="s">
        <v>664</v>
      </c>
      <c r="C4857" s="60" t="s">
        <v>4438</v>
      </c>
      <c r="D4857" s="60"/>
      <c r="E4857" s="74">
        <v>2022</v>
      </c>
      <c r="F4857" s="74" t="s">
        <v>489</v>
      </c>
      <c r="G4857" s="61">
        <v>1</v>
      </c>
      <c r="H4857" s="45">
        <v>15</v>
      </c>
      <c r="I4857" s="74">
        <v>51</v>
      </c>
    </row>
    <row r="4858" spans="1:9" s="71" customFormat="1" ht="16.5" hidden="1" customHeight="1" outlineLevel="1" x14ac:dyDescent="0.25">
      <c r="A4858" s="74">
        <v>5232</v>
      </c>
      <c r="B4858" s="45" t="s">
        <v>664</v>
      </c>
      <c r="C4858" s="60" t="s">
        <v>4439</v>
      </c>
      <c r="D4858" s="60"/>
      <c r="E4858" s="74">
        <v>2022</v>
      </c>
      <c r="F4858" s="74" t="s">
        <v>489</v>
      </c>
      <c r="G4858" s="61">
        <v>1</v>
      </c>
      <c r="H4858" s="45">
        <v>15</v>
      </c>
      <c r="I4858" s="74">
        <v>28</v>
      </c>
    </row>
    <row r="4859" spans="1:9" s="71" customFormat="1" ht="16.5" hidden="1" customHeight="1" outlineLevel="1" x14ac:dyDescent="0.25">
      <c r="A4859" s="74">
        <v>5077</v>
      </c>
      <c r="B4859" s="45" t="s">
        <v>664</v>
      </c>
      <c r="C4859" s="60" t="s">
        <v>4440</v>
      </c>
      <c r="D4859" s="60"/>
      <c r="E4859" s="74">
        <v>2022</v>
      </c>
      <c r="F4859" s="74" t="s">
        <v>489</v>
      </c>
      <c r="G4859" s="61">
        <v>1</v>
      </c>
      <c r="H4859" s="45">
        <v>15</v>
      </c>
      <c r="I4859" s="74">
        <v>34</v>
      </c>
    </row>
    <row r="4860" spans="1:9" s="71" customFormat="1" ht="16.5" hidden="1" customHeight="1" outlineLevel="1" x14ac:dyDescent="0.25">
      <c r="A4860" s="74">
        <v>5076</v>
      </c>
      <c r="B4860" s="45" t="s">
        <v>664</v>
      </c>
      <c r="C4860" s="60" t="s">
        <v>4441</v>
      </c>
      <c r="D4860" s="60"/>
      <c r="E4860" s="74">
        <v>2022</v>
      </c>
      <c r="F4860" s="74" t="s">
        <v>489</v>
      </c>
      <c r="G4860" s="61">
        <v>1</v>
      </c>
      <c r="H4860" s="45">
        <v>7.5</v>
      </c>
      <c r="I4860" s="74">
        <v>44</v>
      </c>
    </row>
    <row r="4861" spans="1:9" s="71" customFormat="1" ht="16.5" hidden="1" customHeight="1" outlineLevel="1" x14ac:dyDescent="0.25">
      <c r="A4861" s="74">
        <v>5084</v>
      </c>
      <c r="B4861" s="45" t="s">
        <v>664</v>
      </c>
      <c r="C4861" s="60" t="s">
        <v>4442</v>
      </c>
      <c r="D4861" s="60"/>
      <c r="E4861" s="74">
        <v>2022</v>
      </c>
      <c r="F4861" s="74" t="s">
        <v>489</v>
      </c>
      <c r="G4861" s="61">
        <v>1</v>
      </c>
      <c r="H4861" s="45">
        <v>20</v>
      </c>
      <c r="I4861" s="74">
        <v>61</v>
      </c>
    </row>
    <row r="4862" spans="1:9" s="71" customFormat="1" ht="16.5" hidden="1" customHeight="1" outlineLevel="1" x14ac:dyDescent="0.25">
      <c r="A4862" s="74">
        <v>5224</v>
      </c>
      <c r="B4862" s="45" t="s">
        <v>664</v>
      </c>
      <c r="C4862" s="60" t="s">
        <v>4443</v>
      </c>
      <c r="D4862" s="60"/>
      <c r="E4862" s="74">
        <v>2022</v>
      </c>
      <c r="F4862" s="74" t="s">
        <v>489</v>
      </c>
      <c r="G4862" s="61">
        <v>1</v>
      </c>
      <c r="H4862" s="45">
        <v>15</v>
      </c>
      <c r="I4862" s="74">
        <v>20</v>
      </c>
    </row>
    <row r="4863" spans="1:9" s="71" customFormat="1" ht="16.5" hidden="1" customHeight="1" outlineLevel="1" x14ac:dyDescent="0.25">
      <c r="A4863" s="74">
        <v>5225</v>
      </c>
      <c r="B4863" s="45" t="s">
        <v>664</v>
      </c>
      <c r="C4863" s="60" t="s">
        <v>4444</v>
      </c>
      <c r="D4863" s="60"/>
      <c r="E4863" s="74">
        <v>2022</v>
      </c>
      <c r="F4863" s="74" t="s">
        <v>489</v>
      </c>
      <c r="G4863" s="61">
        <v>1</v>
      </c>
      <c r="H4863" s="45">
        <v>15</v>
      </c>
      <c r="I4863" s="74">
        <v>31</v>
      </c>
    </row>
    <row r="4864" spans="1:9" s="71" customFormat="1" ht="16.5" hidden="1" customHeight="1" outlineLevel="1" x14ac:dyDescent="0.25">
      <c r="A4864" s="74">
        <v>5212</v>
      </c>
      <c r="B4864" s="45" t="s">
        <v>664</v>
      </c>
      <c r="C4864" s="60" t="s">
        <v>4445</v>
      </c>
      <c r="D4864" s="60"/>
      <c r="E4864" s="74">
        <v>2022</v>
      </c>
      <c r="F4864" s="74" t="s">
        <v>489</v>
      </c>
      <c r="G4864" s="61">
        <v>1</v>
      </c>
      <c r="H4864" s="45">
        <v>15</v>
      </c>
      <c r="I4864" s="74">
        <v>26</v>
      </c>
    </row>
    <row r="4865" spans="1:9" s="71" customFormat="1" ht="16.5" hidden="1" customHeight="1" outlineLevel="1" x14ac:dyDescent="0.25">
      <c r="A4865" s="74">
        <v>5213</v>
      </c>
      <c r="B4865" s="45" t="s">
        <v>664</v>
      </c>
      <c r="C4865" s="60" t="s">
        <v>4446</v>
      </c>
      <c r="D4865" s="60"/>
      <c r="E4865" s="74">
        <v>2022</v>
      </c>
      <c r="F4865" s="74" t="s">
        <v>489</v>
      </c>
      <c r="G4865" s="61">
        <v>1</v>
      </c>
      <c r="H4865" s="45">
        <v>13</v>
      </c>
      <c r="I4865" s="74">
        <v>29</v>
      </c>
    </row>
    <row r="4866" spans="1:9" s="71" customFormat="1" ht="16.5" hidden="1" customHeight="1" outlineLevel="1" x14ac:dyDescent="0.25">
      <c r="A4866" s="74">
        <v>5149</v>
      </c>
      <c r="B4866" s="45" t="s">
        <v>664</v>
      </c>
      <c r="C4866" s="60" t="s">
        <v>4447</v>
      </c>
      <c r="D4866" s="60"/>
      <c r="E4866" s="74">
        <v>2022</v>
      </c>
      <c r="F4866" s="74" t="s">
        <v>489</v>
      </c>
      <c r="G4866" s="61">
        <v>1</v>
      </c>
      <c r="H4866" s="45">
        <v>13.5</v>
      </c>
      <c r="I4866" s="74">
        <v>51</v>
      </c>
    </row>
    <row r="4867" spans="1:9" s="71" customFormat="1" ht="16.5" hidden="1" customHeight="1" outlineLevel="1" x14ac:dyDescent="0.25">
      <c r="A4867" s="74">
        <v>5151</v>
      </c>
      <c r="B4867" s="45" t="s">
        <v>664</v>
      </c>
      <c r="C4867" s="60" t="s">
        <v>4448</v>
      </c>
      <c r="D4867" s="60"/>
      <c r="E4867" s="74">
        <v>2022</v>
      </c>
      <c r="F4867" s="74" t="s">
        <v>489</v>
      </c>
      <c r="G4867" s="61">
        <v>1</v>
      </c>
      <c r="H4867" s="45">
        <v>135</v>
      </c>
      <c r="I4867" s="74">
        <v>95</v>
      </c>
    </row>
    <row r="4868" spans="1:9" s="71" customFormat="1" ht="16.5" hidden="1" customHeight="1" outlineLevel="1" x14ac:dyDescent="0.25">
      <c r="A4868" s="74">
        <v>5150</v>
      </c>
      <c r="B4868" s="45" t="s">
        <v>664</v>
      </c>
      <c r="C4868" s="60" t="s">
        <v>4449</v>
      </c>
      <c r="D4868" s="60"/>
      <c r="E4868" s="74">
        <v>2022</v>
      </c>
      <c r="F4868" s="74" t="s">
        <v>489</v>
      </c>
      <c r="G4868" s="61">
        <v>1</v>
      </c>
      <c r="H4868" s="45">
        <v>25</v>
      </c>
      <c r="I4868" s="74">
        <v>42</v>
      </c>
    </row>
    <row r="4869" spans="1:9" s="71" customFormat="1" ht="16.5" hidden="1" customHeight="1" outlineLevel="1" x14ac:dyDescent="0.25">
      <c r="A4869" s="74">
        <v>5152</v>
      </c>
      <c r="B4869" s="45" t="s">
        <v>664</v>
      </c>
      <c r="C4869" s="60" t="s">
        <v>4450</v>
      </c>
      <c r="D4869" s="60"/>
      <c r="E4869" s="74">
        <v>2022</v>
      </c>
      <c r="F4869" s="74" t="s">
        <v>489</v>
      </c>
      <c r="G4869" s="61">
        <v>1</v>
      </c>
      <c r="H4869" s="45">
        <v>15</v>
      </c>
      <c r="I4869" s="74">
        <v>24</v>
      </c>
    </row>
    <row r="4870" spans="1:9" s="71" customFormat="1" ht="16.5" hidden="1" customHeight="1" outlineLevel="1" x14ac:dyDescent="0.25">
      <c r="A4870" s="74">
        <v>5058</v>
      </c>
      <c r="B4870" s="45" t="s">
        <v>664</v>
      </c>
      <c r="C4870" s="60" t="s">
        <v>4451</v>
      </c>
      <c r="D4870" s="60"/>
      <c r="E4870" s="74">
        <v>2022</v>
      </c>
      <c r="F4870" s="74" t="s">
        <v>489</v>
      </c>
      <c r="G4870" s="61">
        <v>1</v>
      </c>
      <c r="H4870" s="45">
        <v>8</v>
      </c>
      <c r="I4870" s="74">
        <v>24</v>
      </c>
    </row>
    <row r="4871" spans="1:9" s="71" customFormat="1" ht="16.5" hidden="1" customHeight="1" outlineLevel="1" x14ac:dyDescent="0.25">
      <c r="A4871" s="74">
        <v>5059</v>
      </c>
      <c r="B4871" s="45" t="s">
        <v>664</v>
      </c>
      <c r="C4871" s="60" t="s">
        <v>623</v>
      </c>
      <c r="D4871" s="60"/>
      <c r="E4871" s="74">
        <v>2022</v>
      </c>
      <c r="F4871" s="74" t="s">
        <v>489</v>
      </c>
      <c r="G4871" s="61">
        <v>2</v>
      </c>
      <c r="H4871" s="45">
        <v>30</v>
      </c>
      <c r="I4871" s="74">
        <v>48</v>
      </c>
    </row>
    <row r="4872" spans="1:9" s="71" customFormat="1" ht="16.5" hidden="1" customHeight="1" outlineLevel="1" x14ac:dyDescent="0.25">
      <c r="A4872" s="74">
        <v>5068</v>
      </c>
      <c r="B4872" s="45" t="s">
        <v>664</v>
      </c>
      <c r="C4872" s="60" t="s">
        <v>4452</v>
      </c>
      <c r="D4872" s="60"/>
      <c r="E4872" s="74">
        <v>2022</v>
      </c>
      <c r="F4872" s="74" t="s">
        <v>489</v>
      </c>
      <c r="G4872" s="61">
        <v>1</v>
      </c>
      <c r="H4872" s="45">
        <v>90</v>
      </c>
      <c r="I4872" s="74">
        <v>24</v>
      </c>
    </row>
    <row r="4873" spans="1:9" s="71" customFormat="1" ht="16.5" hidden="1" customHeight="1" outlineLevel="1" x14ac:dyDescent="0.25">
      <c r="A4873" s="74">
        <v>5338</v>
      </c>
      <c r="B4873" s="45" t="s">
        <v>664</v>
      </c>
      <c r="C4873" s="60" t="s">
        <v>4453</v>
      </c>
      <c r="D4873" s="60"/>
      <c r="E4873" s="74">
        <v>2022</v>
      </c>
      <c r="F4873" s="74" t="s">
        <v>489</v>
      </c>
      <c r="G4873" s="61">
        <v>1</v>
      </c>
      <c r="H4873" s="45">
        <v>2</v>
      </c>
      <c r="I4873" s="74">
        <v>15</v>
      </c>
    </row>
    <row r="4874" spans="1:9" s="71" customFormat="1" ht="16.5" hidden="1" customHeight="1" outlineLevel="1" x14ac:dyDescent="0.25">
      <c r="A4874" s="74">
        <v>5144</v>
      </c>
      <c r="B4874" s="45" t="s">
        <v>664</v>
      </c>
      <c r="C4874" s="60" t="s">
        <v>4454</v>
      </c>
      <c r="D4874" s="60"/>
      <c r="E4874" s="74">
        <v>2022</v>
      </c>
      <c r="F4874" s="74" t="s">
        <v>489</v>
      </c>
      <c r="G4874" s="61">
        <v>1</v>
      </c>
      <c r="H4874" s="45">
        <v>15</v>
      </c>
      <c r="I4874" s="74">
        <v>24</v>
      </c>
    </row>
    <row r="4875" spans="1:9" s="71" customFormat="1" ht="16.5" hidden="1" customHeight="1" outlineLevel="1" x14ac:dyDescent="0.25">
      <c r="A4875" s="74">
        <v>5301</v>
      </c>
      <c r="B4875" s="45" t="s">
        <v>664</v>
      </c>
      <c r="C4875" s="60" t="s">
        <v>4455</v>
      </c>
      <c r="D4875" s="60"/>
      <c r="E4875" s="74">
        <v>2022</v>
      </c>
      <c r="F4875" s="74" t="s">
        <v>489</v>
      </c>
      <c r="G4875" s="61">
        <v>2</v>
      </c>
      <c r="H4875" s="45">
        <v>15</v>
      </c>
      <c r="I4875" s="74">
        <v>339</v>
      </c>
    </row>
    <row r="4876" spans="1:9" s="71" customFormat="1" ht="16.5" hidden="1" customHeight="1" outlineLevel="1" x14ac:dyDescent="0.25">
      <c r="A4876" s="74">
        <v>5302</v>
      </c>
      <c r="B4876" s="45" t="s">
        <v>664</v>
      </c>
      <c r="C4876" s="60" t="s">
        <v>624</v>
      </c>
      <c r="D4876" s="60"/>
      <c r="E4876" s="74">
        <v>2022</v>
      </c>
      <c r="F4876" s="74" t="s">
        <v>489</v>
      </c>
      <c r="G4876" s="61">
        <v>1</v>
      </c>
      <c r="H4876" s="45">
        <v>25</v>
      </c>
      <c r="I4876" s="74">
        <v>311</v>
      </c>
    </row>
    <row r="4877" spans="1:9" s="71" customFormat="1" ht="16.5" hidden="1" customHeight="1" outlineLevel="1" x14ac:dyDescent="0.25">
      <c r="A4877" s="74">
        <v>5256</v>
      </c>
      <c r="B4877" s="45" t="s">
        <v>664</v>
      </c>
      <c r="C4877" s="60" t="s">
        <v>4456</v>
      </c>
      <c r="D4877" s="60"/>
      <c r="E4877" s="74">
        <v>2022</v>
      </c>
      <c r="F4877" s="74" t="s">
        <v>489</v>
      </c>
      <c r="G4877" s="61">
        <v>1</v>
      </c>
      <c r="H4877" s="45">
        <v>15</v>
      </c>
      <c r="I4877" s="74">
        <v>24</v>
      </c>
    </row>
    <row r="4878" spans="1:9" s="71" customFormat="1" ht="16.5" hidden="1" customHeight="1" outlineLevel="1" x14ac:dyDescent="0.25">
      <c r="A4878" s="74">
        <v>5258</v>
      </c>
      <c r="B4878" s="45" t="s">
        <v>664</v>
      </c>
      <c r="C4878" s="60" t="s">
        <v>4457</v>
      </c>
      <c r="D4878" s="60"/>
      <c r="E4878" s="74">
        <v>2022</v>
      </c>
      <c r="F4878" s="74" t="s">
        <v>489</v>
      </c>
      <c r="G4878" s="61">
        <v>1</v>
      </c>
      <c r="H4878" s="45">
        <v>15</v>
      </c>
      <c r="I4878" s="74">
        <v>35</v>
      </c>
    </row>
    <row r="4879" spans="1:9" s="71" customFormat="1" ht="16.5" hidden="1" customHeight="1" outlineLevel="1" x14ac:dyDescent="0.25">
      <c r="A4879" s="74">
        <v>5259</v>
      </c>
      <c r="B4879" s="45" t="s">
        <v>664</v>
      </c>
      <c r="C4879" s="60" t="s">
        <v>4458</v>
      </c>
      <c r="D4879" s="60"/>
      <c r="E4879" s="74">
        <v>2022</v>
      </c>
      <c r="F4879" s="74" t="s">
        <v>489</v>
      </c>
      <c r="G4879" s="61">
        <v>1</v>
      </c>
      <c r="H4879" s="45">
        <v>15</v>
      </c>
      <c r="I4879" s="74">
        <v>49</v>
      </c>
    </row>
    <row r="4880" spans="1:9" s="71" customFormat="1" ht="16.5" hidden="1" customHeight="1" outlineLevel="1" x14ac:dyDescent="0.25">
      <c r="A4880" s="74">
        <v>5260</v>
      </c>
      <c r="B4880" s="45" t="s">
        <v>664</v>
      </c>
      <c r="C4880" s="60" t="s">
        <v>4459</v>
      </c>
      <c r="D4880" s="60"/>
      <c r="E4880" s="74">
        <v>2022</v>
      </c>
      <c r="F4880" s="74" t="s">
        <v>489</v>
      </c>
      <c r="G4880" s="61">
        <v>1</v>
      </c>
      <c r="H4880" s="45">
        <v>15</v>
      </c>
      <c r="I4880" s="74">
        <v>54</v>
      </c>
    </row>
    <row r="4881" spans="1:9" s="71" customFormat="1" ht="16.5" hidden="1" customHeight="1" outlineLevel="1" x14ac:dyDescent="0.25">
      <c r="A4881" s="74">
        <v>5098</v>
      </c>
      <c r="B4881" s="45" t="s">
        <v>664</v>
      </c>
      <c r="C4881" s="60" t="s">
        <v>4460</v>
      </c>
      <c r="D4881" s="60"/>
      <c r="E4881" s="74">
        <v>2022</v>
      </c>
      <c r="F4881" s="74" t="s">
        <v>489</v>
      </c>
      <c r="G4881" s="61">
        <v>1</v>
      </c>
      <c r="H4881" s="45">
        <v>150</v>
      </c>
      <c r="I4881" s="74">
        <v>94</v>
      </c>
    </row>
    <row r="4882" spans="1:9" s="71" customFormat="1" ht="16.5" hidden="1" customHeight="1" outlineLevel="1" x14ac:dyDescent="0.25">
      <c r="A4882" s="74">
        <v>5099</v>
      </c>
      <c r="B4882" s="45" t="s">
        <v>664</v>
      </c>
      <c r="C4882" s="60" t="s">
        <v>4461</v>
      </c>
      <c r="D4882" s="60"/>
      <c r="E4882" s="74">
        <v>2022</v>
      </c>
      <c r="F4882" s="74" t="s">
        <v>489</v>
      </c>
      <c r="G4882" s="61">
        <v>1</v>
      </c>
      <c r="H4882" s="45">
        <v>15</v>
      </c>
      <c r="I4882" s="74">
        <v>94</v>
      </c>
    </row>
    <row r="4883" spans="1:9" s="71" customFormat="1" ht="16.5" hidden="1" customHeight="1" outlineLevel="1" x14ac:dyDescent="0.25">
      <c r="A4883" s="74">
        <v>5100</v>
      </c>
      <c r="B4883" s="45" t="s">
        <v>664</v>
      </c>
      <c r="C4883" s="60" t="s">
        <v>4462</v>
      </c>
      <c r="D4883" s="60"/>
      <c r="E4883" s="74">
        <v>2022</v>
      </c>
      <c r="F4883" s="74" t="s">
        <v>489</v>
      </c>
      <c r="G4883" s="61">
        <v>1</v>
      </c>
      <c r="H4883" s="45">
        <v>10</v>
      </c>
      <c r="I4883" s="74">
        <v>89</v>
      </c>
    </row>
    <row r="4884" spans="1:9" s="71" customFormat="1" ht="16.5" hidden="1" customHeight="1" outlineLevel="1" x14ac:dyDescent="0.25">
      <c r="A4884" s="74">
        <v>5101</v>
      </c>
      <c r="B4884" s="45" t="s">
        <v>664</v>
      </c>
      <c r="C4884" s="60" t="s">
        <v>4463</v>
      </c>
      <c r="D4884" s="60"/>
      <c r="E4884" s="74">
        <v>2022</v>
      </c>
      <c r="F4884" s="74" t="s">
        <v>489</v>
      </c>
      <c r="G4884" s="61">
        <v>1</v>
      </c>
      <c r="H4884" s="45">
        <v>13</v>
      </c>
      <c r="I4884" s="74">
        <v>87</v>
      </c>
    </row>
    <row r="4885" spans="1:9" s="71" customFormat="1" ht="16.5" hidden="1" customHeight="1" outlineLevel="1" x14ac:dyDescent="0.25">
      <c r="A4885" s="74">
        <v>5102</v>
      </c>
      <c r="B4885" s="45" t="s">
        <v>664</v>
      </c>
      <c r="C4885" s="60" t="s">
        <v>4464</v>
      </c>
      <c r="D4885" s="60"/>
      <c r="E4885" s="74">
        <v>2022</v>
      </c>
      <c r="F4885" s="74" t="s">
        <v>489</v>
      </c>
      <c r="G4885" s="61">
        <v>1</v>
      </c>
      <c r="H4885" s="45">
        <v>15</v>
      </c>
      <c r="I4885" s="74">
        <v>47</v>
      </c>
    </row>
    <row r="4886" spans="1:9" s="71" customFormat="1" ht="16.5" hidden="1" customHeight="1" outlineLevel="1" x14ac:dyDescent="0.25">
      <c r="A4886" s="74">
        <v>5103</v>
      </c>
      <c r="B4886" s="45" t="s">
        <v>664</v>
      </c>
      <c r="C4886" s="60" t="s">
        <v>4465</v>
      </c>
      <c r="D4886" s="60"/>
      <c r="E4886" s="74">
        <v>2022</v>
      </c>
      <c r="F4886" s="74" t="s">
        <v>489</v>
      </c>
      <c r="G4886" s="61">
        <v>1</v>
      </c>
      <c r="H4886" s="45">
        <v>15</v>
      </c>
      <c r="I4886" s="74">
        <v>42</v>
      </c>
    </row>
    <row r="4887" spans="1:9" s="71" customFormat="1" ht="16.5" hidden="1" customHeight="1" outlineLevel="1" x14ac:dyDescent="0.25">
      <c r="A4887" s="74">
        <v>5104</v>
      </c>
      <c r="B4887" s="45" t="s">
        <v>664</v>
      </c>
      <c r="C4887" s="60" t="s">
        <v>4466</v>
      </c>
      <c r="D4887" s="60"/>
      <c r="E4887" s="74">
        <v>2022</v>
      </c>
      <c r="F4887" s="74" t="s">
        <v>489</v>
      </c>
      <c r="G4887" s="61">
        <v>1</v>
      </c>
      <c r="H4887" s="45">
        <v>15</v>
      </c>
      <c r="I4887" s="74">
        <v>46</v>
      </c>
    </row>
    <row r="4888" spans="1:9" s="71" customFormat="1" ht="16.5" hidden="1" customHeight="1" outlineLevel="1" x14ac:dyDescent="0.25">
      <c r="A4888" s="74">
        <v>5257</v>
      </c>
      <c r="B4888" s="45" t="s">
        <v>664</v>
      </c>
      <c r="C4888" s="60" t="s">
        <v>4467</v>
      </c>
      <c r="D4888" s="60"/>
      <c r="E4888" s="74">
        <v>2022</v>
      </c>
      <c r="F4888" s="74" t="s">
        <v>489</v>
      </c>
      <c r="G4888" s="61">
        <v>1</v>
      </c>
      <c r="H4888" s="45">
        <v>7.5</v>
      </c>
      <c r="I4888" s="74">
        <v>40</v>
      </c>
    </row>
    <row r="4889" spans="1:9" s="71" customFormat="1" ht="16.5" hidden="1" customHeight="1" outlineLevel="1" x14ac:dyDescent="0.25">
      <c r="A4889" s="74">
        <v>5307</v>
      </c>
      <c r="B4889" s="45" t="s">
        <v>664</v>
      </c>
      <c r="C4889" s="60" t="s">
        <v>4468</v>
      </c>
      <c r="D4889" s="60"/>
      <c r="E4889" s="74">
        <v>2022</v>
      </c>
      <c r="F4889" s="74" t="s">
        <v>489</v>
      </c>
      <c r="G4889" s="61">
        <v>1</v>
      </c>
      <c r="H4889" s="45">
        <v>15</v>
      </c>
      <c r="I4889" s="74">
        <v>37</v>
      </c>
    </row>
    <row r="4890" spans="1:9" s="71" customFormat="1" ht="16.5" hidden="1" customHeight="1" outlineLevel="1" x14ac:dyDescent="0.25">
      <c r="A4890" s="74">
        <v>5310</v>
      </c>
      <c r="B4890" s="45" t="s">
        <v>664</v>
      </c>
      <c r="C4890" s="60" t="s">
        <v>4469</v>
      </c>
      <c r="D4890" s="60"/>
      <c r="E4890" s="74">
        <v>2022</v>
      </c>
      <c r="F4890" s="74" t="s">
        <v>489</v>
      </c>
      <c r="G4890" s="61">
        <v>1</v>
      </c>
      <c r="H4890" s="45">
        <v>10</v>
      </c>
      <c r="I4890" s="74">
        <v>36</v>
      </c>
    </row>
    <row r="4891" spans="1:9" s="71" customFormat="1" ht="16.5" hidden="1" customHeight="1" outlineLevel="1" x14ac:dyDescent="0.25">
      <c r="A4891" s="74">
        <v>5311</v>
      </c>
      <c r="B4891" s="45" t="s">
        <v>664</v>
      </c>
      <c r="C4891" s="60" t="s">
        <v>4470</v>
      </c>
      <c r="D4891" s="60"/>
      <c r="E4891" s="74">
        <v>2022</v>
      </c>
      <c r="F4891" s="74" t="s">
        <v>489</v>
      </c>
      <c r="G4891" s="61">
        <v>1</v>
      </c>
      <c r="H4891" s="45">
        <v>10</v>
      </c>
      <c r="I4891" s="74">
        <v>36</v>
      </c>
    </row>
    <row r="4892" spans="1:9" s="71" customFormat="1" ht="16.5" hidden="1" customHeight="1" outlineLevel="1" x14ac:dyDescent="0.25">
      <c r="A4892" s="74">
        <v>5312</v>
      </c>
      <c r="B4892" s="45" t="s">
        <v>664</v>
      </c>
      <c r="C4892" s="60" t="s">
        <v>4471</v>
      </c>
      <c r="D4892" s="60"/>
      <c r="E4892" s="74">
        <v>2022</v>
      </c>
      <c r="F4892" s="74" t="s">
        <v>489</v>
      </c>
      <c r="G4892" s="61">
        <v>1</v>
      </c>
      <c r="H4892" s="45">
        <v>8</v>
      </c>
      <c r="I4892" s="74">
        <v>35</v>
      </c>
    </row>
    <row r="4893" spans="1:9" s="71" customFormat="1" ht="16.5" hidden="1" customHeight="1" outlineLevel="1" x14ac:dyDescent="0.25">
      <c r="A4893" s="74">
        <v>5313</v>
      </c>
      <c r="B4893" s="45" t="s">
        <v>664</v>
      </c>
      <c r="C4893" s="60" t="s">
        <v>4472</v>
      </c>
      <c r="D4893" s="60"/>
      <c r="E4893" s="74">
        <v>2022</v>
      </c>
      <c r="F4893" s="74" t="s">
        <v>489</v>
      </c>
      <c r="G4893" s="61">
        <v>1</v>
      </c>
      <c r="H4893" s="45">
        <v>10</v>
      </c>
      <c r="I4893" s="74">
        <v>35</v>
      </c>
    </row>
    <row r="4894" spans="1:9" s="71" customFormat="1" ht="16.5" hidden="1" customHeight="1" outlineLevel="1" x14ac:dyDescent="0.25">
      <c r="A4894" s="74">
        <v>5314</v>
      </c>
      <c r="B4894" s="45" t="s">
        <v>664</v>
      </c>
      <c r="C4894" s="60" t="s">
        <v>4473</v>
      </c>
      <c r="D4894" s="60"/>
      <c r="E4894" s="74">
        <v>2022</v>
      </c>
      <c r="F4894" s="74" t="s">
        <v>489</v>
      </c>
      <c r="G4894" s="61">
        <v>1</v>
      </c>
      <c r="H4894" s="45">
        <v>10</v>
      </c>
      <c r="I4894" s="74">
        <v>35</v>
      </c>
    </row>
    <row r="4895" spans="1:9" s="71" customFormat="1" ht="16.5" hidden="1" customHeight="1" outlineLevel="1" x14ac:dyDescent="0.25">
      <c r="A4895" s="74">
        <v>5315</v>
      </c>
      <c r="B4895" s="45" t="s">
        <v>664</v>
      </c>
      <c r="C4895" s="60" t="s">
        <v>4474</v>
      </c>
      <c r="D4895" s="60"/>
      <c r="E4895" s="74">
        <v>2022</v>
      </c>
      <c r="F4895" s="74" t="s">
        <v>489</v>
      </c>
      <c r="G4895" s="61">
        <v>1</v>
      </c>
      <c r="H4895" s="45">
        <v>15</v>
      </c>
      <c r="I4895" s="74">
        <v>39</v>
      </c>
    </row>
    <row r="4896" spans="1:9" s="71" customFormat="1" ht="16.5" hidden="1" customHeight="1" outlineLevel="1" x14ac:dyDescent="0.25">
      <c r="A4896" s="74">
        <v>5148</v>
      </c>
      <c r="B4896" s="45" t="s">
        <v>664</v>
      </c>
      <c r="C4896" s="60" t="s">
        <v>4475</v>
      </c>
      <c r="D4896" s="60"/>
      <c r="E4896" s="74">
        <v>2022</v>
      </c>
      <c r="F4896" s="74" t="s">
        <v>489</v>
      </c>
      <c r="G4896" s="61">
        <v>1</v>
      </c>
      <c r="H4896" s="45">
        <v>12</v>
      </c>
      <c r="I4896" s="74">
        <v>37</v>
      </c>
    </row>
    <row r="4897" spans="1:9" s="71" customFormat="1" ht="16.5" hidden="1" customHeight="1" outlineLevel="1" x14ac:dyDescent="0.25">
      <c r="A4897" s="74">
        <v>5147</v>
      </c>
      <c r="B4897" s="45" t="s">
        <v>664</v>
      </c>
      <c r="C4897" s="60" t="s">
        <v>4476</v>
      </c>
      <c r="D4897" s="60"/>
      <c r="E4897" s="74">
        <v>2022</v>
      </c>
      <c r="F4897" s="74" t="s">
        <v>489</v>
      </c>
      <c r="G4897" s="61">
        <v>1</v>
      </c>
      <c r="H4897" s="45">
        <v>15</v>
      </c>
      <c r="I4897" s="74">
        <v>43</v>
      </c>
    </row>
    <row r="4898" spans="1:9" s="71" customFormat="1" ht="16.5" hidden="1" customHeight="1" outlineLevel="1" x14ac:dyDescent="0.25">
      <c r="A4898" s="74">
        <v>5316</v>
      </c>
      <c r="B4898" s="45" t="s">
        <v>664</v>
      </c>
      <c r="C4898" s="60" t="s">
        <v>4477</v>
      </c>
      <c r="D4898" s="60"/>
      <c r="E4898" s="74">
        <v>2022</v>
      </c>
      <c r="F4898" s="74" t="s">
        <v>489</v>
      </c>
      <c r="G4898" s="61">
        <v>1</v>
      </c>
      <c r="H4898" s="45">
        <v>15</v>
      </c>
      <c r="I4898" s="74">
        <v>39</v>
      </c>
    </row>
    <row r="4899" spans="1:9" s="71" customFormat="1" ht="16.5" hidden="1" customHeight="1" outlineLevel="1" x14ac:dyDescent="0.25">
      <c r="A4899" s="74">
        <v>5317</v>
      </c>
      <c r="B4899" s="45" t="s">
        <v>664</v>
      </c>
      <c r="C4899" s="60" t="s">
        <v>4478</v>
      </c>
      <c r="D4899" s="60"/>
      <c r="E4899" s="74">
        <v>2022</v>
      </c>
      <c r="F4899" s="74" t="s">
        <v>489</v>
      </c>
      <c r="G4899" s="61">
        <v>1</v>
      </c>
      <c r="H4899" s="45">
        <v>15</v>
      </c>
      <c r="I4899" s="74">
        <v>42</v>
      </c>
    </row>
    <row r="4900" spans="1:9" s="71" customFormat="1" ht="16.5" hidden="1" customHeight="1" outlineLevel="1" x14ac:dyDescent="0.25">
      <c r="A4900" s="74">
        <v>5318</v>
      </c>
      <c r="B4900" s="45" t="s">
        <v>664</v>
      </c>
      <c r="C4900" s="60" t="s">
        <v>4479</v>
      </c>
      <c r="D4900" s="60"/>
      <c r="E4900" s="74">
        <v>2022</v>
      </c>
      <c r="F4900" s="74" t="s">
        <v>489</v>
      </c>
      <c r="G4900" s="61">
        <v>1</v>
      </c>
      <c r="H4900" s="45">
        <v>15</v>
      </c>
      <c r="I4900" s="74">
        <v>41</v>
      </c>
    </row>
    <row r="4901" spans="1:9" s="71" customFormat="1" ht="16.5" hidden="1" customHeight="1" outlineLevel="1" x14ac:dyDescent="0.25">
      <c r="A4901" s="74">
        <v>5319</v>
      </c>
      <c r="B4901" s="45" t="s">
        <v>664</v>
      </c>
      <c r="C4901" s="60" t="s">
        <v>4480</v>
      </c>
      <c r="D4901" s="60"/>
      <c r="E4901" s="74">
        <v>2022</v>
      </c>
      <c r="F4901" s="74" t="s">
        <v>489</v>
      </c>
      <c r="G4901" s="61">
        <v>1</v>
      </c>
      <c r="H4901" s="45">
        <v>15</v>
      </c>
      <c r="I4901" s="74">
        <v>35</v>
      </c>
    </row>
    <row r="4902" spans="1:9" s="71" customFormat="1" ht="16.5" hidden="1" customHeight="1" outlineLevel="1" x14ac:dyDescent="0.25">
      <c r="A4902" s="74">
        <v>5146</v>
      </c>
      <c r="B4902" s="45" t="s">
        <v>664</v>
      </c>
      <c r="C4902" s="60" t="s">
        <v>4481</v>
      </c>
      <c r="D4902" s="60"/>
      <c r="E4902" s="74">
        <v>2022</v>
      </c>
      <c r="F4902" s="74" t="s">
        <v>489</v>
      </c>
      <c r="G4902" s="61">
        <v>1</v>
      </c>
      <c r="H4902" s="45">
        <v>15</v>
      </c>
      <c r="I4902" s="74">
        <v>45</v>
      </c>
    </row>
    <row r="4903" spans="1:9" s="71" customFormat="1" ht="16.5" hidden="1" customHeight="1" outlineLevel="1" x14ac:dyDescent="0.25">
      <c r="A4903" s="74">
        <v>5136</v>
      </c>
      <c r="B4903" s="45" t="s">
        <v>664</v>
      </c>
      <c r="C4903" s="60" t="s">
        <v>4482</v>
      </c>
      <c r="D4903" s="60"/>
      <c r="E4903" s="74">
        <v>2022</v>
      </c>
      <c r="F4903" s="74" t="s">
        <v>489</v>
      </c>
      <c r="G4903" s="61">
        <v>1</v>
      </c>
      <c r="H4903" s="45">
        <v>13</v>
      </c>
      <c r="I4903" s="74">
        <v>53</v>
      </c>
    </row>
    <row r="4904" spans="1:9" s="71" customFormat="1" ht="16.5" hidden="1" customHeight="1" outlineLevel="1" x14ac:dyDescent="0.25">
      <c r="A4904" s="74">
        <v>5091</v>
      </c>
      <c r="B4904" s="45" t="s">
        <v>664</v>
      </c>
      <c r="C4904" s="60" t="s">
        <v>4483</v>
      </c>
      <c r="D4904" s="60"/>
      <c r="E4904" s="74">
        <v>2022</v>
      </c>
      <c r="F4904" s="74" t="s">
        <v>489</v>
      </c>
      <c r="G4904" s="61">
        <v>1</v>
      </c>
      <c r="H4904" s="45">
        <v>15</v>
      </c>
      <c r="I4904" s="74">
        <v>40</v>
      </c>
    </row>
    <row r="4905" spans="1:9" s="71" customFormat="1" ht="16.5" hidden="1" customHeight="1" outlineLevel="1" x14ac:dyDescent="0.25">
      <c r="A4905" s="74">
        <v>5139</v>
      </c>
      <c r="B4905" s="45" t="s">
        <v>664</v>
      </c>
      <c r="C4905" s="60" t="s">
        <v>4484</v>
      </c>
      <c r="D4905" s="60"/>
      <c r="E4905" s="74">
        <v>2022</v>
      </c>
      <c r="F4905" s="74" t="s">
        <v>489</v>
      </c>
      <c r="G4905" s="61">
        <v>1</v>
      </c>
      <c r="H4905" s="45">
        <v>15</v>
      </c>
      <c r="I4905" s="74">
        <v>36</v>
      </c>
    </row>
    <row r="4906" spans="1:9" s="71" customFormat="1" ht="16.5" hidden="1" customHeight="1" outlineLevel="1" x14ac:dyDescent="0.25">
      <c r="A4906" s="74">
        <v>5143</v>
      </c>
      <c r="B4906" s="45" t="s">
        <v>664</v>
      </c>
      <c r="C4906" s="60" t="s">
        <v>4485</v>
      </c>
      <c r="D4906" s="60"/>
      <c r="E4906" s="74">
        <v>2022</v>
      </c>
      <c r="F4906" s="74" t="s">
        <v>489</v>
      </c>
      <c r="G4906" s="61">
        <v>1</v>
      </c>
      <c r="H4906" s="45">
        <v>9</v>
      </c>
      <c r="I4906" s="74">
        <v>45</v>
      </c>
    </row>
    <row r="4907" spans="1:9" s="71" customFormat="1" ht="16.5" hidden="1" customHeight="1" outlineLevel="1" x14ac:dyDescent="0.25">
      <c r="A4907" s="74">
        <v>5144</v>
      </c>
      <c r="B4907" s="45" t="s">
        <v>664</v>
      </c>
      <c r="C4907" s="60" t="s">
        <v>4486</v>
      </c>
      <c r="D4907" s="60"/>
      <c r="E4907" s="74">
        <v>2022</v>
      </c>
      <c r="F4907" s="74" t="s">
        <v>489</v>
      </c>
      <c r="G4907" s="61">
        <v>1</v>
      </c>
      <c r="H4907" s="45">
        <v>10</v>
      </c>
      <c r="I4907" s="74">
        <v>40</v>
      </c>
    </row>
    <row r="4908" spans="1:9" s="71" customFormat="1" ht="16.5" hidden="1" customHeight="1" outlineLevel="1" x14ac:dyDescent="0.25">
      <c r="A4908" s="74">
        <v>5133</v>
      </c>
      <c r="B4908" s="45" t="s">
        <v>664</v>
      </c>
      <c r="C4908" s="60" t="s">
        <v>4487</v>
      </c>
      <c r="D4908" s="60"/>
      <c r="E4908" s="74">
        <v>2022</v>
      </c>
      <c r="F4908" s="74" t="s">
        <v>489</v>
      </c>
      <c r="G4908" s="61">
        <v>1</v>
      </c>
      <c r="H4908" s="45">
        <v>15</v>
      </c>
      <c r="I4908" s="74">
        <v>51</v>
      </c>
    </row>
    <row r="4909" spans="1:9" s="71" customFormat="1" ht="16.5" hidden="1" customHeight="1" outlineLevel="1" x14ac:dyDescent="0.25">
      <c r="A4909" s="74">
        <v>5142</v>
      </c>
      <c r="B4909" s="45" t="s">
        <v>664</v>
      </c>
      <c r="C4909" s="60" t="s">
        <v>4488</v>
      </c>
      <c r="D4909" s="60"/>
      <c r="E4909" s="74">
        <v>2022</v>
      </c>
      <c r="F4909" s="74" t="s">
        <v>489</v>
      </c>
      <c r="G4909" s="61">
        <v>1</v>
      </c>
      <c r="H4909" s="45">
        <v>10</v>
      </c>
      <c r="I4909" s="74">
        <v>45</v>
      </c>
    </row>
    <row r="4910" spans="1:9" s="71" customFormat="1" ht="16.5" hidden="1" customHeight="1" outlineLevel="1" x14ac:dyDescent="0.25">
      <c r="A4910" s="74">
        <v>5137</v>
      </c>
      <c r="B4910" s="45" t="s">
        <v>664</v>
      </c>
      <c r="C4910" s="60" t="s">
        <v>4489</v>
      </c>
      <c r="D4910" s="60"/>
      <c r="E4910" s="74">
        <v>2022</v>
      </c>
      <c r="F4910" s="74" t="s">
        <v>489</v>
      </c>
      <c r="G4910" s="61">
        <v>1</v>
      </c>
      <c r="H4910" s="45">
        <v>13</v>
      </c>
      <c r="I4910" s="74">
        <v>41</v>
      </c>
    </row>
    <row r="4911" spans="1:9" s="71" customFormat="1" ht="16.5" hidden="1" customHeight="1" outlineLevel="1" x14ac:dyDescent="0.25">
      <c r="A4911" s="74">
        <v>5134</v>
      </c>
      <c r="B4911" s="45" t="s">
        <v>664</v>
      </c>
      <c r="C4911" s="60" t="s">
        <v>4490</v>
      </c>
      <c r="D4911" s="60"/>
      <c r="E4911" s="74">
        <v>2022</v>
      </c>
      <c r="F4911" s="74" t="s">
        <v>489</v>
      </c>
      <c r="G4911" s="61">
        <v>1</v>
      </c>
      <c r="H4911" s="45">
        <v>15</v>
      </c>
      <c r="I4911" s="74">
        <v>43</v>
      </c>
    </row>
    <row r="4912" spans="1:9" s="71" customFormat="1" ht="16.5" hidden="1" customHeight="1" outlineLevel="1" x14ac:dyDescent="0.25">
      <c r="A4912" s="74">
        <v>5135</v>
      </c>
      <c r="B4912" s="45" t="s">
        <v>664</v>
      </c>
      <c r="C4912" s="60" t="s">
        <v>4491</v>
      </c>
      <c r="D4912" s="60"/>
      <c r="E4912" s="74">
        <v>2022</v>
      </c>
      <c r="F4912" s="74" t="s">
        <v>489</v>
      </c>
      <c r="G4912" s="61">
        <v>1</v>
      </c>
      <c r="H4912" s="45">
        <v>15</v>
      </c>
      <c r="I4912" s="74">
        <v>43</v>
      </c>
    </row>
    <row r="4913" spans="1:9" s="71" customFormat="1" ht="16.5" hidden="1" customHeight="1" outlineLevel="1" x14ac:dyDescent="0.25">
      <c r="A4913" s="74">
        <v>5326</v>
      </c>
      <c r="B4913" s="45" t="s">
        <v>664</v>
      </c>
      <c r="C4913" s="60" t="s">
        <v>4492</v>
      </c>
      <c r="D4913" s="60"/>
      <c r="E4913" s="74">
        <v>2022</v>
      </c>
      <c r="F4913" s="74" t="s">
        <v>489</v>
      </c>
      <c r="G4913" s="61">
        <v>1</v>
      </c>
      <c r="H4913" s="45">
        <v>15</v>
      </c>
      <c r="I4913" s="74">
        <v>35</v>
      </c>
    </row>
    <row r="4914" spans="1:9" s="71" customFormat="1" ht="16.5" hidden="1" customHeight="1" outlineLevel="1" x14ac:dyDescent="0.25">
      <c r="A4914" s="74">
        <v>5138</v>
      </c>
      <c r="B4914" s="45" t="s">
        <v>664</v>
      </c>
      <c r="C4914" s="60" t="s">
        <v>4493</v>
      </c>
      <c r="D4914" s="60"/>
      <c r="E4914" s="74">
        <v>2022</v>
      </c>
      <c r="F4914" s="74" t="s">
        <v>489</v>
      </c>
      <c r="G4914" s="61">
        <v>1</v>
      </c>
      <c r="H4914" s="45">
        <v>13</v>
      </c>
      <c r="I4914" s="74">
        <v>38</v>
      </c>
    </row>
    <row r="4915" spans="1:9" s="71" customFormat="1" ht="24" hidden="1" customHeight="1" outlineLevel="1" x14ac:dyDescent="0.25">
      <c r="A4915" s="74">
        <v>3872</v>
      </c>
      <c r="B4915" s="45" t="s">
        <v>664</v>
      </c>
      <c r="C4915" s="60" t="s">
        <v>4494</v>
      </c>
      <c r="D4915" s="60"/>
      <c r="E4915" s="74">
        <v>2023</v>
      </c>
      <c r="F4915" s="74" t="s">
        <v>489</v>
      </c>
      <c r="G4915" s="61">
        <v>1</v>
      </c>
      <c r="H4915" s="61">
        <v>15</v>
      </c>
      <c r="I4915" s="61">
        <v>24.929359999999999</v>
      </c>
    </row>
    <row r="4916" spans="1:9" s="71" customFormat="1" ht="24" hidden="1" customHeight="1" outlineLevel="1" x14ac:dyDescent="0.25">
      <c r="A4916" s="74">
        <v>6173</v>
      </c>
      <c r="B4916" s="68" t="s">
        <v>664</v>
      </c>
      <c r="C4916" s="60" t="s">
        <v>4495</v>
      </c>
      <c r="D4916" s="60"/>
      <c r="E4916" s="74">
        <v>2023</v>
      </c>
      <c r="F4916" s="74" t="s">
        <v>489</v>
      </c>
      <c r="G4916" s="61">
        <v>1</v>
      </c>
      <c r="H4916" s="61">
        <v>10</v>
      </c>
      <c r="I4916" s="61">
        <v>26.526230000000005</v>
      </c>
    </row>
    <row r="4917" spans="1:9" s="71" customFormat="1" ht="24" hidden="1" customHeight="1" outlineLevel="1" x14ac:dyDescent="0.25">
      <c r="A4917" s="74">
        <v>3878</v>
      </c>
      <c r="B4917" s="68" t="s">
        <v>664</v>
      </c>
      <c r="C4917" s="60" t="s">
        <v>4496</v>
      </c>
      <c r="D4917" s="60"/>
      <c r="E4917" s="74">
        <v>2023</v>
      </c>
      <c r="F4917" s="74" t="s">
        <v>489</v>
      </c>
      <c r="G4917" s="61">
        <v>1</v>
      </c>
      <c r="H4917" s="61">
        <v>15</v>
      </c>
      <c r="I4917" s="61">
        <v>24.92933</v>
      </c>
    </row>
    <row r="4918" spans="1:9" s="71" customFormat="1" ht="24" hidden="1" customHeight="1" outlineLevel="1" x14ac:dyDescent="0.25">
      <c r="A4918" s="74">
        <v>3897</v>
      </c>
      <c r="B4918" s="68" t="s">
        <v>664</v>
      </c>
      <c r="C4918" s="60" t="s">
        <v>4497</v>
      </c>
      <c r="D4918" s="60"/>
      <c r="E4918" s="74">
        <v>2023</v>
      </c>
      <c r="F4918" s="74" t="s">
        <v>489</v>
      </c>
      <c r="G4918" s="61">
        <v>1</v>
      </c>
      <c r="H4918" s="61">
        <v>15</v>
      </c>
      <c r="I4918" s="61">
        <v>24.929320000000001</v>
      </c>
    </row>
    <row r="4919" spans="1:9" s="71" customFormat="1" ht="24" hidden="1" customHeight="1" outlineLevel="1" x14ac:dyDescent="0.25">
      <c r="A4919" s="74">
        <v>3861</v>
      </c>
      <c r="B4919" s="68" t="s">
        <v>664</v>
      </c>
      <c r="C4919" s="60" t="s">
        <v>4498</v>
      </c>
      <c r="D4919" s="60"/>
      <c r="E4919" s="74">
        <v>2023</v>
      </c>
      <c r="F4919" s="74" t="s">
        <v>489</v>
      </c>
      <c r="G4919" s="61">
        <v>1</v>
      </c>
      <c r="H4919" s="61">
        <v>10</v>
      </c>
      <c r="I4919" s="61">
        <v>26.526250000000001</v>
      </c>
    </row>
    <row r="4920" spans="1:9" s="71" customFormat="1" ht="24" hidden="1" customHeight="1" outlineLevel="1" x14ac:dyDescent="0.25">
      <c r="A4920" s="74">
        <v>3850</v>
      </c>
      <c r="B4920" s="68" t="s">
        <v>664</v>
      </c>
      <c r="C4920" s="60" t="s">
        <v>4499</v>
      </c>
      <c r="D4920" s="60"/>
      <c r="E4920" s="74">
        <v>2023</v>
      </c>
      <c r="F4920" s="74" t="s">
        <v>489</v>
      </c>
      <c r="G4920" s="61">
        <v>1</v>
      </c>
      <c r="H4920" s="61">
        <v>15</v>
      </c>
      <c r="I4920" s="61">
        <v>24.929320000000001</v>
      </c>
    </row>
    <row r="4921" spans="1:9" s="71" customFormat="1" ht="24" hidden="1" customHeight="1" outlineLevel="1" x14ac:dyDescent="0.25">
      <c r="A4921" s="74">
        <v>3840</v>
      </c>
      <c r="B4921" s="68" t="s">
        <v>664</v>
      </c>
      <c r="C4921" s="60" t="s">
        <v>4500</v>
      </c>
      <c r="D4921" s="60"/>
      <c r="E4921" s="74">
        <v>2023</v>
      </c>
      <c r="F4921" s="74" t="s">
        <v>489</v>
      </c>
      <c r="G4921" s="61">
        <v>1</v>
      </c>
      <c r="H4921" s="61">
        <v>15</v>
      </c>
      <c r="I4921" s="61">
        <v>25.727779999999999</v>
      </c>
    </row>
    <row r="4922" spans="1:9" s="71" customFormat="1" ht="24" hidden="1" customHeight="1" outlineLevel="1" x14ac:dyDescent="0.25">
      <c r="A4922" s="74">
        <v>3851</v>
      </c>
      <c r="B4922" s="68" t="s">
        <v>664</v>
      </c>
      <c r="C4922" s="60" t="s">
        <v>4501</v>
      </c>
      <c r="D4922" s="60"/>
      <c r="E4922" s="74">
        <v>2023</v>
      </c>
      <c r="F4922" s="74" t="s">
        <v>489</v>
      </c>
      <c r="G4922" s="61">
        <v>1</v>
      </c>
      <c r="H4922" s="61">
        <v>10</v>
      </c>
      <c r="I4922" s="61">
        <v>24.929299999999998</v>
      </c>
    </row>
    <row r="4923" spans="1:9" s="71" customFormat="1" ht="24" hidden="1" customHeight="1" outlineLevel="1" x14ac:dyDescent="0.25">
      <c r="A4923" s="74">
        <v>3832</v>
      </c>
      <c r="B4923" s="68" t="s">
        <v>664</v>
      </c>
      <c r="C4923" s="60" t="s">
        <v>4502</v>
      </c>
      <c r="D4923" s="60"/>
      <c r="E4923" s="74">
        <v>2023</v>
      </c>
      <c r="F4923" s="74" t="s">
        <v>489</v>
      </c>
      <c r="G4923" s="61">
        <v>1</v>
      </c>
      <c r="H4923" s="61">
        <v>15</v>
      </c>
      <c r="I4923" s="61">
        <v>26.113880000000005</v>
      </c>
    </row>
    <row r="4924" spans="1:9" s="71" customFormat="1" ht="24" hidden="1" customHeight="1" outlineLevel="1" x14ac:dyDescent="0.25">
      <c r="A4924" s="74">
        <v>3841</v>
      </c>
      <c r="B4924" s="68" t="s">
        <v>664</v>
      </c>
      <c r="C4924" s="60" t="s">
        <v>4503</v>
      </c>
      <c r="D4924" s="60"/>
      <c r="E4924" s="74">
        <v>2023</v>
      </c>
      <c r="F4924" s="74" t="s">
        <v>489</v>
      </c>
      <c r="G4924" s="61">
        <v>1</v>
      </c>
      <c r="H4924" s="61">
        <v>15</v>
      </c>
      <c r="I4924" s="61">
        <v>24.836410000000004</v>
      </c>
    </row>
    <row r="4925" spans="1:9" s="71" customFormat="1" ht="24" hidden="1" customHeight="1" outlineLevel="1" x14ac:dyDescent="0.25">
      <c r="A4925" s="74">
        <v>3848</v>
      </c>
      <c r="B4925" s="68" t="s">
        <v>664</v>
      </c>
      <c r="C4925" s="60" t="s">
        <v>4504</v>
      </c>
      <c r="D4925" s="60"/>
      <c r="E4925" s="74">
        <v>2023</v>
      </c>
      <c r="F4925" s="74" t="s">
        <v>489</v>
      </c>
      <c r="G4925" s="61">
        <v>1</v>
      </c>
      <c r="H4925" s="61">
        <v>12</v>
      </c>
      <c r="I4925" s="61">
        <v>24.92933</v>
      </c>
    </row>
    <row r="4926" spans="1:9" s="71" customFormat="1" ht="24" hidden="1" customHeight="1" outlineLevel="1" x14ac:dyDescent="0.25">
      <c r="A4926" s="74">
        <v>3839</v>
      </c>
      <c r="B4926" s="68" t="s">
        <v>664</v>
      </c>
      <c r="C4926" s="60" t="s">
        <v>4505</v>
      </c>
      <c r="D4926" s="60"/>
      <c r="E4926" s="74">
        <v>2023</v>
      </c>
      <c r="F4926" s="74" t="s">
        <v>489</v>
      </c>
      <c r="G4926" s="61">
        <v>1</v>
      </c>
      <c r="H4926" s="61">
        <v>7</v>
      </c>
      <c r="I4926" s="61">
        <v>24.929320000000001</v>
      </c>
    </row>
    <row r="4927" spans="1:9" s="71" customFormat="1" ht="24" hidden="1" customHeight="1" outlineLevel="1" x14ac:dyDescent="0.25">
      <c r="A4927" s="74">
        <v>3863</v>
      </c>
      <c r="B4927" s="68" t="s">
        <v>664</v>
      </c>
      <c r="C4927" s="60" t="s">
        <v>4506</v>
      </c>
      <c r="D4927" s="60"/>
      <c r="E4927" s="74">
        <v>2023</v>
      </c>
      <c r="F4927" s="74" t="s">
        <v>489</v>
      </c>
      <c r="G4927" s="61">
        <v>1</v>
      </c>
      <c r="H4927" s="61">
        <v>15</v>
      </c>
      <c r="I4927" s="61">
        <v>25.727779999999999</v>
      </c>
    </row>
    <row r="4928" spans="1:9" s="71" customFormat="1" ht="24" hidden="1" customHeight="1" outlineLevel="1" x14ac:dyDescent="0.25">
      <c r="A4928" s="74">
        <v>3853</v>
      </c>
      <c r="B4928" s="68" t="s">
        <v>664</v>
      </c>
      <c r="C4928" s="60" t="s">
        <v>4507</v>
      </c>
      <c r="D4928" s="60"/>
      <c r="E4928" s="74">
        <v>2023</v>
      </c>
      <c r="F4928" s="74" t="s">
        <v>489</v>
      </c>
      <c r="G4928" s="61">
        <v>1</v>
      </c>
      <c r="H4928" s="61">
        <v>12</v>
      </c>
      <c r="I4928" s="61">
        <v>24.929299999999998</v>
      </c>
    </row>
    <row r="4929" spans="1:9" s="71" customFormat="1" ht="24" hidden="1" customHeight="1" outlineLevel="1" x14ac:dyDescent="0.25">
      <c r="A4929" s="74">
        <v>3854</v>
      </c>
      <c r="B4929" s="68" t="s">
        <v>664</v>
      </c>
      <c r="C4929" s="60" t="s">
        <v>4508</v>
      </c>
      <c r="D4929" s="60"/>
      <c r="E4929" s="74">
        <v>2023</v>
      </c>
      <c r="F4929" s="74" t="s">
        <v>489</v>
      </c>
      <c r="G4929" s="61">
        <v>1</v>
      </c>
      <c r="H4929" s="61">
        <v>15</v>
      </c>
      <c r="I4929" s="61">
        <v>26.526239999999998</v>
      </c>
    </row>
    <row r="4930" spans="1:9" s="71" customFormat="1" ht="24" hidden="1" customHeight="1" outlineLevel="1" x14ac:dyDescent="0.25">
      <c r="A4930" s="74">
        <v>3852</v>
      </c>
      <c r="B4930" s="68" t="s">
        <v>664</v>
      </c>
      <c r="C4930" s="60" t="s">
        <v>4509</v>
      </c>
      <c r="D4930" s="60"/>
      <c r="E4930" s="74">
        <v>2023</v>
      </c>
      <c r="F4930" s="74" t="s">
        <v>489</v>
      </c>
      <c r="G4930" s="61">
        <v>1</v>
      </c>
      <c r="H4930" s="61">
        <v>15</v>
      </c>
      <c r="I4930" s="61">
        <v>25.727789999999999</v>
      </c>
    </row>
    <row r="4931" spans="1:9" s="71" customFormat="1" ht="24" hidden="1" customHeight="1" outlineLevel="1" x14ac:dyDescent="0.25">
      <c r="A4931" s="74">
        <v>3849</v>
      </c>
      <c r="B4931" s="68" t="s">
        <v>664</v>
      </c>
      <c r="C4931" s="60" t="s">
        <v>4510</v>
      </c>
      <c r="D4931" s="60"/>
      <c r="E4931" s="74">
        <v>2023</v>
      </c>
      <c r="F4931" s="74" t="s">
        <v>489</v>
      </c>
      <c r="G4931" s="61">
        <v>1</v>
      </c>
      <c r="H4931" s="61">
        <v>15</v>
      </c>
      <c r="I4931" s="61">
        <v>29.600840000000002</v>
      </c>
    </row>
    <row r="4932" spans="1:9" s="71" customFormat="1" ht="24" hidden="1" customHeight="1" outlineLevel="1" x14ac:dyDescent="0.25">
      <c r="A4932" s="74">
        <v>3865</v>
      </c>
      <c r="B4932" s="68" t="s">
        <v>664</v>
      </c>
      <c r="C4932" s="60" t="s">
        <v>4511</v>
      </c>
      <c r="D4932" s="60"/>
      <c r="E4932" s="74">
        <v>2023</v>
      </c>
      <c r="F4932" s="74" t="s">
        <v>489</v>
      </c>
      <c r="G4932" s="61">
        <v>1</v>
      </c>
      <c r="H4932" s="61">
        <v>15</v>
      </c>
      <c r="I4932" s="61">
        <v>32.734999999999999</v>
      </c>
    </row>
    <row r="4933" spans="1:9" s="71" customFormat="1" ht="24" hidden="1" customHeight="1" outlineLevel="1" x14ac:dyDescent="0.25">
      <c r="A4933" s="74">
        <v>3858</v>
      </c>
      <c r="B4933" s="68" t="s">
        <v>664</v>
      </c>
      <c r="C4933" s="60" t="s">
        <v>4512</v>
      </c>
      <c r="D4933" s="60"/>
      <c r="E4933" s="74">
        <v>2023</v>
      </c>
      <c r="F4933" s="74" t="s">
        <v>489</v>
      </c>
      <c r="G4933" s="61">
        <v>1</v>
      </c>
      <c r="H4933" s="61">
        <v>15</v>
      </c>
      <c r="I4933" s="61">
        <v>25.408399999999997</v>
      </c>
    </row>
    <row r="4934" spans="1:9" s="71" customFormat="1" ht="24" hidden="1" customHeight="1" outlineLevel="1" x14ac:dyDescent="0.25">
      <c r="A4934" s="74">
        <v>3831</v>
      </c>
      <c r="B4934" s="68" t="s">
        <v>664</v>
      </c>
      <c r="C4934" s="60" t="s">
        <v>4513</v>
      </c>
      <c r="D4934" s="60"/>
      <c r="E4934" s="74">
        <v>2023</v>
      </c>
      <c r="F4934" s="74" t="s">
        <v>489</v>
      </c>
      <c r="G4934" s="61">
        <v>1</v>
      </c>
      <c r="H4934" s="61">
        <v>15</v>
      </c>
      <c r="I4934" s="61">
        <v>26.523680000000002</v>
      </c>
    </row>
    <row r="4935" spans="1:9" s="71" customFormat="1" ht="24" hidden="1" customHeight="1" outlineLevel="1" x14ac:dyDescent="0.25">
      <c r="A4935" s="74">
        <v>3795</v>
      </c>
      <c r="B4935" s="68" t="s">
        <v>664</v>
      </c>
      <c r="C4935" s="60" t="s">
        <v>4514</v>
      </c>
      <c r="D4935" s="60"/>
      <c r="E4935" s="74">
        <v>2023</v>
      </c>
      <c r="F4935" s="74" t="s">
        <v>489</v>
      </c>
      <c r="G4935" s="61">
        <v>1</v>
      </c>
      <c r="H4935" s="61">
        <v>15</v>
      </c>
      <c r="I4935" s="61">
        <v>25.062130000000003</v>
      </c>
    </row>
    <row r="4936" spans="1:9" s="71" customFormat="1" ht="24" hidden="1" customHeight="1" outlineLevel="1" x14ac:dyDescent="0.25">
      <c r="A4936" s="74">
        <v>3824</v>
      </c>
      <c r="B4936" s="68" t="s">
        <v>664</v>
      </c>
      <c r="C4936" s="60" t="s">
        <v>4515</v>
      </c>
      <c r="D4936" s="60"/>
      <c r="E4936" s="74">
        <v>2023</v>
      </c>
      <c r="F4936" s="74" t="s">
        <v>489</v>
      </c>
      <c r="G4936" s="61">
        <v>1</v>
      </c>
      <c r="H4936" s="61">
        <v>15</v>
      </c>
      <c r="I4936" s="61">
        <v>24.926849999999998</v>
      </c>
    </row>
    <row r="4937" spans="1:9" s="71" customFormat="1" ht="24" hidden="1" customHeight="1" outlineLevel="1" x14ac:dyDescent="0.25">
      <c r="A4937" s="74">
        <v>3808</v>
      </c>
      <c r="B4937" s="68" t="s">
        <v>664</v>
      </c>
      <c r="C4937" s="60" t="s">
        <v>4516</v>
      </c>
      <c r="D4937" s="60"/>
      <c r="E4937" s="74">
        <v>2023</v>
      </c>
      <c r="F4937" s="74" t="s">
        <v>489</v>
      </c>
      <c r="G4937" s="61">
        <v>1</v>
      </c>
      <c r="H4937" s="61">
        <v>10</v>
      </c>
      <c r="I4937" s="61">
        <v>25.22167</v>
      </c>
    </row>
    <row r="4938" spans="1:9" s="71" customFormat="1" ht="24" hidden="1" customHeight="1" outlineLevel="1" x14ac:dyDescent="0.25">
      <c r="A4938" s="74">
        <v>3823</v>
      </c>
      <c r="B4938" s="68" t="s">
        <v>664</v>
      </c>
      <c r="C4938" s="60" t="s">
        <v>4517</v>
      </c>
      <c r="D4938" s="60"/>
      <c r="E4938" s="74">
        <v>2023</v>
      </c>
      <c r="F4938" s="74" t="s">
        <v>489</v>
      </c>
      <c r="G4938" s="61">
        <v>1</v>
      </c>
      <c r="H4938" s="61">
        <v>15</v>
      </c>
      <c r="I4938" s="61">
        <v>26.044609999999995</v>
      </c>
    </row>
    <row r="4939" spans="1:9" s="71" customFormat="1" ht="24" hidden="1" customHeight="1" outlineLevel="1" x14ac:dyDescent="0.25">
      <c r="A4939" s="74">
        <v>3807</v>
      </c>
      <c r="B4939" s="68" t="s">
        <v>664</v>
      </c>
      <c r="C4939" s="60" t="s">
        <v>4518</v>
      </c>
      <c r="D4939" s="60"/>
      <c r="E4939" s="74">
        <v>2023</v>
      </c>
      <c r="F4939" s="74" t="s">
        <v>489</v>
      </c>
      <c r="G4939" s="61">
        <v>1</v>
      </c>
      <c r="H4939" s="61">
        <v>15</v>
      </c>
      <c r="I4939" s="61">
        <v>29.094729999999998</v>
      </c>
    </row>
    <row r="4940" spans="1:9" s="71" customFormat="1" ht="24" hidden="1" customHeight="1" outlineLevel="1" x14ac:dyDescent="0.25">
      <c r="A4940" s="74">
        <v>3803</v>
      </c>
      <c r="B4940" s="68" t="s">
        <v>664</v>
      </c>
      <c r="C4940" s="60" t="s">
        <v>4519</v>
      </c>
      <c r="D4940" s="60"/>
      <c r="E4940" s="74">
        <v>2023</v>
      </c>
      <c r="F4940" s="74" t="s">
        <v>489</v>
      </c>
      <c r="G4940" s="61">
        <v>1</v>
      </c>
      <c r="H4940" s="61">
        <v>15</v>
      </c>
      <c r="I4940" s="61">
        <v>25.22167</v>
      </c>
    </row>
    <row r="4941" spans="1:9" s="71" customFormat="1" ht="24" hidden="1" customHeight="1" outlineLevel="1" x14ac:dyDescent="0.25">
      <c r="A4941" s="74">
        <v>3797</v>
      </c>
      <c r="B4941" s="68" t="s">
        <v>664</v>
      </c>
      <c r="C4941" s="60" t="s">
        <v>4520</v>
      </c>
      <c r="D4941" s="60"/>
      <c r="E4941" s="74">
        <v>2023</v>
      </c>
      <c r="F4941" s="74" t="s">
        <v>489</v>
      </c>
      <c r="G4941" s="61">
        <v>1</v>
      </c>
      <c r="H4941" s="61">
        <v>15</v>
      </c>
      <c r="I4941" s="61">
        <v>25.860530000000004</v>
      </c>
    </row>
    <row r="4942" spans="1:9" s="71" customFormat="1" ht="24" hidden="1" customHeight="1" outlineLevel="1" x14ac:dyDescent="0.25">
      <c r="A4942" s="74">
        <v>3796</v>
      </c>
      <c r="B4942" s="68" t="s">
        <v>664</v>
      </c>
      <c r="C4942" s="60" t="s">
        <v>4521</v>
      </c>
      <c r="D4942" s="60"/>
      <c r="E4942" s="74">
        <v>2023</v>
      </c>
      <c r="F4942" s="74" t="s">
        <v>489</v>
      </c>
      <c r="G4942" s="61">
        <v>1</v>
      </c>
      <c r="H4942" s="61">
        <v>15</v>
      </c>
      <c r="I4942" s="61">
        <v>24.902360000000002</v>
      </c>
    </row>
    <row r="4943" spans="1:9" s="71" customFormat="1" ht="24" hidden="1" customHeight="1" outlineLevel="1" x14ac:dyDescent="0.25">
      <c r="A4943" s="74">
        <v>3800</v>
      </c>
      <c r="B4943" s="68" t="s">
        <v>664</v>
      </c>
      <c r="C4943" s="60" t="s">
        <v>4522</v>
      </c>
      <c r="D4943" s="60"/>
      <c r="E4943" s="74">
        <v>2023</v>
      </c>
      <c r="F4943" s="74" t="s">
        <v>489</v>
      </c>
      <c r="G4943" s="61">
        <v>1</v>
      </c>
      <c r="H4943" s="61">
        <v>15</v>
      </c>
      <c r="I4943" s="61">
        <v>25.22167</v>
      </c>
    </row>
    <row r="4944" spans="1:9" s="71" customFormat="1" ht="24" hidden="1" customHeight="1" outlineLevel="1" x14ac:dyDescent="0.25">
      <c r="A4944" s="74">
        <v>3830</v>
      </c>
      <c r="B4944" s="68" t="s">
        <v>664</v>
      </c>
      <c r="C4944" s="60" t="s">
        <v>4523</v>
      </c>
      <c r="D4944" s="60"/>
      <c r="E4944" s="74">
        <v>2023</v>
      </c>
      <c r="F4944" s="74" t="s">
        <v>489</v>
      </c>
      <c r="G4944" s="61">
        <v>1</v>
      </c>
      <c r="H4944" s="61">
        <v>15</v>
      </c>
      <c r="I4944" s="61">
        <v>29.598269999999999</v>
      </c>
    </row>
    <row r="4945" spans="1:9" s="71" customFormat="1" ht="24" hidden="1" customHeight="1" outlineLevel="1" x14ac:dyDescent="0.25">
      <c r="A4945" s="74">
        <v>3806</v>
      </c>
      <c r="B4945" s="68" t="s">
        <v>664</v>
      </c>
      <c r="C4945" s="60" t="s">
        <v>4524</v>
      </c>
      <c r="D4945" s="60"/>
      <c r="E4945" s="74">
        <v>2023</v>
      </c>
      <c r="F4945" s="74" t="s">
        <v>489</v>
      </c>
      <c r="G4945" s="61">
        <v>1</v>
      </c>
      <c r="H4945" s="61">
        <v>10</v>
      </c>
      <c r="I4945" s="61">
        <v>25.700769999999999</v>
      </c>
    </row>
    <row r="4946" spans="1:9" s="71" customFormat="1" ht="24" hidden="1" customHeight="1" outlineLevel="1" x14ac:dyDescent="0.25">
      <c r="A4946" s="74">
        <v>3810</v>
      </c>
      <c r="B4946" s="68" t="s">
        <v>664</v>
      </c>
      <c r="C4946" s="60" t="s">
        <v>4525</v>
      </c>
      <c r="D4946" s="60"/>
      <c r="E4946" s="74">
        <v>2023</v>
      </c>
      <c r="F4946" s="74" t="s">
        <v>489</v>
      </c>
      <c r="G4946" s="61">
        <v>1</v>
      </c>
      <c r="H4946" s="61">
        <v>15</v>
      </c>
      <c r="I4946" s="61">
        <v>26.020149999999997</v>
      </c>
    </row>
    <row r="4947" spans="1:9" s="71" customFormat="1" ht="24" hidden="1" customHeight="1" outlineLevel="1" x14ac:dyDescent="0.25">
      <c r="A4947" s="74">
        <v>3821</v>
      </c>
      <c r="B4947" s="68" t="s">
        <v>664</v>
      </c>
      <c r="C4947" s="60" t="s">
        <v>4526</v>
      </c>
      <c r="D4947" s="60"/>
      <c r="E4947" s="74">
        <v>2023</v>
      </c>
      <c r="F4947" s="74" t="s">
        <v>489</v>
      </c>
      <c r="G4947" s="61">
        <v>1</v>
      </c>
      <c r="H4947" s="61">
        <v>15</v>
      </c>
      <c r="I4947" s="61">
        <v>24.926839999999999</v>
      </c>
    </row>
    <row r="4948" spans="1:9" s="71" customFormat="1" ht="24" hidden="1" customHeight="1" outlineLevel="1" x14ac:dyDescent="0.25">
      <c r="A4948" s="74">
        <v>3816</v>
      </c>
      <c r="B4948" s="68" t="s">
        <v>664</v>
      </c>
      <c r="C4948" s="60" t="s">
        <v>4527</v>
      </c>
      <c r="D4948" s="60"/>
      <c r="E4948" s="74">
        <v>2023</v>
      </c>
      <c r="F4948" s="74" t="s">
        <v>489</v>
      </c>
      <c r="G4948" s="61">
        <v>1</v>
      </c>
      <c r="H4948" s="61">
        <v>15</v>
      </c>
      <c r="I4948" s="61">
        <v>24.42323</v>
      </c>
    </row>
    <row r="4949" spans="1:9" s="71" customFormat="1" ht="24" hidden="1" customHeight="1" outlineLevel="1" x14ac:dyDescent="0.25">
      <c r="A4949" s="74">
        <v>3815</v>
      </c>
      <c r="B4949" s="68" t="s">
        <v>664</v>
      </c>
      <c r="C4949" s="60" t="s">
        <v>4528</v>
      </c>
      <c r="D4949" s="60"/>
      <c r="E4949" s="74">
        <v>2023</v>
      </c>
      <c r="F4949" s="74" t="s">
        <v>489</v>
      </c>
      <c r="G4949" s="61">
        <v>1</v>
      </c>
      <c r="H4949" s="61">
        <v>10</v>
      </c>
      <c r="I4949" s="61">
        <v>25.221779999999999</v>
      </c>
    </row>
    <row r="4950" spans="1:9" s="71" customFormat="1" ht="24" hidden="1" customHeight="1" outlineLevel="1" x14ac:dyDescent="0.25">
      <c r="A4950" s="74">
        <v>3804</v>
      </c>
      <c r="B4950" s="68" t="s">
        <v>664</v>
      </c>
      <c r="C4950" s="60" t="s">
        <v>4529</v>
      </c>
      <c r="D4950" s="60"/>
      <c r="E4950" s="74">
        <v>2023</v>
      </c>
      <c r="F4950" s="74" t="s">
        <v>489</v>
      </c>
      <c r="G4950" s="61">
        <v>1</v>
      </c>
      <c r="H4950" s="61">
        <v>10</v>
      </c>
      <c r="I4950" s="61">
        <v>24.423259999999999</v>
      </c>
    </row>
    <row r="4951" spans="1:9" s="71" customFormat="1" ht="24" hidden="1" customHeight="1" outlineLevel="1" x14ac:dyDescent="0.25">
      <c r="A4951" s="74">
        <v>3822</v>
      </c>
      <c r="B4951" s="68" t="s">
        <v>664</v>
      </c>
      <c r="C4951" s="60" t="s">
        <v>4530</v>
      </c>
      <c r="D4951" s="60"/>
      <c r="E4951" s="74">
        <v>2023</v>
      </c>
      <c r="F4951" s="74" t="s">
        <v>489</v>
      </c>
      <c r="G4951" s="61">
        <v>1</v>
      </c>
      <c r="H4951" s="61">
        <v>15</v>
      </c>
      <c r="I4951" s="61">
        <v>26.523700000000002</v>
      </c>
    </row>
    <row r="4952" spans="1:9" s="71" customFormat="1" ht="24" hidden="1" customHeight="1" outlineLevel="1" x14ac:dyDescent="0.25">
      <c r="A4952" s="74">
        <v>3798</v>
      </c>
      <c r="B4952" s="68" t="s">
        <v>664</v>
      </c>
      <c r="C4952" s="60" t="s">
        <v>4531</v>
      </c>
      <c r="D4952" s="60"/>
      <c r="E4952" s="74">
        <v>2023</v>
      </c>
      <c r="F4952" s="74" t="s">
        <v>489</v>
      </c>
      <c r="G4952" s="61">
        <v>1</v>
      </c>
      <c r="H4952" s="61">
        <v>15</v>
      </c>
      <c r="I4952" s="61">
        <v>24.902380000000001</v>
      </c>
    </row>
    <row r="4953" spans="1:9" s="71" customFormat="1" ht="24" hidden="1" customHeight="1" outlineLevel="1" x14ac:dyDescent="0.25">
      <c r="A4953" s="74">
        <v>6198</v>
      </c>
      <c r="B4953" s="68" t="s">
        <v>664</v>
      </c>
      <c r="C4953" s="60" t="s">
        <v>4532</v>
      </c>
      <c r="D4953" s="60"/>
      <c r="E4953" s="74">
        <v>2023</v>
      </c>
      <c r="F4953" s="74" t="s">
        <v>489</v>
      </c>
      <c r="G4953" s="61">
        <v>1</v>
      </c>
      <c r="H4953" s="61">
        <v>15</v>
      </c>
      <c r="I4953" s="61">
        <v>19.602310000000003</v>
      </c>
    </row>
    <row r="4954" spans="1:9" s="71" customFormat="1" ht="24" hidden="1" customHeight="1" outlineLevel="1" x14ac:dyDescent="0.25">
      <c r="A4954" s="74">
        <v>3825</v>
      </c>
      <c r="B4954" s="68" t="s">
        <v>664</v>
      </c>
      <c r="C4954" s="60" t="s">
        <v>4533</v>
      </c>
      <c r="D4954" s="60"/>
      <c r="E4954" s="74">
        <v>2023</v>
      </c>
      <c r="F4954" s="74" t="s">
        <v>489</v>
      </c>
      <c r="G4954" s="61">
        <v>1</v>
      </c>
      <c r="H4954" s="61">
        <v>15</v>
      </c>
      <c r="I4954" s="61">
        <v>20.744630000000001</v>
      </c>
    </row>
    <row r="4955" spans="1:9" s="71" customFormat="1" ht="24" hidden="1" customHeight="1" outlineLevel="1" x14ac:dyDescent="0.25">
      <c r="A4955" s="74">
        <v>3794</v>
      </c>
      <c r="B4955" s="68" t="s">
        <v>664</v>
      </c>
      <c r="C4955" s="60" t="s">
        <v>4534</v>
      </c>
      <c r="D4955" s="60"/>
      <c r="E4955" s="74">
        <v>2023</v>
      </c>
      <c r="F4955" s="74" t="s">
        <v>489</v>
      </c>
      <c r="G4955" s="61">
        <v>1</v>
      </c>
      <c r="H4955" s="61">
        <v>10</v>
      </c>
      <c r="I4955" s="61">
        <v>18.963549999999998</v>
      </c>
    </row>
    <row r="4956" spans="1:9" s="71" customFormat="1" ht="24" hidden="1" customHeight="1" outlineLevel="1" x14ac:dyDescent="0.25">
      <c r="A4956" s="74">
        <v>3792</v>
      </c>
      <c r="B4956" s="68" t="s">
        <v>664</v>
      </c>
      <c r="C4956" s="60" t="s">
        <v>4535</v>
      </c>
      <c r="D4956" s="60"/>
      <c r="E4956" s="74">
        <v>2023</v>
      </c>
      <c r="F4956" s="74" t="s">
        <v>489</v>
      </c>
      <c r="G4956" s="61">
        <v>1</v>
      </c>
      <c r="H4956" s="61">
        <v>15</v>
      </c>
      <c r="I4956" s="61">
        <v>20.081309999999998</v>
      </c>
    </row>
    <row r="4957" spans="1:9" s="71" customFormat="1" ht="24" hidden="1" customHeight="1" outlineLevel="1" x14ac:dyDescent="0.25">
      <c r="A4957" s="74">
        <v>3793</v>
      </c>
      <c r="B4957" s="68" t="s">
        <v>664</v>
      </c>
      <c r="C4957" s="60" t="s">
        <v>4536</v>
      </c>
      <c r="D4957" s="60"/>
      <c r="E4957" s="74">
        <v>2023</v>
      </c>
      <c r="F4957" s="74" t="s">
        <v>489</v>
      </c>
      <c r="G4957" s="61">
        <v>1</v>
      </c>
      <c r="H4957" s="61">
        <v>15</v>
      </c>
      <c r="I4957" s="61">
        <v>23.635009999999998</v>
      </c>
    </row>
    <row r="4958" spans="1:9" s="71" customFormat="1" ht="24" hidden="1" customHeight="1" outlineLevel="1" x14ac:dyDescent="0.25">
      <c r="A4958" s="74">
        <v>3787</v>
      </c>
      <c r="B4958" s="68" t="s">
        <v>664</v>
      </c>
      <c r="C4958" s="60" t="s">
        <v>4537</v>
      </c>
      <c r="D4958" s="60"/>
      <c r="E4958" s="74">
        <v>2023</v>
      </c>
      <c r="F4958" s="74" t="s">
        <v>489</v>
      </c>
      <c r="G4958" s="61">
        <v>1</v>
      </c>
      <c r="H4958" s="61">
        <v>15</v>
      </c>
      <c r="I4958" s="61">
        <v>26.769170000000003</v>
      </c>
    </row>
    <row r="4959" spans="1:9" s="71" customFormat="1" ht="24" hidden="1" customHeight="1" outlineLevel="1" x14ac:dyDescent="0.25">
      <c r="A4959" s="74">
        <v>3763</v>
      </c>
      <c r="B4959" s="68" t="s">
        <v>664</v>
      </c>
      <c r="C4959" s="60" t="s">
        <v>4538</v>
      </c>
      <c r="D4959" s="60"/>
      <c r="E4959" s="74">
        <v>2023</v>
      </c>
      <c r="F4959" s="74" t="s">
        <v>489</v>
      </c>
      <c r="G4959" s="61">
        <v>1</v>
      </c>
      <c r="H4959" s="61">
        <v>15</v>
      </c>
      <c r="I4959" s="61">
        <v>19.761970000000002</v>
      </c>
    </row>
    <row r="4960" spans="1:9" s="71" customFormat="1" ht="24" hidden="1" customHeight="1" outlineLevel="1" x14ac:dyDescent="0.25">
      <c r="A4960" s="74">
        <v>3776</v>
      </c>
      <c r="B4960" s="68" t="s">
        <v>664</v>
      </c>
      <c r="C4960" s="60" t="s">
        <v>4539</v>
      </c>
      <c r="D4960" s="60"/>
      <c r="E4960" s="74">
        <v>2023</v>
      </c>
      <c r="F4960" s="74" t="s">
        <v>489</v>
      </c>
      <c r="G4960" s="61">
        <v>1</v>
      </c>
      <c r="H4960" s="61">
        <v>10</v>
      </c>
      <c r="I4960" s="61">
        <v>20.560409999999997</v>
      </c>
    </row>
    <row r="4961" spans="1:9" s="71" customFormat="1" ht="24" hidden="1" customHeight="1" outlineLevel="1" x14ac:dyDescent="0.25">
      <c r="A4961" s="74">
        <v>3775</v>
      </c>
      <c r="B4961" s="68" t="s">
        <v>664</v>
      </c>
      <c r="C4961" s="60" t="s">
        <v>4540</v>
      </c>
      <c r="D4961" s="60"/>
      <c r="E4961" s="74">
        <v>2023</v>
      </c>
      <c r="F4961" s="74" t="s">
        <v>489</v>
      </c>
      <c r="G4961" s="61">
        <v>1</v>
      </c>
      <c r="H4961" s="61">
        <v>14</v>
      </c>
      <c r="I4961" s="61">
        <v>20.560409999999997</v>
      </c>
    </row>
    <row r="4962" spans="1:9" s="71" customFormat="1" ht="24" hidden="1" customHeight="1" outlineLevel="1" x14ac:dyDescent="0.25">
      <c r="A4962" s="74">
        <v>3771</v>
      </c>
      <c r="B4962" s="68" t="s">
        <v>664</v>
      </c>
      <c r="C4962" s="60" t="s">
        <v>4541</v>
      </c>
      <c r="D4962" s="60"/>
      <c r="E4962" s="74">
        <v>2023</v>
      </c>
      <c r="F4962" s="74" t="s">
        <v>489</v>
      </c>
      <c r="G4962" s="61">
        <v>1</v>
      </c>
      <c r="H4962" s="61">
        <v>15</v>
      </c>
      <c r="I4962" s="61">
        <v>21.358769999999996</v>
      </c>
    </row>
    <row r="4963" spans="1:9" s="71" customFormat="1" ht="24" hidden="1" customHeight="1" outlineLevel="1" x14ac:dyDescent="0.25">
      <c r="A4963" s="74">
        <v>3768</v>
      </c>
      <c r="B4963" s="68" t="s">
        <v>664</v>
      </c>
      <c r="C4963" s="60" t="s">
        <v>4542</v>
      </c>
      <c r="D4963" s="60"/>
      <c r="E4963" s="74">
        <v>2023</v>
      </c>
      <c r="F4963" s="74" t="s">
        <v>489</v>
      </c>
      <c r="G4963" s="61">
        <v>1</v>
      </c>
      <c r="H4963" s="61">
        <v>15</v>
      </c>
      <c r="I4963" s="61">
        <v>20.003799999999998</v>
      </c>
    </row>
    <row r="4964" spans="1:9" s="71" customFormat="1" ht="24" hidden="1" customHeight="1" outlineLevel="1" x14ac:dyDescent="0.25">
      <c r="A4964" s="74">
        <v>3770</v>
      </c>
      <c r="B4964" s="68" t="s">
        <v>664</v>
      </c>
      <c r="C4964" s="60" t="s">
        <v>4543</v>
      </c>
      <c r="D4964" s="60"/>
      <c r="E4964" s="74">
        <v>2023</v>
      </c>
      <c r="F4964" s="74" t="s">
        <v>489</v>
      </c>
      <c r="G4964" s="61">
        <v>1</v>
      </c>
      <c r="H4964" s="61">
        <v>15</v>
      </c>
      <c r="I4964" s="61">
        <v>19.073039999999995</v>
      </c>
    </row>
    <row r="4965" spans="1:9" s="71" customFormat="1" ht="24" hidden="1" customHeight="1" outlineLevel="1" x14ac:dyDescent="0.25">
      <c r="A4965" s="74">
        <v>3769</v>
      </c>
      <c r="B4965" s="68" t="s">
        <v>664</v>
      </c>
      <c r="C4965" s="60" t="s">
        <v>4544</v>
      </c>
      <c r="D4965" s="60"/>
      <c r="E4965" s="74">
        <v>2023</v>
      </c>
      <c r="F4965" s="74" t="s">
        <v>489</v>
      </c>
      <c r="G4965" s="61">
        <v>1</v>
      </c>
      <c r="H4965" s="61">
        <v>15</v>
      </c>
      <c r="I4965" s="61">
        <v>19.073039999999995</v>
      </c>
    </row>
    <row r="4966" spans="1:9" s="71" customFormat="1" ht="24" hidden="1" customHeight="1" outlineLevel="1" x14ac:dyDescent="0.25">
      <c r="A4966" s="74">
        <v>3774</v>
      </c>
      <c r="B4966" s="68" t="s">
        <v>664</v>
      </c>
      <c r="C4966" s="60" t="s">
        <v>4545</v>
      </c>
      <c r="D4966" s="60"/>
      <c r="E4966" s="74">
        <v>2023</v>
      </c>
      <c r="F4966" s="74" t="s">
        <v>489</v>
      </c>
      <c r="G4966" s="61">
        <v>1</v>
      </c>
      <c r="H4966" s="61">
        <v>15</v>
      </c>
      <c r="I4966" s="61">
        <v>19.073049999999999</v>
      </c>
    </row>
    <row r="4967" spans="1:9" s="71" customFormat="1" ht="24" hidden="1" customHeight="1" outlineLevel="1" x14ac:dyDescent="0.25">
      <c r="A4967" s="74">
        <v>3791</v>
      </c>
      <c r="B4967" s="68" t="s">
        <v>664</v>
      </c>
      <c r="C4967" s="60" t="s">
        <v>4546</v>
      </c>
      <c r="D4967" s="60"/>
      <c r="E4967" s="74">
        <v>2023</v>
      </c>
      <c r="F4967" s="74" t="s">
        <v>489</v>
      </c>
      <c r="G4967" s="61">
        <v>1</v>
      </c>
      <c r="H4967" s="61">
        <v>15</v>
      </c>
      <c r="I4967" s="61">
        <v>20.500919999999997</v>
      </c>
    </row>
    <row r="4968" spans="1:9" s="71" customFormat="1" ht="24" hidden="1" customHeight="1" outlineLevel="1" x14ac:dyDescent="0.25">
      <c r="A4968" s="74">
        <v>3759</v>
      </c>
      <c r="B4968" s="68" t="s">
        <v>664</v>
      </c>
      <c r="C4968" s="60" t="s">
        <v>4547</v>
      </c>
      <c r="D4968" s="60"/>
      <c r="E4968" s="74">
        <v>2023</v>
      </c>
      <c r="F4968" s="74" t="s">
        <v>489</v>
      </c>
      <c r="G4968" s="61">
        <v>1</v>
      </c>
      <c r="H4968" s="61">
        <v>15</v>
      </c>
      <c r="I4968" s="61">
        <v>22.905460000000001</v>
      </c>
    </row>
    <row r="4969" spans="1:9" s="71" customFormat="1" ht="24" hidden="1" customHeight="1" outlineLevel="1" x14ac:dyDescent="0.25">
      <c r="A4969" s="74">
        <v>3767</v>
      </c>
      <c r="B4969" s="68" t="s">
        <v>664</v>
      </c>
      <c r="C4969" s="60" t="s">
        <v>4548</v>
      </c>
      <c r="D4969" s="60"/>
      <c r="E4969" s="74">
        <v>2023</v>
      </c>
      <c r="F4969" s="74" t="s">
        <v>489</v>
      </c>
      <c r="G4969" s="61">
        <v>1</v>
      </c>
      <c r="H4969" s="61">
        <v>15</v>
      </c>
      <c r="I4969" s="61">
        <v>19.871470000000002</v>
      </c>
    </row>
    <row r="4970" spans="1:9" s="71" customFormat="1" ht="24" hidden="1" customHeight="1" outlineLevel="1" x14ac:dyDescent="0.25">
      <c r="A4970" s="74">
        <v>3766</v>
      </c>
      <c r="B4970" s="68" t="s">
        <v>664</v>
      </c>
      <c r="C4970" s="60" t="s">
        <v>4549</v>
      </c>
      <c r="D4970" s="60"/>
      <c r="E4970" s="74">
        <v>2023</v>
      </c>
      <c r="F4970" s="74" t="s">
        <v>489</v>
      </c>
      <c r="G4970" s="61">
        <v>1</v>
      </c>
      <c r="H4970" s="61">
        <v>15</v>
      </c>
      <c r="I4970" s="61">
        <v>19.073039999999995</v>
      </c>
    </row>
    <row r="4971" spans="1:9" s="71" customFormat="1" ht="24" hidden="1" customHeight="1" outlineLevel="1" x14ac:dyDescent="0.25">
      <c r="A4971" s="74">
        <v>3765</v>
      </c>
      <c r="B4971" s="68" t="s">
        <v>664</v>
      </c>
      <c r="C4971" s="60" t="s">
        <v>4550</v>
      </c>
      <c r="D4971" s="60"/>
      <c r="E4971" s="74">
        <v>2023</v>
      </c>
      <c r="F4971" s="74" t="s">
        <v>489</v>
      </c>
      <c r="G4971" s="61">
        <v>1</v>
      </c>
      <c r="H4971" s="61">
        <v>10</v>
      </c>
      <c r="I4971" s="61">
        <v>19.873199999999997</v>
      </c>
    </row>
    <row r="4972" spans="1:9" s="71" customFormat="1" ht="24" hidden="1" customHeight="1" outlineLevel="1" x14ac:dyDescent="0.25">
      <c r="A4972" s="74">
        <v>3757</v>
      </c>
      <c r="B4972" s="68" t="s">
        <v>664</v>
      </c>
      <c r="C4972" s="60" t="s">
        <v>4551</v>
      </c>
      <c r="D4972" s="60"/>
      <c r="E4972" s="74">
        <v>2023</v>
      </c>
      <c r="F4972" s="74" t="s">
        <v>489</v>
      </c>
      <c r="G4972" s="61">
        <v>1</v>
      </c>
      <c r="H4972" s="61">
        <v>15</v>
      </c>
      <c r="I4972" s="61">
        <v>19.873189999999994</v>
      </c>
    </row>
    <row r="4973" spans="1:9" s="71" customFormat="1" ht="24" hidden="1" customHeight="1" outlineLevel="1" x14ac:dyDescent="0.25">
      <c r="A4973" s="74">
        <v>3754</v>
      </c>
      <c r="B4973" s="68" t="s">
        <v>664</v>
      </c>
      <c r="C4973" s="60" t="s">
        <v>4552</v>
      </c>
      <c r="D4973" s="60"/>
      <c r="E4973" s="74">
        <v>2023</v>
      </c>
      <c r="F4973" s="74" t="s">
        <v>489</v>
      </c>
      <c r="G4973" s="61">
        <v>1</v>
      </c>
      <c r="H4973" s="61">
        <v>15</v>
      </c>
      <c r="I4973" s="61">
        <v>19.873199999999997</v>
      </c>
    </row>
    <row r="4974" spans="1:9" s="71" customFormat="1" ht="24" hidden="1" customHeight="1" outlineLevel="1" x14ac:dyDescent="0.25">
      <c r="A4974" s="74">
        <v>3753</v>
      </c>
      <c r="B4974" s="68" t="s">
        <v>664</v>
      </c>
      <c r="C4974" s="60" t="s">
        <v>4553</v>
      </c>
      <c r="D4974" s="60"/>
      <c r="E4974" s="74">
        <v>2023</v>
      </c>
      <c r="F4974" s="74" t="s">
        <v>489</v>
      </c>
      <c r="G4974" s="61">
        <v>1</v>
      </c>
      <c r="H4974" s="61">
        <v>15</v>
      </c>
      <c r="I4974" s="61">
        <v>11.718280000000002</v>
      </c>
    </row>
    <row r="4975" spans="1:9" s="71" customFormat="1" ht="24" hidden="1" customHeight="1" outlineLevel="1" x14ac:dyDescent="0.25">
      <c r="A4975" s="74">
        <v>3752</v>
      </c>
      <c r="B4975" s="68" t="s">
        <v>664</v>
      </c>
      <c r="C4975" s="60" t="s">
        <v>4554</v>
      </c>
      <c r="D4975" s="60"/>
      <c r="E4975" s="74">
        <v>2023</v>
      </c>
      <c r="F4975" s="74" t="s">
        <v>489</v>
      </c>
      <c r="G4975" s="61">
        <v>1</v>
      </c>
      <c r="H4975" s="61">
        <v>15</v>
      </c>
      <c r="I4975" s="61">
        <v>19.553799999999999</v>
      </c>
    </row>
    <row r="4976" spans="1:9" s="71" customFormat="1" ht="24" hidden="1" customHeight="1" outlineLevel="1" x14ac:dyDescent="0.25">
      <c r="A4976" s="74">
        <v>3744</v>
      </c>
      <c r="B4976" s="68" t="s">
        <v>664</v>
      </c>
      <c r="C4976" s="60" t="s">
        <v>4555</v>
      </c>
      <c r="D4976" s="60"/>
      <c r="E4976" s="74">
        <v>2023</v>
      </c>
      <c r="F4976" s="74" t="s">
        <v>489</v>
      </c>
      <c r="G4976" s="61">
        <v>1</v>
      </c>
      <c r="H4976" s="61">
        <v>15</v>
      </c>
      <c r="I4976" s="61">
        <v>23.746239999999997</v>
      </c>
    </row>
    <row r="4977" spans="1:9" s="71" customFormat="1" ht="24" hidden="1" customHeight="1" outlineLevel="1" x14ac:dyDescent="0.25">
      <c r="A4977" s="74">
        <v>3737</v>
      </c>
      <c r="B4977" s="68" t="s">
        <v>664</v>
      </c>
      <c r="C4977" s="60" t="s">
        <v>4556</v>
      </c>
      <c r="D4977" s="60"/>
      <c r="E4977" s="74">
        <v>2023</v>
      </c>
      <c r="F4977" s="74" t="s">
        <v>489</v>
      </c>
      <c r="G4977" s="61">
        <v>1</v>
      </c>
      <c r="H4977" s="61">
        <v>10</v>
      </c>
      <c r="I4977" s="61">
        <v>19.873189999999994</v>
      </c>
    </row>
    <row r="4978" spans="1:9" s="71" customFormat="1" ht="24" hidden="1" customHeight="1" outlineLevel="1" x14ac:dyDescent="0.25">
      <c r="A4978" s="74">
        <v>3743</v>
      </c>
      <c r="B4978" s="68" t="s">
        <v>664</v>
      </c>
      <c r="C4978" s="60" t="s">
        <v>4557</v>
      </c>
      <c r="D4978" s="60"/>
      <c r="E4978" s="74">
        <v>2023</v>
      </c>
      <c r="F4978" s="74" t="s">
        <v>489</v>
      </c>
      <c r="G4978" s="61">
        <v>1</v>
      </c>
      <c r="H4978" s="61">
        <v>15</v>
      </c>
      <c r="I4978" s="61">
        <v>20.192509999999999</v>
      </c>
    </row>
    <row r="4979" spans="1:9" s="71" customFormat="1" ht="24" hidden="1" customHeight="1" outlineLevel="1" x14ac:dyDescent="0.25">
      <c r="A4979" s="74">
        <v>3739</v>
      </c>
      <c r="B4979" s="68" t="s">
        <v>664</v>
      </c>
      <c r="C4979" s="60" t="s">
        <v>4558</v>
      </c>
      <c r="D4979" s="60"/>
      <c r="E4979" s="74">
        <v>2023</v>
      </c>
      <c r="F4979" s="74" t="s">
        <v>489</v>
      </c>
      <c r="G4979" s="61">
        <v>1</v>
      </c>
      <c r="H4979" s="61">
        <v>15</v>
      </c>
      <c r="I4979" s="61">
        <v>19.553799999999999</v>
      </c>
    </row>
    <row r="4980" spans="1:9" s="71" customFormat="1" ht="24" hidden="1" customHeight="1" outlineLevel="1" x14ac:dyDescent="0.25">
      <c r="A4980" s="74">
        <v>6201</v>
      </c>
      <c r="B4980" s="68" t="s">
        <v>664</v>
      </c>
      <c r="C4980" s="60" t="s">
        <v>4559</v>
      </c>
      <c r="D4980" s="60"/>
      <c r="E4980" s="74">
        <v>2023</v>
      </c>
      <c r="F4980" s="74" t="s">
        <v>489</v>
      </c>
      <c r="G4980" s="61">
        <v>1</v>
      </c>
      <c r="H4980" s="61">
        <v>5</v>
      </c>
      <c r="I4980" s="61">
        <v>19.553799999999999</v>
      </c>
    </row>
    <row r="4981" spans="1:9" s="71" customFormat="1" ht="24" hidden="1" customHeight="1" outlineLevel="1" x14ac:dyDescent="0.25">
      <c r="A4981" s="74">
        <v>3727</v>
      </c>
      <c r="B4981" s="68" t="s">
        <v>664</v>
      </c>
      <c r="C4981" s="60" t="s">
        <v>4560</v>
      </c>
      <c r="D4981" s="60"/>
      <c r="E4981" s="74">
        <v>2023</v>
      </c>
      <c r="F4981" s="74" t="s">
        <v>489</v>
      </c>
      <c r="G4981" s="61">
        <v>1</v>
      </c>
      <c r="H4981" s="61">
        <v>5</v>
      </c>
      <c r="I4981" s="61">
        <v>19.713559999999998</v>
      </c>
    </row>
    <row r="4982" spans="1:9" s="71" customFormat="1" ht="24" hidden="1" customHeight="1" outlineLevel="1" x14ac:dyDescent="0.25">
      <c r="A4982" s="74">
        <v>3725</v>
      </c>
      <c r="B4982" s="68" t="s">
        <v>664</v>
      </c>
      <c r="C4982" s="60" t="s">
        <v>4561</v>
      </c>
      <c r="D4982" s="60"/>
      <c r="E4982" s="74">
        <v>2023</v>
      </c>
      <c r="F4982" s="74" t="s">
        <v>489</v>
      </c>
      <c r="G4982" s="61">
        <v>1</v>
      </c>
      <c r="H4982" s="61">
        <v>15</v>
      </c>
      <c r="I4982" s="61">
        <v>19.873189999999994</v>
      </c>
    </row>
    <row r="4983" spans="1:9" s="71" customFormat="1" ht="24" hidden="1" customHeight="1" outlineLevel="1" x14ac:dyDescent="0.25">
      <c r="A4983" s="74">
        <v>3723</v>
      </c>
      <c r="B4983" s="68" t="s">
        <v>664</v>
      </c>
      <c r="C4983" s="60" t="s">
        <v>4562</v>
      </c>
      <c r="D4983" s="60"/>
      <c r="E4983" s="74">
        <v>2023</v>
      </c>
      <c r="F4983" s="74" t="s">
        <v>489</v>
      </c>
      <c r="G4983" s="61">
        <v>1</v>
      </c>
      <c r="H4983" s="61">
        <v>15</v>
      </c>
      <c r="I4983" s="61">
        <v>19.873199999999997</v>
      </c>
    </row>
    <row r="4984" spans="1:9" s="71" customFormat="1" ht="24" hidden="1" customHeight="1" outlineLevel="1" x14ac:dyDescent="0.25">
      <c r="A4984" s="74">
        <v>3717</v>
      </c>
      <c r="B4984" s="68" t="s">
        <v>664</v>
      </c>
      <c r="C4984" s="60" t="s">
        <v>4563</v>
      </c>
      <c r="D4984" s="60"/>
      <c r="E4984" s="74">
        <v>2023</v>
      </c>
      <c r="F4984" s="74" t="s">
        <v>489</v>
      </c>
      <c r="G4984" s="61">
        <v>1</v>
      </c>
      <c r="H4984" s="61">
        <v>15</v>
      </c>
      <c r="I4984" s="61">
        <v>19.873193000000001</v>
      </c>
    </row>
    <row r="4985" spans="1:9" s="71" customFormat="1" ht="24" hidden="1" customHeight="1" outlineLevel="1" x14ac:dyDescent="0.25">
      <c r="A4985" s="74">
        <v>3703</v>
      </c>
      <c r="B4985" s="68" t="s">
        <v>664</v>
      </c>
      <c r="C4985" s="60" t="s">
        <v>4564</v>
      </c>
      <c r="D4985" s="60"/>
      <c r="E4985" s="74">
        <v>2023</v>
      </c>
      <c r="F4985" s="74" t="s">
        <v>489</v>
      </c>
      <c r="G4985" s="61">
        <v>1</v>
      </c>
      <c r="H4985" s="61">
        <v>15</v>
      </c>
      <c r="I4985" s="61">
        <v>20.192509999999999</v>
      </c>
    </row>
    <row r="4986" spans="1:9" s="71" customFormat="1" ht="24" hidden="1" customHeight="1" outlineLevel="1" x14ac:dyDescent="0.25">
      <c r="A4986" s="74">
        <v>3702</v>
      </c>
      <c r="B4986" s="68" t="s">
        <v>664</v>
      </c>
      <c r="C4986" s="60" t="s">
        <v>4565</v>
      </c>
      <c r="D4986" s="60"/>
      <c r="E4986" s="74">
        <v>2023</v>
      </c>
      <c r="F4986" s="74" t="s">
        <v>489</v>
      </c>
      <c r="G4986" s="61">
        <v>1</v>
      </c>
      <c r="H4986" s="61">
        <v>15</v>
      </c>
      <c r="I4986" s="61">
        <v>19.074729999999999</v>
      </c>
    </row>
    <row r="4987" spans="1:9" s="71" customFormat="1" ht="24" hidden="1" customHeight="1" outlineLevel="1" x14ac:dyDescent="0.25">
      <c r="A4987" s="74">
        <v>3692</v>
      </c>
      <c r="B4987" s="68" t="s">
        <v>664</v>
      </c>
      <c r="C4987" s="60" t="s">
        <v>4566</v>
      </c>
      <c r="D4987" s="60"/>
      <c r="E4987" s="74">
        <v>2023</v>
      </c>
      <c r="F4987" s="74" t="s">
        <v>489</v>
      </c>
      <c r="G4987" s="61">
        <v>1</v>
      </c>
      <c r="H4987" s="61">
        <v>10</v>
      </c>
      <c r="I4987" s="61">
        <v>20.352280000000004</v>
      </c>
    </row>
    <row r="4988" spans="1:9" s="71" customFormat="1" ht="24" hidden="1" customHeight="1" outlineLevel="1" x14ac:dyDescent="0.25">
      <c r="A4988" s="74">
        <v>3691</v>
      </c>
      <c r="B4988" s="68" t="s">
        <v>664</v>
      </c>
      <c r="C4988" s="60" t="s">
        <v>4567</v>
      </c>
      <c r="D4988" s="60"/>
      <c r="E4988" s="74">
        <v>2023</v>
      </c>
      <c r="F4988" s="74" t="s">
        <v>489</v>
      </c>
      <c r="G4988" s="61">
        <v>1</v>
      </c>
      <c r="H4988" s="61">
        <v>15</v>
      </c>
      <c r="I4988" s="61">
        <v>19.873189999999994</v>
      </c>
    </row>
    <row r="4989" spans="1:9" s="71" customFormat="1" ht="24" hidden="1" customHeight="1" outlineLevel="1" x14ac:dyDescent="0.25">
      <c r="A4989" s="74">
        <v>3688</v>
      </c>
      <c r="B4989" s="68" t="s">
        <v>664</v>
      </c>
      <c r="C4989" s="60" t="s">
        <v>4568</v>
      </c>
      <c r="D4989" s="60"/>
      <c r="E4989" s="74">
        <v>2023</v>
      </c>
      <c r="F4989" s="74" t="s">
        <v>489</v>
      </c>
      <c r="G4989" s="61">
        <v>1</v>
      </c>
      <c r="H4989" s="61">
        <v>7</v>
      </c>
      <c r="I4989" s="61">
        <v>20.352280000000004</v>
      </c>
    </row>
    <row r="4990" spans="1:9" s="71" customFormat="1" ht="24" hidden="1" customHeight="1" outlineLevel="1" x14ac:dyDescent="0.25">
      <c r="A4990" s="74">
        <v>3685</v>
      </c>
      <c r="B4990" s="68" t="s">
        <v>664</v>
      </c>
      <c r="C4990" s="60" t="s">
        <v>4569</v>
      </c>
      <c r="D4990" s="60"/>
      <c r="E4990" s="74">
        <v>2023</v>
      </c>
      <c r="F4990" s="74" t="s">
        <v>489</v>
      </c>
      <c r="G4990" s="61">
        <v>1</v>
      </c>
      <c r="H4990" s="61">
        <v>15</v>
      </c>
      <c r="I4990" s="61">
        <v>19.074729999999999</v>
      </c>
    </row>
    <row r="4991" spans="1:9" s="71" customFormat="1" ht="24" hidden="1" customHeight="1" outlineLevel="1" x14ac:dyDescent="0.25">
      <c r="A4991" s="74">
        <v>3684</v>
      </c>
      <c r="B4991" s="68" t="s">
        <v>664</v>
      </c>
      <c r="C4991" s="60" t="s">
        <v>4570</v>
      </c>
      <c r="D4991" s="60"/>
      <c r="E4991" s="74">
        <v>2023</v>
      </c>
      <c r="F4991" s="74" t="s">
        <v>489</v>
      </c>
      <c r="G4991" s="61">
        <v>1</v>
      </c>
      <c r="H4991" s="61">
        <v>15</v>
      </c>
      <c r="I4991" s="61">
        <v>23.746239999999997</v>
      </c>
    </row>
    <row r="4992" spans="1:9" s="71" customFormat="1" ht="24" hidden="1" customHeight="1" outlineLevel="1" x14ac:dyDescent="0.25">
      <c r="A4992" s="74">
        <v>3683</v>
      </c>
      <c r="B4992" s="68" t="s">
        <v>664</v>
      </c>
      <c r="C4992" s="60" t="s">
        <v>4571</v>
      </c>
      <c r="D4992" s="60"/>
      <c r="E4992" s="74">
        <v>2023</v>
      </c>
      <c r="F4992" s="74" t="s">
        <v>489</v>
      </c>
      <c r="G4992" s="61">
        <v>1</v>
      </c>
      <c r="H4992" s="61">
        <v>15</v>
      </c>
      <c r="I4992" s="61">
        <v>20.192499999999999</v>
      </c>
    </row>
    <row r="4993" spans="1:9" s="71" customFormat="1" ht="24" hidden="1" customHeight="1" outlineLevel="1" x14ac:dyDescent="0.25">
      <c r="A4993" s="74">
        <v>3678</v>
      </c>
      <c r="B4993" s="68" t="s">
        <v>664</v>
      </c>
      <c r="C4993" s="60" t="s">
        <v>4572</v>
      </c>
      <c r="D4993" s="60"/>
      <c r="E4993" s="74">
        <v>2023</v>
      </c>
      <c r="F4993" s="74" t="s">
        <v>489</v>
      </c>
      <c r="G4993" s="61">
        <v>1</v>
      </c>
      <c r="H4993" s="61">
        <v>15</v>
      </c>
      <c r="I4993" s="61">
        <v>19.873200999999998</v>
      </c>
    </row>
    <row r="4994" spans="1:9" s="71" customFormat="1" ht="24" hidden="1" customHeight="1" outlineLevel="1" x14ac:dyDescent="0.25">
      <c r="A4994" s="74">
        <v>3626</v>
      </c>
      <c r="B4994" s="68" t="s">
        <v>664</v>
      </c>
      <c r="C4994" s="60" t="s">
        <v>4573</v>
      </c>
      <c r="D4994" s="60"/>
      <c r="E4994" s="74">
        <v>2023</v>
      </c>
      <c r="F4994" s="74" t="s">
        <v>489</v>
      </c>
      <c r="G4994" s="61">
        <v>1</v>
      </c>
      <c r="H4994" s="61">
        <v>15</v>
      </c>
      <c r="I4994" s="61">
        <v>19.873199999999997</v>
      </c>
    </row>
    <row r="4995" spans="1:9" s="71" customFormat="1" ht="24" hidden="1" customHeight="1" outlineLevel="1" x14ac:dyDescent="0.25">
      <c r="A4995" s="74">
        <v>3625</v>
      </c>
      <c r="B4995" s="68" t="s">
        <v>664</v>
      </c>
      <c r="C4995" s="60" t="s">
        <v>4574</v>
      </c>
      <c r="D4995" s="60"/>
      <c r="E4995" s="74">
        <v>2023</v>
      </c>
      <c r="F4995" s="74" t="s">
        <v>489</v>
      </c>
      <c r="G4995" s="61">
        <v>1</v>
      </c>
      <c r="H4995" s="61">
        <v>15</v>
      </c>
      <c r="I4995" s="61">
        <v>19.553799999999999</v>
      </c>
    </row>
    <row r="4996" spans="1:9" s="71" customFormat="1" ht="24" hidden="1" customHeight="1" outlineLevel="1" x14ac:dyDescent="0.25">
      <c r="A4996" s="74">
        <v>3675</v>
      </c>
      <c r="B4996" s="68" t="s">
        <v>664</v>
      </c>
      <c r="C4996" s="60" t="s">
        <v>4575</v>
      </c>
      <c r="D4996" s="60"/>
      <c r="E4996" s="74">
        <v>2023</v>
      </c>
      <c r="F4996" s="74" t="s">
        <v>489</v>
      </c>
      <c r="G4996" s="61">
        <v>1</v>
      </c>
      <c r="H4996" s="61">
        <v>10</v>
      </c>
      <c r="I4996" s="61">
        <v>19.873199999999997</v>
      </c>
    </row>
    <row r="4997" spans="1:9" s="71" customFormat="1" ht="24" hidden="1" customHeight="1" outlineLevel="1" x14ac:dyDescent="0.25">
      <c r="A4997" s="74">
        <v>3677</v>
      </c>
      <c r="B4997" s="68" t="s">
        <v>664</v>
      </c>
      <c r="C4997" s="60" t="s">
        <v>4576</v>
      </c>
      <c r="D4997" s="60"/>
      <c r="E4997" s="74">
        <v>2023</v>
      </c>
      <c r="F4997" s="74" t="s">
        <v>489</v>
      </c>
      <c r="G4997" s="61">
        <v>1</v>
      </c>
      <c r="H4997" s="61">
        <v>15</v>
      </c>
      <c r="I4997" s="61">
        <v>19.873189999999994</v>
      </c>
    </row>
    <row r="4998" spans="1:9" s="71" customFormat="1" ht="24" hidden="1" customHeight="1" outlineLevel="1" x14ac:dyDescent="0.25">
      <c r="A4998" s="74">
        <v>3632</v>
      </c>
      <c r="B4998" s="68" t="s">
        <v>664</v>
      </c>
      <c r="C4998" s="60" t="s">
        <v>4577</v>
      </c>
      <c r="D4998" s="60"/>
      <c r="E4998" s="74">
        <v>2023</v>
      </c>
      <c r="F4998" s="74" t="s">
        <v>489</v>
      </c>
      <c r="G4998" s="61">
        <v>1</v>
      </c>
      <c r="H4998" s="61">
        <v>7</v>
      </c>
      <c r="I4998" s="61">
        <v>19.553809999999999</v>
      </c>
    </row>
    <row r="4999" spans="1:9" s="71" customFormat="1" ht="24" hidden="1" customHeight="1" outlineLevel="1" x14ac:dyDescent="0.25">
      <c r="A4999" s="74">
        <v>3633</v>
      </c>
      <c r="B4999" s="68" t="s">
        <v>664</v>
      </c>
      <c r="C4999" s="60" t="s">
        <v>4578</v>
      </c>
      <c r="D4999" s="60"/>
      <c r="E4999" s="74">
        <v>2023</v>
      </c>
      <c r="F4999" s="74" t="s">
        <v>489</v>
      </c>
      <c r="G4999" s="61">
        <v>1</v>
      </c>
      <c r="H4999" s="61">
        <v>14</v>
      </c>
      <c r="I4999" s="61">
        <v>19.553799999999999</v>
      </c>
    </row>
    <row r="5000" spans="1:9" s="71" customFormat="1" ht="24" hidden="1" customHeight="1" outlineLevel="1" x14ac:dyDescent="0.25">
      <c r="A5000" s="74">
        <v>3638</v>
      </c>
      <c r="B5000" s="68" t="s">
        <v>664</v>
      </c>
      <c r="C5000" s="60" t="s">
        <v>4579</v>
      </c>
      <c r="D5000" s="60"/>
      <c r="E5000" s="74">
        <v>2023</v>
      </c>
      <c r="F5000" s="74" t="s">
        <v>489</v>
      </c>
      <c r="G5000" s="61">
        <v>1</v>
      </c>
      <c r="H5000" s="61">
        <v>15</v>
      </c>
      <c r="I5000" s="61">
        <v>19.553809999999999</v>
      </c>
    </row>
    <row r="5001" spans="1:9" s="71" customFormat="1" ht="24" hidden="1" customHeight="1" outlineLevel="1" x14ac:dyDescent="0.25">
      <c r="A5001" s="74">
        <v>3628</v>
      </c>
      <c r="B5001" s="68" t="s">
        <v>664</v>
      </c>
      <c r="C5001" s="60" t="s">
        <v>4580</v>
      </c>
      <c r="D5001" s="60"/>
      <c r="E5001" s="74">
        <v>2023</v>
      </c>
      <c r="F5001" s="74" t="s">
        <v>489</v>
      </c>
      <c r="G5001" s="61">
        <v>1</v>
      </c>
      <c r="H5001" s="61">
        <v>10</v>
      </c>
      <c r="I5001" s="61">
        <v>19.556370000000001</v>
      </c>
    </row>
    <row r="5002" spans="1:9" s="71" customFormat="1" ht="24" hidden="1" customHeight="1" outlineLevel="1" x14ac:dyDescent="0.25">
      <c r="A5002" s="74">
        <v>3745</v>
      </c>
      <c r="B5002" s="68" t="s">
        <v>664</v>
      </c>
      <c r="C5002" s="60" t="s">
        <v>4581</v>
      </c>
      <c r="D5002" s="60"/>
      <c r="E5002" s="74">
        <v>2023</v>
      </c>
      <c r="F5002" s="74" t="s">
        <v>489</v>
      </c>
      <c r="G5002" s="61">
        <v>1</v>
      </c>
      <c r="H5002" s="61">
        <v>15</v>
      </c>
      <c r="I5002" s="61">
        <v>24.545000000000002</v>
      </c>
    </row>
    <row r="5003" spans="1:9" s="71" customFormat="1" ht="24" hidden="1" customHeight="1" outlineLevel="1" x14ac:dyDescent="0.25">
      <c r="A5003" s="74">
        <v>6199</v>
      </c>
      <c r="B5003" s="68" t="s">
        <v>664</v>
      </c>
      <c r="C5003" s="60" t="s">
        <v>4582</v>
      </c>
      <c r="D5003" s="60"/>
      <c r="E5003" s="74">
        <v>2023</v>
      </c>
      <c r="F5003" s="74" t="s">
        <v>489</v>
      </c>
      <c r="G5003" s="61">
        <v>1</v>
      </c>
      <c r="H5003" s="61">
        <v>5</v>
      </c>
      <c r="I5003" s="61">
        <v>19.560000000000002</v>
      </c>
    </row>
    <row r="5004" spans="1:9" s="71" customFormat="1" ht="24" hidden="1" customHeight="1" outlineLevel="1" x14ac:dyDescent="0.25">
      <c r="A5004" s="74">
        <v>6210</v>
      </c>
      <c r="B5004" s="68" t="s">
        <v>664</v>
      </c>
      <c r="C5004" s="60" t="s">
        <v>4583</v>
      </c>
      <c r="D5004" s="60"/>
      <c r="E5004" s="74">
        <v>2023</v>
      </c>
      <c r="F5004" s="74" t="s">
        <v>489</v>
      </c>
      <c r="G5004" s="61">
        <v>1</v>
      </c>
      <c r="H5004" s="61">
        <v>10</v>
      </c>
      <c r="I5004" s="61">
        <v>13.136879999999998</v>
      </c>
    </row>
    <row r="5005" spans="1:9" s="71" customFormat="1" ht="24" hidden="1" customHeight="1" outlineLevel="1" x14ac:dyDescent="0.25">
      <c r="A5005" s="74">
        <v>1542</v>
      </c>
      <c r="B5005" s="68" t="s">
        <v>664</v>
      </c>
      <c r="C5005" s="60" t="s">
        <v>4584</v>
      </c>
      <c r="D5005" s="60"/>
      <c r="E5005" s="74">
        <v>2023</v>
      </c>
      <c r="F5005" s="74" t="s">
        <v>489</v>
      </c>
      <c r="G5005" s="61">
        <v>1</v>
      </c>
      <c r="H5005" s="61">
        <v>15</v>
      </c>
      <c r="I5005" s="61">
        <v>40.239249999999998</v>
      </c>
    </row>
    <row r="5006" spans="1:9" s="71" customFormat="1" ht="24" hidden="1" customHeight="1" outlineLevel="1" x14ac:dyDescent="0.25">
      <c r="A5006" s="74">
        <v>6213</v>
      </c>
      <c r="B5006" s="68" t="s">
        <v>664</v>
      </c>
      <c r="C5006" s="60" t="s">
        <v>4585</v>
      </c>
      <c r="D5006" s="60"/>
      <c r="E5006" s="74">
        <v>2023</v>
      </c>
      <c r="F5006" s="74" t="s">
        <v>489</v>
      </c>
      <c r="G5006" s="61">
        <v>1</v>
      </c>
      <c r="H5006" s="61">
        <v>15</v>
      </c>
      <c r="I5006" s="61">
        <v>39.887309999999992</v>
      </c>
    </row>
    <row r="5007" spans="1:9" s="71" customFormat="1" ht="24" hidden="1" customHeight="1" outlineLevel="1" x14ac:dyDescent="0.25">
      <c r="A5007" s="74">
        <v>1534</v>
      </c>
      <c r="B5007" s="68" t="s">
        <v>664</v>
      </c>
      <c r="C5007" s="60" t="s">
        <v>4586</v>
      </c>
      <c r="D5007" s="60"/>
      <c r="E5007" s="74">
        <v>2023</v>
      </c>
      <c r="F5007" s="74" t="s">
        <v>489</v>
      </c>
      <c r="G5007" s="61">
        <v>1</v>
      </c>
      <c r="H5007" s="61">
        <v>1</v>
      </c>
      <c r="I5007" s="61">
        <v>40.320229999999995</v>
      </c>
    </row>
    <row r="5008" spans="1:9" s="71" customFormat="1" ht="24" hidden="1" customHeight="1" outlineLevel="1" x14ac:dyDescent="0.25">
      <c r="A5008" s="74">
        <v>6214</v>
      </c>
      <c r="B5008" s="68" t="s">
        <v>664</v>
      </c>
      <c r="C5008" s="60" t="s">
        <v>4587</v>
      </c>
      <c r="D5008" s="60"/>
      <c r="E5008" s="74">
        <v>2023</v>
      </c>
      <c r="F5008" s="74" t="s">
        <v>489</v>
      </c>
      <c r="G5008" s="61">
        <v>1</v>
      </c>
      <c r="H5008" s="61">
        <v>10</v>
      </c>
      <c r="I5008" s="61">
        <v>42.783639999999998</v>
      </c>
    </row>
    <row r="5009" spans="1:9" s="71" customFormat="1" ht="24" hidden="1" customHeight="1" outlineLevel="1" x14ac:dyDescent="0.25">
      <c r="A5009" s="74">
        <v>6215</v>
      </c>
      <c r="B5009" s="68" t="s">
        <v>664</v>
      </c>
      <c r="C5009" s="60" t="s">
        <v>4588</v>
      </c>
      <c r="D5009" s="60"/>
      <c r="E5009" s="74">
        <v>2023</v>
      </c>
      <c r="F5009" s="74" t="s">
        <v>489</v>
      </c>
      <c r="G5009" s="61">
        <v>1</v>
      </c>
      <c r="H5009" s="61">
        <v>15</v>
      </c>
      <c r="I5009" s="61">
        <v>40.303110000000004</v>
      </c>
    </row>
    <row r="5010" spans="1:9" s="71" customFormat="1" ht="24" hidden="1" customHeight="1" outlineLevel="1" x14ac:dyDescent="0.25">
      <c r="A5010" s="74">
        <v>6233</v>
      </c>
      <c r="B5010" s="68" t="s">
        <v>664</v>
      </c>
      <c r="C5010" s="60" t="s">
        <v>4589</v>
      </c>
      <c r="D5010" s="60"/>
      <c r="E5010" s="74">
        <v>2023</v>
      </c>
      <c r="F5010" s="74" t="s">
        <v>489</v>
      </c>
      <c r="G5010" s="61">
        <v>1</v>
      </c>
      <c r="H5010" s="61">
        <v>15</v>
      </c>
      <c r="I5010" s="61">
        <v>40.415140000000001</v>
      </c>
    </row>
    <row r="5011" spans="1:9" s="71" customFormat="1" ht="24" hidden="1" customHeight="1" outlineLevel="1" x14ac:dyDescent="0.25">
      <c r="A5011" s="74">
        <v>6172</v>
      </c>
      <c r="B5011" s="68" t="s">
        <v>664</v>
      </c>
      <c r="C5011" s="60" t="s">
        <v>4590</v>
      </c>
      <c r="D5011" s="60"/>
      <c r="E5011" s="74">
        <v>2023</v>
      </c>
      <c r="F5011" s="74" t="s">
        <v>489</v>
      </c>
      <c r="G5011" s="61">
        <v>1</v>
      </c>
      <c r="H5011" s="61">
        <v>10</v>
      </c>
      <c r="I5011" s="61">
        <v>10.66691</v>
      </c>
    </row>
    <row r="5012" spans="1:9" s="71" customFormat="1" ht="24" hidden="1" customHeight="1" outlineLevel="1" x14ac:dyDescent="0.25">
      <c r="A5012" s="74">
        <v>6174</v>
      </c>
      <c r="B5012" s="68" t="s">
        <v>664</v>
      </c>
      <c r="C5012" s="60" t="s">
        <v>4591</v>
      </c>
      <c r="D5012" s="60"/>
      <c r="E5012" s="74">
        <v>2023</v>
      </c>
      <c r="F5012" s="74" t="s">
        <v>489</v>
      </c>
      <c r="G5012" s="61">
        <v>1</v>
      </c>
      <c r="H5012" s="61">
        <v>14</v>
      </c>
      <c r="I5012" s="61">
        <v>8.9095399999999998</v>
      </c>
    </row>
    <row r="5013" spans="1:9" s="71" customFormat="1" ht="24" hidden="1" customHeight="1" outlineLevel="1" x14ac:dyDescent="0.25">
      <c r="A5013" s="74">
        <v>6176</v>
      </c>
      <c r="B5013" s="68" t="s">
        <v>664</v>
      </c>
      <c r="C5013" s="60" t="s">
        <v>4592</v>
      </c>
      <c r="D5013" s="60"/>
      <c r="E5013" s="74">
        <v>2023</v>
      </c>
      <c r="F5013" s="74" t="s">
        <v>489</v>
      </c>
      <c r="G5013" s="61">
        <v>1</v>
      </c>
      <c r="H5013" s="61">
        <v>5</v>
      </c>
      <c r="I5013" s="61">
        <v>10.667100000000001</v>
      </c>
    </row>
    <row r="5014" spans="1:9" s="71" customFormat="1" ht="24" hidden="1" customHeight="1" outlineLevel="1" x14ac:dyDescent="0.25">
      <c r="A5014" s="74">
        <v>6177</v>
      </c>
      <c r="B5014" s="68" t="s">
        <v>664</v>
      </c>
      <c r="C5014" s="60" t="s">
        <v>4593</v>
      </c>
      <c r="D5014" s="60"/>
      <c r="E5014" s="74">
        <v>2023</v>
      </c>
      <c r="F5014" s="74" t="s">
        <v>489</v>
      </c>
      <c r="G5014" s="61">
        <v>1</v>
      </c>
      <c r="H5014" s="61">
        <v>5</v>
      </c>
      <c r="I5014" s="61">
        <v>8.9095899999999997</v>
      </c>
    </row>
    <row r="5015" spans="1:9" s="71" customFormat="1" ht="24" hidden="1" customHeight="1" outlineLevel="1" x14ac:dyDescent="0.25">
      <c r="A5015" s="74">
        <v>6178</v>
      </c>
      <c r="B5015" s="68" t="s">
        <v>664</v>
      </c>
      <c r="C5015" s="60" t="s">
        <v>4594</v>
      </c>
      <c r="D5015" s="60"/>
      <c r="E5015" s="74">
        <v>2023</v>
      </c>
      <c r="F5015" s="74" t="s">
        <v>489</v>
      </c>
      <c r="G5015" s="61">
        <v>1</v>
      </c>
      <c r="H5015" s="61">
        <v>5</v>
      </c>
      <c r="I5015" s="61">
        <v>12.424600000000002</v>
      </c>
    </row>
    <row r="5016" spans="1:9" s="71" customFormat="1" ht="24" hidden="1" customHeight="1" outlineLevel="1" x14ac:dyDescent="0.25">
      <c r="A5016" s="74">
        <v>6179</v>
      </c>
      <c r="B5016" s="68" t="s">
        <v>664</v>
      </c>
      <c r="C5016" s="60" t="s">
        <v>4595</v>
      </c>
      <c r="D5016" s="60"/>
      <c r="E5016" s="74">
        <v>2023</v>
      </c>
      <c r="F5016" s="74" t="s">
        <v>489</v>
      </c>
      <c r="G5016" s="61">
        <v>1</v>
      </c>
      <c r="H5016" s="61">
        <v>5</v>
      </c>
      <c r="I5016" s="61">
        <v>8.9095300000000002</v>
      </c>
    </row>
    <row r="5017" spans="1:9" s="71" customFormat="1" ht="24" hidden="1" customHeight="1" outlineLevel="1" x14ac:dyDescent="0.25">
      <c r="A5017" s="74">
        <v>6180</v>
      </c>
      <c r="B5017" s="68" t="s">
        <v>664</v>
      </c>
      <c r="C5017" s="60" t="s">
        <v>4596</v>
      </c>
      <c r="D5017" s="60"/>
      <c r="E5017" s="74">
        <v>2023</v>
      </c>
      <c r="F5017" s="74" t="s">
        <v>489</v>
      </c>
      <c r="G5017" s="61">
        <v>1</v>
      </c>
      <c r="H5017" s="61">
        <v>5</v>
      </c>
      <c r="I5017" s="61">
        <v>10.493270000000001</v>
      </c>
    </row>
    <row r="5018" spans="1:9" s="71" customFormat="1" ht="24" hidden="1" customHeight="1" outlineLevel="1" x14ac:dyDescent="0.25">
      <c r="A5018" s="74">
        <v>6181</v>
      </c>
      <c r="B5018" s="68" t="s">
        <v>664</v>
      </c>
      <c r="C5018" s="60" t="s">
        <v>4597</v>
      </c>
      <c r="D5018" s="60"/>
      <c r="E5018" s="74">
        <v>2023</v>
      </c>
      <c r="F5018" s="74" t="s">
        <v>489</v>
      </c>
      <c r="G5018" s="61">
        <v>1</v>
      </c>
      <c r="H5018" s="61">
        <v>5</v>
      </c>
      <c r="I5018" s="61">
        <v>10.667119999999999</v>
      </c>
    </row>
    <row r="5019" spans="1:9" s="71" customFormat="1" ht="24" hidden="1" customHeight="1" outlineLevel="1" x14ac:dyDescent="0.25">
      <c r="A5019" s="74">
        <v>6182</v>
      </c>
      <c r="B5019" s="68" t="s">
        <v>664</v>
      </c>
      <c r="C5019" s="60" t="s">
        <v>4598</v>
      </c>
      <c r="D5019" s="60"/>
      <c r="E5019" s="74">
        <v>2023</v>
      </c>
      <c r="F5019" s="74" t="s">
        <v>489</v>
      </c>
      <c r="G5019" s="61">
        <v>1</v>
      </c>
      <c r="H5019" s="61">
        <v>5</v>
      </c>
      <c r="I5019" s="61">
        <v>10.487799999999998</v>
      </c>
    </row>
    <row r="5020" spans="1:9" s="71" customFormat="1" ht="24" hidden="1" customHeight="1" outlineLevel="1" x14ac:dyDescent="0.25">
      <c r="A5020" s="74">
        <v>6183</v>
      </c>
      <c r="B5020" s="68" t="s">
        <v>664</v>
      </c>
      <c r="C5020" s="60" t="s">
        <v>4599</v>
      </c>
      <c r="D5020" s="60"/>
      <c r="E5020" s="74">
        <v>2023</v>
      </c>
      <c r="F5020" s="74" t="s">
        <v>489</v>
      </c>
      <c r="G5020" s="61">
        <v>1</v>
      </c>
      <c r="H5020" s="61">
        <v>5</v>
      </c>
      <c r="I5020" s="61">
        <v>8.9095300000000002</v>
      </c>
    </row>
    <row r="5021" spans="1:9" s="71" customFormat="1" ht="24" hidden="1" customHeight="1" outlineLevel="1" x14ac:dyDescent="0.25">
      <c r="A5021" s="74">
        <v>6184</v>
      </c>
      <c r="B5021" s="68" t="s">
        <v>664</v>
      </c>
      <c r="C5021" s="60" t="s">
        <v>4600</v>
      </c>
      <c r="D5021" s="60"/>
      <c r="E5021" s="74">
        <v>2023</v>
      </c>
      <c r="F5021" s="74" t="s">
        <v>489</v>
      </c>
      <c r="G5021" s="61">
        <v>1</v>
      </c>
      <c r="H5021" s="61">
        <v>5</v>
      </c>
      <c r="I5021" s="61">
        <v>10.487819999999999</v>
      </c>
    </row>
    <row r="5022" spans="1:9" s="71" customFormat="1" ht="24" hidden="1" customHeight="1" outlineLevel="1" x14ac:dyDescent="0.25">
      <c r="A5022" s="74">
        <v>6185</v>
      </c>
      <c r="B5022" s="68" t="s">
        <v>664</v>
      </c>
      <c r="C5022" s="60" t="s">
        <v>4601</v>
      </c>
      <c r="D5022" s="60"/>
      <c r="E5022" s="74">
        <v>2023</v>
      </c>
      <c r="F5022" s="74" t="s">
        <v>489</v>
      </c>
      <c r="G5022" s="61">
        <v>1</v>
      </c>
      <c r="H5022" s="61">
        <v>5</v>
      </c>
      <c r="I5022" s="61">
        <v>9.8746799999999997</v>
      </c>
    </row>
    <row r="5023" spans="1:9" s="71" customFormat="1" ht="24" hidden="1" customHeight="1" outlineLevel="1" x14ac:dyDescent="0.25">
      <c r="A5023" s="74">
        <v>6186</v>
      </c>
      <c r="B5023" s="68" t="s">
        <v>664</v>
      </c>
      <c r="C5023" s="60" t="s">
        <v>4602</v>
      </c>
      <c r="D5023" s="60"/>
      <c r="E5023" s="74">
        <v>2023</v>
      </c>
      <c r="F5023" s="74" t="s">
        <v>489</v>
      </c>
      <c r="G5023" s="61">
        <v>1</v>
      </c>
      <c r="H5023" s="61">
        <v>5</v>
      </c>
      <c r="I5023" s="61">
        <v>9.8746900000000011</v>
      </c>
    </row>
    <row r="5024" spans="1:9" s="71" customFormat="1" ht="24" hidden="1" customHeight="1" outlineLevel="1" x14ac:dyDescent="0.25">
      <c r="A5024" s="74">
        <v>6187</v>
      </c>
      <c r="B5024" s="68" t="s">
        <v>664</v>
      </c>
      <c r="C5024" s="60" t="s">
        <v>4603</v>
      </c>
      <c r="D5024" s="60"/>
      <c r="E5024" s="74">
        <v>2023</v>
      </c>
      <c r="F5024" s="74" t="s">
        <v>489</v>
      </c>
      <c r="G5024" s="61">
        <v>1</v>
      </c>
      <c r="H5024" s="61">
        <v>5</v>
      </c>
      <c r="I5024" s="61">
        <v>10.638770000000001</v>
      </c>
    </row>
    <row r="5025" spans="1:9" s="71" customFormat="1" ht="24" hidden="1" customHeight="1" outlineLevel="1" x14ac:dyDescent="0.25">
      <c r="A5025" s="74">
        <v>6189</v>
      </c>
      <c r="B5025" s="68" t="s">
        <v>664</v>
      </c>
      <c r="C5025" s="60" t="s">
        <v>4604</v>
      </c>
      <c r="D5025" s="60"/>
      <c r="E5025" s="74">
        <v>2023</v>
      </c>
      <c r="F5025" s="74" t="s">
        <v>489</v>
      </c>
      <c r="G5025" s="61">
        <v>1</v>
      </c>
      <c r="H5025" s="61">
        <v>5</v>
      </c>
      <c r="I5025" s="61">
        <v>10.75347</v>
      </c>
    </row>
    <row r="5026" spans="1:9" s="71" customFormat="1" ht="24" hidden="1" customHeight="1" outlineLevel="1" x14ac:dyDescent="0.25">
      <c r="A5026" s="74">
        <v>6190</v>
      </c>
      <c r="B5026" s="68" t="s">
        <v>664</v>
      </c>
      <c r="C5026" s="60" t="s">
        <v>4605</v>
      </c>
      <c r="D5026" s="60"/>
      <c r="E5026" s="74">
        <v>2023</v>
      </c>
      <c r="F5026" s="74" t="s">
        <v>489</v>
      </c>
      <c r="G5026" s="61">
        <v>1</v>
      </c>
      <c r="H5026" s="61">
        <v>5</v>
      </c>
      <c r="I5026" s="61">
        <v>9.8746799999999997</v>
      </c>
    </row>
    <row r="5027" spans="1:9" s="71" customFormat="1" ht="24" hidden="1" customHeight="1" outlineLevel="1" x14ac:dyDescent="0.25">
      <c r="A5027" s="74">
        <v>6191</v>
      </c>
      <c r="B5027" s="68" t="s">
        <v>664</v>
      </c>
      <c r="C5027" s="60" t="s">
        <v>4606</v>
      </c>
      <c r="D5027" s="60"/>
      <c r="E5027" s="74">
        <v>2023</v>
      </c>
      <c r="F5027" s="74" t="s">
        <v>489</v>
      </c>
      <c r="G5027" s="61">
        <v>1</v>
      </c>
      <c r="H5027" s="61">
        <v>5</v>
      </c>
      <c r="I5027" s="61">
        <v>10.57382</v>
      </c>
    </row>
    <row r="5028" spans="1:9" s="71" customFormat="1" ht="24" hidden="1" customHeight="1" outlineLevel="1" x14ac:dyDescent="0.25">
      <c r="A5028" s="74">
        <v>3801</v>
      </c>
      <c r="B5028" s="68" t="s">
        <v>664</v>
      </c>
      <c r="C5028" s="60" t="s">
        <v>4607</v>
      </c>
      <c r="D5028" s="60"/>
      <c r="E5028" s="74">
        <v>2023</v>
      </c>
      <c r="F5028" s="74" t="s">
        <v>489</v>
      </c>
      <c r="G5028" s="61">
        <v>1</v>
      </c>
      <c r="H5028" s="61">
        <v>15</v>
      </c>
      <c r="I5028" s="61">
        <v>25.275790000000001</v>
      </c>
    </row>
    <row r="5029" spans="1:9" s="71" customFormat="1" ht="24" hidden="1" customHeight="1" outlineLevel="1" x14ac:dyDescent="0.25">
      <c r="A5029" s="74">
        <v>3814</v>
      </c>
      <c r="B5029" s="68" t="s">
        <v>664</v>
      </c>
      <c r="C5029" s="60" t="s">
        <v>4608</v>
      </c>
      <c r="D5029" s="60"/>
      <c r="E5029" s="74">
        <v>2023</v>
      </c>
      <c r="F5029" s="74" t="s">
        <v>489</v>
      </c>
      <c r="G5029" s="61">
        <v>1</v>
      </c>
      <c r="H5029" s="61">
        <v>5</v>
      </c>
      <c r="I5029" s="61">
        <v>8.8166499999999992</v>
      </c>
    </row>
    <row r="5030" spans="1:9" s="71" customFormat="1" ht="24" hidden="1" customHeight="1" outlineLevel="1" x14ac:dyDescent="0.25">
      <c r="A5030" s="74">
        <v>1673</v>
      </c>
      <c r="B5030" s="68" t="s">
        <v>664</v>
      </c>
      <c r="C5030" s="60" t="s">
        <v>4609</v>
      </c>
      <c r="D5030" s="60"/>
      <c r="E5030" s="74">
        <v>2023</v>
      </c>
      <c r="F5030" s="74" t="s">
        <v>489</v>
      </c>
      <c r="G5030" s="61">
        <v>1</v>
      </c>
      <c r="H5030" s="61">
        <v>5</v>
      </c>
      <c r="I5030" s="61">
        <v>42.869120000000002</v>
      </c>
    </row>
    <row r="5031" spans="1:9" s="71" customFormat="1" ht="24" hidden="1" customHeight="1" outlineLevel="1" x14ac:dyDescent="0.25">
      <c r="A5031" s="74">
        <v>1717</v>
      </c>
      <c r="B5031" s="68" t="s">
        <v>664</v>
      </c>
      <c r="C5031" s="60" t="s">
        <v>4610</v>
      </c>
      <c r="D5031" s="60"/>
      <c r="E5031" s="74">
        <v>2023</v>
      </c>
      <c r="F5031" s="74" t="s">
        <v>489</v>
      </c>
      <c r="G5031" s="61">
        <v>1</v>
      </c>
      <c r="H5031" s="61">
        <v>5</v>
      </c>
      <c r="I5031" s="61">
        <v>41.305589999999995</v>
      </c>
    </row>
    <row r="5032" spans="1:9" s="71" customFormat="1" ht="24" hidden="1" customHeight="1" outlineLevel="1" x14ac:dyDescent="0.25">
      <c r="A5032" s="74">
        <v>6237</v>
      </c>
      <c r="B5032" s="68" t="s">
        <v>664</v>
      </c>
      <c r="C5032" s="60" t="s">
        <v>4611</v>
      </c>
      <c r="D5032" s="60"/>
      <c r="E5032" s="74">
        <v>2023</v>
      </c>
      <c r="F5032" s="74" t="s">
        <v>489</v>
      </c>
      <c r="G5032" s="61">
        <v>1</v>
      </c>
      <c r="H5032" s="61">
        <v>13</v>
      </c>
      <c r="I5032" s="61">
        <v>42.174230000000001</v>
      </c>
    </row>
    <row r="5033" spans="1:9" s="71" customFormat="1" ht="24" hidden="1" customHeight="1" outlineLevel="1" x14ac:dyDescent="0.25">
      <c r="A5033" s="74">
        <v>1663</v>
      </c>
      <c r="B5033" s="68" t="s">
        <v>664</v>
      </c>
      <c r="C5033" s="60" t="s">
        <v>4612</v>
      </c>
      <c r="D5033" s="60"/>
      <c r="E5033" s="74">
        <v>2023</v>
      </c>
      <c r="F5033" s="74" t="s">
        <v>489</v>
      </c>
      <c r="G5033" s="61">
        <v>1</v>
      </c>
      <c r="H5033" s="61">
        <v>10</v>
      </c>
      <c r="I5033" s="61">
        <v>37.928849999999997</v>
      </c>
    </row>
    <row r="5034" spans="1:9" s="71" customFormat="1" ht="24" hidden="1" customHeight="1" outlineLevel="1" x14ac:dyDescent="0.25">
      <c r="A5034" s="74">
        <v>1239</v>
      </c>
      <c r="B5034" s="68" t="s">
        <v>664</v>
      </c>
      <c r="C5034" s="60" t="s">
        <v>4613</v>
      </c>
      <c r="D5034" s="60"/>
      <c r="E5034" s="74">
        <v>2023</v>
      </c>
      <c r="F5034" s="74" t="s">
        <v>489</v>
      </c>
      <c r="G5034" s="61">
        <v>1</v>
      </c>
      <c r="H5034" s="61">
        <v>1</v>
      </c>
      <c r="I5034" s="61">
        <v>42.174250000000001</v>
      </c>
    </row>
    <row r="5035" spans="1:9" s="71" customFormat="1" ht="24" hidden="1" customHeight="1" outlineLevel="1" x14ac:dyDescent="0.25">
      <c r="A5035" s="74">
        <v>1049</v>
      </c>
      <c r="B5035" s="68" t="s">
        <v>664</v>
      </c>
      <c r="C5035" s="60" t="s">
        <v>4614</v>
      </c>
      <c r="D5035" s="60"/>
      <c r="E5035" s="74">
        <v>2023</v>
      </c>
      <c r="F5035" s="74" t="s">
        <v>489</v>
      </c>
      <c r="G5035" s="61">
        <v>1</v>
      </c>
      <c r="H5035" s="61">
        <v>15</v>
      </c>
      <c r="I5035" s="61">
        <v>41.826800000000006</v>
      </c>
    </row>
    <row r="5036" spans="1:9" s="71" customFormat="1" ht="24" hidden="1" customHeight="1" outlineLevel="1" x14ac:dyDescent="0.25">
      <c r="A5036" s="74">
        <v>677</v>
      </c>
      <c r="B5036" s="68" t="s">
        <v>664</v>
      </c>
      <c r="C5036" s="60" t="s">
        <v>4615</v>
      </c>
      <c r="D5036" s="60"/>
      <c r="E5036" s="74">
        <v>2023</v>
      </c>
      <c r="F5036" s="74" t="s">
        <v>489</v>
      </c>
      <c r="G5036" s="61">
        <v>1</v>
      </c>
      <c r="H5036" s="61">
        <v>5</v>
      </c>
      <c r="I5036" s="61">
        <v>5.3795400000000004</v>
      </c>
    </row>
    <row r="5037" spans="1:9" s="71" customFormat="1" ht="24" hidden="1" customHeight="1" outlineLevel="1" x14ac:dyDescent="0.25">
      <c r="A5037" s="74">
        <v>696</v>
      </c>
      <c r="B5037" s="68" t="s">
        <v>664</v>
      </c>
      <c r="C5037" s="60" t="s">
        <v>4616</v>
      </c>
      <c r="D5037" s="60"/>
      <c r="E5037" s="74">
        <v>2023</v>
      </c>
      <c r="F5037" s="74" t="s">
        <v>489</v>
      </c>
      <c r="G5037" s="61">
        <v>1</v>
      </c>
      <c r="H5037" s="61">
        <v>10</v>
      </c>
      <c r="I5037" s="61">
        <v>3.6007700000000002</v>
      </c>
    </row>
    <row r="5038" spans="1:9" s="71" customFormat="1" ht="24" hidden="1" customHeight="1" outlineLevel="1" x14ac:dyDescent="0.25">
      <c r="A5038" s="74">
        <v>3687</v>
      </c>
      <c r="B5038" s="68" t="s">
        <v>664</v>
      </c>
      <c r="C5038" s="60" t="s">
        <v>4617</v>
      </c>
      <c r="D5038" s="60"/>
      <c r="E5038" s="74">
        <v>2023</v>
      </c>
      <c r="F5038" s="74" t="s">
        <v>489</v>
      </c>
      <c r="G5038" s="61">
        <v>1</v>
      </c>
      <c r="H5038" s="61">
        <v>10</v>
      </c>
      <c r="I5038" s="61">
        <v>6.2398799999999994</v>
      </c>
    </row>
    <row r="5039" spans="1:9" s="71" customFormat="1" ht="24" hidden="1" customHeight="1" outlineLevel="1" x14ac:dyDescent="0.25">
      <c r="A5039" s="74">
        <v>3680</v>
      </c>
      <c r="B5039" s="68" t="s">
        <v>664</v>
      </c>
      <c r="C5039" s="60" t="s">
        <v>4618</v>
      </c>
      <c r="D5039" s="60"/>
      <c r="E5039" s="74">
        <v>2023</v>
      </c>
      <c r="F5039" s="74" t="s">
        <v>489</v>
      </c>
      <c r="G5039" s="61">
        <v>1</v>
      </c>
      <c r="H5039" s="61">
        <v>15</v>
      </c>
      <c r="I5039" s="61">
        <v>4.4823599999999999</v>
      </c>
    </row>
    <row r="5040" spans="1:9" s="71" customFormat="1" ht="24" hidden="1" customHeight="1" outlineLevel="1" x14ac:dyDescent="0.25">
      <c r="A5040" s="74">
        <v>3505</v>
      </c>
      <c r="B5040" s="68" t="s">
        <v>664</v>
      </c>
      <c r="C5040" s="60" t="s">
        <v>4619</v>
      </c>
      <c r="D5040" s="60"/>
      <c r="E5040" s="74">
        <v>2023</v>
      </c>
      <c r="F5040" s="74" t="s">
        <v>489</v>
      </c>
      <c r="G5040" s="61">
        <v>1</v>
      </c>
      <c r="H5040" s="61">
        <v>10</v>
      </c>
      <c r="I5040" s="61">
        <v>4.5007200000000003</v>
      </c>
    </row>
    <row r="5041" spans="1:9" s="71" customFormat="1" ht="24" hidden="1" customHeight="1" outlineLevel="1" x14ac:dyDescent="0.25">
      <c r="A5041" s="74">
        <v>3515</v>
      </c>
      <c r="B5041" s="68" t="s">
        <v>664</v>
      </c>
      <c r="C5041" s="60" t="s">
        <v>4620</v>
      </c>
      <c r="D5041" s="60"/>
      <c r="E5041" s="74">
        <v>2023</v>
      </c>
      <c r="F5041" s="74" t="s">
        <v>489</v>
      </c>
      <c r="G5041" s="61">
        <v>1</v>
      </c>
      <c r="H5041" s="61">
        <v>15</v>
      </c>
      <c r="I5041" s="61">
        <v>4.5007200000000003</v>
      </c>
    </row>
    <row r="5042" spans="1:9" s="71" customFormat="1" ht="24" hidden="1" customHeight="1" outlineLevel="1" x14ac:dyDescent="0.25">
      <c r="A5042" s="74">
        <v>3497</v>
      </c>
      <c r="B5042" s="68" t="s">
        <v>664</v>
      </c>
      <c r="C5042" s="60" t="s">
        <v>4621</v>
      </c>
      <c r="D5042" s="60"/>
      <c r="E5042" s="74">
        <v>2023</v>
      </c>
      <c r="F5042" s="74" t="s">
        <v>489</v>
      </c>
      <c r="G5042" s="61">
        <v>1</v>
      </c>
      <c r="H5042" s="61">
        <v>15</v>
      </c>
      <c r="I5042" s="61">
        <v>2.7241000000000004</v>
      </c>
    </row>
    <row r="5043" spans="1:9" s="71" customFormat="1" ht="24" hidden="1" customHeight="1" outlineLevel="1" x14ac:dyDescent="0.25">
      <c r="A5043" s="74">
        <v>6243</v>
      </c>
      <c r="B5043" s="68" t="s">
        <v>664</v>
      </c>
      <c r="C5043" s="60" t="s">
        <v>4622</v>
      </c>
      <c r="D5043" s="60"/>
      <c r="E5043" s="74">
        <v>2023</v>
      </c>
      <c r="F5043" s="74" t="s">
        <v>489</v>
      </c>
      <c r="G5043" s="61">
        <v>1</v>
      </c>
      <c r="H5043" s="61">
        <v>4</v>
      </c>
      <c r="I5043" s="61">
        <v>4.4816000000000003</v>
      </c>
    </row>
    <row r="5044" spans="1:9" s="71" customFormat="1" ht="24" hidden="1" customHeight="1" outlineLevel="1" x14ac:dyDescent="0.25">
      <c r="A5044" s="74">
        <v>6244</v>
      </c>
      <c r="B5044" s="68" t="s">
        <v>664</v>
      </c>
      <c r="C5044" s="60" t="s">
        <v>4623</v>
      </c>
      <c r="D5044" s="60"/>
      <c r="E5044" s="74">
        <v>2023</v>
      </c>
      <c r="F5044" s="74" t="s">
        <v>489</v>
      </c>
      <c r="G5044" s="61">
        <v>1</v>
      </c>
      <c r="H5044" s="61">
        <v>4</v>
      </c>
      <c r="I5044" s="61">
        <v>5.3795299999999999</v>
      </c>
    </row>
    <row r="5045" spans="1:9" s="71" customFormat="1" ht="24" hidden="1" customHeight="1" outlineLevel="1" x14ac:dyDescent="0.25">
      <c r="A5045" s="74">
        <v>6245</v>
      </c>
      <c r="B5045" s="68" t="s">
        <v>664</v>
      </c>
      <c r="C5045" s="60" t="s">
        <v>4624</v>
      </c>
      <c r="D5045" s="60"/>
      <c r="E5045" s="74">
        <v>2023</v>
      </c>
      <c r="F5045" s="74" t="s">
        <v>489</v>
      </c>
      <c r="G5045" s="61">
        <v>1</v>
      </c>
      <c r="H5045" s="61">
        <v>4</v>
      </c>
      <c r="I5045" s="61">
        <v>3.6019299999999999</v>
      </c>
    </row>
    <row r="5046" spans="1:9" s="71" customFormat="1" ht="24" hidden="1" customHeight="1" outlineLevel="1" x14ac:dyDescent="0.25">
      <c r="A5046" s="74">
        <v>6246</v>
      </c>
      <c r="B5046" s="68" t="s">
        <v>664</v>
      </c>
      <c r="C5046" s="60" t="s">
        <v>4625</v>
      </c>
      <c r="D5046" s="60"/>
      <c r="E5046" s="74">
        <v>2023</v>
      </c>
      <c r="F5046" s="74" t="s">
        <v>489</v>
      </c>
      <c r="G5046" s="61">
        <v>1</v>
      </c>
      <c r="H5046" s="61">
        <v>4</v>
      </c>
      <c r="I5046" s="61">
        <v>4.4801099999999998</v>
      </c>
    </row>
    <row r="5047" spans="1:9" s="71" customFormat="1" ht="24" hidden="1" customHeight="1" outlineLevel="1" x14ac:dyDescent="0.25">
      <c r="A5047" s="74">
        <v>3493</v>
      </c>
      <c r="B5047" s="68" t="s">
        <v>664</v>
      </c>
      <c r="C5047" s="60" t="s">
        <v>4626</v>
      </c>
      <c r="D5047" s="60"/>
      <c r="E5047" s="74">
        <v>2023</v>
      </c>
      <c r="F5047" s="74" t="s">
        <v>489</v>
      </c>
      <c r="G5047" s="61">
        <v>1</v>
      </c>
      <c r="H5047" s="61">
        <v>15</v>
      </c>
      <c r="I5047" s="61">
        <v>5.3599600000000001</v>
      </c>
    </row>
    <row r="5048" spans="1:9" s="71" customFormat="1" ht="24" hidden="1" customHeight="1" outlineLevel="1" x14ac:dyDescent="0.25">
      <c r="A5048" s="74">
        <v>3502</v>
      </c>
      <c r="B5048" s="68" t="s">
        <v>664</v>
      </c>
      <c r="C5048" s="60" t="s">
        <v>4627</v>
      </c>
      <c r="D5048" s="60"/>
      <c r="E5048" s="74">
        <v>2023</v>
      </c>
      <c r="F5048" s="74" t="s">
        <v>489</v>
      </c>
      <c r="G5048" s="61">
        <v>1</v>
      </c>
      <c r="H5048" s="61">
        <v>15</v>
      </c>
      <c r="I5048" s="61">
        <v>4.4811499999999995</v>
      </c>
    </row>
    <row r="5049" spans="1:9" s="71" customFormat="1" ht="24" hidden="1" customHeight="1" outlineLevel="1" x14ac:dyDescent="0.25">
      <c r="A5049" s="74">
        <v>3499</v>
      </c>
      <c r="B5049" s="68" t="s">
        <v>664</v>
      </c>
      <c r="C5049" s="60" t="s">
        <v>4628</v>
      </c>
      <c r="D5049" s="60"/>
      <c r="E5049" s="74">
        <v>2023</v>
      </c>
      <c r="F5049" s="74" t="s">
        <v>489</v>
      </c>
      <c r="G5049" s="61">
        <v>1</v>
      </c>
      <c r="H5049" s="61">
        <v>10</v>
      </c>
      <c r="I5049" s="61">
        <v>5.3795299999999999</v>
      </c>
    </row>
    <row r="5050" spans="1:9" s="71" customFormat="1" ht="24" hidden="1" customHeight="1" outlineLevel="1" x14ac:dyDescent="0.25">
      <c r="A5050" s="74">
        <v>3512</v>
      </c>
      <c r="B5050" s="68" t="s">
        <v>664</v>
      </c>
      <c r="C5050" s="60" t="s">
        <v>4629</v>
      </c>
      <c r="D5050" s="60"/>
      <c r="E5050" s="74">
        <v>2023</v>
      </c>
      <c r="F5050" s="74" t="s">
        <v>489</v>
      </c>
      <c r="G5050" s="61">
        <v>1</v>
      </c>
      <c r="H5050" s="61">
        <v>15</v>
      </c>
      <c r="I5050" s="61">
        <v>3.6019299999999999</v>
      </c>
    </row>
    <row r="5051" spans="1:9" s="71" customFormat="1" ht="24" hidden="1" customHeight="1" outlineLevel="1" x14ac:dyDescent="0.25">
      <c r="A5051" s="74">
        <v>3503</v>
      </c>
      <c r="B5051" s="68" t="s">
        <v>664</v>
      </c>
      <c r="C5051" s="60" t="s">
        <v>4630</v>
      </c>
      <c r="D5051" s="60"/>
      <c r="E5051" s="74">
        <v>2023</v>
      </c>
      <c r="F5051" s="74" t="s">
        <v>489</v>
      </c>
      <c r="G5051" s="61">
        <v>1</v>
      </c>
      <c r="H5051" s="61">
        <v>15</v>
      </c>
      <c r="I5051" s="61">
        <v>3.6019299999999999</v>
      </c>
    </row>
    <row r="5052" spans="1:9" s="71" customFormat="1" ht="24" hidden="1" customHeight="1" outlineLevel="1" x14ac:dyDescent="0.25">
      <c r="A5052" s="74">
        <v>3504</v>
      </c>
      <c r="B5052" s="68" t="s">
        <v>664</v>
      </c>
      <c r="C5052" s="60" t="s">
        <v>4631</v>
      </c>
      <c r="D5052" s="60"/>
      <c r="E5052" s="74">
        <v>2023</v>
      </c>
      <c r="F5052" s="74" t="s">
        <v>489</v>
      </c>
      <c r="G5052" s="61">
        <v>1</v>
      </c>
      <c r="H5052" s="61">
        <v>15</v>
      </c>
      <c r="I5052" s="61">
        <v>4.4806900000000001</v>
      </c>
    </row>
    <row r="5053" spans="1:9" s="71" customFormat="1" ht="24" hidden="1" customHeight="1" outlineLevel="1" x14ac:dyDescent="0.25">
      <c r="A5053" s="74">
        <v>3496</v>
      </c>
      <c r="B5053" s="68" t="s">
        <v>664</v>
      </c>
      <c r="C5053" s="60" t="s">
        <v>4632</v>
      </c>
      <c r="D5053" s="60"/>
      <c r="E5053" s="74">
        <v>2023</v>
      </c>
      <c r="F5053" s="74" t="s">
        <v>489</v>
      </c>
      <c r="G5053" s="61">
        <v>1</v>
      </c>
      <c r="H5053" s="61">
        <v>7</v>
      </c>
      <c r="I5053" s="61">
        <v>3.6019299999999999</v>
      </c>
    </row>
    <row r="5054" spans="1:9" s="71" customFormat="1" ht="24" hidden="1" customHeight="1" outlineLevel="1" x14ac:dyDescent="0.25">
      <c r="A5054" s="74">
        <v>3498</v>
      </c>
      <c r="B5054" s="68" t="s">
        <v>664</v>
      </c>
      <c r="C5054" s="60" t="s">
        <v>4633</v>
      </c>
      <c r="D5054" s="60"/>
      <c r="E5054" s="74">
        <v>2023</v>
      </c>
      <c r="F5054" s="74" t="s">
        <v>489</v>
      </c>
      <c r="G5054" s="61">
        <v>1</v>
      </c>
      <c r="H5054" s="61">
        <v>15</v>
      </c>
      <c r="I5054" s="61">
        <v>5.3594900000000001</v>
      </c>
    </row>
    <row r="5055" spans="1:9" s="71" customFormat="1" ht="24" hidden="1" customHeight="1" outlineLevel="1" x14ac:dyDescent="0.25">
      <c r="A5055" s="74">
        <v>3508</v>
      </c>
      <c r="B5055" s="68" t="s">
        <v>664</v>
      </c>
      <c r="C5055" s="60" t="s">
        <v>4634</v>
      </c>
      <c r="D5055" s="60"/>
      <c r="E5055" s="74">
        <v>2023</v>
      </c>
      <c r="F5055" s="74" t="s">
        <v>489</v>
      </c>
      <c r="G5055" s="61">
        <v>1</v>
      </c>
      <c r="H5055" s="61">
        <v>10</v>
      </c>
      <c r="I5055" s="61">
        <v>3.6219799999999998</v>
      </c>
    </row>
    <row r="5056" spans="1:9" s="71" customFormat="1" ht="24" hidden="1" customHeight="1" outlineLevel="1" x14ac:dyDescent="0.25">
      <c r="A5056" s="74">
        <v>3506</v>
      </c>
      <c r="B5056" s="68" t="s">
        <v>664</v>
      </c>
      <c r="C5056" s="60" t="s">
        <v>4635</v>
      </c>
      <c r="D5056" s="60"/>
      <c r="E5056" s="74">
        <v>2023</v>
      </c>
      <c r="F5056" s="74" t="s">
        <v>489</v>
      </c>
      <c r="G5056" s="61">
        <v>1</v>
      </c>
      <c r="H5056" s="61">
        <v>15</v>
      </c>
      <c r="I5056" s="61">
        <v>3.6013500000000001</v>
      </c>
    </row>
    <row r="5057" spans="1:9" s="71" customFormat="1" ht="24" hidden="1" customHeight="1" outlineLevel="1" x14ac:dyDescent="0.25">
      <c r="A5057" s="74">
        <v>3444</v>
      </c>
      <c r="B5057" s="68" t="s">
        <v>664</v>
      </c>
      <c r="C5057" s="60" t="s">
        <v>4636</v>
      </c>
      <c r="D5057" s="60"/>
      <c r="E5057" s="74">
        <v>2023</v>
      </c>
      <c r="F5057" s="74" t="s">
        <v>489</v>
      </c>
      <c r="G5057" s="61">
        <v>1</v>
      </c>
      <c r="H5057" s="61">
        <v>12</v>
      </c>
      <c r="I5057" s="61">
        <v>4.4801099999999998</v>
      </c>
    </row>
    <row r="5058" spans="1:9" s="71" customFormat="1" ht="24" hidden="1" customHeight="1" outlineLevel="1" x14ac:dyDescent="0.25">
      <c r="A5058" s="74">
        <v>3443</v>
      </c>
      <c r="B5058" s="68" t="s">
        <v>664</v>
      </c>
      <c r="C5058" s="60" t="s">
        <v>4637</v>
      </c>
      <c r="D5058" s="60"/>
      <c r="E5058" s="74">
        <v>2023</v>
      </c>
      <c r="F5058" s="74" t="s">
        <v>489</v>
      </c>
      <c r="G5058" s="61">
        <v>1</v>
      </c>
      <c r="H5058" s="61">
        <v>15</v>
      </c>
      <c r="I5058" s="61">
        <v>5.3589099999999998</v>
      </c>
    </row>
    <row r="5059" spans="1:9" s="71" customFormat="1" ht="24" hidden="1" customHeight="1" outlineLevel="1" x14ac:dyDescent="0.25">
      <c r="A5059" s="74">
        <v>3510</v>
      </c>
      <c r="B5059" s="68" t="s">
        <v>664</v>
      </c>
      <c r="C5059" s="60" t="s">
        <v>4638</v>
      </c>
      <c r="D5059" s="60"/>
      <c r="E5059" s="74">
        <v>2023</v>
      </c>
      <c r="F5059" s="74" t="s">
        <v>489</v>
      </c>
      <c r="G5059" s="61">
        <v>1</v>
      </c>
      <c r="H5059" s="61">
        <v>15</v>
      </c>
      <c r="I5059" s="61">
        <v>7.995169999999999</v>
      </c>
    </row>
    <row r="5060" spans="1:9" s="71" customFormat="1" ht="24" hidden="1" customHeight="1" outlineLevel="1" x14ac:dyDescent="0.25">
      <c r="A5060" s="74">
        <v>6247</v>
      </c>
      <c r="B5060" s="68" t="s">
        <v>664</v>
      </c>
      <c r="C5060" s="60" t="s">
        <v>4639</v>
      </c>
      <c r="D5060" s="60"/>
      <c r="E5060" s="74">
        <v>2023</v>
      </c>
      <c r="F5060" s="74" t="s">
        <v>489</v>
      </c>
      <c r="G5060" s="61">
        <v>1</v>
      </c>
      <c r="H5060" s="61">
        <v>7</v>
      </c>
      <c r="I5060" s="61">
        <v>3.6013500000000001</v>
      </c>
    </row>
    <row r="5061" spans="1:9" s="71" customFormat="1" ht="24" hidden="1" customHeight="1" outlineLevel="1" x14ac:dyDescent="0.25">
      <c r="A5061" s="74">
        <v>3726</v>
      </c>
      <c r="B5061" s="68" t="s">
        <v>664</v>
      </c>
      <c r="C5061" s="60" t="s">
        <v>4640</v>
      </c>
      <c r="D5061" s="60"/>
      <c r="E5061" s="74">
        <v>2023</v>
      </c>
      <c r="F5061" s="74" t="s">
        <v>489</v>
      </c>
      <c r="G5061" s="61">
        <v>1</v>
      </c>
      <c r="H5061" s="61">
        <v>15</v>
      </c>
      <c r="I5061" s="61">
        <v>2.7432600000000003</v>
      </c>
    </row>
    <row r="5062" spans="1:9" s="71" customFormat="1" ht="24" hidden="1" customHeight="1" outlineLevel="1" x14ac:dyDescent="0.25">
      <c r="A5062" s="74">
        <v>723</v>
      </c>
      <c r="B5062" s="68" t="s">
        <v>664</v>
      </c>
      <c r="C5062" s="60" t="s">
        <v>4641</v>
      </c>
      <c r="D5062" s="60"/>
      <c r="E5062" s="74">
        <v>2023</v>
      </c>
      <c r="F5062" s="74" t="s">
        <v>489</v>
      </c>
      <c r="G5062" s="61">
        <v>1</v>
      </c>
      <c r="H5062" s="61">
        <v>15</v>
      </c>
      <c r="I5062" s="61">
        <v>3.6036200000000003</v>
      </c>
    </row>
    <row r="5063" spans="1:9" s="71" customFormat="1" ht="24" hidden="1" customHeight="1" outlineLevel="1" x14ac:dyDescent="0.25">
      <c r="A5063" s="74">
        <v>3689</v>
      </c>
      <c r="B5063" s="68" t="s">
        <v>664</v>
      </c>
      <c r="C5063" s="60" t="s">
        <v>4642</v>
      </c>
      <c r="D5063" s="60"/>
      <c r="E5063" s="74">
        <v>2023</v>
      </c>
      <c r="F5063" s="74" t="s">
        <v>489</v>
      </c>
      <c r="G5063" s="61">
        <v>1</v>
      </c>
      <c r="H5063" s="61">
        <v>15</v>
      </c>
      <c r="I5063" s="61">
        <v>2.7248699999999997</v>
      </c>
    </row>
    <row r="5064" spans="1:9" s="71" customFormat="1" ht="24" hidden="1" customHeight="1" outlineLevel="1" x14ac:dyDescent="0.25">
      <c r="A5064" s="74">
        <v>3511</v>
      </c>
      <c r="B5064" s="68" t="s">
        <v>664</v>
      </c>
      <c r="C5064" s="60" t="s">
        <v>4643</v>
      </c>
      <c r="D5064" s="60"/>
      <c r="E5064" s="74">
        <v>2023</v>
      </c>
      <c r="F5064" s="74" t="s">
        <v>489</v>
      </c>
      <c r="G5064" s="61">
        <v>1</v>
      </c>
      <c r="H5064" s="61">
        <v>15</v>
      </c>
      <c r="I5064" s="61">
        <v>2.7232199999999995</v>
      </c>
    </row>
    <row r="5065" spans="1:9" s="71" customFormat="1" ht="24" hidden="1" customHeight="1" outlineLevel="1" x14ac:dyDescent="0.25">
      <c r="A5065" s="74">
        <v>3509</v>
      </c>
      <c r="B5065" s="68" t="s">
        <v>664</v>
      </c>
      <c r="C5065" s="60" t="s">
        <v>4644</v>
      </c>
      <c r="D5065" s="60"/>
      <c r="E5065" s="74">
        <v>2023</v>
      </c>
      <c r="F5065" s="74" t="s">
        <v>489</v>
      </c>
      <c r="G5065" s="61">
        <v>1</v>
      </c>
      <c r="H5065" s="61">
        <v>15</v>
      </c>
      <c r="I5065" s="61">
        <v>3.6013500000000001</v>
      </c>
    </row>
    <row r="5066" spans="1:9" s="71" customFormat="1" ht="24" hidden="1" customHeight="1" outlineLevel="1" x14ac:dyDescent="0.25">
      <c r="A5066" s="74">
        <v>6250</v>
      </c>
      <c r="B5066" s="68" t="s">
        <v>664</v>
      </c>
      <c r="C5066" s="60" t="s">
        <v>4645</v>
      </c>
      <c r="D5066" s="60"/>
      <c r="E5066" s="74">
        <v>2023</v>
      </c>
      <c r="F5066" s="74" t="s">
        <v>489</v>
      </c>
      <c r="G5066" s="61">
        <v>1</v>
      </c>
      <c r="H5066" s="61">
        <v>5.5</v>
      </c>
      <c r="I5066" s="61">
        <v>41.540549999999996</v>
      </c>
    </row>
    <row r="5067" spans="1:9" s="71" customFormat="1" ht="24" hidden="1" customHeight="1" outlineLevel="1" x14ac:dyDescent="0.25">
      <c r="A5067" s="74">
        <v>6251</v>
      </c>
      <c r="B5067" s="68" t="s">
        <v>664</v>
      </c>
      <c r="C5067" s="60" t="s">
        <v>4646</v>
      </c>
      <c r="D5067" s="60"/>
      <c r="E5067" s="74">
        <v>2023</v>
      </c>
      <c r="F5067" s="74" t="s">
        <v>489</v>
      </c>
      <c r="G5067" s="61">
        <v>1</v>
      </c>
      <c r="H5067" s="61">
        <v>10</v>
      </c>
      <c r="I5067" s="61">
        <v>40.470600000000005</v>
      </c>
    </row>
    <row r="5068" spans="1:9" s="71" customFormat="1" ht="24" hidden="1" customHeight="1" outlineLevel="1" x14ac:dyDescent="0.25">
      <c r="A5068" s="74">
        <v>6252</v>
      </c>
      <c r="B5068" s="68" t="s">
        <v>664</v>
      </c>
      <c r="C5068" s="60" t="s">
        <v>4647</v>
      </c>
      <c r="D5068" s="60"/>
      <c r="E5068" s="74">
        <v>2023</v>
      </c>
      <c r="F5068" s="74" t="s">
        <v>489</v>
      </c>
      <c r="G5068" s="61">
        <v>1</v>
      </c>
      <c r="H5068" s="61">
        <v>15</v>
      </c>
      <c r="I5068" s="61">
        <v>40.177410000000002</v>
      </c>
    </row>
    <row r="5069" spans="1:9" s="71" customFormat="1" ht="24" hidden="1" customHeight="1" outlineLevel="1" x14ac:dyDescent="0.25">
      <c r="A5069" s="74">
        <v>6254</v>
      </c>
      <c r="B5069" s="68" t="s">
        <v>664</v>
      </c>
      <c r="C5069" s="60" t="s">
        <v>4648</v>
      </c>
      <c r="D5069" s="60"/>
      <c r="E5069" s="74">
        <v>2023</v>
      </c>
      <c r="F5069" s="74" t="s">
        <v>489</v>
      </c>
      <c r="G5069" s="61">
        <v>1</v>
      </c>
      <c r="H5069" s="61">
        <v>25</v>
      </c>
      <c r="I5069" s="61">
        <v>42.182380000000002</v>
      </c>
    </row>
    <row r="5070" spans="1:9" s="71" customFormat="1" ht="24" hidden="1" customHeight="1" outlineLevel="1" x14ac:dyDescent="0.25">
      <c r="A5070" s="74">
        <v>6255</v>
      </c>
      <c r="B5070" s="68" t="s">
        <v>664</v>
      </c>
      <c r="C5070" s="60" t="s">
        <v>4649</v>
      </c>
      <c r="D5070" s="60"/>
      <c r="E5070" s="74">
        <v>2023</v>
      </c>
      <c r="F5070" s="74" t="s">
        <v>489</v>
      </c>
      <c r="G5070" s="61">
        <v>1</v>
      </c>
      <c r="H5070" s="61">
        <v>15</v>
      </c>
      <c r="I5070" s="61">
        <v>40.17897</v>
      </c>
    </row>
    <row r="5071" spans="1:9" s="71" customFormat="1" ht="24" hidden="1" customHeight="1" outlineLevel="1" x14ac:dyDescent="0.25">
      <c r="A5071" s="74">
        <v>1781</v>
      </c>
      <c r="B5071" s="68" t="s">
        <v>664</v>
      </c>
      <c r="C5071" s="60" t="s">
        <v>4650</v>
      </c>
      <c r="D5071" s="60"/>
      <c r="E5071" s="74">
        <v>2023</v>
      </c>
      <c r="F5071" s="74" t="s">
        <v>489</v>
      </c>
      <c r="G5071" s="61">
        <v>1</v>
      </c>
      <c r="H5071" s="61">
        <v>3</v>
      </c>
      <c r="I5071" s="61">
        <v>39.536260000000006</v>
      </c>
    </row>
    <row r="5072" spans="1:9" s="71" customFormat="1" ht="24" hidden="1" customHeight="1" outlineLevel="1" x14ac:dyDescent="0.25">
      <c r="A5072" s="74">
        <v>1782</v>
      </c>
      <c r="B5072" s="68" t="s">
        <v>664</v>
      </c>
      <c r="C5072" s="60" t="s">
        <v>4651</v>
      </c>
      <c r="D5072" s="60"/>
      <c r="E5072" s="74">
        <v>2023</v>
      </c>
      <c r="F5072" s="74" t="s">
        <v>489</v>
      </c>
      <c r="G5072" s="61">
        <v>1</v>
      </c>
      <c r="H5072" s="61">
        <v>10</v>
      </c>
      <c r="I5072" s="61">
        <v>39.40981</v>
      </c>
    </row>
    <row r="5073" spans="1:9" s="71" customFormat="1" ht="24" hidden="1" customHeight="1" outlineLevel="1" x14ac:dyDescent="0.25">
      <c r="A5073" s="74">
        <v>6264</v>
      </c>
      <c r="B5073" s="68" t="s">
        <v>664</v>
      </c>
      <c r="C5073" s="60" t="s">
        <v>4652</v>
      </c>
      <c r="D5073" s="60"/>
      <c r="E5073" s="74">
        <v>2023</v>
      </c>
      <c r="F5073" s="74" t="s">
        <v>489</v>
      </c>
      <c r="G5073" s="61">
        <v>1</v>
      </c>
      <c r="H5073" s="61">
        <v>10</v>
      </c>
      <c r="I5073" s="61">
        <v>36.825760000000002</v>
      </c>
    </row>
    <row r="5074" spans="1:9" s="71" customFormat="1" ht="24" hidden="1" customHeight="1" outlineLevel="1" x14ac:dyDescent="0.25">
      <c r="A5074" s="74">
        <v>1163</v>
      </c>
      <c r="B5074" s="68" t="s">
        <v>664</v>
      </c>
      <c r="C5074" s="60" t="s">
        <v>4653</v>
      </c>
      <c r="D5074" s="60"/>
      <c r="E5074" s="74">
        <v>2023</v>
      </c>
      <c r="F5074" s="74" t="s">
        <v>489</v>
      </c>
      <c r="G5074" s="61">
        <v>1</v>
      </c>
      <c r="H5074" s="61">
        <v>15</v>
      </c>
      <c r="I5074" s="61">
        <v>36.826130000000006</v>
      </c>
    </row>
    <row r="5075" spans="1:9" s="71" customFormat="1" ht="24" hidden="1" customHeight="1" outlineLevel="1" x14ac:dyDescent="0.25">
      <c r="A5075" s="74">
        <v>6265</v>
      </c>
      <c r="B5075" s="68" t="s">
        <v>664</v>
      </c>
      <c r="C5075" s="60" t="s">
        <v>4654</v>
      </c>
      <c r="D5075" s="60"/>
      <c r="E5075" s="74">
        <v>2023</v>
      </c>
      <c r="F5075" s="74" t="s">
        <v>489</v>
      </c>
      <c r="G5075" s="61">
        <v>1</v>
      </c>
      <c r="H5075" s="61">
        <v>15</v>
      </c>
      <c r="I5075" s="61">
        <v>36.826130000000006</v>
      </c>
    </row>
    <row r="5076" spans="1:9" s="71" customFormat="1" ht="24" hidden="1" customHeight="1" outlineLevel="1" x14ac:dyDescent="0.25">
      <c r="A5076" s="74">
        <v>6266</v>
      </c>
      <c r="B5076" s="68" t="s">
        <v>664</v>
      </c>
      <c r="C5076" s="60" t="s">
        <v>4655</v>
      </c>
      <c r="D5076" s="60"/>
      <c r="E5076" s="74">
        <v>2023</v>
      </c>
      <c r="F5076" s="74" t="s">
        <v>489</v>
      </c>
      <c r="G5076" s="61">
        <v>1</v>
      </c>
      <c r="H5076" s="61">
        <v>15</v>
      </c>
      <c r="I5076" s="61">
        <v>37.756119999999996</v>
      </c>
    </row>
    <row r="5077" spans="1:9" s="71" customFormat="1" ht="24" hidden="1" customHeight="1" outlineLevel="1" x14ac:dyDescent="0.25">
      <c r="A5077" s="74">
        <v>6267</v>
      </c>
      <c r="B5077" s="68" t="s">
        <v>664</v>
      </c>
      <c r="C5077" s="60" t="s">
        <v>4656</v>
      </c>
      <c r="D5077" s="60"/>
      <c r="E5077" s="74">
        <v>2023</v>
      </c>
      <c r="F5077" s="74" t="s">
        <v>489</v>
      </c>
      <c r="G5077" s="61">
        <v>1</v>
      </c>
      <c r="H5077" s="61">
        <v>15</v>
      </c>
      <c r="I5077" s="61">
        <v>37.756119999999996</v>
      </c>
    </row>
    <row r="5078" spans="1:9" s="71" customFormat="1" ht="24" hidden="1" customHeight="1" outlineLevel="1" x14ac:dyDescent="0.25">
      <c r="A5078" s="74">
        <v>6268</v>
      </c>
      <c r="B5078" s="68" t="s">
        <v>664</v>
      </c>
      <c r="C5078" s="60" t="s">
        <v>4657</v>
      </c>
      <c r="D5078" s="60"/>
      <c r="E5078" s="74">
        <v>2023</v>
      </c>
      <c r="F5078" s="74" t="s">
        <v>489</v>
      </c>
      <c r="G5078" s="61">
        <v>1</v>
      </c>
      <c r="H5078" s="61">
        <v>15</v>
      </c>
      <c r="I5078" s="61">
        <v>36.826130000000006</v>
      </c>
    </row>
    <row r="5079" spans="1:9" s="71" customFormat="1" ht="24" hidden="1" customHeight="1" outlineLevel="1" x14ac:dyDescent="0.25">
      <c r="A5079" s="74">
        <v>1197</v>
      </c>
      <c r="B5079" s="68" t="s">
        <v>664</v>
      </c>
      <c r="C5079" s="60" t="s">
        <v>4658</v>
      </c>
      <c r="D5079" s="60"/>
      <c r="E5079" s="74">
        <v>2023</v>
      </c>
      <c r="F5079" s="74" t="s">
        <v>489</v>
      </c>
      <c r="G5079" s="61">
        <v>1</v>
      </c>
      <c r="H5079" s="61">
        <v>15</v>
      </c>
      <c r="I5079" s="61">
        <v>38.68609</v>
      </c>
    </row>
    <row r="5080" spans="1:9" s="71" customFormat="1" ht="24" hidden="1" customHeight="1" outlineLevel="1" x14ac:dyDescent="0.25">
      <c r="A5080" s="74">
        <v>6269</v>
      </c>
      <c r="B5080" s="68" t="s">
        <v>664</v>
      </c>
      <c r="C5080" s="60" t="s">
        <v>4659</v>
      </c>
      <c r="D5080" s="60"/>
      <c r="E5080" s="74">
        <v>2023</v>
      </c>
      <c r="F5080" s="74" t="s">
        <v>489</v>
      </c>
      <c r="G5080" s="61">
        <v>1</v>
      </c>
      <c r="H5080" s="61">
        <v>15</v>
      </c>
      <c r="I5080" s="61">
        <v>36.826130000000006</v>
      </c>
    </row>
    <row r="5081" spans="1:9" s="71" customFormat="1" ht="24" hidden="1" customHeight="1" outlineLevel="1" x14ac:dyDescent="0.25">
      <c r="A5081" s="74">
        <v>6270</v>
      </c>
      <c r="B5081" s="68" t="s">
        <v>664</v>
      </c>
      <c r="C5081" s="60" t="s">
        <v>4660</v>
      </c>
      <c r="D5081" s="60"/>
      <c r="E5081" s="74">
        <v>2023</v>
      </c>
      <c r="F5081" s="74" t="s">
        <v>489</v>
      </c>
      <c r="G5081" s="61">
        <v>1</v>
      </c>
      <c r="H5081" s="61">
        <v>15</v>
      </c>
      <c r="I5081" s="61">
        <v>38.68609</v>
      </c>
    </row>
    <row r="5082" spans="1:9" s="71" customFormat="1" ht="24" hidden="1" customHeight="1" outlineLevel="1" x14ac:dyDescent="0.25">
      <c r="A5082" s="74">
        <v>6271</v>
      </c>
      <c r="B5082" s="68" t="s">
        <v>664</v>
      </c>
      <c r="C5082" s="60" t="s">
        <v>4661</v>
      </c>
      <c r="D5082" s="60"/>
      <c r="E5082" s="74">
        <v>2023</v>
      </c>
      <c r="F5082" s="74" t="s">
        <v>489</v>
      </c>
      <c r="G5082" s="61">
        <v>1</v>
      </c>
      <c r="H5082" s="61">
        <v>10</v>
      </c>
      <c r="I5082" s="61">
        <v>36.826130000000006</v>
      </c>
    </row>
    <row r="5083" spans="1:9" s="71" customFormat="1" ht="24" hidden="1" customHeight="1" outlineLevel="1" x14ac:dyDescent="0.25">
      <c r="A5083" s="74">
        <v>6272</v>
      </c>
      <c r="B5083" s="68" t="s">
        <v>664</v>
      </c>
      <c r="C5083" s="60" t="s">
        <v>4662</v>
      </c>
      <c r="D5083" s="60"/>
      <c r="E5083" s="74">
        <v>2023</v>
      </c>
      <c r="F5083" s="74" t="s">
        <v>489</v>
      </c>
      <c r="G5083" s="61">
        <v>1</v>
      </c>
      <c r="H5083" s="61">
        <v>10</v>
      </c>
      <c r="I5083" s="61">
        <v>36.826130000000006</v>
      </c>
    </row>
    <row r="5084" spans="1:9" s="71" customFormat="1" ht="24" hidden="1" customHeight="1" outlineLevel="1" x14ac:dyDescent="0.25">
      <c r="A5084" s="74">
        <v>6273</v>
      </c>
      <c r="B5084" s="68" t="s">
        <v>664</v>
      </c>
      <c r="C5084" s="60" t="s">
        <v>4663</v>
      </c>
      <c r="D5084" s="60"/>
      <c r="E5084" s="74">
        <v>2023</v>
      </c>
      <c r="F5084" s="74" t="s">
        <v>489</v>
      </c>
      <c r="G5084" s="61">
        <v>1</v>
      </c>
      <c r="H5084" s="61">
        <v>5</v>
      </c>
      <c r="I5084" s="61">
        <v>36.826130000000006</v>
      </c>
    </row>
    <row r="5085" spans="1:9" s="71" customFormat="1" ht="24" hidden="1" customHeight="1" outlineLevel="1" x14ac:dyDescent="0.25">
      <c r="A5085" s="74">
        <v>6274</v>
      </c>
      <c r="B5085" s="68" t="s">
        <v>664</v>
      </c>
      <c r="C5085" s="60" t="s">
        <v>4664</v>
      </c>
      <c r="D5085" s="60"/>
      <c r="E5085" s="74">
        <v>2023</v>
      </c>
      <c r="F5085" s="74" t="s">
        <v>489</v>
      </c>
      <c r="G5085" s="61">
        <v>1</v>
      </c>
      <c r="H5085" s="61">
        <v>15</v>
      </c>
      <c r="I5085" s="61">
        <v>36.826130000000006</v>
      </c>
    </row>
    <row r="5086" spans="1:9" s="71" customFormat="1" ht="24" hidden="1" customHeight="1" outlineLevel="1" x14ac:dyDescent="0.25">
      <c r="A5086" s="74">
        <v>6275</v>
      </c>
      <c r="B5086" s="68" t="s">
        <v>664</v>
      </c>
      <c r="C5086" s="60" t="s">
        <v>4665</v>
      </c>
      <c r="D5086" s="60"/>
      <c r="E5086" s="74">
        <v>2023</v>
      </c>
      <c r="F5086" s="74" t="s">
        <v>489</v>
      </c>
      <c r="G5086" s="61">
        <v>1</v>
      </c>
      <c r="H5086" s="61">
        <v>15</v>
      </c>
      <c r="I5086" s="61">
        <v>36.826130000000006</v>
      </c>
    </row>
    <row r="5087" spans="1:9" s="71" customFormat="1" ht="24" hidden="1" customHeight="1" outlineLevel="1" x14ac:dyDescent="0.25">
      <c r="A5087" s="74">
        <v>1419</v>
      </c>
      <c r="B5087" s="68" t="s">
        <v>664</v>
      </c>
      <c r="C5087" s="60" t="s">
        <v>4666</v>
      </c>
      <c r="D5087" s="60"/>
      <c r="E5087" s="74">
        <v>2023</v>
      </c>
      <c r="F5087" s="74" t="s">
        <v>489</v>
      </c>
      <c r="G5087" s="61">
        <v>1</v>
      </c>
      <c r="H5087" s="61">
        <v>5</v>
      </c>
      <c r="I5087" s="61">
        <v>37.756119999999996</v>
      </c>
    </row>
    <row r="5088" spans="1:9" s="71" customFormat="1" ht="24" hidden="1" customHeight="1" outlineLevel="1" x14ac:dyDescent="0.25">
      <c r="A5088" s="74">
        <v>6276</v>
      </c>
      <c r="B5088" s="68" t="s">
        <v>664</v>
      </c>
      <c r="C5088" s="60" t="s">
        <v>4667</v>
      </c>
      <c r="D5088" s="60"/>
      <c r="E5088" s="74">
        <v>2023</v>
      </c>
      <c r="F5088" s="74" t="s">
        <v>489</v>
      </c>
      <c r="G5088" s="61">
        <v>1</v>
      </c>
      <c r="H5088" s="61">
        <v>15</v>
      </c>
      <c r="I5088" s="61">
        <v>36.825760000000002</v>
      </c>
    </row>
    <row r="5089" spans="1:9" s="71" customFormat="1" ht="24" hidden="1" customHeight="1" outlineLevel="1" x14ac:dyDescent="0.25">
      <c r="A5089" s="74">
        <v>6277</v>
      </c>
      <c r="B5089" s="68" t="s">
        <v>664</v>
      </c>
      <c r="C5089" s="60" t="s">
        <v>4668</v>
      </c>
      <c r="D5089" s="60"/>
      <c r="E5089" s="74">
        <v>2023</v>
      </c>
      <c r="F5089" s="74" t="s">
        <v>489</v>
      </c>
      <c r="G5089" s="61">
        <v>1</v>
      </c>
      <c r="H5089" s="61">
        <v>10</v>
      </c>
      <c r="I5089" s="61">
        <v>36.8245</v>
      </c>
    </row>
    <row r="5090" spans="1:9" s="71" customFormat="1" ht="24" hidden="1" customHeight="1" outlineLevel="1" x14ac:dyDescent="0.25">
      <c r="A5090" s="74">
        <v>6278</v>
      </c>
      <c r="B5090" s="68" t="s">
        <v>664</v>
      </c>
      <c r="C5090" s="60" t="s">
        <v>4669</v>
      </c>
      <c r="D5090" s="60"/>
      <c r="E5090" s="74">
        <v>2023</v>
      </c>
      <c r="F5090" s="74" t="s">
        <v>489</v>
      </c>
      <c r="G5090" s="61">
        <v>1</v>
      </c>
      <c r="H5090" s="61">
        <v>15</v>
      </c>
      <c r="I5090" s="61">
        <v>37.756119999999996</v>
      </c>
    </row>
    <row r="5091" spans="1:9" s="71" customFormat="1" ht="24" hidden="1" customHeight="1" outlineLevel="1" x14ac:dyDescent="0.25">
      <c r="A5091" s="74">
        <v>6279</v>
      </c>
      <c r="B5091" s="68" t="s">
        <v>664</v>
      </c>
      <c r="C5091" s="60" t="s">
        <v>4670</v>
      </c>
      <c r="D5091" s="60"/>
      <c r="E5091" s="74">
        <v>2023</v>
      </c>
      <c r="F5091" s="74" t="s">
        <v>489</v>
      </c>
      <c r="G5091" s="61">
        <v>1</v>
      </c>
      <c r="H5091" s="61">
        <v>15</v>
      </c>
      <c r="I5091" s="61">
        <v>36.826130000000006</v>
      </c>
    </row>
    <row r="5092" spans="1:9" s="71" customFormat="1" ht="24" hidden="1" customHeight="1" outlineLevel="1" x14ac:dyDescent="0.25">
      <c r="A5092" s="74">
        <v>6280</v>
      </c>
      <c r="B5092" s="68" t="s">
        <v>664</v>
      </c>
      <c r="C5092" s="60" t="s">
        <v>4671</v>
      </c>
      <c r="D5092" s="60"/>
      <c r="E5092" s="74">
        <v>2023</v>
      </c>
      <c r="F5092" s="74" t="s">
        <v>489</v>
      </c>
      <c r="G5092" s="61">
        <v>1</v>
      </c>
      <c r="H5092" s="61">
        <v>10</v>
      </c>
      <c r="I5092" s="61">
        <v>36.826130000000006</v>
      </c>
    </row>
    <row r="5093" spans="1:9" s="71" customFormat="1" ht="24" hidden="1" customHeight="1" outlineLevel="1" x14ac:dyDescent="0.25">
      <c r="A5093" s="74">
        <v>6281</v>
      </c>
      <c r="B5093" s="68" t="s">
        <v>664</v>
      </c>
      <c r="C5093" s="60" t="s">
        <v>4672</v>
      </c>
      <c r="D5093" s="60"/>
      <c r="E5093" s="74">
        <v>2023</v>
      </c>
      <c r="F5093" s="74" t="s">
        <v>489</v>
      </c>
      <c r="G5093" s="61">
        <v>1</v>
      </c>
      <c r="H5093" s="61">
        <v>15</v>
      </c>
      <c r="I5093" s="61">
        <v>36.826130000000006</v>
      </c>
    </row>
    <row r="5094" spans="1:9" s="71" customFormat="1" ht="24" hidden="1" customHeight="1" outlineLevel="1" x14ac:dyDescent="0.25">
      <c r="A5094" s="74">
        <v>6282</v>
      </c>
      <c r="B5094" s="68" t="s">
        <v>664</v>
      </c>
      <c r="C5094" s="60" t="s">
        <v>4673</v>
      </c>
      <c r="D5094" s="60"/>
      <c r="E5094" s="74">
        <v>2023</v>
      </c>
      <c r="F5094" s="74" t="s">
        <v>489</v>
      </c>
      <c r="G5094" s="61">
        <v>1</v>
      </c>
      <c r="H5094" s="61">
        <v>15</v>
      </c>
      <c r="I5094" s="61">
        <v>36.826130000000006</v>
      </c>
    </row>
    <row r="5095" spans="1:9" s="71" customFormat="1" ht="24" hidden="1" customHeight="1" outlineLevel="1" x14ac:dyDescent="0.25">
      <c r="A5095" s="74">
        <v>6283</v>
      </c>
      <c r="B5095" s="68" t="s">
        <v>664</v>
      </c>
      <c r="C5095" s="60" t="s">
        <v>4674</v>
      </c>
      <c r="D5095" s="60"/>
      <c r="E5095" s="74">
        <v>2023</v>
      </c>
      <c r="F5095" s="74" t="s">
        <v>489</v>
      </c>
      <c r="G5095" s="61">
        <v>1</v>
      </c>
      <c r="H5095" s="61">
        <v>15</v>
      </c>
      <c r="I5095" s="61">
        <v>37.756119999999996</v>
      </c>
    </row>
    <row r="5096" spans="1:9" s="71" customFormat="1" ht="24" hidden="1" customHeight="1" outlineLevel="1" x14ac:dyDescent="0.25">
      <c r="A5096" s="74">
        <v>1454</v>
      </c>
      <c r="B5096" s="68" t="s">
        <v>664</v>
      </c>
      <c r="C5096" s="60" t="s">
        <v>4675</v>
      </c>
      <c r="D5096" s="60"/>
      <c r="E5096" s="74">
        <v>2023</v>
      </c>
      <c r="F5096" s="74" t="s">
        <v>489</v>
      </c>
      <c r="G5096" s="61">
        <v>1</v>
      </c>
      <c r="H5096" s="61">
        <v>5</v>
      </c>
      <c r="I5096" s="61">
        <v>36.826430000000002</v>
      </c>
    </row>
    <row r="5097" spans="1:9" s="71" customFormat="1" ht="24" hidden="1" customHeight="1" outlineLevel="1" x14ac:dyDescent="0.25">
      <c r="A5097" s="74">
        <v>759</v>
      </c>
      <c r="B5097" s="68" t="s">
        <v>664</v>
      </c>
      <c r="C5097" s="60" t="s">
        <v>4676</v>
      </c>
      <c r="D5097" s="60"/>
      <c r="E5097" s="74">
        <v>2023</v>
      </c>
      <c r="F5097" s="74" t="s">
        <v>489</v>
      </c>
      <c r="G5097" s="61">
        <v>1</v>
      </c>
      <c r="H5097" s="61">
        <v>1</v>
      </c>
      <c r="I5097" s="61">
        <v>37.756119999999996</v>
      </c>
    </row>
    <row r="5098" spans="1:9" s="71" customFormat="1" ht="24" hidden="1" customHeight="1" outlineLevel="1" x14ac:dyDescent="0.25">
      <c r="A5098" s="74">
        <v>6284</v>
      </c>
      <c r="B5098" s="68" t="s">
        <v>664</v>
      </c>
      <c r="C5098" s="60" t="s">
        <v>4677</v>
      </c>
      <c r="D5098" s="60"/>
      <c r="E5098" s="74">
        <v>2023</v>
      </c>
      <c r="F5098" s="74" t="s">
        <v>489</v>
      </c>
      <c r="G5098" s="61">
        <v>1</v>
      </c>
      <c r="H5098" s="61">
        <v>15</v>
      </c>
      <c r="I5098" s="61">
        <v>38.68609</v>
      </c>
    </row>
    <row r="5099" spans="1:9" s="71" customFormat="1" ht="24" hidden="1" customHeight="1" outlineLevel="1" x14ac:dyDescent="0.25">
      <c r="A5099" s="74">
        <v>6285</v>
      </c>
      <c r="B5099" s="68" t="s">
        <v>664</v>
      </c>
      <c r="C5099" s="60" t="s">
        <v>4678</v>
      </c>
      <c r="D5099" s="60"/>
      <c r="E5099" s="74">
        <v>2023</v>
      </c>
      <c r="F5099" s="74" t="s">
        <v>489</v>
      </c>
      <c r="G5099" s="61">
        <v>1</v>
      </c>
      <c r="H5099" s="61">
        <v>5</v>
      </c>
      <c r="I5099" s="61">
        <v>36.825569999999999</v>
      </c>
    </row>
    <row r="5100" spans="1:9" s="71" customFormat="1" ht="24" hidden="1" customHeight="1" outlineLevel="1" x14ac:dyDescent="0.25">
      <c r="A5100" s="74">
        <v>6286</v>
      </c>
      <c r="B5100" s="68" t="s">
        <v>664</v>
      </c>
      <c r="C5100" s="60" t="s">
        <v>4679</v>
      </c>
      <c r="D5100" s="60"/>
      <c r="E5100" s="74">
        <v>2023</v>
      </c>
      <c r="F5100" s="74" t="s">
        <v>489</v>
      </c>
      <c r="G5100" s="61">
        <v>1</v>
      </c>
      <c r="H5100" s="61">
        <v>15</v>
      </c>
      <c r="I5100" s="61">
        <v>37.756119999999996</v>
      </c>
    </row>
    <row r="5101" spans="1:9" s="71" customFormat="1" ht="24" hidden="1" customHeight="1" outlineLevel="1" x14ac:dyDescent="0.25">
      <c r="A5101" s="74">
        <v>1591</v>
      </c>
      <c r="B5101" s="68" t="s">
        <v>664</v>
      </c>
      <c r="C5101" s="60" t="s">
        <v>4680</v>
      </c>
      <c r="D5101" s="60"/>
      <c r="E5101" s="74">
        <v>2023</v>
      </c>
      <c r="F5101" s="74" t="s">
        <v>489</v>
      </c>
      <c r="G5101" s="61">
        <v>1</v>
      </c>
      <c r="H5101" s="61">
        <v>3</v>
      </c>
      <c r="I5101" s="61">
        <v>35.896169999999998</v>
      </c>
    </row>
    <row r="5102" spans="1:9" s="71" customFormat="1" ht="24" hidden="1" customHeight="1" outlineLevel="1" x14ac:dyDescent="0.25">
      <c r="A5102" s="74">
        <v>1586</v>
      </c>
      <c r="B5102" s="68" t="s">
        <v>664</v>
      </c>
      <c r="C5102" s="60" t="s">
        <v>4681</v>
      </c>
      <c r="D5102" s="60"/>
      <c r="E5102" s="74">
        <v>2023</v>
      </c>
      <c r="F5102" s="74" t="s">
        <v>489</v>
      </c>
      <c r="G5102" s="61">
        <v>1</v>
      </c>
      <c r="H5102" s="61">
        <v>15</v>
      </c>
      <c r="I5102" s="61">
        <v>37.756119999999996</v>
      </c>
    </row>
    <row r="5103" spans="1:9" s="71" customFormat="1" ht="24" hidden="1" customHeight="1" outlineLevel="1" x14ac:dyDescent="0.25">
      <c r="A5103" s="74">
        <v>1606</v>
      </c>
      <c r="B5103" s="68" t="s">
        <v>664</v>
      </c>
      <c r="C5103" s="60" t="s">
        <v>4682</v>
      </c>
      <c r="D5103" s="60"/>
      <c r="E5103" s="74">
        <v>2023</v>
      </c>
      <c r="F5103" s="74" t="s">
        <v>489</v>
      </c>
      <c r="G5103" s="61">
        <v>1</v>
      </c>
      <c r="H5103" s="61">
        <v>7</v>
      </c>
      <c r="I5103" s="61">
        <v>37.756119999999996</v>
      </c>
    </row>
    <row r="5104" spans="1:9" s="71" customFormat="1" ht="24" hidden="1" customHeight="1" outlineLevel="1" x14ac:dyDescent="0.25">
      <c r="A5104" s="74">
        <v>1571</v>
      </c>
      <c r="B5104" s="68" t="s">
        <v>664</v>
      </c>
      <c r="C5104" s="60" t="s">
        <v>4683</v>
      </c>
      <c r="D5104" s="60"/>
      <c r="E5104" s="74">
        <v>2023</v>
      </c>
      <c r="F5104" s="74" t="s">
        <v>489</v>
      </c>
      <c r="G5104" s="61">
        <v>1</v>
      </c>
      <c r="H5104" s="61">
        <v>1</v>
      </c>
      <c r="I5104" s="61">
        <v>38.68609</v>
      </c>
    </row>
    <row r="5105" spans="1:9" s="71" customFormat="1" ht="24" hidden="1" customHeight="1" outlineLevel="1" x14ac:dyDescent="0.25">
      <c r="A5105" s="74">
        <v>1598</v>
      </c>
      <c r="B5105" s="68" t="s">
        <v>664</v>
      </c>
      <c r="C5105" s="60" t="s">
        <v>4684</v>
      </c>
      <c r="D5105" s="60"/>
      <c r="E5105" s="74">
        <v>2023</v>
      </c>
      <c r="F5105" s="74" t="s">
        <v>489</v>
      </c>
      <c r="G5105" s="61">
        <v>1</v>
      </c>
      <c r="H5105" s="61">
        <v>1</v>
      </c>
      <c r="I5105" s="61">
        <v>37.756119999999996</v>
      </c>
    </row>
    <row r="5106" spans="1:9" s="71" customFormat="1" ht="24" hidden="1" customHeight="1" outlineLevel="1" x14ac:dyDescent="0.25">
      <c r="A5106" s="74">
        <v>6287</v>
      </c>
      <c r="B5106" s="68" t="s">
        <v>664</v>
      </c>
      <c r="C5106" s="60" t="s">
        <v>4685</v>
      </c>
      <c r="D5106" s="60"/>
      <c r="E5106" s="74">
        <v>2023</v>
      </c>
      <c r="F5106" s="74" t="s">
        <v>489</v>
      </c>
      <c r="G5106" s="61">
        <v>1</v>
      </c>
      <c r="H5106" s="61">
        <v>15</v>
      </c>
      <c r="I5106" s="61">
        <v>40.546059999999997</v>
      </c>
    </row>
    <row r="5107" spans="1:9" s="71" customFormat="1" ht="24" hidden="1" customHeight="1" outlineLevel="1" x14ac:dyDescent="0.25">
      <c r="A5107" s="74">
        <v>6288</v>
      </c>
      <c r="B5107" s="68" t="s">
        <v>664</v>
      </c>
      <c r="C5107" s="60" t="s">
        <v>4686</v>
      </c>
      <c r="D5107" s="60"/>
      <c r="E5107" s="74">
        <v>2023</v>
      </c>
      <c r="F5107" s="74" t="s">
        <v>489</v>
      </c>
      <c r="G5107" s="61">
        <v>1</v>
      </c>
      <c r="H5107" s="61">
        <v>3</v>
      </c>
      <c r="I5107" s="61">
        <v>37.756119999999996</v>
      </c>
    </row>
    <row r="5108" spans="1:9" s="71" customFormat="1" ht="24" hidden="1" customHeight="1" outlineLevel="1" x14ac:dyDescent="0.25">
      <c r="A5108" s="74">
        <v>6289</v>
      </c>
      <c r="B5108" s="68" t="s">
        <v>664</v>
      </c>
      <c r="C5108" s="60" t="s">
        <v>4687</v>
      </c>
      <c r="D5108" s="60"/>
      <c r="E5108" s="74">
        <v>2023</v>
      </c>
      <c r="F5108" s="74" t="s">
        <v>489</v>
      </c>
      <c r="G5108" s="61">
        <v>1</v>
      </c>
      <c r="H5108" s="61">
        <v>15</v>
      </c>
      <c r="I5108" s="61">
        <v>37.756119999999996</v>
      </c>
    </row>
    <row r="5109" spans="1:9" s="71" customFormat="1" ht="24" hidden="1" customHeight="1" outlineLevel="1" x14ac:dyDescent="0.25">
      <c r="A5109" s="74">
        <v>6290</v>
      </c>
      <c r="B5109" s="68" t="s">
        <v>664</v>
      </c>
      <c r="C5109" s="60" t="s">
        <v>4688</v>
      </c>
      <c r="D5109" s="60"/>
      <c r="E5109" s="74">
        <v>2023</v>
      </c>
      <c r="F5109" s="74" t="s">
        <v>489</v>
      </c>
      <c r="G5109" s="61">
        <v>1</v>
      </c>
      <c r="H5109" s="61">
        <v>15</v>
      </c>
      <c r="I5109" s="61">
        <v>36.826130000000006</v>
      </c>
    </row>
    <row r="5110" spans="1:9" s="71" customFormat="1" ht="24" hidden="1" customHeight="1" outlineLevel="1" x14ac:dyDescent="0.25">
      <c r="A5110" s="74">
        <v>6291</v>
      </c>
      <c r="B5110" s="68" t="s">
        <v>664</v>
      </c>
      <c r="C5110" s="60" t="s">
        <v>4689</v>
      </c>
      <c r="D5110" s="60"/>
      <c r="E5110" s="74">
        <v>2023</v>
      </c>
      <c r="F5110" s="74" t="s">
        <v>489</v>
      </c>
      <c r="G5110" s="61">
        <v>1</v>
      </c>
      <c r="H5110" s="61">
        <v>15</v>
      </c>
      <c r="I5110" s="61">
        <v>38.68609</v>
      </c>
    </row>
    <row r="5111" spans="1:9" s="71" customFormat="1" ht="24" hidden="1" customHeight="1" outlineLevel="1" x14ac:dyDescent="0.25">
      <c r="A5111" s="74">
        <v>6292</v>
      </c>
      <c r="B5111" s="68" t="s">
        <v>664</v>
      </c>
      <c r="C5111" s="60" t="s">
        <v>4690</v>
      </c>
      <c r="D5111" s="60"/>
      <c r="E5111" s="74">
        <v>2023</v>
      </c>
      <c r="F5111" s="74" t="s">
        <v>489</v>
      </c>
      <c r="G5111" s="61">
        <v>1</v>
      </c>
      <c r="H5111" s="61">
        <v>15</v>
      </c>
      <c r="I5111" s="61">
        <v>35.524169999999998</v>
      </c>
    </row>
    <row r="5112" spans="1:9" s="71" customFormat="1" ht="24" hidden="1" customHeight="1" outlineLevel="1" x14ac:dyDescent="0.25">
      <c r="A5112" s="74">
        <v>6293</v>
      </c>
      <c r="B5112" s="68" t="s">
        <v>664</v>
      </c>
      <c r="C5112" s="60" t="s">
        <v>4691</v>
      </c>
      <c r="D5112" s="60"/>
      <c r="E5112" s="74">
        <v>2023</v>
      </c>
      <c r="F5112" s="74" t="s">
        <v>489</v>
      </c>
      <c r="G5112" s="61">
        <v>1</v>
      </c>
      <c r="H5112" s="61">
        <v>10</v>
      </c>
      <c r="I5112" s="61">
        <v>37.756119999999996</v>
      </c>
    </row>
    <row r="5113" spans="1:9" s="71" customFormat="1" ht="24" hidden="1" customHeight="1" outlineLevel="1" x14ac:dyDescent="0.25">
      <c r="A5113" s="74">
        <v>6294</v>
      </c>
      <c r="B5113" s="68" t="s">
        <v>664</v>
      </c>
      <c r="C5113" s="60" t="s">
        <v>4692</v>
      </c>
      <c r="D5113" s="60"/>
      <c r="E5113" s="74">
        <v>2023</v>
      </c>
      <c r="F5113" s="74" t="s">
        <v>489</v>
      </c>
      <c r="G5113" s="61">
        <v>1</v>
      </c>
      <c r="H5113" s="61">
        <v>15</v>
      </c>
      <c r="I5113" s="61">
        <v>36.826130000000006</v>
      </c>
    </row>
    <row r="5114" spans="1:9" s="71" customFormat="1" ht="24" hidden="1" customHeight="1" outlineLevel="1" x14ac:dyDescent="0.25">
      <c r="A5114" s="74">
        <v>6295</v>
      </c>
      <c r="B5114" s="68" t="s">
        <v>664</v>
      </c>
      <c r="C5114" s="60" t="s">
        <v>4693</v>
      </c>
      <c r="D5114" s="60"/>
      <c r="E5114" s="74">
        <v>2023</v>
      </c>
      <c r="F5114" s="74" t="s">
        <v>489</v>
      </c>
      <c r="G5114" s="61">
        <v>1</v>
      </c>
      <c r="H5114" s="61">
        <v>12</v>
      </c>
      <c r="I5114" s="61">
        <v>37.756119999999996</v>
      </c>
    </row>
    <row r="5115" spans="1:9" s="71" customFormat="1" ht="24" hidden="1" customHeight="1" outlineLevel="1" x14ac:dyDescent="0.25">
      <c r="A5115" s="74">
        <v>6296</v>
      </c>
      <c r="B5115" s="68" t="s">
        <v>664</v>
      </c>
      <c r="C5115" s="60" t="s">
        <v>4694</v>
      </c>
      <c r="D5115" s="60"/>
      <c r="E5115" s="74">
        <v>2023</v>
      </c>
      <c r="F5115" s="74" t="s">
        <v>489</v>
      </c>
      <c r="G5115" s="61">
        <v>1</v>
      </c>
      <c r="H5115" s="61">
        <v>15</v>
      </c>
      <c r="I5115" s="61">
        <v>37.756119999999996</v>
      </c>
    </row>
    <row r="5116" spans="1:9" s="71" customFormat="1" ht="24" hidden="1" customHeight="1" outlineLevel="1" x14ac:dyDescent="0.25">
      <c r="A5116" s="74">
        <v>6297</v>
      </c>
      <c r="B5116" s="68" t="s">
        <v>664</v>
      </c>
      <c r="C5116" s="60" t="s">
        <v>4695</v>
      </c>
      <c r="D5116" s="60"/>
      <c r="E5116" s="74">
        <v>2023</v>
      </c>
      <c r="F5116" s="74" t="s">
        <v>489</v>
      </c>
      <c r="G5116" s="61">
        <v>1</v>
      </c>
      <c r="H5116" s="61">
        <v>15</v>
      </c>
      <c r="I5116" s="61">
        <v>38.68609</v>
      </c>
    </row>
    <row r="5117" spans="1:9" s="71" customFormat="1" ht="24" hidden="1" customHeight="1" outlineLevel="1" x14ac:dyDescent="0.25">
      <c r="A5117" s="74">
        <v>6238</v>
      </c>
      <c r="B5117" s="68" t="s">
        <v>664</v>
      </c>
      <c r="C5117" s="60" t="s">
        <v>4696</v>
      </c>
      <c r="D5117" s="60"/>
      <c r="E5117" s="74">
        <v>2023</v>
      </c>
      <c r="F5117" s="74" t="s">
        <v>489</v>
      </c>
      <c r="G5117" s="61">
        <v>1</v>
      </c>
      <c r="H5117" s="61">
        <v>3</v>
      </c>
      <c r="I5117" s="61">
        <v>35.319139999999997</v>
      </c>
    </row>
    <row r="5118" spans="1:9" s="71" customFormat="1" ht="24" hidden="1" customHeight="1" outlineLevel="1" x14ac:dyDescent="0.25">
      <c r="A5118" s="74">
        <v>6239</v>
      </c>
      <c r="B5118" s="68" t="s">
        <v>664</v>
      </c>
      <c r="C5118" s="60" t="s">
        <v>4697</v>
      </c>
      <c r="D5118" s="60"/>
      <c r="E5118" s="74">
        <v>2023</v>
      </c>
      <c r="F5118" s="74" t="s">
        <v>489</v>
      </c>
      <c r="G5118" s="61">
        <v>1</v>
      </c>
      <c r="H5118" s="61">
        <v>3</v>
      </c>
      <c r="I5118" s="61">
        <v>35.31915</v>
      </c>
    </row>
    <row r="5119" spans="1:9" s="71" customFormat="1" ht="24" hidden="1" customHeight="1" outlineLevel="1" x14ac:dyDescent="0.25">
      <c r="A5119" s="74">
        <v>1775</v>
      </c>
      <c r="B5119" s="68" t="s">
        <v>664</v>
      </c>
      <c r="C5119" s="60" t="s">
        <v>4698</v>
      </c>
      <c r="D5119" s="60"/>
      <c r="E5119" s="74">
        <v>2023</v>
      </c>
      <c r="F5119" s="74" t="s">
        <v>489</v>
      </c>
      <c r="G5119" s="61">
        <v>1</v>
      </c>
      <c r="H5119" s="61">
        <v>5</v>
      </c>
      <c r="I5119" s="61">
        <v>36.052909999999997</v>
      </c>
    </row>
    <row r="5120" spans="1:9" s="71" customFormat="1" ht="24" hidden="1" customHeight="1" outlineLevel="1" x14ac:dyDescent="0.25">
      <c r="A5120" s="74">
        <v>6263</v>
      </c>
      <c r="B5120" s="68" t="s">
        <v>664</v>
      </c>
      <c r="C5120" s="60" t="s">
        <v>4699</v>
      </c>
      <c r="D5120" s="60"/>
      <c r="E5120" s="74">
        <v>2023</v>
      </c>
      <c r="F5120" s="74" t="s">
        <v>489</v>
      </c>
      <c r="G5120" s="61">
        <v>1</v>
      </c>
      <c r="H5120" s="61">
        <v>15</v>
      </c>
      <c r="I5120" s="61">
        <v>39.427080000000004</v>
      </c>
    </row>
    <row r="5121" spans="1:9" s="71" customFormat="1" ht="24" hidden="1" customHeight="1" outlineLevel="1" x14ac:dyDescent="0.25">
      <c r="A5121" s="74">
        <v>1871</v>
      </c>
      <c r="B5121" s="68" t="s">
        <v>664</v>
      </c>
      <c r="C5121" s="60" t="s">
        <v>4700</v>
      </c>
      <c r="D5121" s="60"/>
      <c r="E5121" s="74">
        <v>2023</v>
      </c>
      <c r="F5121" s="74" t="s">
        <v>489</v>
      </c>
      <c r="G5121" s="61">
        <v>1</v>
      </c>
      <c r="H5121" s="61">
        <v>15</v>
      </c>
      <c r="I5121" s="61">
        <v>37.630929999999999</v>
      </c>
    </row>
    <row r="5122" spans="1:9" s="71" customFormat="1" ht="24" hidden="1" customHeight="1" outlineLevel="1" x14ac:dyDescent="0.25">
      <c r="A5122" s="74">
        <v>1854</v>
      </c>
      <c r="B5122" s="68" t="s">
        <v>664</v>
      </c>
      <c r="C5122" s="60" t="s">
        <v>4701</v>
      </c>
      <c r="D5122" s="60"/>
      <c r="E5122" s="74">
        <v>2023</v>
      </c>
      <c r="F5122" s="74" t="s">
        <v>489</v>
      </c>
      <c r="G5122" s="61">
        <v>1</v>
      </c>
      <c r="H5122" s="61">
        <v>1</v>
      </c>
      <c r="I5122" s="61">
        <v>39.372230000000002</v>
      </c>
    </row>
    <row r="5123" spans="1:9" s="71" customFormat="1" ht="24" hidden="1" customHeight="1" outlineLevel="1" x14ac:dyDescent="0.25">
      <c r="A5123" s="74">
        <v>6332</v>
      </c>
      <c r="B5123" s="68" t="s">
        <v>664</v>
      </c>
      <c r="C5123" s="60" t="s">
        <v>4702</v>
      </c>
      <c r="D5123" s="60"/>
      <c r="E5123" s="74">
        <v>2023</v>
      </c>
      <c r="F5123" s="74" t="s">
        <v>489</v>
      </c>
      <c r="G5123" s="61">
        <v>1</v>
      </c>
      <c r="H5123" s="61">
        <v>15</v>
      </c>
      <c r="I5123" s="61">
        <v>38.61365</v>
      </c>
    </row>
    <row r="5124" spans="1:9" s="71" customFormat="1" ht="24" hidden="1" customHeight="1" outlineLevel="1" x14ac:dyDescent="0.25">
      <c r="A5124" s="74">
        <v>1827</v>
      </c>
      <c r="B5124" s="68" t="s">
        <v>664</v>
      </c>
      <c r="C5124" s="60" t="s">
        <v>4703</v>
      </c>
      <c r="D5124" s="60"/>
      <c r="E5124" s="74">
        <v>2023</v>
      </c>
      <c r="F5124" s="74" t="s">
        <v>489</v>
      </c>
      <c r="G5124" s="61">
        <v>1</v>
      </c>
      <c r="H5124" s="61">
        <v>5</v>
      </c>
      <c r="I5124" s="61">
        <v>38.613630000000001</v>
      </c>
    </row>
    <row r="5125" spans="1:9" s="71" customFormat="1" ht="24" hidden="1" customHeight="1" outlineLevel="1" x14ac:dyDescent="0.25">
      <c r="A5125" s="74">
        <v>6333</v>
      </c>
      <c r="B5125" s="68" t="s">
        <v>664</v>
      </c>
      <c r="C5125" s="60" t="s">
        <v>4704</v>
      </c>
      <c r="D5125" s="60"/>
      <c r="E5125" s="74">
        <v>2023</v>
      </c>
      <c r="F5125" s="74" t="s">
        <v>489</v>
      </c>
      <c r="G5125" s="61">
        <v>1</v>
      </c>
      <c r="H5125" s="61">
        <v>12</v>
      </c>
      <c r="I5125" s="61">
        <v>39.667290000000001</v>
      </c>
    </row>
    <row r="5126" spans="1:9" s="71" customFormat="1" ht="24" hidden="1" customHeight="1" outlineLevel="1" x14ac:dyDescent="0.25">
      <c r="A5126" s="74">
        <v>6334</v>
      </c>
      <c r="B5126" s="68" t="s">
        <v>664</v>
      </c>
      <c r="C5126" s="60" t="s">
        <v>4705</v>
      </c>
      <c r="D5126" s="60"/>
      <c r="E5126" s="74">
        <v>2023</v>
      </c>
      <c r="F5126" s="74" t="s">
        <v>489</v>
      </c>
      <c r="G5126" s="61">
        <v>1</v>
      </c>
      <c r="H5126" s="61">
        <v>12</v>
      </c>
      <c r="I5126" s="61">
        <v>39.66807</v>
      </c>
    </row>
    <row r="5127" spans="1:9" s="71" customFormat="1" ht="24" hidden="1" customHeight="1" outlineLevel="1" x14ac:dyDescent="0.25">
      <c r="A5127" s="74">
        <v>665</v>
      </c>
      <c r="B5127" s="68" t="s">
        <v>664</v>
      </c>
      <c r="C5127" s="60" t="s">
        <v>4706</v>
      </c>
      <c r="D5127" s="60"/>
      <c r="E5127" s="74">
        <v>2023</v>
      </c>
      <c r="F5127" s="74" t="s">
        <v>489</v>
      </c>
      <c r="G5127" s="61">
        <v>1</v>
      </c>
      <c r="H5127" s="61">
        <v>15</v>
      </c>
      <c r="I5127" s="61">
        <v>43.739460000000001</v>
      </c>
    </row>
    <row r="5128" spans="1:9" s="71" customFormat="1" ht="24" hidden="1" customHeight="1" outlineLevel="1" x14ac:dyDescent="0.25">
      <c r="A5128" s="74">
        <v>3761</v>
      </c>
      <c r="B5128" s="68" t="s">
        <v>664</v>
      </c>
      <c r="C5128" s="60" t="s">
        <v>4707</v>
      </c>
      <c r="D5128" s="60"/>
      <c r="E5128" s="74">
        <v>2023</v>
      </c>
      <c r="F5128" s="74" t="s">
        <v>489</v>
      </c>
      <c r="G5128" s="61">
        <v>1</v>
      </c>
      <c r="H5128" s="61">
        <v>15</v>
      </c>
      <c r="I5128" s="61">
        <v>41.460999999999999</v>
      </c>
    </row>
    <row r="5129" spans="1:9" s="71" customFormat="1" ht="24" hidden="1" customHeight="1" outlineLevel="1" x14ac:dyDescent="0.25">
      <c r="A5129" s="74">
        <v>717</v>
      </c>
      <c r="B5129" s="45" t="s">
        <v>664</v>
      </c>
      <c r="C5129" s="60" t="s">
        <v>4708</v>
      </c>
      <c r="D5129" s="60"/>
      <c r="E5129" s="74">
        <v>2023</v>
      </c>
      <c r="F5129" s="74" t="s">
        <v>489</v>
      </c>
      <c r="G5129" s="61">
        <v>1</v>
      </c>
      <c r="H5129" s="61">
        <v>15</v>
      </c>
      <c r="I5129" s="61">
        <v>36.093150000000001</v>
      </c>
    </row>
    <row r="5130" spans="1:9" s="71" customFormat="1" ht="24" hidden="1" customHeight="1" outlineLevel="1" x14ac:dyDescent="0.25">
      <c r="A5130" s="74">
        <v>3755</v>
      </c>
      <c r="B5130" s="45" t="s">
        <v>664</v>
      </c>
      <c r="C5130" s="60" t="s">
        <v>4709</v>
      </c>
      <c r="D5130" s="60"/>
      <c r="E5130" s="74">
        <v>2023</v>
      </c>
      <c r="F5130" s="74" t="s">
        <v>489</v>
      </c>
      <c r="G5130" s="61">
        <v>1</v>
      </c>
      <c r="H5130" s="61">
        <v>15</v>
      </c>
      <c r="I5130" s="61">
        <v>35.359369999999998</v>
      </c>
    </row>
    <row r="5131" spans="1:9" s="71" customFormat="1" ht="24" hidden="1" customHeight="1" outlineLevel="1" x14ac:dyDescent="0.25">
      <c r="A5131" s="74">
        <v>3741</v>
      </c>
      <c r="B5131" s="45" t="s">
        <v>664</v>
      </c>
      <c r="C5131" s="60" t="s">
        <v>4710</v>
      </c>
      <c r="D5131" s="60"/>
      <c r="E5131" s="74">
        <v>2023</v>
      </c>
      <c r="F5131" s="74" t="s">
        <v>489</v>
      </c>
      <c r="G5131" s="61">
        <v>1</v>
      </c>
      <c r="H5131" s="61">
        <v>15</v>
      </c>
      <c r="I5131" s="61">
        <v>36.093150000000001</v>
      </c>
    </row>
    <row r="5132" spans="1:9" s="71" customFormat="1" ht="24" hidden="1" customHeight="1" outlineLevel="1" x14ac:dyDescent="0.25">
      <c r="A5132" s="74">
        <v>3733</v>
      </c>
      <c r="B5132" s="45" t="s">
        <v>664</v>
      </c>
      <c r="C5132" s="60" t="s">
        <v>4711</v>
      </c>
      <c r="D5132" s="60"/>
      <c r="E5132" s="74">
        <v>2023</v>
      </c>
      <c r="F5132" s="74" t="s">
        <v>489</v>
      </c>
      <c r="G5132" s="61">
        <v>1</v>
      </c>
      <c r="H5132" s="61">
        <v>15</v>
      </c>
      <c r="I5132" s="61">
        <v>36.093140000000005</v>
      </c>
    </row>
    <row r="5133" spans="1:9" s="71" customFormat="1" ht="24" hidden="1" customHeight="1" outlineLevel="1" x14ac:dyDescent="0.25">
      <c r="A5133" s="74">
        <v>705</v>
      </c>
      <c r="B5133" s="45" t="s">
        <v>664</v>
      </c>
      <c r="C5133" s="60" t="s">
        <v>4712</v>
      </c>
      <c r="D5133" s="60"/>
      <c r="E5133" s="74">
        <v>2023</v>
      </c>
      <c r="F5133" s="74" t="s">
        <v>489</v>
      </c>
      <c r="G5133" s="61">
        <v>1</v>
      </c>
      <c r="H5133" s="61">
        <v>10</v>
      </c>
      <c r="I5133" s="61">
        <v>35.359379999999994</v>
      </c>
    </row>
    <row r="5134" spans="1:9" s="71" customFormat="1" ht="24" hidden="1" customHeight="1" outlineLevel="1" x14ac:dyDescent="0.25">
      <c r="A5134" s="74">
        <v>6336</v>
      </c>
      <c r="B5134" s="45" t="s">
        <v>664</v>
      </c>
      <c r="C5134" s="60" t="s">
        <v>4713</v>
      </c>
      <c r="D5134" s="60"/>
      <c r="E5134" s="74">
        <v>2023</v>
      </c>
      <c r="F5134" s="74" t="s">
        <v>489</v>
      </c>
      <c r="G5134" s="61">
        <v>1</v>
      </c>
      <c r="H5134" s="61">
        <v>15</v>
      </c>
      <c r="I5134" s="61">
        <v>36.093140000000005</v>
      </c>
    </row>
    <row r="5135" spans="1:9" s="71" customFormat="1" ht="24" hidden="1" customHeight="1" outlineLevel="1" x14ac:dyDescent="0.25">
      <c r="A5135" s="74">
        <v>3728</v>
      </c>
      <c r="B5135" s="45" t="s">
        <v>664</v>
      </c>
      <c r="C5135" s="60" t="s">
        <v>4714</v>
      </c>
      <c r="D5135" s="60"/>
      <c r="E5135" s="74">
        <v>2023</v>
      </c>
      <c r="F5135" s="74" t="s">
        <v>489</v>
      </c>
      <c r="G5135" s="61">
        <v>1</v>
      </c>
      <c r="H5135" s="61">
        <v>15</v>
      </c>
      <c r="I5135" s="61">
        <v>35.359379999999994</v>
      </c>
    </row>
    <row r="5136" spans="1:9" s="71" customFormat="1" ht="24" hidden="1" customHeight="1" outlineLevel="1" x14ac:dyDescent="0.25">
      <c r="A5136" s="74">
        <v>3724</v>
      </c>
      <c r="B5136" s="45" t="s">
        <v>664</v>
      </c>
      <c r="C5136" s="60" t="s">
        <v>4715</v>
      </c>
      <c r="D5136" s="60"/>
      <c r="E5136" s="74">
        <v>2023</v>
      </c>
      <c r="F5136" s="74" t="s">
        <v>489</v>
      </c>
      <c r="G5136" s="61">
        <v>1</v>
      </c>
      <c r="H5136" s="61">
        <v>15</v>
      </c>
      <c r="I5136" s="61">
        <v>36.093140000000005</v>
      </c>
    </row>
    <row r="5137" spans="1:9" s="71" customFormat="1" ht="24" hidden="1" customHeight="1" outlineLevel="1" x14ac:dyDescent="0.25">
      <c r="A5137" s="74">
        <v>3714</v>
      </c>
      <c r="B5137" s="45" t="s">
        <v>664</v>
      </c>
      <c r="C5137" s="60" t="s">
        <v>4716</v>
      </c>
      <c r="D5137" s="60"/>
      <c r="E5137" s="74">
        <v>2023</v>
      </c>
      <c r="F5137" s="74" t="s">
        <v>489</v>
      </c>
      <c r="G5137" s="61">
        <v>1</v>
      </c>
      <c r="H5137" s="61">
        <v>15</v>
      </c>
      <c r="I5137" s="61">
        <v>35.359379999999994</v>
      </c>
    </row>
    <row r="5138" spans="1:9" s="71" customFormat="1" ht="24" hidden="1" customHeight="1" outlineLevel="1" x14ac:dyDescent="0.25">
      <c r="A5138" s="74">
        <v>3709</v>
      </c>
      <c r="B5138" s="45" t="s">
        <v>664</v>
      </c>
      <c r="C5138" s="60" t="s">
        <v>4717</v>
      </c>
      <c r="D5138" s="60"/>
      <c r="E5138" s="74">
        <v>2023</v>
      </c>
      <c r="F5138" s="74" t="s">
        <v>489</v>
      </c>
      <c r="G5138" s="61">
        <v>1</v>
      </c>
      <c r="H5138" s="61">
        <v>15</v>
      </c>
      <c r="I5138" s="61">
        <v>35.359369999999998</v>
      </c>
    </row>
    <row r="5139" spans="1:9" s="71" customFormat="1" ht="24" hidden="1" customHeight="1" outlineLevel="1" x14ac:dyDescent="0.25">
      <c r="A5139" s="74">
        <v>3708</v>
      </c>
      <c r="B5139" s="45" t="s">
        <v>664</v>
      </c>
      <c r="C5139" s="60" t="s">
        <v>4718</v>
      </c>
      <c r="D5139" s="60"/>
      <c r="E5139" s="74">
        <v>2023</v>
      </c>
      <c r="F5139" s="74" t="s">
        <v>489</v>
      </c>
      <c r="G5139" s="61">
        <v>1</v>
      </c>
      <c r="H5139" s="61">
        <v>15</v>
      </c>
      <c r="I5139" s="61">
        <v>36.093150000000001</v>
      </c>
    </row>
    <row r="5140" spans="1:9" s="71" customFormat="1" ht="24" hidden="1" customHeight="1" outlineLevel="1" x14ac:dyDescent="0.25">
      <c r="A5140" s="74">
        <v>3716</v>
      </c>
      <c r="B5140" s="45" t="s">
        <v>664</v>
      </c>
      <c r="C5140" s="60" t="s">
        <v>4719</v>
      </c>
      <c r="D5140" s="60"/>
      <c r="E5140" s="74">
        <v>2023</v>
      </c>
      <c r="F5140" s="74" t="s">
        <v>489</v>
      </c>
      <c r="G5140" s="61">
        <v>1</v>
      </c>
      <c r="H5140" s="61">
        <v>15</v>
      </c>
      <c r="I5140" s="61">
        <v>35.359369999999998</v>
      </c>
    </row>
    <row r="5141" spans="1:9" s="71" customFormat="1" ht="24" hidden="1" customHeight="1" outlineLevel="1" x14ac:dyDescent="0.25">
      <c r="A5141" s="74">
        <v>3706</v>
      </c>
      <c r="B5141" s="45" t="s">
        <v>664</v>
      </c>
      <c r="C5141" s="60" t="s">
        <v>4720</v>
      </c>
      <c r="D5141" s="60"/>
      <c r="E5141" s="74">
        <v>2023</v>
      </c>
      <c r="F5141" s="74" t="s">
        <v>489</v>
      </c>
      <c r="G5141" s="61">
        <v>1</v>
      </c>
      <c r="H5141" s="61">
        <v>15</v>
      </c>
      <c r="I5141" s="61">
        <v>37.560749999999999</v>
      </c>
    </row>
    <row r="5142" spans="1:9" s="71" customFormat="1" ht="24" hidden="1" customHeight="1" outlineLevel="1" x14ac:dyDescent="0.25">
      <c r="A5142" s="74">
        <v>3705</v>
      </c>
      <c r="B5142" s="45" t="s">
        <v>664</v>
      </c>
      <c r="C5142" s="60" t="s">
        <v>4721</v>
      </c>
      <c r="D5142" s="60"/>
      <c r="E5142" s="74">
        <v>2023</v>
      </c>
      <c r="F5142" s="74" t="s">
        <v>489</v>
      </c>
      <c r="G5142" s="61">
        <v>1</v>
      </c>
      <c r="H5142" s="61">
        <v>15</v>
      </c>
      <c r="I5142" s="61">
        <v>36.093140000000005</v>
      </c>
    </row>
    <row r="5143" spans="1:9" s="71" customFormat="1" ht="24" hidden="1" customHeight="1" outlineLevel="1" x14ac:dyDescent="0.25">
      <c r="A5143" s="74">
        <v>3693</v>
      </c>
      <c r="B5143" s="45" t="s">
        <v>664</v>
      </c>
      <c r="C5143" s="60" t="s">
        <v>4722</v>
      </c>
      <c r="D5143" s="60"/>
      <c r="E5143" s="74">
        <v>2023</v>
      </c>
      <c r="F5143" s="74" t="s">
        <v>489</v>
      </c>
      <c r="G5143" s="61">
        <v>1</v>
      </c>
      <c r="H5143" s="61">
        <v>15</v>
      </c>
      <c r="I5143" s="61">
        <v>35.359379999999994</v>
      </c>
    </row>
    <row r="5144" spans="1:9" s="71" customFormat="1" ht="24" hidden="1" customHeight="1" outlineLevel="1" x14ac:dyDescent="0.25">
      <c r="A5144" s="74">
        <v>3704</v>
      </c>
      <c r="B5144" s="45" t="s">
        <v>664</v>
      </c>
      <c r="C5144" s="60" t="s">
        <v>4723</v>
      </c>
      <c r="D5144" s="60"/>
      <c r="E5144" s="74">
        <v>2023</v>
      </c>
      <c r="F5144" s="74" t="s">
        <v>489</v>
      </c>
      <c r="G5144" s="61">
        <v>1</v>
      </c>
      <c r="H5144" s="61">
        <v>15</v>
      </c>
      <c r="I5144" s="61">
        <v>35.359369999999991</v>
      </c>
    </row>
    <row r="5145" spans="1:9" s="71" customFormat="1" ht="24" hidden="1" customHeight="1" outlineLevel="1" x14ac:dyDescent="0.25">
      <c r="A5145" s="74">
        <v>3681</v>
      </c>
      <c r="B5145" s="45" t="s">
        <v>664</v>
      </c>
      <c r="C5145" s="60" t="s">
        <v>4724</v>
      </c>
      <c r="D5145" s="60"/>
      <c r="E5145" s="74">
        <v>2023</v>
      </c>
      <c r="F5145" s="74" t="s">
        <v>489</v>
      </c>
      <c r="G5145" s="61">
        <v>1</v>
      </c>
      <c r="H5145" s="61">
        <v>15</v>
      </c>
      <c r="I5145" s="61">
        <v>35.359379999999994</v>
      </c>
    </row>
    <row r="5146" spans="1:9" s="71" customFormat="1" ht="24" hidden="1" customHeight="1" outlineLevel="1" x14ac:dyDescent="0.25">
      <c r="A5146" s="74">
        <v>3667</v>
      </c>
      <c r="B5146" s="45" t="s">
        <v>664</v>
      </c>
      <c r="C5146" s="60" t="s">
        <v>4725</v>
      </c>
      <c r="D5146" s="60"/>
      <c r="E5146" s="74">
        <v>2023</v>
      </c>
      <c r="F5146" s="74" t="s">
        <v>489</v>
      </c>
      <c r="G5146" s="61">
        <v>1</v>
      </c>
      <c r="H5146" s="61">
        <v>10</v>
      </c>
      <c r="I5146" s="61">
        <v>35.359369999999991</v>
      </c>
    </row>
    <row r="5147" spans="1:9" s="71" customFormat="1" ht="24" hidden="1" customHeight="1" outlineLevel="1" x14ac:dyDescent="0.25">
      <c r="A5147" s="74">
        <v>3676</v>
      </c>
      <c r="B5147" s="45" t="s">
        <v>664</v>
      </c>
      <c r="C5147" s="60" t="s">
        <v>4726</v>
      </c>
      <c r="D5147" s="60"/>
      <c r="E5147" s="74">
        <v>2023</v>
      </c>
      <c r="F5147" s="74" t="s">
        <v>489</v>
      </c>
      <c r="G5147" s="61">
        <v>1</v>
      </c>
      <c r="H5147" s="61">
        <v>15</v>
      </c>
      <c r="I5147" s="61">
        <v>37.560749999999999</v>
      </c>
    </row>
    <row r="5148" spans="1:9" s="71" customFormat="1" ht="24" hidden="1" customHeight="1" outlineLevel="1" x14ac:dyDescent="0.25">
      <c r="A5148" s="74">
        <v>3666</v>
      </c>
      <c r="B5148" s="45" t="s">
        <v>664</v>
      </c>
      <c r="C5148" s="60" t="s">
        <v>4727</v>
      </c>
      <c r="D5148" s="60"/>
      <c r="E5148" s="74">
        <v>2023</v>
      </c>
      <c r="F5148" s="74" t="s">
        <v>489</v>
      </c>
      <c r="G5148" s="61">
        <v>1</v>
      </c>
      <c r="H5148" s="61">
        <v>15</v>
      </c>
      <c r="I5148" s="61">
        <v>41.460989999999995</v>
      </c>
    </row>
    <row r="5149" spans="1:9" s="71" customFormat="1" ht="24" hidden="1" customHeight="1" outlineLevel="1" x14ac:dyDescent="0.25">
      <c r="A5149" s="74">
        <v>3478</v>
      </c>
      <c r="B5149" s="45" t="s">
        <v>664</v>
      </c>
      <c r="C5149" s="60" t="s">
        <v>4728</v>
      </c>
      <c r="D5149" s="60"/>
      <c r="E5149" s="74">
        <v>2023</v>
      </c>
      <c r="F5149" s="74" t="s">
        <v>489</v>
      </c>
      <c r="G5149" s="61">
        <v>1</v>
      </c>
      <c r="H5149" s="61">
        <v>10</v>
      </c>
      <c r="I5149" s="61">
        <v>36.826949999999997</v>
      </c>
    </row>
    <row r="5150" spans="1:9" s="71" customFormat="1" ht="24" hidden="1" customHeight="1" outlineLevel="1" x14ac:dyDescent="0.25">
      <c r="A5150" s="74">
        <v>3485</v>
      </c>
      <c r="B5150" s="45" t="s">
        <v>664</v>
      </c>
      <c r="C5150" s="60" t="s">
        <v>4729</v>
      </c>
      <c r="D5150" s="60"/>
      <c r="E5150" s="74">
        <v>2023</v>
      </c>
      <c r="F5150" s="74" t="s">
        <v>489</v>
      </c>
      <c r="G5150" s="61">
        <v>1</v>
      </c>
      <c r="H5150" s="61">
        <v>15</v>
      </c>
      <c r="I5150" s="61">
        <v>36.093140000000005</v>
      </c>
    </row>
    <row r="5151" spans="1:9" s="71" customFormat="1" ht="24" hidden="1" customHeight="1" outlineLevel="1" x14ac:dyDescent="0.25">
      <c r="A5151" s="74">
        <v>868</v>
      </c>
      <c r="B5151" s="45" t="s">
        <v>664</v>
      </c>
      <c r="C5151" s="60" t="s">
        <v>4730</v>
      </c>
      <c r="D5151" s="60"/>
      <c r="E5151" s="74">
        <v>2023</v>
      </c>
      <c r="F5151" s="74" t="s">
        <v>489</v>
      </c>
      <c r="G5151" s="61">
        <v>1</v>
      </c>
      <c r="H5151" s="61">
        <v>15</v>
      </c>
      <c r="I5151" s="61">
        <v>36.093150000000001</v>
      </c>
    </row>
    <row r="5152" spans="1:9" s="71" customFormat="1" ht="24" hidden="1" customHeight="1" outlineLevel="1" x14ac:dyDescent="0.25">
      <c r="A5152" s="74">
        <v>924</v>
      </c>
      <c r="B5152" s="45" t="s">
        <v>664</v>
      </c>
      <c r="C5152" s="60" t="s">
        <v>4731</v>
      </c>
      <c r="D5152" s="60"/>
      <c r="E5152" s="74">
        <v>2023</v>
      </c>
      <c r="F5152" s="74" t="s">
        <v>489</v>
      </c>
      <c r="G5152" s="61">
        <v>1</v>
      </c>
      <c r="H5152" s="61">
        <v>15</v>
      </c>
      <c r="I5152" s="61">
        <v>35.359369999999991</v>
      </c>
    </row>
    <row r="5153" spans="1:9" s="71" customFormat="1" ht="24" hidden="1" customHeight="1" outlineLevel="1" x14ac:dyDescent="0.25">
      <c r="A5153" s="74">
        <v>6363</v>
      </c>
      <c r="B5153" s="45" t="s">
        <v>664</v>
      </c>
      <c r="C5153" s="60" t="s">
        <v>4732</v>
      </c>
      <c r="D5153" s="60"/>
      <c r="E5153" s="74">
        <v>2023</v>
      </c>
      <c r="F5153" s="74" t="s">
        <v>489</v>
      </c>
      <c r="G5153" s="61">
        <v>1</v>
      </c>
      <c r="H5153" s="61">
        <v>7.5</v>
      </c>
      <c r="I5153" s="61">
        <v>36.052909999999997</v>
      </c>
    </row>
    <row r="5154" spans="1:9" s="71" customFormat="1" ht="24" hidden="1" customHeight="1" outlineLevel="1" x14ac:dyDescent="0.25">
      <c r="A5154" s="74">
        <v>6364</v>
      </c>
      <c r="B5154" s="45" t="s">
        <v>664</v>
      </c>
      <c r="C5154" s="60" t="s">
        <v>4733</v>
      </c>
      <c r="D5154" s="60"/>
      <c r="E5154" s="74">
        <v>2023</v>
      </c>
      <c r="F5154" s="74" t="s">
        <v>489</v>
      </c>
      <c r="G5154" s="61">
        <v>1</v>
      </c>
      <c r="H5154" s="61">
        <v>5</v>
      </c>
      <c r="I5154" s="61">
        <v>36.052900000000001</v>
      </c>
    </row>
    <row r="5155" spans="1:9" s="71" customFormat="1" ht="24" hidden="1" customHeight="1" outlineLevel="1" x14ac:dyDescent="0.25">
      <c r="A5155" s="74">
        <v>6365</v>
      </c>
      <c r="B5155" s="45" t="s">
        <v>664</v>
      </c>
      <c r="C5155" s="60" t="s">
        <v>4734</v>
      </c>
      <c r="D5155" s="60"/>
      <c r="E5155" s="74">
        <v>2023</v>
      </c>
      <c r="F5155" s="74" t="s">
        <v>489</v>
      </c>
      <c r="G5155" s="61">
        <v>1</v>
      </c>
      <c r="H5155" s="61">
        <v>15</v>
      </c>
      <c r="I5155" s="61">
        <v>36.052909999999997</v>
      </c>
    </row>
    <row r="5156" spans="1:9" s="71" customFormat="1" ht="24" hidden="1" customHeight="1" outlineLevel="1" x14ac:dyDescent="0.25">
      <c r="A5156" s="74">
        <v>1304</v>
      </c>
      <c r="B5156" s="45" t="s">
        <v>664</v>
      </c>
      <c r="C5156" s="60" t="s">
        <v>4735</v>
      </c>
      <c r="D5156" s="60"/>
      <c r="E5156" s="74">
        <v>2023</v>
      </c>
      <c r="F5156" s="74" t="s">
        <v>489</v>
      </c>
      <c r="G5156" s="61">
        <v>1</v>
      </c>
      <c r="H5156" s="61">
        <v>5</v>
      </c>
      <c r="I5156" s="61">
        <v>35.319139999999997</v>
      </c>
    </row>
    <row r="5157" spans="1:9" s="71" customFormat="1" ht="24" hidden="1" customHeight="1" outlineLevel="1" x14ac:dyDescent="0.25">
      <c r="A5157" s="74">
        <v>6366</v>
      </c>
      <c r="B5157" s="45" t="s">
        <v>664</v>
      </c>
      <c r="C5157" s="60" t="s">
        <v>4736</v>
      </c>
      <c r="D5157" s="60"/>
      <c r="E5157" s="74">
        <v>2023</v>
      </c>
      <c r="F5157" s="74" t="s">
        <v>489</v>
      </c>
      <c r="G5157" s="61">
        <v>1</v>
      </c>
      <c r="H5157" s="61">
        <v>5</v>
      </c>
      <c r="I5157" s="61">
        <v>43.699220000000004</v>
      </c>
    </row>
    <row r="5158" spans="1:9" s="71" customFormat="1" ht="24" hidden="1" customHeight="1" outlineLevel="1" x14ac:dyDescent="0.25">
      <c r="A5158" s="74">
        <v>6367</v>
      </c>
      <c r="B5158" s="45" t="s">
        <v>664</v>
      </c>
      <c r="C5158" s="60" t="s">
        <v>4737</v>
      </c>
      <c r="D5158" s="60"/>
      <c r="E5158" s="74">
        <v>2023</v>
      </c>
      <c r="F5158" s="74" t="s">
        <v>489</v>
      </c>
      <c r="G5158" s="61">
        <v>1</v>
      </c>
      <c r="H5158" s="61">
        <v>5</v>
      </c>
      <c r="I5158" s="61">
        <v>35.319139999999997</v>
      </c>
    </row>
    <row r="5159" spans="1:9" s="71" customFormat="1" ht="24" hidden="1" customHeight="1" outlineLevel="1" x14ac:dyDescent="0.25">
      <c r="A5159" s="74">
        <v>6368</v>
      </c>
      <c r="B5159" s="45" t="s">
        <v>664</v>
      </c>
      <c r="C5159" s="60" t="s">
        <v>4738</v>
      </c>
      <c r="D5159" s="60"/>
      <c r="E5159" s="74">
        <v>2023</v>
      </c>
      <c r="F5159" s="74" t="s">
        <v>489</v>
      </c>
      <c r="G5159" s="61">
        <v>1</v>
      </c>
      <c r="H5159" s="61">
        <v>10</v>
      </c>
      <c r="I5159" s="61">
        <v>36.052909999999997</v>
      </c>
    </row>
    <row r="5160" spans="1:9" s="71" customFormat="1" ht="24" hidden="1" customHeight="1" outlineLevel="1" x14ac:dyDescent="0.25">
      <c r="A5160" s="74">
        <v>6369</v>
      </c>
      <c r="B5160" s="45" t="s">
        <v>664</v>
      </c>
      <c r="C5160" s="60" t="s">
        <v>4739</v>
      </c>
      <c r="D5160" s="60"/>
      <c r="E5160" s="74">
        <v>2023</v>
      </c>
      <c r="F5160" s="74" t="s">
        <v>489</v>
      </c>
      <c r="G5160" s="61">
        <v>1</v>
      </c>
      <c r="H5160" s="61">
        <v>9</v>
      </c>
      <c r="I5160" s="61">
        <v>36.052790000000002</v>
      </c>
    </row>
    <row r="5161" spans="1:9" s="71" customFormat="1" ht="24" hidden="1" customHeight="1" outlineLevel="1" x14ac:dyDescent="0.25">
      <c r="A5161" s="74">
        <v>6370</v>
      </c>
      <c r="B5161" s="45" t="s">
        <v>664</v>
      </c>
      <c r="C5161" s="60" t="s">
        <v>4740</v>
      </c>
      <c r="D5161" s="60"/>
      <c r="E5161" s="74">
        <v>2023</v>
      </c>
      <c r="F5161" s="74" t="s">
        <v>489</v>
      </c>
      <c r="G5161" s="61">
        <v>1</v>
      </c>
      <c r="H5161" s="61">
        <v>15</v>
      </c>
      <c r="I5161" s="61">
        <v>35.319139999999997</v>
      </c>
    </row>
    <row r="5162" spans="1:9" s="71" customFormat="1" ht="24" hidden="1" customHeight="1" outlineLevel="1" x14ac:dyDescent="0.25">
      <c r="A5162" s="74">
        <v>6371</v>
      </c>
      <c r="B5162" s="45" t="s">
        <v>664</v>
      </c>
      <c r="C5162" s="60" t="s">
        <v>4741</v>
      </c>
      <c r="D5162" s="60"/>
      <c r="E5162" s="74">
        <v>2023</v>
      </c>
      <c r="F5162" s="74" t="s">
        <v>489</v>
      </c>
      <c r="G5162" s="61">
        <v>1</v>
      </c>
      <c r="H5162" s="61">
        <v>15</v>
      </c>
      <c r="I5162" s="61">
        <v>34.732129999999998</v>
      </c>
    </row>
    <row r="5163" spans="1:9" s="71" customFormat="1" ht="24" hidden="1" customHeight="1" outlineLevel="1" x14ac:dyDescent="0.25">
      <c r="A5163" s="74">
        <v>6372</v>
      </c>
      <c r="B5163" s="45" t="s">
        <v>664</v>
      </c>
      <c r="C5163" s="60" t="s">
        <v>4742</v>
      </c>
      <c r="D5163" s="60"/>
      <c r="E5163" s="74">
        <v>2023</v>
      </c>
      <c r="F5163" s="74" t="s">
        <v>489</v>
      </c>
      <c r="G5163" s="61">
        <v>1</v>
      </c>
      <c r="H5163" s="61">
        <v>10</v>
      </c>
      <c r="I5163" s="61">
        <v>36.052900000000001</v>
      </c>
    </row>
    <row r="5164" spans="1:9" s="71" customFormat="1" ht="24" hidden="1" customHeight="1" outlineLevel="1" x14ac:dyDescent="0.25">
      <c r="A5164" s="74">
        <v>1444</v>
      </c>
      <c r="B5164" s="45" t="s">
        <v>664</v>
      </c>
      <c r="C5164" s="60" t="s">
        <v>4743</v>
      </c>
      <c r="D5164" s="60"/>
      <c r="E5164" s="74">
        <v>2023</v>
      </c>
      <c r="F5164" s="74" t="s">
        <v>489</v>
      </c>
      <c r="G5164" s="61">
        <v>1</v>
      </c>
      <c r="H5164" s="61">
        <v>5</v>
      </c>
      <c r="I5164" s="61">
        <v>35.31915</v>
      </c>
    </row>
    <row r="5165" spans="1:9" s="71" customFormat="1" ht="24" hidden="1" customHeight="1" outlineLevel="1" x14ac:dyDescent="0.25">
      <c r="A5165" s="74">
        <v>6373</v>
      </c>
      <c r="B5165" s="45" t="s">
        <v>664</v>
      </c>
      <c r="C5165" s="60" t="s">
        <v>4744</v>
      </c>
      <c r="D5165" s="60"/>
      <c r="E5165" s="74">
        <v>2023</v>
      </c>
      <c r="F5165" s="74" t="s">
        <v>489</v>
      </c>
      <c r="G5165" s="61">
        <v>1</v>
      </c>
      <c r="H5165" s="61">
        <v>15</v>
      </c>
      <c r="I5165" s="61">
        <v>35.319139999999997</v>
      </c>
    </row>
    <row r="5166" spans="1:9" s="71" customFormat="1" ht="24" hidden="1" customHeight="1" outlineLevel="1" x14ac:dyDescent="0.25">
      <c r="A5166" s="74">
        <v>1459</v>
      </c>
      <c r="B5166" s="45" t="s">
        <v>664</v>
      </c>
      <c r="C5166" s="60" t="s">
        <v>4745</v>
      </c>
      <c r="D5166" s="60"/>
      <c r="E5166" s="74">
        <v>2023</v>
      </c>
      <c r="F5166" s="74" t="s">
        <v>489</v>
      </c>
      <c r="G5166" s="61">
        <v>1</v>
      </c>
      <c r="H5166" s="61">
        <v>10</v>
      </c>
      <c r="I5166" s="61">
        <v>39.142290000000003</v>
      </c>
    </row>
    <row r="5167" spans="1:9" s="71" customFormat="1" ht="24" hidden="1" customHeight="1" outlineLevel="1" x14ac:dyDescent="0.25">
      <c r="A5167" s="74">
        <v>6374</v>
      </c>
      <c r="B5167" s="45" t="s">
        <v>664</v>
      </c>
      <c r="C5167" s="60" t="s">
        <v>4746</v>
      </c>
      <c r="D5167" s="60"/>
      <c r="E5167" s="74">
        <v>2023</v>
      </c>
      <c r="F5167" s="74" t="s">
        <v>489</v>
      </c>
      <c r="G5167" s="61">
        <v>1</v>
      </c>
      <c r="H5167" s="61">
        <v>15</v>
      </c>
      <c r="I5167" s="61">
        <v>35.319139999999997</v>
      </c>
    </row>
    <row r="5168" spans="1:9" s="71" customFormat="1" ht="24" hidden="1" customHeight="1" outlineLevel="1" x14ac:dyDescent="0.25">
      <c r="A5168" s="74">
        <v>6375</v>
      </c>
      <c r="B5168" s="45" t="s">
        <v>664</v>
      </c>
      <c r="C5168" s="60" t="s">
        <v>4747</v>
      </c>
      <c r="D5168" s="60"/>
      <c r="E5168" s="74">
        <v>2023</v>
      </c>
      <c r="F5168" s="74" t="s">
        <v>489</v>
      </c>
      <c r="G5168" s="61">
        <v>1</v>
      </c>
      <c r="H5168" s="61">
        <v>15</v>
      </c>
      <c r="I5168" s="61">
        <v>36.052909999999997</v>
      </c>
    </row>
    <row r="5169" spans="1:9" s="71" customFormat="1" ht="24" hidden="1" customHeight="1" outlineLevel="1" x14ac:dyDescent="0.25">
      <c r="A5169" s="74">
        <v>6376</v>
      </c>
      <c r="B5169" s="45" t="s">
        <v>664</v>
      </c>
      <c r="C5169" s="60" t="s">
        <v>4748</v>
      </c>
      <c r="D5169" s="60"/>
      <c r="E5169" s="74">
        <v>2023</v>
      </c>
      <c r="F5169" s="74" t="s">
        <v>489</v>
      </c>
      <c r="G5169" s="61">
        <v>1</v>
      </c>
      <c r="H5169" s="61">
        <v>15</v>
      </c>
      <c r="I5169" s="61">
        <v>36.052900000000001</v>
      </c>
    </row>
    <row r="5170" spans="1:9" s="71" customFormat="1" ht="24" hidden="1" customHeight="1" outlineLevel="1" x14ac:dyDescent="0.25">
      <c r="A5170" s="74">
        <v>1859</v>
      </c>
      <c r="B5170" s="45" t="s">
        <v>664</v>
      </c>
      <c r="C5170" s="60" t="s">
        <v>4749</v>
      </c>
      <c r="D5170" s="60"/>
      <c r="E5170" s="74">
        <v>2023</v>
      </c>
      <c r="F5170" s="74" t="s">
        <v>489</v>
      </c>
      <c r="G5170" s="61">
        <v>1</v>
      </c>
      <c r="H5170" s="61">
        <v>1</v>
      </c>
      <c r="I5170" s="61">
        <v>35.319139999999997</v>
      </c>
    </row>
    <row r="5171" spans="1:9" s="71" customFormat="1" ht="24" hidden="1" customHeight="1" outlineLevel="1" x14ac:dyDescent="0.25">
      <c r="A5171" s="74">
        <v>6377</v>
      </c>
      <c r="B5171" s="45" t="s">
        <v>664</v>
      </c>
      <c r="C5171" s="60" t="s">
        <v>4750</v>
      </c>
      <c r="D5171" s="60"/>
      <c r="E5171" s="74">
        <v>2023</v>
      </c>
      <c r="F5171" s="74" t="s">
        <v>489</v>
      </c>
      <c r="G5171" s="61">
        <v>1</v>
      </c>
      <c r="H5171" s="61">
        <v>15</v>
      </c>
      <c r="I5171" s="61">
        <v>36.052909999999997</v>
      </c>
    </row>
    <row r="5172" spans="1:9" s="71" customFormat="1" ht="24" hidden="1" customHeight="1" outlineLevel="1" x14ac:dyDescent="0.25">
      <c r="A5172" s="74">
        <v>6378</v>
      </c>
      <c r="B5172" s="45" t="s">
        <v>664</v>
      </c>
      <c r="C5172" s="60" t="s">
        <v>4751</v>
      </c>
      <c r="D5172" s="60"/>
      <c r="E5172" s="74">
        <v>2023</v>
      </c>
      <c r="F5172" s="74" t="s">
        <v>489</v>
      </c>
      <c r="G5172" s="61">
        <v>1</v>
      </c>
      <c r="H5172" s="61">
        <v>10</v>
      </c>
      <c r="I5172" s="61">
        <v>35.319139999999997</v>
      </c>
    </row>
    <row r="5173" spans="1:9" s="71" customFormat="1" ht="24" hidden="1" customHeight="1" outlineLevel="1" x14ac:dyDescent="0.25">
      <c r="A5173" s="74">
        <v>6379</v>
      </c>
      <c r="B5173" s="45" t="s">
        <v>664</v>
      </c>
      <c r="C5173" s="60" t="s">
        <v>4752</v>
      </c>
      <c r="D5173" s="60"/>
      <c r="E5173" s="74">
        <v>2023</v>
      </c>
      <c r="F5173" s="74" t="s">
        <v>489</v>
      </c>
      <c r="G5173" s="61">
        <v>1</v>
      </c>
      <c r="H5173" s="61">
        <v>15</v>
      </c>
      <c r="I5173" s="61">
        <v>35.31915</v>
      </c>
    </row>
    <row r="5174" spans="1:9" s="71" customFormat="1" ht="24" hidden="1" customHeight="1" outlineLevel="1" x14ac:dyDescent="0.25">
      <c r="A5174" s="74">
        <v>6380</v>
      </c>
      <c r="B5174" s="45" t="s">
        <v>664</v>
      </c>
      <c r="C5174" s="60" t="s">
        <v>4753</v>
      </c>
      <c r="D5174" s="60"/>
      <c r="E5174" s="74">
        <v>2023</v>
      </c>
      <c r="F5174" s="74" t="s">
        <v>489</v>
      </c>
      <c r="G5174" s="61">
        <v>1</v>
      </c>
      <c r="H5174" s="61">
        <v>15</v>
      </c>
      <c r="I5174" s="61">
        <v>36.052900000000001</v>
      </c>
    </row>
    <row r="5175" spans="1:9" s="71" customFormat="1" ht="24" hidden="1" customHeight="1" outlineLevel="1" x14ac:dyDescent="0.25">
      <c r="A5175" s="74">
        <v>6381</v>
      </c>
      <c r="B5175" s="45" t="s">
        <v>664</v>
      </c>
      <c r="C5175" s="60" t="s">
        <v>4754</v>
      </c>
      <c r="D5175" s="60"/>
      <c r="E5175" s="74">
        <v>2023</v>
      </c>
      <c r="F5175" s="74" t="s">
        <v>489</v>
      </c>
      <c r="G5175" s="61">
        <v>1</v>
      </c>
      <c r="H5175" s="61">
        <v>12</v>
      </c>
      <c r="I5175" s="61">
        <v>35.31915</v>
      </c>
    </row>
    <row r="5176" spans="1:9" s="71" customFormat="1" ht="24" hidden="1" customHeight="1" outlineLevel="1" x14ac:dyDescent="0.25">
      <c r="A5176" s="74">
        <v>1951</v>
      </c>
      <c r="B5176" s="45" t="s">
        <v>664</v>
      </c>
      <c r="C5176" s="60" t="s">
        <v>4755</v>
      </c>
      <c r="D5176" s="60"/>
      <c r="E5176" s="74">
        <v>2023</v>
      </c>
      <c r="F5176" s="74" t="s">
        <v>489</v>
      </c>
      <c r="G5176" s="61">
        <v>1</v>
      </c>
      <c r="H5176" s="61">
        <v>5</v>
      </c>
      <c r="I5176" s="61">
        <v>35.319139999999997</v>
      </c>
    </row>
    <row r="5177" spans="1:9" s="71" customFormat="1" ht="24" hidden="1" customHeight="1" outlineLevel="1" x14ac:dyDescent="0.25">
      <c r="A5177" s="74">
        <v>3472</v>
      </c>
      <c r="B5177" s="45" t="s">
        <v>664</v>
      </c>
      <c r="C5177" s="60" t="s">
        <v>4756</v>
      </c>
      <c r="D5177" s="60"/>
      <c r="E5177" s="74">
        <v>2023</v>
      </c>
      <c r="F5177" s="74" t="s">
        <v>489</v>
      </c>
      <c r="G5177" s="61">
        <v>1</v>
      </c>
      <c r="H5177" s="61">
        <v>15</v>
      </c>
      <c r="I5177" s="61">
        <v>39.189399999999992</v>
      </c>
    </row>
    <row r="5178" spans="1:9" s="71" customFormat="1" ht="24" hidden="1" customHeight="1" outlineLevel="1" x14ac:dyDescent="0.25">
      <c r="A5178" s="74">
        <v>1071</v>
      </c>
      <c r="B5178" s="45" t="s">
        <v>664</v>
      </c>
      <c r="C5178" s="60" t="s">
        <v>4757</v>
      </c>
      <c r="D5178" s="60"/>
      <c r="E5178" s="74">
        <v>2023</v>
      </c>
      <c r="F5178" s="74" t="s">
        <v>489</v>
      </c>
      <c r="G5178" s="61">
        <v>1</v>
      </c>
      <c r="H5178" s="61">
        <v>6</v>
      </c>
      <c r="I5178" s="61">
        <v>36.100010000000005</v>
      </c>
    </row>
    <row r="5179" spans="1:9" s="71" customFormat="1" ht="24" hidden="1" customHeight="1" outlineLevel="1" x14ac:dyDescent="0.25">
      <c r="A5179" s="74">
        <v>3442</v>
      </c>
      <c r="B5179" s="45" t="s">
        <v>664</v>
      </c>
      <c r="C5179" s="60" t="s">
        <v>4758</v>
      </c>
      <c r="D5179" s="60"/>
      <c r="E5179" s="74">
        <v>2023</v>
      </c>
      <c r="F5179" s="74" t="s">
        <v>489</v>
      </c>
      <c r="G5179" s="61">
        <v>1</v>
      </c>
      <c r="H5179" s="61">
        <v>10</v>
      </c>
      <c r="I5179" s="61">
        <v>38.301389999999998</v>
      </c>
    </row>
    <row r="5180" spans="1:9" s="71" customFormat="1" ht="24" hidden="1" customHeight="1" outlineLevel="1" x14ac:dyDescent="0.25">
      <c r="A5180" s="74">
        <v>1086</v>
      </c>
      <c r="B5180" s="45" t="s">
        <v>664</v>
      </c>
      <c r="C5180" s="60" t="s">
        <v>4759</v>
      </c>
      <c r="D5180" s="60"/>
      <c r="E5180" s="74">
        <v>2023</v>
      </c>
      <c r="F5180" s="74" t="s">
        <v>489</v>
      </c>
      <c r="G5180" s="61">
        <v>1</v>
      </c>
      <c r="H5180" s="61">
        <v>15</v>
      </c>
      <c r="I5180" s="61">
        <v>35.366239999999998</v>
      </c>
    </row>
    <row r="5181" spans="1:9" s="71" customFormat="1" ht="24" hidden="1" customHeight="1" outlineLevel="1" x14ac:dyDescent="0.25">
      <c r="A5181" s="74">
        <v>1089</v>
      </c>
      <c r="B5181" s="45" t="s">
        <v>664</v>
      </c>
      <c r="C5181" s="60" t="s">
        <v>4760</v>
      </c>
      <c r="D5181" s="60"/>
      <c r="E5181" s="74">
        <v>2023</v>
      </c>
      <c r="F5181" s="74" t="s">
        <v>489</v>
      </c>
      <c r="G5181" s="61">
        <v>1</v>
      </c>
      <c r="H5181" s="61">
        <v>10</v>
      </c>
      <c r="I5181" s="61">
        <v>36.100050000000003</v>
      </c>
    </row>
    <row r="5182" spans="1:9" s="71" customFormat="1" ht="24" hidden="1" customHeight="1" outlineLevel="1" x14ac:dyDescent="0.25">
      <c r="A5182" s="74">
        <v>6382</v>
      </c>
      <c r="B5182" s="45" t="s">
        <v>664</v>
      </c>
      <c r="C5182" s="60" t="s">
        <v>4761</v>
      </c>
      <c r="D5182" s="60"/>
      <c r="E5182" s="74">
        <v>2023</v>
      </c>
      <c r="F5182" s="74" t="s">
        <v>489</v>
      </c>
      <c r="G5182" s="61">
        <v>1</v>
      </c>
      <c r="H5182" s="61">
        <v>15</v>
      </c>
      <c r="I5182" s="61">
        <v>36.100010000000005</v>
      </c>
    </row>
    <row r="5183" spans="1:9" s="71" customFormat="1" ht="24" hidden="1" customHeight="1" outlineLevel="1" x14ac:dyDescent="0.25">
      <c r="A5183" s="74">
        <v>1125</v>
      </c>
      <c r="B5183" s="45" t="s">
        <v>664</v>
      </c>
      <c r="C5183" s="60" t="s">
        <v>4762</v>
      </c>
      <c r="D5183" s="60"/>
      <c r="E5183" s="74">
        <v>2023</v>
      </c>
      <c r="F5183" s="74" t="s">
        <v>489</v>
      </c>
      <c r="G5183" s="61">
        <v>1</v>
      </c>
      <c r="H5183" s="61">
        <v>15</v>
      </c>
      <c r="I5183" s="61">
        <v>35.366260000000004</v>
      </c>
    </row>
    <row r="5184" spans="1:9" s="71" customFormat="1" ht="24" hidden="1" customHeight="1" outlineLevel="1" x14ac:dyDescent="0.25">
      <c r="A5184" s="74">
        <v>6383</v>
      </c>
      <c r="B5184" s="45" t="s">
        <v>664</v>
      </c>
      <c r="C5184" s="60" t="s">
        <v>4763</v>
      </c>
      <c r="D5184" s="60"/>
      <c r="E5184" s="74">
        <v>2023</v>
      </c>
      <c r="F5184" s="74" t="s">
        <v>489</v>
      </c>
      <c r="G5184" s="61">
        <v>1</v>
      </c>
      <c r="H5184" s="61">
        <v>4</v>
      </c>
      <c r="I5184" s="61">
        <v>35.366239999999998</v>
      </c>
    </row>
    <row r="5185" spans="1:9" s="71" customFormat="1" ht="24" hidden="1" customHeight="1" outlineLevel="1" x14ac:dyDescent="0.25">
      <c r="A5185" s="74">
        <v>6384</v>
      </c>
      <c r="B5185" s="45" t="s">
        <v>664</v>
      </c>
      <c r="C5185" s="60" t="s">
        <v>4764</v>
      </c>
      <c r="D5185" s="60"/>
      <c r="E5185" s="74">
        <v>2023</v>
      </c>
      <c r="F5185" s="74" t="s">
        <v>489</v>
      </c>
      <c r="G5185" s="61">
        <v>1</v>
      </c>
      <c r="H5185" s="61">
        <v>45</v>
      </c>
      <c r="I5185" s="61">
        <v>35.366260000000004</v>
      </c>
    </row>
    <row r="5186" spans="1:9" s="71" customFormat="1" ht="24" hidden="1" customHeight="1" outlineLevel="1" x14ac:dyDescent="0.25">
      <c r="A5186" s="74">
        <v>6385</v>
      </c>
      <c r="B5186" s="45" t="s">
        <v>664</v>
      </c>
      <c r="C5186" s="60" t="s">
        <v>4765</v>
      </c>
      <c r="D5186" s="60"/>
      <c r="E5186" s="74">
        <v>2023</v>
      </c>
      <c r="F5186" s="74" t="s">
        <v>489</v>
      </c>
      <c r="G5186" s="61">
        <v>1</v>
      </c>
      <c r="H5186" s="61">
        <v>5</v>
      </c>
      <c r="I5186" s="61">
        <v>35.366239999999998</v>
      </c>
    </row>
    <row r="5187" spans="1:9" s="71" customFormat="1" ht="24" hidden="1" customHeight="1" outlineLevel="1" x14ac:dyDescent="0.25">
      <c r="A5187" s="74">
        <v>6386</v>
      </c>
      <c r="B5187" s="45" t="s">
        <v>664</v>
      </c>
      <c r="C5187" s="60" t="s">
        <v>4766</v>
      </c>
      <c r="D5187" s="60"/>
      <c r="E5187" s="74">
        <v>2023</v>
      </c>
      <c r="F5187" s="74" t="s">
        <v>489</v>
      </c>
      <c r="G5187" s="61">
        <v>1</v>
      </c>
      <c r="H5187" s="61">
        <v>15</v>
      </c>
      <c r="I5187" s="61">
        <v>35.366260000000004</v>
      </c>
    </row>
    <row r="5188" spans="1:9" s="71" customFormat="1" ht="24" hidden="1" customHeight="1" outlineLevel="1" x14ac:dyDescent="0.25">
      <c r="A5188" s="74">
        <v>6387</v>
      </c>
      <c r="B5188" s="45" t="s">
        <v>664</v>
      </c>
      <c r="C5188" s="60" t="s">
        <v>4767</v>
      </c>
      <c r="D5188" s="60"/>
      <c r="E5188" s="74">
        <v>2023</v>
      </c>
      <c r="F5188" s="74" t="s">
        <v>489</v>
      </c>
      <c r="G5188" s="61">
        <v>1</v>
      </c>
      <c r="H5188" s="61">
        <v>15</v>
      </c>
      <c r="I5188" s="61">
        <v>35.366239999999998</v>
      </c>
    </row>
    <row r="5189" spans="1:9" s="71" customFormat="1" ht="24" hidden="1" customHeight="1" outlineLevel="1" x14ac:dyDescent="0.25">
      <c r="A5189" s="74">
        <v>6388</v>
      </c>
      <c r="B5189" s="45" t="s">
        <v>664</v>
      </c>
      <c r="C5189" s="60" t="s">
        <v>4768</v>
      </c>
      <c r="D5189" s="60"/>
      <c r="E5189" s="74">
        <v>2023</v>
      </c>
      <c r="F5189" s="74" t="s">
        <v>489</v>
      </c>
      <c r="G5189" s="61">
        <v>1</v>
      </c>
      <c r="H5189" s="61">
        <v>10</v>
      </c>
      <c r="I5189" s="61">
        <v>35.366260000000004</v>
      </c>
    </row>
    <row r="5190" spans="1:9" s="71" customFormat="1" ht="24" hidden="1" customHeight="1" outlineLevel="1" x14ac:dyDescent="0.25">
      <c r="A5190" s="74">
        <v>6389</v>
      </c>
      <c r="B5190" s="45" t="s">
        <v>664</v>
      </c>
      <c r="C5190" s="60" t="s">
        <v>4769</v>
      </c>
      <c r="D5190" s="60"/>
      <c r="E5190" s="74">
        <v>2023</v>
      </c>
      <c r="F5190" s="74" t="s">
        <v>489</v>
      </c>
      <c r="G5190" s="61">
        <v>1</v>
      </c>
      <c r="H5190" s="61">
        <v>10</v>
      </c>
      <c r="I5190" s="61">
        <v>37.56758</v>
      </c>
    </row>
    <row r="5191" spans="1:9" s="71" customFormat="1" ht="24" hidden="1" customHeight="1" outlineLevel="1" x14ac:dyDescent="0.25">
      <c r="A5191" s="74">
        <v>1022</v>
      </c>
      <c r="B5191" s="45" t="s">
        <v>664</v>
      </c>
      <c r="C5191" s="60" t="s">
        <v>4770</v>
      </c>
      <c r="D5191" s="60"/>
      <c r="E5191" s="74">
        <v>2023</v>
      </c>
      <c r="F5191" s="74" t="s">
        <v>489</v>
      </c>
      <c r="G5191" s="61">
        <v>1</v>
      </c>
      <c r="H5191" s="61">
        <v>3</v>
      </c>
      <c r="I5191" s="61">
        <v>36.100050000000003</v>
      </c>
    </row>
    <row r="5192" spans="1:9" s="71" customFormat="1" ht="24" hidden="1" customHeight="1" outlineLevel="1" x14ac:dyDescent="0.25">
      <c r="A5192" s="74">
        <v>6390</v>
      </c>
      <c r="B5192" s="45" t="s">
        <v>664</v>
      </c>
      <c r="C5192" s="60" t="s">
        <v>4771</v>
      </c>
      <c r="D5192" s="60"/>
      <c r="E5192" s="74">
        <v>2023</v>
      </c>
      <c r="F5192" s="74" t="s">
        <v>489</v>
      </c>
      <c r="G5192" s="61">
        <v>1</v>
      </c>
      <c r="H5192" s="61">
        <v>8</v>
      </c>
      <c r="I5192" s="61">
        <v>35.366239999999998</v>
      </c>
    </row>
    <row r="5193" spans="1:9" s="71" customFormat="1" ht="24" hidden="1" customHeight="1" outlineLevel="1" x14ac:dyDescent="0.25">
      <c r="A5193" s="74">
        <v>1016</v>
      </c>
      <c r="B5193" s="45" t="s">
        <v>664</v>
      </c>
      <c r="C5193" s="60" t="s">
        <v>4772</v>
      </c>
      <c r="D5193" s="60"/>
      <c r="E5193" s="74">
        <v>2023</v>
      </c>
      <c r="F5193" s="74" t="s">
        <v>489</v>
      </c>
      <c r="G5193" s="61">
        <v>1</v>
      </c>
      <c r="H5193" s="61">
        <v>3</v>
      </c>
      <c r="I5193" s="61">
        <v>35.366260000000004</v>
      </c>
    </row>
    <row r="5194" spans="1:9" s="71" customFormat="1" ht="24" hidden="1" customHeight="1" outlineLevel="1" x14ac:dyDescent="0.25">
      <c r="A5194" s="74">
        <v>1396</v>
      </c>
      <c r="B5194" s="45" t="s">
        <v>664</v>
      </c>
      <c r="C5194" s="60" t="s">
        <v>4773</v>
      </c>
      <c r="D5194" s="60"/>
      <c r="E5194" s="74">
        <v>2023</v>
      </c>
      <c r="F5194" s="74" t="s">
        <v>489</v>
      </c>
      <c r="G5194" s="61">
        <v>1</v>
      </c>
      <c r="H5194" s="61">
        <v>3</v>
      </c>
      <c r="I5194" s="61">
        <v>35.366239999999998</v>
      </c>
    </row>
    <row r="5195" spans="1:9" s="71" customFormat="1" ht="24" hidden="1" customHeight="1" outlineLevel="1" x14ac:dyDescent="0.25">
      <c r="A5195" s="74">
        <v>6391</v>
      </c>
      <c r="B5195" s="45" t="s">
        <v>664</v>
      </c>
      <c r="C5195" s="60" t="s">
        <v>4774</v>
      </c>
      <c r="D5195" s="60"/>
      <c r="E5195" s="74">
        <v>2023</v>
      </c>
      <c r="F5195" s="74" t="s">
        <v>489</v>
      </c>
      <c r="G5195" s="61">
        <v>1</v>
      </c>
      <c r="H5195" s="61">
        <v>10</v>
      </c>
      <c r="I5195" s="61">
        <v>35.366260000000004</v>
      </c>
    </row>
    <row r="5196" spans="1:9" s="71" customFormat="1" ht="24" hidden="1" customHeight="1" outlineLevel="1" x14ac:dyDescent="0.25">
      <c r="A5196" s="74">
        <v>6392</v>
      </c>
      <c r="B5196" s="45" t="s">
        <v>664</v>
      </c>
      <c r="C5196" s="60" t="s">
        <v>4775</v>
      </c>
      <c r="D5196" s="60"/>
      <c r="E5196" s="74">
        <v>2023</v>
      </c>
      <c r="F5196" s="74" t="s">
        <v>489</v>
      </c>
      <c r="G5196" s="61">
        <v>1</v>
      </c>
      <c r="H5196" s="61">
        <v>15</v>
      </c>
      <c r="I5196" s="61">
        <v>34.925940000000004</v>
      </c>
    </row>
    <row r="5197" spans="1:9" s="71" customFormat="1" ht="24" hidden="1" customHeight="1" outlineLevel="1" x14ac:dyDescent="0.25">
      <c r="A5197" s="74">
        <v>6393</v>
      </c>
      <c r="B5197" s="45" t="s">
        <v>664</v>
      </c>
      <c r="C5197" s="60" t="s">
        <v>4776</v>
      </c>
      <c r="D5197" s="60"/>
      <c r="E5197" s="74">
        <v>2023</v>
      </c>
      <c r="F5197" s="74" t="s">
        <v>489</v>
      </c>
      <c r="G5197" s="61">
        <v>1</v>
      </c>
      <c r="H5197" s="61">
        <v>5</v>
      </c>
      <c r="I5197" s="61">
        <v>35.366260000000004</v>
      </c>
    </row>
    <row r="5198" spans="1:9" s="71" customFormat="1" ht="24" hidden="1" customHeight="1" outlineLevel="1" x14ac:dyDescent="0.25">
      <c r="A5198" s="74">
        <v>6394</v>
      </c>
      <c r="B5198" s="45" t="s">
        <v>664</v>
      </c>
      <c r="C5198" s="60" t="s">
        <v>4777</v>
      </c>
      <c r="D5198" s="60"/>
      <c r="E5198" s="74">
        <v>2023</v>
      </c>
      <c r="F5198" s="74" t="s">
        <v>489</v>
      </c>
      <c r="G5198" s="61">
        <v>1</v>
      </c>
      <c r="H5198" s="61">
        <v>7</v>
      </c>
      <c r="I5198" s="61">
        <v>36.833819999999996</v>
      </c>
    </row>
    <row r="5199" spans="1:9" s="71" customFormat="1" ht="24" hidden="1" customHeight="1" outlineLevel="1" x14ac:dyDescent="0.25">
      <c r="A5199" s="74">
        <v>6395</v>
      </c>
      <c r="B5199" s="45" t="s">
        <v>664</v>
      </c>
      <c r="C5199" s="60" t="s">
        <v>4778</v>
      </c>
      <c r="D5199" s="60"/>
      <c r="E5199" s="74">
        <v>2023</v>
      </c>
      <c r="F5199" s="74" t="s">
        <v>489</v>
      </c>
      <c r="G5199" s="61">
        <v>1</v>
      </c>
      <c r="H5199" s="61">
        <v>12</v>
      </c>
      <c r="I5199" s="61">
        <v>35.366260000000004</v>
      </c>
    </row>
    <row r="5200" spans="1:9" s="71" customFormat="1" ht="24" hidden="1" customHeight="1" outlineLevel="1" x14ac:dyDescent="0.25">
      <c r="A5200" s="74">
        <v>6396</v>
      </c>
      <c r="B5200" s="45" t="s">
        <v>664</v>
      </c>
      <c r="C5200" s="60" t="s">
        <v>4779</v>
      </c>
      <c r="D5200" s="60"/>
      <c r="E5200" s="74">
        <v>2023</v>
      </c>
      <c r="F5200" s="74" t="s">
        <v>489</v>
      </c>
      <c r="G5200" s="61">
        <v>1</v>
      </c>
      <c r="H5200" s="61">
        <v>10</v>
      </c>
      <c r="I5200" s="61">
        <v>35.366239999999998</v>
      </c>
    </row>
    <row r="5201" spans="1:9" s="71" customFormat="1" ht="24" hidden="1" customHeight="1" outlineLevel="1" x14ac:dyDescent="0.25">
      <c r="A5201" s="74">
        <v>6397</v>
      </c>
      <c r="B5201" s="45" t="s">
        <v>664</v>
      </c>
      <c r="C5201" s="60" t="s">
        <v>4780</v>
      </c>
      <c r="D5201" s="60"/>
      <c r="E5201" s="74">
        <v>2023</v>
      </c>
      <c r="F5201" s="74" t="s">
        <v>489</v>
      </c>
      <c r="G5201" s="61">
        <v>1</v>
      </c>
      <c r="H5201" s="61">
        <v>5</v>
      </c>
      <c r="I5201" s="61">
        <v>34.779199999999996</v>
      </c>
    </row>
    <row r="5202" spans="1:9" s="71" customFormat="1" ht="24" hidden="1" customHeight="1" outlineLevel="1" x14ac:dyDescent="0.25">
      <c r="A5202" s="74">
        <v>6398</v>
      </c>
      <c r="B5202" s="45" t="s">
        <v>664</v>
      </c>
      <c r="C5202" s="60" t="s">
        <v>4781</v>
      </c>
      <c r="D5202" s="60"/>
      <c r="E5202" s="74">
        <v>2023</v>
      </c>
      <c r="F5202" s="74" t="s">
        <v>489</v>
      </c>
      <c r="G5202" s="61">
        <v>1</v>
      </c>
      <c r="H5202" s="61">
        <v>7.5</v>
      </c>
      <c r="I5202" s="61">
        <v>35.366260000000004</v>
      </c>
    </row>
    <row r="5203" spans="1:9" s="71" customFormat="1" ht="24" hidden="1" customHeight="1" outlineLevel="1" x14ac:dyDescent="0.25">
      <c r="A5203" s="74">
        <v>6399</v>
      </c>
      <c r="B5203" s="45" t="s">
        <v>664</v>
      </c>
      <c r="C5203" s="60" t="s">
        <v>4782</v>
      </c>
      <c r="D5203" s="60"/>
      <c r="E5203" s="74">
        <v>2023</v>
      </c>
      <c r="F5203" s="74" t="s">
        <v>489</v>
      </c>
      <c r="G5203" s="61">
        <v>1</v>
      </c>
      <c r="H5203" s="61">
        <v>5</v>
      </c>
      <c r="I5203" s="61">
        <v>36.100010000000005</v>
      </c>
    </row>
    <row r="5204" spans="1:9" s="71" customFormat="1" ht="24" hidden="1" customHeight="1" outlineLevel="1" x14ac:dyDescent="0.25">
      <c r="A5204" s="74">
        <v>537</v>
      </c>
      <c r="B5204" s="45" t="s">
        <v>664</v>
      </c>
      <c r="C5204" s="60" t="s">
        <v>4783</v>
      </c>
      <c r="D5204" s="60"/>
      <c r="E5204" s="74">
        <v>2023</v>
      </c>
      <c r="F5204" s="74" t="s">
        <v>489</v>
      </c>
      <c r="G5204" s="61">
        <v>1</v>
      </c>
      <c r="H5204" s="61">
        <v>15</v>
      </c>
      <c r="I5204" s="61">
        <v>40.927289999999992</v>
      </c>
    </row>
    <row r="5205" spans="1:9" s="71" customFormat="1" ht="24" hidden="1" customHeight="1" outlineLevel="1" x14ac:dyDescent="0.25">
      <c r="A5205" s="74">
        <v>6193</v>
      </c>
      <c r="B5205" s="45" t="s">
        <v>664</v>
      </c>
      <c r="C5205" s="60" t="s">
        <v>4784</v>
      </c>
      <c r="D5205" s="60"/>
      <c r="E5205" s="74">
        <v>2023</v>
      </c>
      <c r="F5205" s="74" t="s">
        <v>489</v>
      </c>
      <c r="G5205" s="61">
        <v>1</v>
      </c>
      <c r="H5205" s="61">
        <v>35</v>
      </c>
      <c r="I5205" s="61">
        <v>40.720110000000005</v>
      </c>
    </row>
    <row r="5206" spans="1:9" s="71" customFormat="1" ht="24" hidden="1" customHeight="1" outlineLevel="1" x14ac:dyDescent="0.25">
      <c r="A5206" s="74">
        <v>6343</v>
      </c>
      <c r="B5206" s="45" t="s">
        <v>664</v>
      </c>
      <c r="C5206" s="60" t="s">
        <v>4785</v>
      </c>
      <c r="D5206" s="60"/>
      <c r="E5206" s="74">
        <v>2023</v>
      </c>
      <c r="F5206" s="74" t="s">
        <v>489</v>
      </c>
      <c r="G5206" s="61">
        <v>1</v>
      </c>
      <c r="H5206" s="61">
        <v>15</v>
      </c>
      <c r="I5206" s="61">
        <v>40.164380000000001</v>
      </c>
    </row>
    <row r="5207" spans="1:9" s="71" customFormat="1" ht="24" hidden="1" customHeight="1" outlineLevel="1" x14ac:dyDescent="0.25">
      <c r="A5207" s="74">
        <v>2155</v>
      </c>
      <c r="B5207" s="45" t="s">
        <v>664</v>
      </c>
      <c r="C5207" s="60" t="s">
        <v>4786</v>
      </c>
      <c r="D5207" s="60"/>
      <c r="E5207" s="74">
        <v>2023</v>
      </c>
      <c r="F5207" s="74" t="s">
        <v>489</v>
      </c>
      <c r="G5207" s="61">
        <v>1</v>
      </c>
      <c r="H5207" s="61">
        <v>4</v>
      </c>
      <c r="I5207" s="61">
        <v>39.232410000000002</v>
      </c>
    </row>
    <row r="5208" spans="1:9" s="71" customFormat="1" ht="24" hidden="1" customHeight="1" outlineLevel="1" x14ac:dyDescent="0.25">
      <c r="A5208" s="74">
        <v>6344</v>
      </c>
      <c r="B5208" s="45" t="s">
        <v>664</v>
      </c>
      <c r="C5208" s="60" t="s">
        <v>4787</v>
      </c>
      <c r="D5208" s="60"/>
      <c r="E5208" s="74">
        <v>2023</v>
      </c>
      <c r="F5208" s="74" t="s">
        <v>489</v>
      </c>
      <c r="G5208" s="61">
        <v>1</v>
      </c>
      <c r="H5208" s="61">
        <v>10</v>
      </c>
      <c r="I5208" s="61">
        <v>44.499370000000006</v>
      </c>
    </row>
    <row r="5209" spans="1:9" s="71" customFormat="1" ht="24" hidden="1" customHeight="1" outlineLevel="1" x14ac:dyDescent="0.25">
      <c r="A5209" s="74">
        <v>6345</v>
      </c>
      <c r="B5209" s="45" t="s">
        <v>664</v>
      </c>
      <c r="C5209" s="60" t="s">
        <v>4788</v>
      </c>
      <c r="D5209" s="60"/>
      <c r="E5209" s="74">
        <v>2023</v>
      </c>
      <c r="F5209" s="74" t="s">
        <v>489</v>
      </c>
      <c r="G5209" s="61">
        <v>1</v>
      </c>
      <c r="H5209" s="61">
        <v>30</v>
      </c>
      <c r="I5209" s="61">
        <v>37.545709999999993</v>
      </c>
    </row>
    <row r="5210" spans="1:9" s="71" customFormat="1" ht="24" hidden="1" customHeight="1" outlineLevel="1" x14ac:dyDescent="0.25">
      <c r="A5210" s="74">
        <v>1078</v>
      </c>
      <c r="B5210" s="45" t="s">
        <v>664</v>
      </c>
      <c r="C5210" s="60" t="s">
        <v>4789</v>
      </c>
      <c r="D5210" s="60"/>
      <c r="E5210" s="74">
        <v>2023</v>
      </c>
      <c r="F5210" s="74" t="s">
        <v>489</v>
      </c>
      <c r="G5210" s="61">
        <v>1</v>
      </c>
      <c r="H5210" s="61">
        <v>10</v>
      </c>
      <c r="I5210" s="61">
        <v>39.383069999999996</v>
      </c>
    </row>
    <row r="5211" spans="1:9" s="71" customFormat="1" ht="24" hidden="1" customHeight="1" outlineLevel="1" x14ac:dyDescent="0.25">
      <c r="A5211" s="74">
        <v>6400</v>
      </c>
      <c r="B5211" s="45" t="s">
        <v>664</v>
      </c>
      <c r="C5211" s="60" t="s">
        <v>4790</v>
      </c>
      <c r="D5211" s="60"/>
      <c r="E5211" s="74">
        <v>2023</v>
      </c>
      <c r="F5211" s="74" t="s">
        <v>489</v>
      </c>
      <c r="G5211" s="61">
        <v>1</v>
      </c>
      <c r="H5211" s="61">
        <v>12</v>
      </c>
      <c r="I5211" s="61">
        <v>40.01001999999999</v>
      </c>
    </row>
    <row r="5212" spans="1:9" s="71" customFormat="1" ht="24" hidden="1" customHeight="1" outlineLevel="1" x14ac:dyDescent="0.25">
      <c r="A5212" s="74">
        <v>6401</v>
      </c>
      <c r="B5212" s="45" t="s">
        <v>664</v>
      </c>
      <c r="C5212" s="60" t="s">
        <v>4791</v>
      </c>
      <c r="D5212" s="60"/>
      <c r="E5212" s="74">
        <v>2023</v>
      </c>
      <c r="F5212" s="74" t="s">
        <v>489</v>
      </c>
      <c r="G5212" s="61">
        <v>1</v>
      </c>
      <c r="H5212" s="61">
        <v>15</v>
      </c>
      <c r="I5212" s="61">
        <v>39.600800000000007</v>
      </c>
    </row>
    <row r="5213" spans="1:9" s="71" customFormat="1" ht="24" hidden="1" customHeight="1" outlineLevel="1" x14ac:dyDescent="0.25">
      <c r="A5213" s="74">
        <v>6402</v>
      </c>
      <c r="B5213" s="45" t="s">
        <v>664</v>
      </c>
      <c r="C5213" s="60" t="s">
        <v>4792</v>
      </c>
      <c r="D5213" s="60"/>
      <c r="E5213" s="74">
        <v>2023</v>
      </c>
      <c r="F5213" s="74" t="s">
        <v>489</v>
      </c>
      <c r="G5213" s="61">
        <v>1</v>
      </c>
      <c r="H5213" s="61">
        <v>3</v>
      </c>
      <c r="I5213" s="61">
        <v>43.951449999999994</v>
      </c>
    </row>
    <row r="5214" spans="1:9" s="71" customFormat="1" ht="24" hidden="1" customHeight="1" outlineLevel="1" x14ac:dyDescent="0.25">
      <c r="A5214" s="74">
        <v>721</v>
      </c>
      <c r="B5214" s="45" t="s">
        <v>664</v>
      </c>
      <c r="C5214" s="60" t="s">
        <v>4793</v>
      </c>
      <c r="D5214" s="60"/>
      <c r="E5214" s="74">
        <v>2023</v>
      </c>
      <c r="F5214" s="74" t="s">
        <v>489</v>
      </c>
      <c r="G5214" s="61">
        <v>1</v>
      </c>
      <c r="H5214" s="61">
        <v>15</v>
      </c>
      <c r="I5214" s="61">
        <v>35.201570000000004</v>
      </c>
    </row>
    <row r="5215" spans="1:9" s="71" customFormat="1" ht="24" hidden="1" customHeight="1" outlineLevel="1" x14ac:dyDescent="0.25">
      <c r="A5215" s="74">
        <v>734</v>
      </c>
      <c r="B5215" s="45" t="s">
        <v>664</v>
      </c>
      <c r="C5215" s="60" t="s">
        <v>4794</v>
      </c>
      <c r="D5215" s="60"/>
      <c r="E5215" s="74">
        <v>2023</v>
      </c>
      <c r="F5215" s="74" t="s">
        <v>489</v>
      </c>
      <c r="G5215" s="61">
        <v>1</v>
      </c>
      <c r="H5215" s="61">
        <v>10</v>
      </c>
      <c r="I5215" s="61">
        <v>35.786900000000003</v>
      </c>
    </row>
    <row r="5216" spans="1:9" s="71" customFormat="1" ht="24" hidden="1" customHeight="1" outlineLevel="1" x14ac:dyDescent="0.25">
      <c r="A5216" s="74">
        <v>1116</v>
      </c>
      <c r="B5216" s="45" t="s">
        <v>664</v>
      </c>
      <c r="C5216" s="60" t="s">
        <v>4795</v>
      </c>
      <c r="D5216" s="60"/>
      <c r="E5216" s="74">
        <v>2023</v>
      </c>
      <c r="F5216" s="74" t="s">
        <v>489</v>
      </c>
      <c r="G5216" s="61">
        <v>1</v>
      </c>
      <c r="H5216" s="61">
        <v>15</v>
      </c>
      <c r="I5216" s="61">
        <v>37.25027</v>
      </c>
    </row>
    <row r="5217" spans="1:9" s="71" customFormat="1" ht="24" hidden="1" customHeight="1" outlineLevel="1" x14ac:dyDescent="0.25">
      <c r="A5217" s="74">
        <v>1228</v>
      </c>
      <c r="B5217" s="45" t="s">
        <v>664</v>
      </c>
      <c r="C5217" s="60" t="s">
        <v>4796</v>
      </c>
      <c r="D5217" s="60"/>
      <c r="E5217" s="74">
        <v>2023</v>
      </c>
      <c r="F5217" s="74" t="s">
        <v>489</v>
      </c>
      <c r="G5217" s="61">
        <v>1</v>
      </c>
      <c r="H5217" s="61">
        <v>7</v>
      </c>
      <c r="I5217" s="61">
        <v>35.494250000000001</v>
      </c>
    </row>
    <row r="5218" spans="1:9" s="71" customFormat="1" ht="24" hidden="1" customHeight="1" outlineLevel="1" x14ac:dyDescent="0.25">
      <c r="A5218" s="74">
        <v>6412</v>
      </c>
      <c r="B5218" s="45" t="s">
        <v>664</v>
      </c>
      <c r="C5218" s="60" t="s">
        <v>4797</v>
      </c>
      <c r="D5218" s="60"/>
      <c r="E5218" s="74">
        <v>2023</v>
      </c>
      <c r="F5218" s="74" t="s">
        <v>489</v>
      </c>
      <c r="G5218" s="61">
        <v>1</v>
      </c>
      <c r="H5218" s="61">
        <v>10</v>
      </c>
      <c r="I5218" s="61">
        <v>35.782679999999999</v>
      </c>
    </row>
    <row r="5219" spans="1:9" s="71" customFormat="1" ht="24" hidden="1" customHeight="1" outlineLevel="1" x14ac:dyDescent="0.25">
      <c r="A5219" s="74">
        <v>6413</v>
      </c>
      <c r="B5219" s="45" t="s">
        <v>664</v>
      </c>
      <c r="C5219" s="60" t="s">
        <v>4798</v>
      </c>
      <c r="D5219" s="60"/>
      <c r="E5219" s="74">
        <v>2023</v>
      </c>
      <c r="F5219" s="74" t="s">
        <v>489</v>
      </c>
      <c r="G5219" s="61">
        <v>1</v>
      </c>
      <c r="H5219" s="61">
        <v>5</v>
      </c>
      <c r="I5219" s="61">
        <v>38.713660000000004</v>
      </c>
    </row>
    <row r="5220" spans="1:9" s="71" customFormat="1" ht="24" hidden="1" customHeight="1" outlineLevel="1" x14ac:dyDescent="0.25">
      <c r="A5220" s="74">
        <v>6414</v>
      </c>
      <c r="B5220" s="45" t="s">
        <v>664</v>
      </c>
      <c r="C5220" s="60" t="s">
        <v>4799</v>
      </c>
      <c r="D5220" s="60"/>
      <c r="E5220" s="74">
        <v>2023</v>
      </c>
      <c r="F5220" s="74" t="s">
        <v>489</v>
      </c>
      <c r="G5220" s="61">
        <v>1</v>
      </c>
      <c r="H5220" s="61">
        <v>10</v>
      </c>
      <c r="I5220" s="61">
        <v>35.494239999999998</v>
      </c>
    </row>
    <row r="5221" spans="1:9" s="71" customFormat="1" ht="24" hidden="1" customHeight="1" outlineLevel="1" x14ac:dyDescent="0.25">
      <c r="A5221" s="74">
        <v>1558</v>
      </c>
      <c r="B5221" s="45" t="s">
        <v>664</v>
      </c>
      <c r="C5221" s="60" t="s">
        <v>4800</v>
      </c>
      <c r="D5221" s="60"/>
      <c r="E5221" s="74">
        <v>2023</v>
      </c>
      <c r="F5221" s="74" t="s">
        <v>489</v>
      </c>
      <c r="G5221" s="61">
        <v>1</v>
      </c>
      <c r="H5221" s="61">
        <v>15</v>
      </c>
      <c r="I5221" s="61">
        <v>35.201570000000004</v>
      </c>
    </row>
    <row r="5222" spans="1:9" s="71" customFormat="1" ht="24" hidden="1" customHeight="1" outlineLevel="1" x14ac:dyDescent="0.25">
      <c r="A5222" s="74">
        <v>6415</v>
      </c>
      <c r="B5222" s="45" t="s">
        <v>664</v>
      </c>
      <c r="C5222" s="60" t="s">
        <v>4801</v>
      </c>
      <c r="D5222" s="60"/>
      <c r="E5222" s="74">
        <v>2023</v>
      </c>
      <c r="F5222" s="74" t="s">
        <v>489</v>
      </c>
      <c r="G5222" s="61">
        <v>1</v>
      </c>
      <c r="H5222" s="61">
        <v>15</v>
      </c>
      <c r="I5222" s="61">
        <v>37.250259999999997</v>
      </c>
    </row>
    <row r="5223" spans="1:9" s="71" customFormat="1" ht="24" hidden="1" customHeight="1" outlineLevel="1" x14ac:dyDescent="0.25">
      <c r="A5223" s="74">
        <v>1559</v>
      </c>
      <c r="B5223" s="45" t="s">
        <v>664</v>
      </c>
      <c r="C5223" s="60" t="s">
        <v>4802</v>
      </c>
      <c r="D5223" s="60"/>
      <c r="E5223" s="74">
        <v>2023</v>
      </c>
      <c r="F5223" s="74" t="s">
        <v>489</v>
      </c>
      <c r="G5223" s="61">
        <v>1</v>
      </c>
      <c r="H5223" s="61">
        <v>15</v>
      </c>
      <c r="I5223" s="61">
        <v>35.786900000000003</v>
      </c>
    </row>
    <row r="5224" spans="1:9" s="71" customFormat="1" ht="24" hidden="1" customHeight="1" outlineLevel="1" x14ac:dyDescent="0.25">
      <c r="A5224" s="74">
        <v>6416</v>
      </c>
      <c r="B5224" s="45" t="s">
        <v>664</v>
      </c>
      <c r="C5224" s="60" t="s">
        <v>4803</v>
      </c>
      <c r="D5224" s="60"/>
      <c r="E5224" s="74">
        <v>2023</v>
      </c>
      <c r="F5224" s="74" t="s">
        <v>489</v>
      </c>
      <c r="G5224" s="61">
        <v>1</v>
      </c>
      <c r="H5224" s="61">
        <v>15</v>
      </c>
      <c r="I5224" s="61">
        <v>35.201560000000001</v>
      </c>
    </row>
    <row r="5225" spans="1:9" s="71" customFormat="1" ht="24" hidden="1" customHeight="1" outlineLevel="1" x14ac:dyDescent="0.25">
      <c r="A5225" s="74">
        <v>6417</v>
      </c>
      <c r="B5225" s="45" t="s">
        <v>664</v>
      </c>
      <c r="C5225" s="60" t="s">
        <v>4804</v>
      </c>
      <c r="D5225" s="60"/>
      <c r="E5225" s="74">
        <v>2023</v>
      </c>
      <c r="F5225" s="74" t="s">
        <v>489</v>
      </c>
      <c r="G5225" s="61">
        <v>1</v>
      </c>
      <c r="H5225" s="61">
        <v>15</v>
      </c>
      <c r="I5225" s="61">
        <v>35.786900000000003</v>
      </c>
    </row>
    <row r="5226" spans="1:9" s="71" customFormat="1" ht="24" hidden="1" customHeight="1" outlineLevel="1" x14ac:dyDescent="0.25">
      <c r="A5226" s="74">
        <v>6418</v>
      </c>
      <c r="B5226" s="45" t="s">
        <v>664</v>
      </c>
      <c r="C5226" s="60" t="s">
        <v>4805</v>
      </c>
      <c r="D5226" s="60"/>
      <c r="E5226" s="74">
        <v>2023</v>
      </c>
      <c r="F5226" s="74" t="s">
        <v>489</v>
      </c>
      <c r="G5226" s="61">
        <v>1</v>
      </c>
      <c r="H5226" s="61">
        <v>15</v>
      </c>
      <c r="I5226" s="61">
        <v>35.786900000000003</v>
      </c>
    </row>
    <row r="5227" spans="1:9" s="71" customFormat="1" ht="24" hidden="1" customHeight="1" outlineLevel="1" x14ac:dyDescent="0.25">
      <c r="A5227" s="74">
        <v>1847</v>
      </c>
      <c r="B5227" s="45" t="s">
        <v>664</v>
      </c>
      <c r="C5227" s="60" t="s">
        <v>4806</v>
      </c>
      <c r="D5227" s="60"/>
      <c r="E5227" s="74">
        <v>2023</v>
      </c>
      <c r="F5227" s="74" t="s">
        <v>489</v>
      </c>
      <c r="G5227" s="61">
        <v>1</v>
      </c>
      <c r="H5227" s="61">
        <v>15</v>
      </c>
      <c r="I5227" s="61">
        <v>35.494239999999998</v>
      </c>
    </row>
    <row r="5228" spans="1:9" s="71" customFormat="1" ht="24" hidden="1" customHeight="1" outlineLevel="1" x14ac:dyDescent="0.25">
      <c r="A5228" s="74">
        <v>6419</v>
      </c>
      <c r="B5228" s="45" t="s">
        <v>664</v>
      </c>
      <c r="C5228" s="60" t="s">
        <v>4807</v>
      </c>
      <c r="D5228" s="60"/>
      <c r="E5228" s="74">
        <v>2023</v>
      </c>
      <c r="F5228" s="74" t="s">
        <v>489</v>
      </c>
      <c r="G5228" s="61">
        <v>1</v>
      </c>
      <c r="H5228" s="61">
        <v>15</v>
      </c>
      <c r="I5228" s="61">
        <v>35.786900000000003</v>
      </c>
    </row>
    <row r="5229" spans="1:9" s="71" customFormat="1" ht="24" hidden="1" customHeight="1" outlineLevel="1" x14ac:dyDescent="0.25">
      <c r="A5229" s="74">
        <v>6420</v>
      </c>
      <c r="B5229" s="45" t="s">
        <v>664</v>
      </c>
      <c r="C5229" s="60" t="s">
        <v>4808</v>
      </c>
      <c r="D5229" s="60"/>
      <c r="E5229" s="74">
        <v>2023</v>
      </c>
      <c r="F5229" s="74" t="s">
        <v>489</v>
      </c>
      <c r="G5229" s="61">
        <v>1</v>
      </c>
      <c r="H5229" s="61">
        <v>15</v>
      </c>
      <c r="I5229" s="61">
        <v>35.786900000000003</v>
      </c>
    </row>
    <row r="5230" spans="1:9" s="71" customFormat="1" ht="24" hidden="1" customHeight="1" outlineLevel="1" x14ac:dyDescent="0.25">
      <c r="A5230" s="74">
        <v>6421</v>
      </c>
      <c r="B5230" s="45" t="s">
        <v>664</v>
      </c>
      <c r="C5230" s="60" t="s">
        <v>4809</v>
      </c>
      <c r="D5230" s="60"/>
      <c r="E5230" s="74">
        <v>2023</v>
      </c>
      <c r="F5230" s="74" t="s">
        <v>489</v>
      </c>
      <c r="G5230" s="61">
        <v>1</v>
      </c>
      <c r="H5230" s="61">
        <v>15</v>
      </c>
      <c r="I5230" s="61">
        <v>35.786900000000003</v>
      </c>
    </row>
    <row r="5231" spans="1:9" s="71" customFormat="1" ht="24" hidden="1" customHeight="1" outlineLevel="1" x14ac:dyDescent="0.25">
      <c r="A5231" s="74">
        <v>6422</v>
      </c>
      <c r="B5231" s="45" t="s">
        <v>664</v>
      </c>
      <c r="C5231" s="60" t="s">
        <v>4810</v>
      </c>
      <c r="D5231" s="60"/>
      <c r="E5231" s="74">
        <v>2023</v>
      </c>
      <c r="F5231" s="74" t="s">
        <v>489</v>
      </c>
      <c r="G5231" s="61">
        <v>1</v>
      </c>
      <c r="H5231" s="61">
        <v>15</v>
      </c>
      <c r="I5231" s="61">
        <v>35.786900000000003</v>
      </c>
    </row>
    <row r="5232" spans="1:9" s="71" customFormat="1" ht="24" hidden="1" customHeight="1" outlineLevel="1" x14ac:dyDescent="0.25">
      <c r="A5232" s="74">
        <v>6423</v>
      </c>
      <c r="B5232" s="45" t="s">
        <v>664</v>
      </c>
      <c r="C5232" s="60" t="s">
        <v>4811</v>
      </c>
      <c r="D5232" s="60"/>
      <c r="E5232" s="74">
        <v>2023</v>
      </c>
      <c r="F5232" s="74" t="s">
        <v>489</v>
      </c>
      <c r="G5232" s="61">
        <v>1</v>
      </c>
      <c r="H5232" s="61">
        <v>15</v>
      </c>
      <c r="I5232" s="61">
        <v>35.494239999999998</v>
      </c>
    </row>
    <row r="5233" spans="1:9" s="71" customFormat="1" ht="24" hidden="1" customHeight="1" outlineLevel="1" x14ac:dyDescent="0.25">
      <c r="A5233" s="74">
        <v>6424</v>
      </c>
      <c r="B5233" s="45" t="s">
        <v>664</v>
      </c>
      <c r="C5233" s="60" t="s">
        <v>4812</v>
      </c>
      <c r="D5233" s="60"/>
      <c r="E5233" s="74">
        <v>2023</v>
      </c>
      <c r="F5233" s="74" t="s">
        <v>489</v>
      </c>
      <c r="G5233" s="61">
        <v>1</v>
      </c>
      <c r="H5233" s="61">
        <v>15</v>
      </c>
      <c r="I5233" s="61">
        <v>35.786900000000003</v>
      </c>
    </row>
    <row r="5234" spans="1:9" s="71" customFormat="1" ht="24" hidden="1" customHeight="1" outlineLevel="1" x14ac:dyDescent="0.25">
      <c r="A5234" s="74">
        <v>1974</v>
      </c>
      <c r="B5234" s="45" t="s">
        <v>664</v>
      </c>
      <c r="C5234" s="60" t="s">
        <v>4813</v>
      </c>
      <c r="D5234" s="60"/>
      <c r="E5234" s="74">
        <v>2023</v>
      </c>
      <c r="F5234" s="74" t="s">
        <v>489</v>
      </c>
      <c r="G5234" s="61">
        <v>1</v>
      </c>
      <c r="H5234" s="61">
        <v>10</v>
      </c>
      <c r="I5234" s="61">
        <v>35.786900000000003</v>
      </c>
    </row>
    <row r="5235" spans="1:9" s="71" customFormat="1" ht="24" hidden="1" customHeight="1" outlineLevel="1" x14ac:dyDescent="0.25">
      <c r="A5235" s="74">
        <v>6425</v>
      </c>
      <c r="B5235" s="45" t="s">
        <v>664</v>
      </c>
      <c r="C5235" s="60" t="s">
        <v>4814</v>
      </c>
      <c r="D5235" s="60"/>
      <c r="E5235" s="74">
        <v>2023</v>
      </c>
      <c r="F5235" s="74" t="s">
        <v>489</v>
      </c>
      <c r="G5235" s="61">
        <v>1</v>
      </c>
      <c r="H5235" s="61">
        <v>15</v>
      </c>
      <c r="I5235" s="61">
        <v>41.068779999999997</v>
      </c>
    </row>
    <row r="5236" spans="1:9" s="71" customFormat="1" ht="24" hidden="1" customHeight="1" outlineLevel="1" x14ac:dyDescent="0.25">
      <c r="A5236" s="74">
        <v>6426</v>
      </c>
      <c r="B5236" s="45" t="s">
        <v>664</v>
      </c>
      <c r="C5236" s="60" t="s">
        <v>4815</v>
      </c>
      <c r="D5236" s="60"/>
      <c r="E5236" s="74">
        <v>2023</v>
      </c>
      <c r="F5236" s="74" t="s">
        <v>489</v>
      </c>
      <c r="G5236" s="61">
        <v>1</v>
      </c>
      <c r="H5236" s="61">
        <v>15</v>
      </c>
      <c r="I5236" s="61">
        <v>35.786900000000003</v>
      </c>
    </row>
    <row r="5237" spans="1:9" s="71" customFormat="1" ht="24" hidden="1" customHeight="1" outlineLevel="1" x14ac:dyDescent="0.25">
      <c r="A5237" s="74">
        <v>6427</v>
      </c>
      <c r="B5237" s="45" t="s">
        <v>664</v>
      </c>
      <c r="C5237" s="60" t="s">
        <v>4816</v>
      </c>
      <c r="D5237" s="60"/>
      <c r="E5237" s="74">
        <v>2023</v>
      </c>
      <c r="F5237" s="74" t="s">
        <v>489</v>
      </c>
      <c r="G5237" s="61">
        <v>1</v>
      </c>
      <c r="H5237" s="61">
        <v>15</v>
      </c>
      <c r="I5237" s="61">
        <v>35.786900000000003</v>
      </c>
    </row>
    <row r="5238" spans="1:9" s="71" customFormat="1" ht="24" hidden="1" customHeight="1" outlineLevel="1" x14ac:dyDescent="0.25">
      <c r="A5238" s="74">
        <v>6443</v>
      </c>
      <c r="B5238" s="45" t="s">
        <v>664</v>
      </c>
      <c r="C5238" s="60" t="s">
        <v>4817</v>
      </c>
      <c r="D5238" s="60"/>
      <c r="E5238" s="74">
        <v>2023</v>
      </c>
      <c r="F5238" s="74" t="s">
        <v>489</v>
      </c>
      <c r="G5238" s="61">
        <v>1</v>
      </c>
      <c r="H5238" s="61">
        <v>5</v>
      </c>
      <c r="I5238" s="61">
        <v>34.90887</v>
      </c>
    </row>
    <row r="5239" spans="1:9" s="71" customFormat="1" ht="24" hidden="1" customHeight="1" outlineLevel="1" x14ac:dyDescent="0.25">
      <c r="A5239" s="74">
        <v>6444</v>
      </c>
      <c r="B5239" s="45" t="s">
        <v>664</v>
      </c>
      <c r="C5239" s="60" t="s">
        <v>4818</v>
      </c>
      <c r="D5239" s="60"/>
      <c r="E5239" s="74">
        <v>2023</v>
      </c>
      <c r="F5239" s="74" t="s">
        <v>489</v>
      </c>
      <c r="G5239" s="61">
        <v>1</v>
      </c>
      <c r="H5239" s="61">
        <v>10</v>
      </c>
      <c r="I5239" s="61">
        <v>35.347909999999999</v>
      </c>
    </row>
    <row r="5240" spans="1:9" s="71" customFormat="1" ht="24" hidden="1" customHeight="1" outlineLevel="1" x14ac:dyDescent="0.25">
      <c r="A5240" s="74">
        <v>6445</v>
      </c>
      <c r="B5240" s="45" t="s">
        <v>664</v>
      </c>
      <c r="C5240" s="60" t="s">
        <v>4819</v>
      </c>
      <c r="D5240" s="60"/>
      <c r="E5240" s="74">
        <v>2023</v>
      </c>
      <c r="F5240" s="74" t="s">
        <v>489</v>
      </c>
      <c r="G5240" s="61">
        <v>1</v>
      </c>
      <c r="H5240" s="61">
        <v>15</v>
      </c>
      <c r="I5240" s="61">
        <v>35.494229999999995</v>
      </c>
    </row>
    <row r="5241" spans="1:9" s="71" customFormat="1" ht="24" hidden="1" customHeight="1" outlineLevel="1" x14ac:dyDescent="0.25">
      <c r="A5241" s="74">
        <v>1858</v>
      </c>
      <c r="B5241" s="45" t="s">
        <v>664</v>
      </c>
      <c r="C5241" s="60" t="s">
        <v>4820</v>
      </c>
      <c r="D5241" s="60"/>
      <c r="E5241" s="74">
        <v>2023</v>
      </c>
      <c r="F5241" s="74" t="s">
        <v>489</v>
      </c>
      <c r="G5241" s="61">
        <v>1</v>
      </c>
      <c r="H5241" s="61">
        <v>15</v>
      </c>
      <c r="I5241" s="61">
        <v>36.518619999999999</v>
      </c>
    </row>
    <row r="5242" spans="1:9" s="71" customFormat="1" ht="24" hidden="1" customHeight="1" outlineLevel="1" x14ac:dyDescent="0.25">
      <c r="A5242" s="74">
        <v>6446</v>
      </c>
      <c r="B5242" s="45" t="s">
        <v>664</v>
      </c>
      <c r="C5242" s="60" t="s">
        <v>4821</v>
      </c>
      <c r="D5242" s="60"/>
      <c r="E5242" s="74">
        <v>2023</v>
      </c>
      <c r="F5242" s="74" t="s">
        <v>489</v>
      </c>
      <c r="G5242" s="61">
        <v>1</v>
      </c>
      <c r="H5242" s="61">
        <v>15</v>
      </c>
      <c r="I5242" s="61">
        <v>35.78689</v>
      </c>
    </row>
    <row r="5243" spans="1:9" s="71" customFormat="1" ht="24" hidden="1" customHeight="1" outlineLevel="1" x14ac:dyDescent="0.25">
      <c r="A5243" s="74">
        <v>6447</v>
      </c>
      <c r="B5243" s="45" t="s">
        <v>664</v>
      </c>
      <c r="C5243" s="60" t="s">
        <v>4822</v>
      </c>
      <c r="D5243" s="60"/>
      <c r="E5243" s="74">
        <v>2023</v>
      </c>
      <c r="F5243" s="74" t="s">
        <v>489</v>
      </c>
      <c r="G5243" s="61">
        <v>1</v>
      </c>
      <c r="H5243" s="61">
        <v>7</v>
      </c>
      <c r="I5243" s="61">
        <v>37.981950000000005</v>
      </c>
    </row>
    <row r="5244" spans="1:9" s="71" customFormat="1" ht="24" hidden="1" customHeight="1" outlineLevel="1" x14ac:dyDescent="0.25">
      <c r="A5244" s="74">
        <v>6448</v>
      </c>
      <c r="B5244" s="45" t="s">
        <v>664</v>
      </c>
      <c r="C5244" s="60" t="s">
        <v>4823</v>
      </c>
      <c r="D5244" s="60"/>
      <c r="E5244" s="74">
        <v>2023</v>
      </c>
      <c r="F5244" s="74" t="s">
        <v>489</v>
      </c>
      <c r="G5244" s="61">
        <v>1</v>
      </c>
      <c r="H5244" s="61">
        <v>15</v>
      </c>
      <c r="I5244" s="61">
        <v>36.518610000000002</v>
      </c>
    </row>
    <row r="5245" spans="1:9" s="71" customFormat="1" ht="24" hidden="1" customHeight="1" outlineLevel="1" x14ac:dyDescent="0.25">
      <c r="A5245" s="74">
        <v>1836</v>
      </c>
      <c r="B5245" s="45" t="s">
        <v>664</v>
      </c>
      <c r="C5245" s="60" t="s">
        <v>4824</v>
      </c>
      <c r="D5245" s="60"/>
      <c r="E5245" s="74">
        <v>2023</v>
      </c>
      <c r="F5245" s="74" t="s">
        <v>489</v>
      </c>
      <c r="G5245" s="61">
        <v>1</v>
      </c>
      <c r="H5245" s="61">
        <v>15</v>
      </c>
      <c r="I5245" s="61">
        <v>35.494230000000002</v>
      </c>
    </row>
    <row r="5246" spans="1:9" s="71" customFormat="1" ht="24" hidden="1" customHeight="1" outlineLevel="1" x14ac:dyDescent="0.25">
      <c r="A5246" s="74">
        <v>6450</v>
      </c>
      <c r="B5246" s="45" t="s">
        <v>664</v>
      </c>
      <c r="C5246" s="60" t="s">
        <v>4825</v>
      </c>
      <c r="D5246" s="60"/>
      <c r="E5246" s="74">
        <v>2023</v>
      </c>
      <c r="F5246" s="74" t="s">
        <v>489</v>
      </c>
      <c r="G5246" s="61">
        <v>1</v>
      </c>
      <c r="H5246" s="61">
        <v>5.5</v>
      </c>
      <c r="I5246" s="61">
        <v>36.518619999999999</v>
      </c>
    </row>
    <row r="5247" spans="1:9" s="71" customFormat="1" ht="24" hidden="1" customHeight="1" outlineLevel="1" x14ac:dyDescent="0.25">
      <c r="A5247" s="74">
        <v>6451</v>
      </c>
      <c r="B5247" s="45" t="s">
        <v>664</v>
      </c>
      <c r="C5247" s="60" t="s">
        <v>4826</v>
      </c>
      <c r="D5247" s="60"/>
      <c r="E5247" s="74">
        <v>2023</v>
      </c>
      <c r="F5247" s="74" t="s">
        <v>489</v>
      </c>
      <c r="G5247" s="61">
        <v>1</v>
      </c>
      <c r="H5247" s="61">
        <v>15</v>
      </c>
      <c r="I5247" s="61">
        <v>35.78689</v>
      </c>
    </row>
    <row r="5248" spans="1:9" s="71" customFormat="1" ht="24" hidden="1" customHeight="1" outlineLevel="1" x14ac:dyDescent="0.25">
      <c r="A5248" s="74">
        <v>2068</v>
      </c>
      <c r="B5248" s="45" t="s">
        <v>664</v>
      </c>
      <c r="C5248" s="60" t="s">
        <v>4827</v>
      </c>
      <c r="D5248" s="60"/>
      <c r="E5248" s="74">
        <v>2023</v>
      </c>
      <c r="F5248" s="74" t="s">
        <v>489</v>
      </c>
      <c r="G5248" s="61">
        <v>1</v>
      </c>
      <c r="H5248" s="61">
        <v>15</v>
      </c>
      <c r="I5248" s="61">
        <v>35.854179999999999</v>
      </c>
    </row>
    <row r="5249" spans="1:9" s="71" customFormat="1" ht="24" hidden="1" customHeight="1" outlineLevel="1" x14ac:dyDescent="0.25">
      <c r="A5249" s="74">
        <v>6452</v>
      </c>
      <c r="B5249" s="45" t="s">
        <v>664</v>
      </c>
      <c r="C5249" s="60" t="s">
        <v>4828</v>
      </c>
      <c r="D5249" s="60"/>
      <c r="E5249" s="74">
        <v>2023</v>
      </c>
      <c r="F5249" s="74" t="s">
        <v>489</v>
      </c>
      <c r="G5249" s="61">
        <v>1</v>
      </c>
      <c r="H5249" s="61">
        <v>10</v>
      </c>
      <c r="I5249" s="61">
        <v>35.56156</v>
      </c>
    </row>
    <row r="5250" spans="1:9" s="71" customFormat="1" ht="24" hidden="1" customHeight="1" outlineLevel="1" x14ac:dyDescent="0.25">
      <c r="A5250" s="74">
        <v>2125</v>
      </c>
      <c r="B5250" s="45" t="s">
        <v>664</v>
      </c>
      <c r="C5250" s="60" t="s">
        <v>4829</v>
      </c>
      <c r="D5250" s="60"/>
      <c r="E5250" s="74">
        <v>2023</v>
      </c>
      <c r="F5250" s="74" t="s">
        <v>489</v>
      </c>
      <c r="G5250" s="61">
        <v>1</v>
      </c>
      <c r="H5250" s="61">
        <v>5</v>
      </c>
      <c r="I5250" s="61">
        <v>35.854179999999999</v>
      </c>
    </row>
    <row r="5251" spans="1:9" s="71" customFormat="1" ht="24" hidden="1" customHeight="1" outlineLevel="1" x14ac:dyDescent="0.25">
      <c r="A5251" s="74">
        <v>6453</v>
      </c>
      <c r="B5251" s="45" t="s">
        <v>664</v>
      </c>
      <c r="C5251" s="60" t="s">
        <v>4830</v>
      </c>
      <c r="D5251" s="60"/>
      <c r="E5251" s="74">
        <v>2023</v>
      </c>
      <c r="F5251" s="74" t="s">
        <v>489</v>
      </c>
      <c r="G5251" s="61">
        <v>1</v>
      </c>
      <c r="H5251" s="61">
        <v>10</v>
      </c>
      <c r="I5251" s="61">
        <v>37.317570000000003</v>
      </c>
    </row>
    <row r="5252" spans="1:9" s="71" customFormat="1" ht="24" hidden="1" customHeight="1" outlineLevel="1" x14ac:dyDescent="0.25">
      <c r="A5252" s="74">
        <v>2116</v>
      </c>
      <c r="B5252" s="45" t="s">
        <v>664</v>
      </c>
      <c r="C5252" s="60" t="s">
        <v>4831</v>
      </c>
      <c r="D5252" s="60"/>
      <c r="E5252" s="74">
        <v>2023</v>
      </c>
      <c r="F5252" s="74" t="s">
        <v>489</v>
      </c>
      <c r="G5252" s="61">
        <v>1</v>
      </c>
      <c r="H5252" s="61">
        <v>1</v>
      </c>
      <c r="I5252" s="61">
        <v>37.317570000000003</v>
      </c>
    </row>
    <row r="5253" spans="1:9" s="71" customFormat="1" ht="24" hidden="1" customHeight="1" outlineLevel="1" x14ac:dyDescent="0.25">
      <c r="A5253" s="74">
        <v>6454</v>
      </c>
      <c r="B5253" s="45" t="s">
        <v>664</v>
      </c>
      <c r="C5253" s="60" t="s">
        <v>4832</v>
      </c>
      <c r="D5253" s="60"/>
      <c r="E5253" s="74">
        <v>2023</v>
      </c>
      <c r="F5253" s="74" t="s">
        <v>489</v>
      </c>
      <c r="G5253" s="61">
        <v>1</v>
      </c>
      <c r="H5253" s="61">
        <v>10</v>
      </c>
      <c r="I5253" s="61">
        <v>36.585900000000002</v>
      </c>
    </row>
    <row r="5254" spans="1:9" s="71" customFormat="1" ht="24" hidden="1" customHeight="1" outlineLevel="1" x14ac:dyDescent="0.25">
      <c r="A5254" s="74">
        <v>2202</v>
      </c>
      <c r="B5254" s="45" t="s">
        <v>664</v>
      </c>
      <c r="C5254" s="60" t="s">
        <v>4833</v>
      </c>
      <c r="D5254" s="60"/>
      <c r="E5254" s="74">
        <v>2023</v>
      </c>
      <c r="F5254" s="74" t="s">
        <v>489</v>
      </c>
      <c r="G5254" s="61">
        <v>1</v>
      </c>
      <c r="H5254" s="61">
        <v>5</v>
      </c>
      <c r="I5254" s="61">
        <v>36.585900000000002</v>
      </c>
    </row>
    <row r="5255" spans="1:9" s="71" customFormat="1" ht="24" hidden="1" customHeight="1" outlineLevel="1" x14ac:dyDescent="0.25">
      <c r="A5255" s="74">
        <v>2203</v>
      </c>
      <c r="B5255" s="45" t="s">
        <v>664</v>
      </c>
      <c r="C5255" s="60" t="s">
        <v>4834</v>
      </c>
      <c r="D5255" s="60"/>
      <c r="E5255" s="74">
        <v>2023</v>
      </c>
      <c r="F5255" s="74" t="s">
        <v>489</v>
      </c>
      <c r="G5255" s="61">
        <v>1</v>
      </c>
      <c r="H5255" s="61">
        <v>8</v>
      </c>
      <c r="I5255" s="61">
        <v>36.585900000000002</v>
      </c>
    </row>
    <row r="5256" spans="1:9" s="71" customFormat="1" ht="24" hidden="1" customHeight="1" outlineLevel="1" x14ac:dyDescent="0.25">
      <c r="A5256" s="74">
        <v>6455</v>
      </c>
      <c r="B5256" s="45" t="s">
        <v>664</v>
      </c>
      <c r="C5256" s="60" t="s">
        <v>4835</v>
      </c>
      <c r="D5256" s="60"/>
      <c r="E5256" s="74">
        <v>2023</v>
      </c>
      <c r="F5256" s="74" t="s">
        <v>489</v>
      </c>
      <c r="G5256" s="61">
        <v>1</v>
      </c>
      <c r="H5256" s="61">
        <v>15</v>
      </c>
      <c r="I5256" s="61">
        <v>36.585900000000002</v>
      </c>
    </row>
    <row r="5257" spans="1:9" s="71" customFormat="1" ht="24" hidden="1" customHeight="1" outlineLevel="1" x14ac:dyDescent="0.25">
      <c r="A5257" s="74">
        <v>2188</v>
      </c>
      <c r="B5257" s="45" t="s">
        <v>664</v>
      </c>
      <c r="C5257" s="60" t="s">
        <v>4836</v>
      </c>
      <c r="D5257" s="60"/>
      <c r="E5257" s="74">
        <v>2023</v>
      </c>
      <c r="F5257" s="74" t="s">
        <v>489</v>
      </c>
      <c r="G5257" s="61">
        <v>1</v>
      </c>
      <c r="H5257" s="61">
        <v>5</v>
      </c>
      <c r="I5257" s="61">
        <v>35.561550000000004</v>
      </c>
    </row>
    <row r="5258" spans="1:9" s="71" customFormat="1" ht="24" hidden="1" customHeight="1" outlineLevel="1" x14ac:dyDescent="0.25">
      <c r="A5258" s="74">
        <v>2185</v>
      </c>
      <c r="B5258" s="45" t="s">
        <v>664</v>
      </c>
      <c r="C5258" s="60" t="s">
        <v>4837</v>
      </c>
      <c r="D5258" s="60"/>
      <c r="E5258" s="74">
        <v>2023</v>
      </c>
      <c r="F5258" s="74" t="s">
        <v>489</v>
      </c>
      <c r="G5258" s="61">
        <v>1</v>
      </c>
      <c r="H5258" s="61">
        <v>15</v>
      </c>
      <c r="I5258" s="61">
        <v>35.561570000000003</v>
      </c>
    </row>
    <row r="5259" spans="1:9" s="71" customFormat="1" ht="24" hidden="1" customHeight="1" outlineLevel="1" x14ac:dyDescent="0.25">
      <c r="A5259" s="74">
        <v>6456</v>
      </c>
      <c r="B5259" s="45" t="s">
        <v>664</v>
      </c>
      <c r="C5259" s="60" t="s">
        <v>4838</v>
      </c>
      <c r="D5259" s="60"/>
      <c r="E5259" s="74">
        <v>2023</v>
      </c>
      <c r="F5259" s="74" t="s">
        <v>489</v>
      </c>
      <c r="G5259" s="61">
        <v>1</v>
      </c>
      <c r="H5259" s="61">
        <v>15</v>
      </c>
      <c r="I5259" s="61">
        <v>35.854169999999996</v>
      </c>
    </row>
    <row r="5260" spans="1:9" s="71" customFormat="1" ht="24" hidden="1" customHeight="1" outlineLevel="1" x14ac:dyDescent="0.25">
      <c r="A5260" s="74">
        <v>6457</v>
      </c>
      <c r="B5260" s="45" t="s">
        <v>664</v>
      </c>
      <c r="C5260" s="60" t="s">
        <v>4839</v>
      </c>
      <c r="D5260" s="60"/>
      <c r="E5260" s="74">
        <v>2023</v>
      </c>
      <c r="F5260" s="74" t="s">
        <v>489</v>
      </c>
      <c r="G5260" s="61">
        <v>1</v>
      </c>
      <c r="H5260" s="61">
        <v>15</v>
      </c>
      <c r="I5260" s="61">
        <v>34.976190000000003</v>
      </c>
    </row>
    <row r="5261" spans="1:9" s="71" customFormat="1" ht="24" hidden="1" customHeight="1" outlineLevel="1" x14ac:dyDescent="0.25">
      <c r="A5261" s="74">
        <v>2171</v>
      </c>
      <c r="B5261" s="45" t="s">
        <v>664</v>
      </c>
      <c r="C5261" s="60" t="s">
        <v>4840</v>
      </c>
      <c r="D5261" s="60"/>
      <c r="E5261" s="74">
        <v>2023</v>
      </c>
      <c r="F5261" s="74" t="s">
        <v>489</v>
      </c>
      <c r="G5261" s="61">
        <v>1</v>
      </c>
      <c r="H5261" s="61">
        <v>15</v>
      </c>
      <c r="I5261" s="61">
        <v>36.585890000000006</v>
      </c>
    </row>
    <row r="5262" spans="1:9" s="71" customFormat="1" ht="24" hidden="1" customHeight="1" outlineLevel="1" x14ac:dyDescent="0.25">
      <c r="A5262" s="74">
        <v>2153</v>
      </c>
      <c r="B5262" s="45" t="s">
        <v>664</v>
      </c>
      <c r="C5262" s="60" t="s">
        <v>4841</v>
      </c>
      <c r="D5262" s="60"/>
      <c r="E5262" s="74">
        <v>2023</v>
      </c>
      <c r="F5262" s="74" t="s">
        <v>489</v>
      </c>
      <c r="G5262" s="61">
        <v>1</v>
      </c>
      <c r="H5262" s="61">
        <v>15</v>
      </c>
      <c r="I5262" s="61">
        <v>36.585910000000005</v>
      </c>
    </row>
    <row r="5263" spans="1:9" s="71" customFormat="1" ht="24" hidden="1" customHeight="1" outlineLevel="1" x14ac:dyDescent="0.25">
      <c r="A5263" s="74">
        <v>2162</v>
      </c>
      <c r="B5263" s="45" t="s">
        <v>664</v>
      </c>
      <c r="C5263" s="60" t="s">
        <v>4842</v>
      </c>
      <c r="D5263" s="60"/>
      <c r="E5263" s="74">
        <v>2023</v>
      </c>
      <c r="F5263" s="74" t="s">
        <v>489</v>
      </c>
      <c r="G5263" s="61">
        <v>1</v>
      </c>
      <c r="H5263" s="61">
        <v>15</v>
      </c>
      <c r="I5263" s="61">
        <v>35.854169999999996</v>
      </c>
    </row>
    <row r="5264" spans="1:9" s="71" customFormat="1" ht="24" hidden="1" customHeight="1" outlineLevel="1" x14ac:dyDescent="0.25">
      <c r="A5264" s="74">
        <v>6458</v>
      </c>
      <c r="B5264" s="45" t="s">
        <v>664</v>
      </c>
      <c r="C5264" s="60" t="s">
        <v>4843</v>
      </c>
      <c r="D5264" s="60"/>
      <c r="E5264" s="74">
        <v>2023</v>
      </c>
      <c r="F5264" s="74" t="s">
        <v>489</v>
      </c>
      <c r="G5264" s="61">
        <v>1</v>
      </c>
      <c r="H5264" s="61">
        <v>15</v>
      </c>
      <c r="I5264" s="61">
        <v>35.854190000000003</v>
      </c>
    </row>
    <row r="5265" spans="1:9" s="71" customFormat="1" ht="24" hidden="1" customHeight="1" outlineLevel="1" x14ac:dyDescent="0.25">
      <c r="A5265" s="74">
        <v>2151</v>
      </c>
      <c r="B5265" s="45" t="s">
        <v>664</v>
      </c>
      <c r="C5265" s="60" t="s">
        <v>4844</v>
      </c>
      <c r="D5265" s="60"/>
      <c r="E5265" s="74">
        <v>2023</v>
      </c>
      <c r="F5265" s="74" t="s">
        <v>489</v>
      </c>
      <c r="G5265" s="61">
        <v>1</v>
      </c>
      <c r="H5265" s="61">
        <v>15</v>
      </c>
      <c r="I5265" s="61">
        <v>35.122529999999998</v>
      </c>
    </row>
    <row r="5266" spans="1:9" s="71" customFormat="1" ht="24" hidden="1" customHeight="1" outlineLevel="1" x14ac:dyDescent="0.25">
      <c r="A5266" s="74">
        <v>2199</v>
      </c>
      <c r="B5266" s="45" t="s">
        <v>664</v>
      </c>
      <c r="C5266" s="60" t="s">
        <v>4845</v>
      </c>
      <c r="D5266" s="60"/>
      <c r="E5266" s="74">
        <v>2023</v>
      </c>
      <c r="F5266" s="74" t="s">
        <v>489</v>
      </c>
      <c r="G5266" s="61">
        <v>1</v>
      </c>
      <c r="H5266" s="61">
        <v>10</v>
      </c>
      <c r="I5266" s="61">
        <v>35.854190000000003</v>
      </c>
    </row>
    <row r="5267" spans="1:9" s="71" customFormat="1" ht="24" hidden="1" customHeight="1" outlineLevel="1" x14ac:dyDescent="0.25">
      <c r="A5267" s="74">
        <v>6459</v>
      </c>
      <c r="B5267" s="45" t="s">
        <v>664</v>
      </c>
      <c r="C5267" s="60" t="s">
        <v>4846</v>
      </c>
      <c r="D5267" s="60"/>
      <c r="E5267" s="74">
        <v>2023</v>
      </c>
      <c r="F5267" s="74" t="s">
        <v>489</v>
      </c>
      <c r="G5267" s="61">
        <v>1</v>
      </c>
      <c r="H5267" s="61">
        <v>10</v>
      </c>
      <c r="I5267" s="61">
        <v>35.854169999999996</v>
      </c>
    </row>
    <row r="5268" spans="1:9" s="71" customFormat="1" ht="24" hidden="1" customHeight="1" outlineLevel="1" x14ac:dyDescent="0.25">
      <c r="A5268" s="74">
        <v>6460</v>
      </c>
      <c r="B5268" s="45" t="s">
        <v>664</v>
      </c>
      <c r="C5268" s="60" t="s">
        <v>4847</v>
      </c>
      <c r="D5268" s="60"/>
      <c r="E5268" s="74">
        <v>2023</v>
      </c>
      <c r="F5268" s="74" t="s">
        <v>489</v>
      </c>
      <c r="G5268" s="61">
        <v>1</v>
      </c>
      <c r="H5268" s="61">
        <v>15</v>
      </c>
      <c r="I5268" s="61">
        <v>35.854169999999996</v>
      </c>
    </row>
    <row r="5269" spans="1:9" s="71" customFormat="1" ht="24" hidden="1" customHeight="1" outlineLevel="1" x14ac:dyDescent="0.25">
      <c r="A5269" s="74">
        <v>2115</v>
      </c>
      <c r="B5269" s="45" t="s">
        <v>664</v>
      </c>
      <c r="C5269" s="60" t="s">
        <v>4848</v>
      </c>
      <c r="D5269" s="60"/>
      <c r="E5269" s="74">
        <v>2023</v>
      </c>
      <c r="F5269" s="74" t="s">
        <v>489</v>
      </c>
      <c r="G5269" s="61">
        <v>1</v>
      </c>
      <c r="H5269" s="61">
        <v>3</v>
      </c>
      <c r="I5269" s="61">
        <v>35.854190000000003</v>
      </c>
    </row>
    <row r="5270" spans="1:9" s="71" customFormat="1" ht="24" hidden="1" customHeight="1" outlineLevel="1" x14ac:dyDescent="0.25">
      <c r="A5270" s="74">
        <v>1026</v>
      </c>
      <c r="B5270" s="45" t="s">
        <v>664</v>
      </c>
      <c r="C5270" s="60" t="s">
        <v>4849</v>
      </c>
      <c r="D5270" s="60"/>
      <c r="E5270" s="74">
        <v>2023</v>
      </c>
      <c r="F5270" s="74" t="s">
        <v>489</v>
      </c>
      <c r="G5270" s="61">
        <v>1</v>
      </c>
      <c r="H5270" s="61">
        <v>15</v>
      </c>
      <c r="I5270" s="61">
        <v>35.122560000000007</v>
      </c>
    </row>
    <row r="5271" spans="1:9" s="71" customFormat="1" ht="24" hidden="1" customHeight="1" outlineLevel="1" x14ac:dyDescent="0.25">
      <c r="A5271" s="74">
        <v>907</v>
      </c>
      <c r="B5271" s="45" t="s">
        <v>664</v>
      </c>
      <c r="C5271" s="60" t="s">
        <v>4850</v>
      </c>
      <c r="D5271" s="60"/>
      <c r="E5271" s="74">
        <v>2023</v>
      </c>
      <c r="F5271" s="74" t="s">
        <v>489</v>
      </c>
      <c r="G5271" s="61">
        <v>1</v>
      </c>
      <c r="H5271" s="61">
        <v>15</v>
      </c>
      <c r="I5271" s="61">
        <v>35.122529999999998</v>
      </c>
    </row>
    <row r="5272" spans="1:9" s="71" customFormat="1" ht="24" hidden="1" customHeight="1" outlineLevel="1" x14ac:dyDescent="0.25">
      <c r="A5272" s="74">
        <v>1292</v>
      </c>
      <c r="B5272" s="45" t="s">
        <v>664</v>
      </c>
      <c r="C5272" s="60" t="s">
        <v>4851</v>
      </c>
      <c r="D5272" s="60"/>
      <c r="E5272" s="74">
        <v>2023</v>
      </c>
      <c r="F5272" s="74" t="s">
        <v>489</v>
      </c>
      <c r="G5272" s="61">
        <v>1</v>
      </c>
      <c r="H5272" s="61">
        <v>10</v>
      </c>
      <c r="I5272" s="61">
        <v>37.31758</v>
      </c>
    </row>
    <row r="5273" spans="1:9" s="71" customFormat="1" ht="24" hidden="1" customHeight="1" outlineLevel="1" x14ac:dyDescent="0.25">
      <c r="A5273" s="74">
        <v>6461</v>
      </c>
      <c r="B5273" s="45" t="s">
        <v>664</v>
      </c>
      <c r="C5273" s="60" t="s">
        <v>4852</v>
      </c>
      <c r="D5273" s="60"/>
      <c r="E5273" s="74">
        <v>2023</v>
      </c>
      <c r="F5273" s="74" t="s">
        <v>489</v>
      </c>
      <c r="G5273" s="61">
        <v>1</v>
      </c>
      <c r="H5273" s="61">
        <v>15</v>
      </c>
      <c r="I5273" s="61">
        <v>37.31756</v>
      </c>
    </row>
    <row r="5274" spans="1:9" s="71" customFormat="1" ht="24" hidden="1" customHeight="1" outlineLevel="1" x14ac:dyDescent="0.25">
      <c r="A5274" s="74">
        <v>6462</v>
      </c>
      <c r="B5274" s="45" t="s">
        <v>664</v>
      </c>
      <c r="C5274" s="60" t="s">
        <v>4853</v>
      </c>
      <c r="D5274" s="60"/>
      <c r="E5274" s="74">
        <v>2023</v>
      </c>
      <c r="F5274" s="74" t="s">
        <v>489</v>
      </c>
      <c r="G5274" s="61">
        <v>1</v>
      </c>
      <c r="H5274" s="61">
        <v>15</v>
      </c>
      <c r="I5274" s="61">
        <v>35.854190000000003</v>
      </c>
    </row>
    <row r="5275" spans="1:9" s="71" customFormat="1" ht="24" hidden="1" customHeight="1" outlineLevel="1" x14ac:dyDescent="0.25">
      <c r="A5275" s="74">
        <v>6463</v>
      </c>
      <c r="B5275" s="45" t="s">
        <v>664</v>
      </c>
      <c r="C5275" s="60" t="s">
        <v>4854</v>
      </c>
      <c r="D5275" s="60"/>
      <c r="E5275" s="74">
        <v>2023</v>
      </c>
      <c r="F5275" s="74" t="s">
        <v>489</v>
      </c>
      <c r="G5275" s="61">
        <v>1</v>
      </c>
      <c r="H5275" s="61">
        <v>10</v>
      </c>
      <c r="I5275" s="61">
        <v>35.854169999999996</v>
      </c>
    </row>
    <row r="5276" spans="1:9" s="71" customFormat="1" ht="24" hidden="1" customHeight="1" outlineLevel="1" x14ac:dyDescent="0.25">
      <c r="A5276" s="74">
        <v>6404</v>
      </c>
      <c r="B5276" s="45" t="s">
        <v>664</v>
      </c>
      <c r="C5276" s="60" t="s">
        <v>4855</v>
      </c>
      <c r="D5276" s="60"/>
      <c r="E5276" s="74">
        <v>2023</v>
      </c>
      <c r="F5276" s="74" t="s">
        <v>489</v>
      </c>
      <c r="G5276" s="61">
        <v>1</v>
      </c>
      <c r="H5276" s="61">
        <v>15</v>
      </c>
      <c r="I5276" s="61">
        <v>41.214679999999994</v>
      </c>
    </row>
    <row r="5277" spans="1:9" s="71" customFormat="1" ht="24" hidden="1" customHeight="1" outlineLevel="1" x14ac:dyDescent="0.25">
      <c r="A5277" s="74">
        <v>6407</v>
      </c>
      <c r="B5277" s="45" t="s">
        <v>664</v>
      </c>
      <c r="C5277" s="60" t="s">
        <v>4856</v>
      </c>
      <c r="D5277" s="60"/>
      <c r="E5277" s="74">
        <v>2023</v>
      </c>
      <c r="F5277" s="74" t="s">
        <v>489</v>
      </c>
      <c r="G5277" s="61">
        <v>1</v>
      </c>
      <c r="H5277" s="61">
        <v>15</v>
      </c>
      <c r="I5277" s="61">
        <v>40.609930000000006</v>
      </c>
    </row>
    <row r="5278" spans="1:9" s="71" customFormat="1" ht="24" hidden="1" customHeight="1" outlineLevel="1" x14ac:dyDescent="0.25">
      <c r="A5278" s="74">
        <v>2251</v>
      </c>
      <c r="B5278" s="45" t="s">
        <v>664</v>
      </c>
      <c r="C5278" s="60" t="s">
        <v>4857</v>
      </c>
      <c r="D5278" s="60"/>
      <c r="E5278" s="74">
        <v>2023</v>
      </c>
      <c r="F5278" s="74" t="s">
        <v>489</v>
      </c>
      <c r="G5278" s="61">
        <v>1</v>
      </c>
      <c r="H5278" s="61">
        <v>1</v>
      </c>
      <c r="I5278" s="61">
        <v>40.567319999999995</v>
      </c>
    </row>
    <row r="5279" spans="1:9" s="71" customFormat="1" ht="24" hidden="1" customHeight="1" outlineLevel="1" x14ac:dyDescent="0.25">
      <c r="A5279" s="74">
        <v>1667</v>
      </c>
      <c r="B5279" s="45" t="s">
        <v>664</v>
      </c>
      <c r="C5279" s="60" t="s">
        <v>4858</v>
      </c>
      <c r="D5279" s="60"/>
      <c r="E5279" s="74">
        <v>2023</v>
      </c>
      <c r="F5279" s="74" t="s">
        <v>489</v>
      </c>
      <c r="G5279" s="61">
        <v>1</v>
      </c>
      <c r="H5279" s="61">
        <v>15</v>
      </c>
      <c r="I5279" s="61">
        <v>40.67304</v>
      </c>
    </row>
    <row r="5280" spans="1:9" s="71" customFormat="1" ht="24" hidden="1" customHeight="1" outlineLevel="1" x14ac:dyDescent="0.25">
      <c r="A5280" s="74">
        <v>6408</v>
      </c>
      <c r="B5280" s="45" t="s">
        <v>664</v>
      </c>
      <c r="C5280" s="60" t="s">
        <v>4859</v>
      </c>
      <c r="D5280" s="60"/>
      <c r="E5280" s="74">
        <v>2023</v>
      </c>
      <c r="F5280" s="74" t="s">
        <v>489</v>
      </c>
      <c r="G5280" s="61">
        <v>1</v>
      </c>
      <c r="H5280" s="61">
        <v>15</v>
      </c>
      <c r="I5280" s="61">
        <v>40.439749999999997</v>
      </c>
    </row>
    <row r="5281" spans="1:9" s="71" customFormat="1" ht="24" hidden="1" customHeight="1" outlineLevel="1" x14ac:dyDescent="0.25">
      <c r="A5281" s="74">
        <v>6409</v>
      </c>
      <c r="B5281" s="45" t="s">
        <v>664</v>
      </c>
      <c r="C5281" s="60" t="s">
        <v>4860</v>
      </c>
      <c r="D5281" s="60"/>
      <c r="E5281" s="74">
        <v>2023</v>
      </c>
      <c r="F5281" s="74" t="s">
        <v>489</v>
      </c>
      <c r="G5281" s="61">
        <v>1</v>
      </c>
      <c r="H5281" s="61">
        <v>10</v>
      </c>
      <c r="I5281" s="61">
        <v>41.015219999999999</v>
      </c>
    </row>
    <row r="5282" spans="1:9" s="71" customFormat="1" ht="24" hidden="1" customHeight="1" outlineLevel="1" x14ac:dyDescent="0.25">
      <c r="A5282" s="74">
        <v>1189</v>
      </c>
      <c r="B5282" s="45" t="s">
        <v>664</v>
      </c>
      <c r="C5282" s="60" t="s">
        <v>4861</v>
      </c>
      <c r="D5282" s="60"/>
      <c r="E5282" s="74">
        <v>2023</v>
      </c>
      <c r="F5282" s="74" t="s">
        <v>489</v>
      </c>
      <c r="G5282" s="61">
        <v>1</v>
      </c>
      <c r="H5282" s="61">
        <v>10</v>
      </c>
      <c r="I5282" s="61">
        <v>39.853680000000004</v>
      </c>
    </row>
    <row r="5283" spans="1:9" s="71" customFormat="1" ht="24" hidden="1" customHeight="1" outlineLevel="1" x14ac:dyDescent="0.25">
      <c r="A5283" s="74">
        <v>2194</v>
      </c>
      <c r="B5283" s="45" t="s">
        <v>664</v>
      </c>
      <c r="C5283" s="60" t="s">
        <v>4862</v>
      </c>
      <c r="D5283" s="60"/>
      <c r="E5283" s="74">
        <v>2023</v>
      </c>
      <c r="F5283" s="74" t="s">
        <v>489</v>
      </c>
      <c r="G5283" s="61">
        <v>1</v>
      </c>
      <c r="H5283" s="61">
        <v>1</v>
      </c>
      <c r="I5283" s="61">
        <v>40.434620000000002</v>
      </c>
    </row>
    <row r="5284" spans="1:9" s="71" customFormat="1" ht="24" hidden="1" customHeight="1" outlineLevel="1" x14ac:dyDescent="0.25">
      <c r="A5284" s="74">
        <v>6471</v>
      </c>
      <c r="B5284" s="45" t="s">
        <v>664</v>
      </c>
      <c r="C5284" s="60" t="s">
        <v>4863</v>
      </c>
      <c r="D5284" s="60"/>
      <c r="E5284" s="74">
        <v>2023</v>
      </c>
      <c r="F5284" s="74" t="s">
        <v>489</v>
      </c>
      <c r="G5284" s="61">
        <v>1</v>
      </c>
      <c r="H5284" s="61">
        <v>14</v>
      </c>
      <c r="I5284" s="61">
        <v>43.709949999999999</v>
      </c>
    </row>
    <row r="5285" spans="1:9" s="71" customFormat="1" ht="24" hidden="1" customHeight="1" outlineLevel="1" x14ac:dyDescent="0.25">
      <c r="A5285" s="74">
        <v>6478</v>
      </c>
      <c r="B5285" s="45" t="s">
        <v>664</v>
      </c>
      <c r="C5285" s="60" t="s">
        <v>4864</v>
      </c>
      <c r="D5285" s="60"/>
      <c r="E5285" s="74">
        <v>2023</v>
      </c>
      <c r="F5285" s="74" t="s">
        <v>489</v>
      </c>
      <c r="G5285" s="61">
        <v>1</v>
      </c>
      <c r="H5285" s="61">
        <v>15</v>
      </c>
      <c r="I5285" s="61">
        <v>43.501940000000005</v>
      </c>
    </row>
    <row r="5286" spans="1:9" s="71" customFormat="1" ht="24" hidden="1" customHeight="1" outlineLevel="1" x14ac:dyDescent="0.25">
      <c r="A5286" s="74">
        <v>6479</v>
      </c>
      <c r="B5286" s="45" t="s">
        <v>664</v>
      </c>
      <c r="C5286" s="60" t="s">
        <v>4865</v>
      </c>
      <c r="D5286" s="60"/>
      <c r="E5286" s="74">
        <v>2023</v>
      </c>
      <c r="F5286" s="74" t="s">
        <v>489</v>
      </c>
      <c r="G5286" s="61">
        <v>1</v>
      </c>
      <c r="H5286" s="61">
        <v>15</v>
      </c>
      <c r="I5286" s="61">
        <v>43.501940000000005</v>
      </c>
    </row>
    <row r="5287" spans="1:9" s="71" customFormat="1" ht="24" hidden="1" customHeight="1" outlineLevel="1" x14ac:dyDescent="0.25">
      <c r="A5287" s="74">
        <v>6480</v>
      </c>
      <c r="B5287" s="45" t="s">
        <v>664</v>
      </c>
      <c r="C5287" s="60" t="s">
        <v>4866</v>
      </c>
      <c r="D5287" s="60"/>
      <c r="E5287" s="74">
        <v>2023</v>
      </c>
      <c r="F5287" s="74" t="s">
        <v>489</v>
      </c>
      <c r="G5287" s="61">
        <v>1</v>
      </c>
      <c r="H5287" s="61">
        <v>15</v>
      </c>
      <c r="I5287" s="61">
        <v>43.501940000000005</v>
      </c>
    </row>
    <row r="5288" spans="1:9" s="71" customFormat="1" ht="24" hidden="1" customHeight="1" outlineLevel="1" x14ac:dyDescent="0.25">
      <c r="A5288" s="74">
        <v>2233</v>
      </c>
      <c r="B5288" s="45" t="s">
        <v>664</v>
      </c>
      <c r="C5288" s="60" t="s">
        <v>4867</v>
      </c>
      <c r="D5288" s="60"/>
      <c r="E5288" s="74">
        <v>2023</v>
      </c>
      <c r="F5288" s="74" t="s">
        <v>489</v>
      </c>
      <c r="G5288" s="61">
        <v>1</v>
      </c>
      <c r="H5288" s="61">
        <v>5</v>
      </c>
      <c r="I5288" s="61">
        <v>43.501940000000005</v>
      </c>
    </row>
    <row r="5289" spans="1:9" s="71" customFormat="1" ht="24" hidden="1" customHeight="1" outlineLevel="1" x14ac:dyDescent="0.25">
      <c r="A5289" s="74">
        <v>2260</v>
      </c>
      <c r="B5289" s="45" t="s">
        <v>664</v>
      </c>
      <c r="C5289" s="60" t="s">
        <v>4868</v>
      </c>
      <c r="D5289" s="60"/>
      <c r="E5289" s="74">
        <v>2023</v>
      </c>
      <c r="F5289" s="74" t="s">
        <v>489</v>
      </c>
      <c r="G5289" s="61">
        <v>1</v>
      </c>
      <c r="H5289" s="61">
        <v>5</v>
      </c>
      <c r="I5289" s="61">
        <v>43.501940000000005</v>
      </c>
    </row>
    <row r="5290" spans="1:9" s="71" customFormat="1" ht="24" hidden="1" customHeight="1" outlineLevel="1" x14ac:dyDescent="0.25">
      <c r="A5290" s="74">
        <v>6483</v>
      </c>
      <c r="B5290" s="45" t="s">
        <v>664</v>
      </c>
      <c r="C5290" s="60" t="s">
        <v>4869</v>
      </c>
      <c r="D5290" s="60"/>
      <c r="E5290" s="74">
        <v>2023</v>
      </c>
      <c r="F5290" s="74" t="s">
        <v>489</v>
      </c>
      <c r="G5290" s="61">
        <v>1</v>
      </c>
      <c r="H5290" s="61">
        <v>10</v>
      </c>
      <c r="I5290" s="61">
        <v>43.501940000000005</v>
      </c>
    </row>
    <row r="5291" spans="1:9" s="71" customFormat="1" ht="24" hidden="1" customHeight="1" outlineLevel="1" x14ac:dyDescent="0.25">
      <c r="A5291" s="74">
        <v>6484</v>
      </c>
      <c r="B5291" s="45" t="s">
        <v>664</v>
      </c>
      <c r="C5291" s="60" t="s">
        <v>4870</v>
      </c>
      <c r="D5291" s="60"/>
      <c r="E5291" s="74">
        <v>2023</v>
      </c>
      <c r="F5291" s="74" t="s">
        <v>489</v>
      </c>
      <c r="G5291" s="61">
        <v>1</v>
      </c>
      <c r="H5291" s="61">
        <v>10</v>
      </c>
      <c r="I5291" s="61">
        <v>43.501940000000005</v>
      </c>
    </row>
    <row r="5292" spans="1:9" s="71" customFormat="1" ht="24" hidden="1" customHeight="1" outlineLevel="1" x14ac:dyDescent="0.25">
      <c r="A5292" s="74">
        <v>6485</v>
      </c>
      <c r="B5292" s="45" t="s">
        <v>664</v>
      </c>
      <c r="C5292" s="60" t="s">
        <v>4871</v>
      </c>
      <c r="D5292" s="60"/>
      <c r="E5292" s="74">
        <v>2023</v>
      </c>
      <c r="F5292" s="74" t="s">
        <v>489</v>
      </c>
      <c r="G5292" s="61">
        <v>1</v>
      </c>
      <c r="H5292" s="61">
        <v>15</v>
      </c>
      <c r="I5292" s="61">
        <v>43.501940000000005</v>
      </c>
    </row>
    <row r="5293" spans="1:9" s="71" customFormat="1" ht="24" hidden="1" customHeight="1" outlineLevel="1" x14ac:dyDescent="0.25">
      <c r="A5293" s="74">
        <v>6486</v>
      </c>
      <c r="B5293" s="45" t="s">
        <v>664</v>
      </c>
      <c r="C5293" s="60" t="s">
        <v>4872</v>
      </c>
      <c r="D5293" s="60"/>
      <c r="E5293" s="74">
        <v>2023</v>
      </c>
      <c r="F5293" s="74" t="s">
        <v>489</v>
      </c>
      <c r="G5293" s="61">
        <v>1</v>
      </c>
      <c r="H5293" s="61">
        <v>15</v>
      </c>
      <c r="I5293" s="61">
        <v>43.501940000000005</v>
      </c>
    </row>
    <row r="5294" spans="1:9" s="71" customFormat="1" ht="24" hidden="1" customHeight="1" outlineLevel="1" x14ac:dyDescent="0.25">
      <c r="A5294" s="74">
        <v>6487</v>
      </c>
      <c r="B5294" s="45" t="s">
        <v>664</v>
      </c>
      <c r="C5294" s="60" t="s">
        <v>4873</v>
      </c>
      <c r="D5294" s="60"/>
      <c r="E5294" s="74">
        <v>2023</v>
      </c>
      <c r="F5294" s="74" t="s">
        <v>489</v>
      </c>
      <c r="G5294" s="61">
        <v>1</v>
      </c>
      <c r="H5294" s="61">
        <v>15</v>
      </c>
      <c r="I5294" s="61">
        <v>43.501940000000005</v>
      </c>
    </row>
    <row r="5295" spans="1:9" s="71" customFormat="1" ht="24" hidden="1" customHeight="1" outlineLevel="1" x14ac:dyDescent="0.25">
      <c r="A5295" s="74">
        <v>6488</v>
      </c>
      <c r="B5295" s="45" t="s">
        <v>664</v>
      </c>
      <c r="C5295" s="60" t="s">
        <v>4874</v>
      </c>
      <c r="D5295" s="60"/>
      <c r="E5295" s="74">
        <v>2023</v>
      </c>
      <c r="F5295" s="74" t="s">
        <v>489</v>
      </c>
      <c r="G5295" s="61">
        <v>1</v>
      </c>
      <c r="H5295" s="61">
        <v>15</v>
      </c>
      <c r="I5295" s="61">
        <v>43.501940000000005</v>
      </c>
    </row>
    <row r="5296" spans="1:9" s="71" customFormat="1" ht="24" hidden="1" customHeight="1" outlineLevel="1" x14ac:dyDescent="0.25">
      <c r="A5296" s="74">
        <v>755</v>
      </c>
      <c r="B5296" s="45" t="s">
        <v>664</v>
      </c>
      <c r="C5296" s="60" t="s">
        <v>4875</v>
      </c>
      <c r="D5296" s="60"/>
      <c r="E5296" s="74">
        <v>2023</v>
      </c>
      <c r="F5296" s="74" t="s">
        <v>489</v>
      </c>
      <c r="G5296" s="61">
        <v>1</v>
      </c>
      <c r="H5296" s="61">
        <v>15</v>
      </c>
      <c r="I5296" s="61">
        <v>38.009450000000001</v>
      </c>
    </row>
    <row r="5297" spans="1:9" s="71" customFormat="1" ht="24" hidden="1" customHeight="1" outlineLevel="1" x14ac:dyDescent="0.25">
      <c r="A5297" s="74">
        <v>918</v>
      </c>
      <c r="B5297" s="45" t="s">
        <v>664</v>
      </c>
      <c r="C5297" s="60" t="s">
        <v>4876</v>
      </c>
      <c r="D5297" s="60"/>
      <c r="E5297" s="74">
        <v>2023</v>
      </c>
      <c r="F5297" s="74" t="s">
        <v>489</v>
      </c>
      <c r="G5297" s="61">
        <v>1</v>
      </c>
      <c r="H5297" s="61">
        <v>15</v>
      </c>
      <c r="I5297" s="61">
        <v>38.009440000000005</v>
      </c>
    </row>
    <row r="5298" spans="1:9" s="71" customFormat="1" ht="24" hidden="1" customHeight="1" outlineLevel="1" x14ac:dyDescent="0.25">
      <c r="A5298" s="74">
        <v>6519</v>
      </c>
      <c r="B5298" s="45" t="s">
        <v>664</v>
      </c>
      <c r="C5298" s="60" t="s">
        <v>4877</v>
      </c>
      <c r="D5298" s="60"/>
      <c r="E5298" s="74">
        <v>2023</v>
      </c>
      <c r="F5298" s="74" t="s">
        <v>489</v>
      </c>
      <c r="G5298" s="61">
        <v>1</v>
      </c>
      <c r="H5298" s="61">
        <v>17</v>
      </c>
      <c r="I5298" s="61">
        <v>38.009440000000005</v>
      </c>
    </row>
    <row r="5299" spans="1:9" s="71" customFormat="1" ht="24" hidden="1" customHeight="1" outlineLevel="1" x14ac:dyDescent="0.25">
      <c r="A5299" s="74">
        <v>6520</v>
      </c>
      <c r="B5299" s="45" t="s">
        <v>664</v>
      </c>
      <c r="C5299" s="60" t="s">
        <v>4878</v>
      </c>
      <c r="D5299" s="60"/>
      <c r="E5299" s="74">
        <v>2023</v>
      </c>
      <c r="F5299" s="74" t="s">
        <v>489</v>
      </c>
      <c r="G5299" s="61">
        <v>1</v>
      </c>
      <c r="H5299" s="61">
        <v>15</v>
      </c>
      <c r="I5299" s="61">
        <v>37.233910000000002</v>
      </c>
    </row>
    <row r="5300" spans="1:9" s="71" customFormat="1" ht="24" hidden="1" customHeight="1" outlineLevel="1" x14ac:dyDescent="0.25">
      <c r="A5300" s="74">
        <v>1961</v>
      </c>
      <c r="B5300" s="45" t="s">
        <v>664</v>
      </c>
      <c r="C5300" s="60" t="s">
        <v>4879</v>
      </c>
      <c r="D5300" s="60"/>
      <c r="E5300" s="74">
        <v>2023</v>
      </c>
      <c r="F5300" s="74" t="s">
        <v>489</v>
      </c>
      <c r="G5300" s="61">
        <v>1</v>
      </c>
      <c r="H5300" s="61">
        <v>15</v>
      </c>
      <c r="I5300" s="61">
        <v>38.526470000000003</v>
      </c>
    </row>
    <row r="5301" spans="1:9" s="71" customFormat="1" ht="24" hidden="1" customHeight="1" outlineLevel="1" x14ac:dyDescent="0.25">
      <c r="A5301" s="74">
        <v>6521</v>
      </c>
      <c r="B5301" s="45" t="s">
        <v>664</v>
      </c>
      <c r="C5301" s="60" t="s">
        <v>4880</v>
      </c>
      <c r="D5301" s="60"/>
      <c r="E5301" s="74">
        <v>2023</v>
      </c>
      <c r="F5301" s="74" t="s">
        <v>489</v>
      </c>
      <c r="G5301" s="61">
        <v>1</v>
      </c>
      <c r="H5301" s="61">
        <v>14</v>
      </c>
      <c r="I5301" s="61">
        <v>38.009440000000005</v>
      </c>
    </row>
    <row r="5302" spans="1:9" s="71" customFormat="1" ht="24" hidden="1" customHeight="1" outlineLevel="1" x14ac:dyDescent="0.25">
      <c r="A5302" s="74">
        <v>6522</v>
      </c>
      <c r="B5302" s="45" t="s">
        <v>664</v>
      </c>
      <c r="C5302" s="60" t="s">
        <v>4881</v>
      </c>
      <c r="D5302" s="60"/>
      <c r="E5302" s="74">
        <v>2023</v>
      </c>
      <c r="F5302" s="74" t="s">
        <v>489</v>
      </c>
      <c r="G5302" s="61">
        <v>1</v>
      </c>
      <c r="H5302" s="61">
        <v>13</v>
      </c>
      <c r="I5302" s="61">
        <v>38.009440000000005</v>
      </c>
    </row>
    <row r="5303" spans="1:9" s="71" customFormat="1" ht="24" hidden="1" customHeight="1" outlineLevel="1" x14ac:dyDescent="0.25">
      <c r="A5303" s="74">
        <v>6523</v>
      </c>
      <c r="B5303" s="45" t="s">
        <v>664</v>
      </c>
      <c r="C5303" s="60" t="s">
        <v>4882</v>
      </c>
      <c r="D5303" s="60"/>
      <c r="E5303" s="74">
        <v>2023</v>
      </c>
      <c r="F5303" s="74" t="s">
        <v>489</v>
      </c>
      <c r="G5303" s="61">
        <v>1</v>
      </c>
      <c r="H5303" s="61">
        <v>14</v>
      </c>
      <c r="I5303" s="61">
        <v>37.233910000000002</v>
      </c>
    </row>
    <row r="5304" spans="1:9" s="71" customFormat="1" ht="24" hidden="1" customHeight="1" outlineLevel="1" x14ac:dyDescent="0.25">
      <c r="A5304" s="74">
        <v>6524</v>
      </c>
      <c r="B5304" s="45" t="s">
        <v>664</v>
      </c>
      <c r="C5304" s="60" t="s">
        <v>4883</v>
      </c>
      <c r="D5304" s="60"/>
      <c r="E5304" s="74">
        <v>2023</v>
      </c>
      <c r="F5304" s="74" t="s">
        <v>489</v>
      </c>
      <c r="G5304" s="61">
        <v>1</v>
      </c>
      <c r="H5304" s="61">
        <v>15</v>
      </c>
      <c r="I5304" s="61">
        <v>40.594530000000006</v>
      </c>
    </row>
    <row r="5305" spans="1:9" s="71" customFormat="1" ht="24" hidden="1" customHeight="1" outlineLevel="1" x14ac:dyDescent="0.25">
      <c r="A5305" s="74">
        <v>6525</v>
      </c>
      <c r="B5305" s="45" t="s">
        <v>664</v>
      </c>
      <c r="C5305" s="60" t="s">
        <v>4884</v>
      </c>
      <c r="D5305" s="60"/>
      <c r="E5305" s="74">
        <v>2023</v>
      </c>
      <c r="F5305" s="74" t="s">
        <v>489</v>
      </c>
      <c r="G5305" s="61">
        <v>1</v>
      </c>
      <c r="H5305" s="61">
        <v>15</v>
      </c>
      <c r="I5305" s="61">
        <v>39.301969999999997</v>
      </c>
    </row>
    <row r="5306" spans="1:9" s="71" customFormat="1" ht="24" hidden="1" customHeight="1" outlineLevel="1" x14ac:dyDescent="0.25">
      <c r="A5306" s="74">
        <v>2278</v>
      </c>
      <c r="B5306" s="45" t="s">
        <v>664</v>
      </c>
      <c r="C5306" s="60" t="s">
        <v>4885</v>
      </c>
      <c r="D5306" s="60"/>
      <c r="E5306" s="74">
        <v>2023</v>
      </c>
      <c r="F5306" s="74" t="s">
        <v>489</v>
      </c>
      <c r="G5306" s="61">
        <v>1</v>
      </c>
      <c r="H5306" s="61">
        <v>15</v>
      </c>
      <c r="I5306" s="61">
        <v>36.975459999999998</v>
      </c>
    </row>
    <row r="5307" spans="1:9" s="71" customFormat="1" ht="24" hidden="1" customHeight="1" outlineLevel="1" x14ac:dyDescent="0.25">
      <c r="A5307" s="74">
        <v>6526</v>
      </c>
      <c r="B5307" s="45" t="s">
        <v>664</v>
      </c>
      <c r="C5307" s="60" t="s">
        <v>4886</v>
      </c>
      <c r="D5307" s="60"/>
      <c r="E5307" s="74">
        <v>2023</v>
      </c>
      <c r="F5307" s="74" t="s">
        <v>489</v>
      </c>
      <c r="G5307" s="61">
        <v>1</v>
      </c>
      <c r="H5307" s="61">
        <v>15</v>
      </c>
      <c r="I5307" s="61">
        <v>38.655719999999988</v>
      </c>
    </row>
    <row r="5308" spans="1:9" s="71" customFormat="1" ht="24" hidden="1" customHeight="1" outlineLevel="1" x14ac:dyDescent="0.25">
      <c r="A5308" s="74">
        <v>6527</v>
      </c>
      <c r="B5308" s="45" t="s">
        <v>664</v>
      </c>
      <c r="C5308" s="60" t="s">
        <v>4887</v>
      </c>
      <c r="D5308" s="60"/>
      <c r="E5308" s="74">
        <v>2023</v>
      </c>
      <c r="F5308" s="74" t="s">
        <v>489</v>
      </c>
      <c r="G5308" s="61">
        <v>1</v>
      </c>
      <c r="H5308" s="61">
        <v>10</v>
      </c>
      <c r="I5308" s="61">
        <v>46.894509999999997</v>
      </c>
    </row>
    <row r="5309" spans="1:9" s="71" customFormat="1" ht="24" hidden="1" customHeight="1" outlineLevel="1" x14ac:dyDescent="0.25">
      <c r="A5309" s="74">
        <v>2280</v>
      </c>
      <c r="B5309" s="45" t="s">
        <v>664</v>
      </c>
      <c r="C5309" s="60" t="s">
        <v>4888</v>
      </c>
      <c r="D5309" s="60"/>
      <c r="E5309" s="74">
        <v>2023</v>
      </c>
      <c r="F5309" s="74" t="s">
        <v>489</v>
      </c>
      <c r="G5309" s="61">
        <v>1</v>
      </c>
      <c r="H5309" s="61">
        <v>5</v>
      </c>
      <c r="I5309" s="61">
        <v>38.655729999999998</v>
      </c>
    </row>
    <row r="5310" spans="1:9" s="71" customFormat="1" ht="24" hidden="1" customHeight="1" outlineLevel="1" x14ac:dyDescent="0.25">
      <c r="A5310" s="74">
        <v>6528</v>
      </c>
      <c r="B5310" s="45" t="s">
        <v>664</v>
      </c>
      <c r="C5310" s="60" t="s">
        <v>4889</v>
      </c>
      <c r="D5310" s="60"/>
      <c r="E5310" s="74">
        <v>2023</v>
      </c>
      <c r="F5310" s="74" t="s">
        <v>489</v>
      </c>
      <c r="G5310" s="61">
        <v>1</v>
      </c>
      <c r="H5310" s="61">
        <v>10</v>
      </c>
      <c r="I5310" s="61">
        <v>47.057259999999999</v>
      </c>
    </row>
    <row r="5311" spans="1:9" s="71" customFormat="1" ht="24" hidden="1" customHeight="1" outlineLevel="1" x14ac:dyDescent="0.25">
      <c r="A5311" s="74">
        <v>6529</v>
      </c>
      <c r="B5311" s="45" t="s">
        <v>664</v>
      </c>
      <c r="C5311" s="60" t="s">
        <v>4890</v>
      </c>
      <c r="D5311" s="60"/>
      <c r="E5311" s="74">
        <v>2023</v>
      </c>
      <c r="F5311" s="74" t="s">
        <v>489</v>
      </c>
      <c r="G5311" s="61">
        <v>1</v>
      </c>
      <c r="H5311" s="61">
        <v>10</v>
      </c>
      <c r="I5311" s="61">
        <v>38.009440000000005</v>
      </c>
    </row>
    <row r="5312" spans="1:9" s="71" customFormat="1" ht="24" hidden="1" customHeight="1" outlineLevel="1" x14ac:dyDescent="0.25">
      <c r="A5312" s="74">
        <v>2306</v>
      </c>
      <c r="B5312" s="45" t="s">
        <v>664</v>
      </c>
      <c r="C5312" s="60" t="s">
        <v>4891</v>
      </c>
      <c r="D5312" s="60"/>
      <c r="E5312" s="74">
        <v>2023</v>
      </c>
      <c r="F5312" s="74" t="s">
        <v>489</v>
      </c>
      <c r="G5312" s="61">
        <v>1</v>
      </c>
      <c r="H5312" s="61">
        <v>3</v>
      </c>
      <c r="I5312" s="61">
        <v>38.009440000000005</v>
      </c>
    </row>
    <row r="5313" spans="1:9" s="71" customFormat="1" ht="24" hidden="1" customHeight="1" outlineLevel="1" x14ac:dyDescent="0.25">
      <c r="A5313" s="74">
        <v>6530</v>
      </c>
      <c r="B5313" s="45" t="s">
        <v>664</v>
      </c>
      <c r="C5313" s="60" t="s">
        <v>4892</v>
      </c>
      <c r="D5313" s="60"/>
      <c r="E5313" s="74">
        <v>2023</v>
      </c>
      <c r="F5313" s="74" t="s">
        <v>489</v>
      </c>
      <c r="G5313" s="61">
        <v>1</v>
      </c>
      <c r="H5313" s="61">
        <v>10</v>
      </c>
      <c r="I5313" s="61">
        <v>45.764770000000006</v>
      </c>
    </row>
    <row r="5314" spans="1:9" s="71" customFormat="1" ht="24" hidden="1" customHeight="1" outlineLevel="1" x14ac:dyDescent="0.25">
      <c r="A5314" s="74">
        <v>6531</v>
      </c>
      <c r="B5314" s="45" t="s">
        <v>664</v>
      </c>
      <c r="C5314" s="60" t="s">
        <v>4893</v>
      </c>
      <c r="D5314" s="60"/>
      <c r="E5314" s="74">
        <v>2023</v>
      </c>
      <c r="F5314" s="74" t="s">
        <v>489</v>
      </c>
      <c r="G5314" s="61">
        <v>1</v>
      </c>
      <c r="H5314" s="61">
        <v>15</v>
      </c>
      <c r="I5314" s="61">
        <v>45.764710000000001</v>
      </c>
    </row>
    <row r="5315" spans="1:9" s="71" customFormat="1" ht="24" hidden="1" customHeight="1" outlineLevel="1" x14ac:dyDescent="0.25">
      <c r="A5315" s="74">
        <v>6492</v>
      </c>
      <c r="B5315" s="45" t="s">
        <v>664</v>
      </c>
      <c r="C5315" s="60" t="s">
        <v>4894</v>
      </c>
      <c r="D5315" s="60"/>
      <c r="E5315" s="74">
        <v>2023</v>
      </c>
      <c r="F5315" s="74" t="s">
        <v>489</v>
      </c>
      <c r="G5315" s="61">
        <v>1</v>
      </c>
      <c r="H5315" s="61">
        <v>10</v>
      </c>
      <c r="I5315" s="61">
        <v>44.280089999999994</v>
      </c>
    </row>
    <row r="5316" spans="1:9" s="71" customFormat="1" ht="24" hidden="1" customHeight="1" outlineLevel="1" x14ac:dyDescent="0.25">
      <c r="A5316" s="74">
        <v>1784</v>
      </c>
      <c r="B5316" s="45" t="s">
        <v>664</v>
      </c>
      <c r="C5316" s="60" t="s">
        <v>4895</v>
      </c>
      <c r="D5316" s="60"/>
      <c r="E5316" s="74">
        <v>2023</v>
      </c>
      <c r="F5316" s="74" t="s">
        <v>489</v>
      </c>
      <c r="G5316" s="61">
        <v>1</v>
      </c>
      <c r="H5316" s="61">
        <v>15</v>
      </c>
      <c r="I5316" s="61">
        <v>44.069410000000005</v>
      </c>
    </row>
    <row r="5317" spans="1:9" s="71" customFormat="1" ht="24" hidden="1" customHeight="1" outlineLevel="1" x14ac:dyDescent="0.25">
      <c r="A5317" s="74">
        <v>6494</v>
      </c>
      <c r="B5317" s="45" t="s">
        <v>664</v>
      </c>
      <c r="C5317" s="60" t="s">
        <v>4896</v>
      </c>
      <c r="D5317" s="60"/>
      <c r="E5317" s="74">
        <v>2023</v>
      </c>
      <c r="F5317" s="74" t="s">
        <v>489</v>
      </c>
      <c r="G5317" s="61">
        <v>1</v>
      </c>
      <c r="H5317" s="61">
        <v>14</v>
      </c>
      <c r="I5317" s="61">
        <v>44.069410000000005</v>
      </c>
    </row>
    <row r="5318" spans="1:9" s="71" customFormat="1" ht="24" hidden="1" customHeight="1" outlineLevel="1" x14ac:dyDescent="0.25">
      <c r="A5318" s="74">
        <v>2336</v>
      </c>
      <c r="B5318" s="45" t="s">
        <v>664</v>
      </c>
      <c r="C5318" s="60" t="s">
        <v>4897</v>
      </c>
      <c r="D5318" s="60"/>
      <c r="E5318" s="74">
        <v>2023</v>
      </c>
      <c r="F5318" s="74" t="s">
        <v>489</v>
      </c>
      <c r="G5318" s="61">
        <v>1</v>
      </c>
      <c r="H5318" s="61">
        <v>5</v>
      </c>
      <c r="I5318" s="61">
        <v>44.069410000000005</v>
      </c>
    </row>
    <row r="5319" spans="1:9" s="71" customFormat="1" ht="24" hidden="1" customHeight="1" outlineLevel="1" x14ac:dyDescent="0.25">
      <c r="A5319" s="74">
        <v>6495</v>
      </c>
      <c r="B5319" s="45" t="s">
        <v>664</v>
      </c>
      <c r="C5319" s="60" t="s">
        <v>4898</v>
      </c>
      <c r="D5319" s="60"/>
      <c r="E5319" s="74">
        <v>2023</v>
      </c>
      <c r="F5319" s="74" t="s">
        <v>489</v>
      </c>
      <c r="G5319" s="61">
        <v>1</v>
      </c>
      <c r="H5319" s="61">
        <v>15</v>
      </c>
      <c r="I5319" s="61">
        <v>44.069410000000005</v>
      </c>
    </row>
    <row r="5320" spans="1:9" s="71" customFormat="1" ht="24" hidden="1" customHeight="1" outlineLevel="1" x14ac:dyDescent="0.25">
      <c r="A5320" s="74">
        <v>6499</v>
      </c>
      <c r="B5320" s="45" t="s">
        <v>664</v>
      </c>
      <c r="C5320" s="60" t="s">
        <v>4899</v>
      </c>
      <c r="D5320" s="60"/>
      <c r="E5320" s="74">
        <v>2023</v>
      </c>
      <c r="F5320" s="74" t="s">
        <v>489</v>
      </c>
      <c r="G5320" s="61">
        <v>1</v>
      </c>
      <c r="H5320" s="61">
        <v>15</v>
      </c>
      <c r="I5320" s="61">
        <v>44.069410000000005</v>
      </c>
    </row>
    <row r="5321" spans="1:9" s="71" customFormat="1" ht="24" hidden="1" customHeight="1" outlineLevel="1" x14ac:dyDescent="0.25">
      <c r="A5321" s="74">
        <v>6501</v>
      </c>
      <c r="B5321" s="45" t="s">
        <v>664</v>
      </c>
      <c r="C5321" s="60" t="s">
        <v>4900</v>
      </c>
      <c r="D5321" s="60"/>
      <c r="E5321" s="74">
        <v>2023</v>
      </c>
      <c r="F5321" s="74" t="s">
        <v>489</v>
      </c>
      <c r="G5321" s="61">
        <v>1</v>
      </c>
      <c r="H5321" s="61">
        <v>15</v>
      </c>
      <c r="I5321" s="61">
        <v>44.069410000000005</v>
      </c>
    </row>
    <row r="5322" spans="1:9" s="71" customFormat="1" ht="24" hidden="1" customHeight="1" outlineLevel="1" x14ac:dyDescent="0.25">
      <c r="A5322" s="74">
        <v>6502</v>
      </c>
      <c r="B5322" s="45" t="s">
        <v>664</v>
      </c>
      <c r="C5322" s="60" t="s">
        <v>4901</v>
      </c>
      <c r="D5322" s="60"/>
      <c r="E5322" s="74">
        <v>2023</v>
      </c>
      <c r="F5322" s="74" t="s">
        <v>489</v>
      </c>
      <c r="G5322" s="61">
        <v>1</v>
      </c>
      <c r="H5322" s="61">
        <v>15</v>
      </c>
      <c r="I5322" s="61">
        <v>44.069410000000005</v>
      </c>
    </row>
    <row r="5323" spans="1:9" s="71" customFormat="1" ht="24" hidden="1" customHeight="1" outlineLevel="1" x14ac:dyDescent="0.25">
      <c r="A5323" s="74">
        <v>6503</v>
      </c>
      <c r="B5323" s="45" t="s">
        <v>664</v>
      </c>
      <c r="C5323" s="60" t="s">
        <v>4902</v>
      </c>
      <c r="D5323" s="60"/>
      <c r="E5323" s="74">
        <v>2023</v>
      </c>
      <c r="F5323" s="74" t="s">
        <v>489</v>
      </c>
      <c r="G5323" s="61">
        <v>1</v>
      </c>
      <c r="H5323" s="61">
        <v>15</v>
      </c>
      <c r="I5323" s="61">
        <v>44.069410000000005</v>
      </c>
    </row>
    <row r="5324" spans="1:9" s="71" customFormat="1" ht="24" hidden="1" customHeight="1" outlineLevel="1" x14ac:dyDescent="0.25">
      <c r="A5324" s="74">
        <v>6508</v>
      </c>
      <c r="B5324" s="45" t="s">
        <v>664</v>
      </c>
      <c r="C5324" s="60" t="s">
        <v>4903</v>
      </c>
      <c r="D5324" s="60"/>
      <c r="E5324" s="74">
        <v>2023</v>
      </c>
      <c r="F5324" s="74" t="s">
        <v>489</v>
      </c>
      <c r="G5324" s="61">
        <v>1</v>
      </c>
      <c r="H5324" s="61">
        <v>15</v>
      </c>
      <c r="I5324" s="61">
        <v>44.069410000000005</v>
      </c>
    </row>
    <row r="5325" spans="1:9" s="71" customFormat="1" ht="24" hidden="1" customHeight="1" outlineLevel="1" x14ac:dyDescent="0.25">
      <c r="A5325" s="74">
        <v>6509</v>
      </c>
      <c r="B5325" s="45" t="s">
        <v>664</v>
      </c>
      <c r="C5325" s="60" t="s">
        <v>4904</v>
      </c>
      <c r="D5325" s="60"/>
      <c r="E5325" s="74">
        <v>2023</v>
      </c>
      <c r="F5325" s="74" t="s">
        <v>489</v>
      </c>
      <c r="G5325" s="61">
        <v>1</v>
      </c>
      <c r="H5325" s="61">
        <v>15</v>
      </c>
      <c r="I5325" s="61">
        <v>44.069410000000005</v>
      </c>
    </row>
    <row r="5326" spans="1:9" s="71" customFormat="1" ht="24" hidden="1" customHeight="1" outlineLevel="1" x14ac:dyDescent="0.25">
      <c r="A5326" s="74">
        <v>2438</v>
      </c>
      <c r="B5326" s="45" t="s">
        <v>664</v>
      </c>
      <c r="C5326" s="60" t="s">
        <v>4905</v>
      </c>
      <c r="D5326" s="60"/>
      <c r="E5326" s="74">
        <v>2023</v>
      </c>
      <c r="F5326" s="74" t="s">
        <v>489</v>
      </c>
      <c r="G5326" s="61">
        <v>1</v>
      </c>
      <c r="H5326" s="61">
        <v>4</v>
      </c>
      <c r="I5326" s="61">
        <v>12.918699999999999</v>
      </c>
    </row>
    <row r="5327" spans="1:9" s="71" customFormat="1" ht="24" hidden="1" customHeight="1" outlineLevel="1" x14ac:dyDescent="0.25">
      <c r="A5327" s="74">
        <v>2492</v>
      </c>
      <c r="B5327" s="45" t="s">
        <v>664</v>
      </c>
      <c r="C5327" s="60" t="s">
        <v>4906</v>
      </c>
      <c r="D5327" s="60"/>
      <c r="E5327" s="74">
        <v>2023</v>
      </c>
      <c r="F5327" s="74" t="s">
        <v>489</v>
      </c>
      <c r="G5327" s="61">
        <v>1</v>
      </c>
      <c r="H5327" s="61">
        <v>10</v>
      </c>
      <c r="I5327" s="61">
        <v>39.772669999999998</v>
      </c>
    </row>
    <row r="5328" spans="1:9" s="71" customFormat="1" ht="24" hidden="1" customHeight="1" outlineLevel="1" x14ac:dyDescent="0.25">
      <c r="A5328" s="74">
        <v>6516</v>
      </c>
      <c r="B5328" s="45" t="s">
        <v>664</v>
      </c>
      <c r="C5328" s="60" t="s">
        <v>4907</v>
      </c>
      <c r="D5328" s="60"/>
      <c r="E5328" s="74">
        <v>2023</v>
      </c>
      <c r="F5328" s="74" t="s">
        <v>489</v>
      </c>
      <c r="G5328" s="61">
        <v>1</v>
      </c>
      <c r="H5328" s="61">
        <v>15</v>
      </c>
      <c r="I5328" s="61">
        <v>39.906820000000003</v>
      </c>
    </row>
    <row r="5329" spans="1:9" s="71" customFormat="1" ht="24" hidden="1" customHeight="1" outlineLevel="1" x14ac:dyDescent="0.25">
      <c r="A5329" s="74">
        <v>6517</v>
      </c>
      <c r="B5329" s="45" t="s">
        <v>664</v>
      </c>
      <c r="C5329" s="60" t="s">
        <v>4908</v>
      </c>
      <c r="D5329" s="60"/>
      <c r="E5329" s="74">
        <v>2023</v>
      </c>
      <c r="F5329" s="74" t="s">
        <v>489</v>
      </c>
      <c r="G5329" s="61">
        <v>1</v>
      </c>
      <c r="H5329" s="61">
        <v>15</v>
      </c>
      <c r="I5329" s="61">
        <v>39.101659999999995</v>
      </c>
    </row>
    <row r="5330" spans="1:9" s="71" customFormat="1" ht="24" hidden="1" customHeight="1" outlineLevel="1" x14ac:dyDescent="0.25">
      <c r="A5330" s="74">
        <v>6518</v>
      </c>
      <c r="B5330" s="45" t="s">
        <v>664</v>
      </c>
      <c r="C5330" s="60" t="s">
        <v>4909</v>
      </c>
      <c r="D5330" s="60"/>
      <c r="E5330" s="74">
        <v>2023</v>
      </c>
      <c r="F5330" s="74" t="s">
        <v>489</v>
      </c>
      <c r="G5330" s="61">
        <v>1</v>
      </c>
      <c r="H5330" s="61">
        <v>15</v>
      </c>
      <c r="I5330" s="61">
        <v>39.631629999999994</v>
      </c>
    </row>
    <row r="5331" spans="1:9" s="71" customFormat="1" ht="24" hidden="1" customHeight="1" outlineLevel="1" x14ac:dyDescent="0.25">
      <c r="A5331" s="74">
        <v>2405</v>
      </c>
      <c r="B5331" s="45" t="s">
        <v>664</v>
      </c>
      <c r="C5331" s="60" t="s">
        <v>4910</v>
      </c>
      <c r="D5331" s="60"/>
      <c r="E5331" s="74">
        <v>2023</v>
      </c>
      <c r="F5331" s="74" t="s">
        <v>489</v>
      </c>
      <c r="G5331" s="61">
        <v>1</v>
      </c>
      <c r="H5331" s="61">
        <v>6</v>
      </c>
      <c r="I5331" s="61">
        <v>40.980500000000006</v>
      </c>
    </row>
    <row r="5332" spans="1:9" s="71" customFormat="1" ht="24" hidden="1" customHeight="1" outlineLevel="1" x14ac:dyDescent="0.25">
      <c r="A5332" s="74">
        <v>1063</v>
      </c>
      <c r="B5332" s="45" t="s">
        <v>664</v>
      </c>
      <c r="C5332" s="60" t="s">
        <v>4911</v>
      </c>
      <c r="D5332" s="60"/>
      <c r="E5332" s="74">
        <v>2023</v>
      </c>
      <c r="F5332" s="74" t="s">
        <v>489</v>
      </c>
      <c r="G5332" s="61">
        <v>1</v>
      </c>
      <c r="H5332" s="61">
        <v>10</v>
      </c>
      <c r="I5332" s="61">
        <v>40.228369999999998</v>
      </c>
    </row>
    <row r="5333" spans="1:9" s="71" customFormat="1" ht="24" hidden="1" customHeight="1" outlineLevel="1" x14ac:dyDescent="0.25">
      <c r="A5333" s="74">
        <v>1914</v>
      </c>
      <c r="B5333" s="45" t="s">
        <v>664</v>
      </c>
      <c r="C5333" s="60" t="s">
        <v>4912</v>
      </c>
      <c r="D5333" s="60"/>
      <c r="E5333" s="74">
        <v>2023</v>
      </c>
      <c r="F5333" s="74" t="s">
        <v>489</v>
      </c>
      <c r="G5333" s="61">
        <v>1</v>
      </c>
      <c r="H5333" s="61">
        <v>10</v>
      </c>
      <c r="I5333" s="61">
        <v>37.926879999999997</v>
      </c>
    </row>
    <row r="5334" spans="1:9" s="71" customFormat="1" ht="24" hidden="1" customHeight="1" outlineLevel="1" x14ac:dyDescent="0.25">
      <c r="A5334" s="74">
        <v>6564</v>
      </c>
      <c r="B5334" s="45" t="s">
        <v>664</v>
      </c>
      <c r="C5334" s="60" t="s">
        <v>4913</v>
      </c>
      <c r="D5334" s="60"/>
      <c r="E5334" s="74">
        <v>2023</v>
      </c>
      <c r="F5334" s="74" t="s">
        <v>489</v>
      </c>
      <c r="G5334" s="61">
        <v>1</v>
      </c>
      <c r="H5334" s="61">
        <v>15</v>
      </c>
      <c r="I5334" s="61">
        <v>37.678510000000003</v>
      </c>
    </row>
    <row r="5335" spans="1:9" s="71" customFormat="1" ht="24" hidden="1" customHeight="1" outlineLevel="1" x14ac:dyDescent="0.25">
      <c r="A5335" s="74">
        <v>2404</v>
      </c>
      <c r="B5335" s="45" t="s">
        <v>664</v>
      </c>
      <c r="C5335" s="60" t="s">
        <v>4914</v>
      </c>
      <c r="D5335" s="60"/>
      <c r="E5335" s="74">
        <v>2023</v>
      </c>
      <c r="F5335" s="74" t="s">
        <v>489</v>
      </c>
      <c r="G5335" s="61">
        <v>1</v>
      </c>
      <c r="H5335" s="61">
        <v>15</v>
      </c>
      <c r="I5335" s="61">
        <v>37.678510000000003</v>
      </c>
    </row>
    <row r="5336" spans="1:9" s="71" customFormat="1" ht="24" hidden="1" customHeight="1" outlineLevel="1" x14ac:dyDescent="0.25">
      <c r="A5336" s="74">
        <v>6565</v>
      </c>
      <c r="B5336" s="45" t="s">
        <v>664</v>
      </c>
      <c r="C5336" s="60" t="s">
        <v>4915</v>
      </c>
      <c r="D5336" s="60"/>
      <c r="E5336" s="74">
        <v>2023</v>
      </c>
      <c r="F5336" s="74" t="s">
        <v>489</v>
      </c>
      <c r="G5336" s="61">
        <v>1</v>
      </c>
      <c r="H5336" s="61">
        <v>15</v>
      </c>
      <c r="I5336" s="61">
        <v>37.926879999999997</v>
      </c>
    </row>
    <row r="5337" spans="1:9" s="71" customFormat="1" ht="24" hidden="1" customHeight="1" outlineLevel="1" x14ac:dyDescent="0.25">
      <c r="A5337" s="74">
        <v>6566</v>
      </c>
      <c r="B5337" s="45" t="s">
        <v>664</v>
      </c>
      <c r="C5337" s="60" t="s">
        <v>4916</v>
      </c>
      <c r="D5337" s="60"/>
      <c r="E5337" s="74">
        <v>2023</v>
      </c>
      <c r="F5337" s="74" t="s">
        <v>489</v>
      </c>
      <c r="G5337" s="61">
        <v>1</v>
      </c>
      <c r="H5337" s="61">
        <v>15</v>
      </c>
      <c r="I5337" s="61">
        <v>37.926879999999997</v>
      </c>
    </row>
    <row r="5338" spans="1:9" s="71" customFormat="1" ht="24" hidden="1" customHeight="1" outlineLevel="1" x14ac:dyDescent="0.25">
      <c r="A5338" s="74">
        <v>6567</v>
      </c>
      <c r="B5338" s="45" t="s">
        <v>664</v>
      </c>
      <c r="C5338" s="60" t="s">
        <v>4917</v>
      </c>
      <c r="D5338" s="60"/>
      <c r="E5338" s="74">
        <v>2023</v>
      </c>
      <c r="F5338" s="74" t="s">
        <v>489</v>
      </c>
      <c r="G5338" s="61">
        <v>1</v>
      </c>
      <c r="H5338" s="61">
        <v>10</v>
      </c>
      <c r="I5338" s="61">
        <v>37.926879999999997</v>
      </c>
    </row>
    <row r="5339" spans="1:9" s="71" customFormat="1" ht="24" hidden="1" customHeight="1" outlineLevel="1" x14ac:dyDescent="0.25">
      <c r="A5339" s="74">
        <v>2434</v>
      </c>
      <c r="B5339" s="45" t="s">
        <v>664</v>
      </c>
      <c r="C5339" s="60" t="s">
        <v>4918</v>
      </c>
      <c r="D5339" s="60"/>
      <c r="E5339" s="74">
        <v>2023</v>
      </c>
      <c r="F5339" s="74" t="s">
        <v>489</v>
      </c>
      <c r="G5339" s="61">
        <v>1</v>
      </c>
      <c r="H5339" s="61">
        <v>5</v>
      </c>
      <c r="I5339" s="61">
        <v>40.758110000000002</v>
      </c>
    </row>
    <row r="5340" spans="1:9" s="71" customFormat="1" ht="24" hidden="1" customHeight="1" outlineLevel="1" x14ac:dyDescent="0.25">
      <c r="A5340" s="74">
        <v>2454</v>
      </c>
      <c r="B5340" s="45" t="s">
        <v>664</v>
      </c>
      <c r="C5340" s="60" t="s">
        <v>4919</v>
      </c>
      <c r="D5340" s="60"/>
      <c r="E5340" s="74">
        <v>2023</v>
      </c>
      <c r="F5340" s="74" t="s">
        <v>489</v>
      </c>
      <c r="G5340" s="61">
        <v>1</v>
      </c>
      <c r="H5340" s="61">
        <v>15</v>
      </c>
      <c r="I5340" s="61">
        <v>38.705050000000007</v>
      </c>
    </row>
    <row r="5341" spans="1:9" s="71" customFormat="1" ht="24" hidden="1" customHeight="1" outlineLevel="1" x14ac:dyDescent="0.25">
      <c r="A5341" s="74">
        <v>2407</v>
      </c>
      <c r="B5341" s="45" t="s">
        <v>664</v>
      </c>
      <c r="C5341" s="60" t="s">
        <v>4920</v>
      </c>
      <c r="D5341" s="60"/>
      <c r="E5341" s="74">
        <v>2023</v>
      </c>
      <c r="F5341" s="74" t="s">
        <v>489</v>
      </c>
      <c r="G5341" s="61">
        <v>1</v>
      </c>
      <c r="H5341" s="61">
        <v>15</v>
      </c>
      <c r="I5341" s="61">
        <v>37.926879999999997</v>
      </c>
    </row>
    <row r="5342" spans="1:9" s="71" customFormat="1" ht="24" hidden="1" customHeight="1" outlineLevel="1" x14ac:dyDescent="0.25">
      <c r="A5342" s="74">
        <v>6568</v>
      </c>
      <c r="B5342" s="45" t="s">
        <v>664</v>
      </c>
      <c r="C5342" s="60" t="s">
        <v>4921</v>
      </c>
      <c r="D5342" s="60"/>
      <c r="E5342" s="74">
        <v>2023</v>
      </c>
      <c r="F5342" s="74" t="s">
        <v>489</v>
      </c>
      <c r="G5342" s="61">
        <v>1</v>
      </c>
      <c r="H5342" s="61">
        <v>15</v>
      </c>
      <c r="I5342" s="61">
        <v>37.926879999999997</v>
      </c>
    </row>
    <row r="5343" spans="1:9" s="71" customFormat="1" ht="24" hidden="1" customHeight="1" outlineLevel="1" x14ac:dyDescent="0.25">
      <c r="A5343" s="74">
        <v>2442</v>
      </c>
      <c r="B5343" s="45" t="s">
        <v>664</v>
      </c>
      <c r="C5343" s="60" t="s">
        <v>4922</v>
      </c>
      <c r="D5343" s="60"/>
      <c r="E5343" s="74">
        <v>2023</v>
      </c>
      <c r="F5343" s="74" t="s">
        <v>489</v>
      </c>
      <c r="G5343" s="61">
        <v>1</v>
      </c>
      <c r="H5343" s="61">
        <v>8</v>
      </c>
      <c r="I5343" s="61">
        <v>40.803719999999991</v>
      </c>
    </row>
    <row r="5344" spans="1:9" s="71" customFormat="1" ht="24" hidden="1" customHeight="1" outlineLevel="1" x14ac:dyDescent="0.25">
      <c r="A5344" s="74">
        <v>6569</v>
      </c>
      <c r="B5344" s="45" t="s">
        <v>664</v>
      </c>
      <c r="C5344" s="60" t="s">
        <v>4923</v>
      </c>
      <c r="D5344" s="60"/>
      <c r="E5344" s="74">
        <v>2023</v>
      </c>
      <c r="F5344" s="74" t="s">
        <v>489</v>
      </c>
      <c r="G5344" s="61">
        <v>1</v>
      </c>
      <c r="H5344" s="61">
        <v>15</v>
      </c>
      <c r="I5344" s="61">
        <v>37.351559999999999</v>
      </c>
    </row>
    <row r="5345" spans="1:9" s="71" customFormat="1" ht="24" hidden="1" customHeight="1" outlineLevel="1" x14ac:dyDescent="0.25">
      <c r="A5345" s="74">
        <v>6570</v>
      </c>
      <c r="B5345" s="45" t="s">
        <v>664</v>
      </c>
      <c r="C5345" s="60" t="s">
        <v>4924</v>
      </c>
      <c r="D5345" s="60"/>
      <c r="E5345" s="74">
        <v>2023</v>
      </c>
      <c r="F5345" s="74" t="s">
        <v>489</v>
      </c>
      <c r="G5345" s="61">
        <v>1</v>
      </c>
      <c r="H5345" s="61">
        <v>10</v>
      </c>
      <c r="I5345" s="61">
        <v>41.784610000000001</v>
      </c>
    </row>
    <row r="5346" spans="1:9" s="71" customFormat="1" ht="24" hidden="1" customHeight="1" outlineLevel="1" x14ac:dyDescent="0.25">
      <c r="A5346" s="74">
        <v>6571</v>
      </c>
      <c r="B5346" s="45" t="s">
        <v>664</v>
      </c>
      <c r="C5346" s="60" t="s">
        <v>4925</v>
      </c>
      <c r="D5346" s="60"/>
      <c r="E5346" s="74">
        <v>2023</v>
      </c>
      <c r="F5346" s="74" t="s">
        <v>489</v>
      </c>
      <c r="G5346" s="61">
        <v>1</v>
      </c>
      <c r="H5346" s="61">
        <v>15</v>
      </c>
      <c r="I5346" s="61">
        <v>42.811160000000001</v>
      </c>
    </row>
    <row r="5347" spans="1:9" s="71" customFormat="1" ht="24" hidden="1" customHeight="1" outlineLevel="1" x14ac:dyDescent="0.25">
      <c r="A5347" s="74">
        <v>6572</v>
      </c>
      <c r="B5347" s="45" t="s">
        <v>664</v>
      </c>
      <c r="C5347" s="60" t="s">
        <v>4926</v>
      </c>
      <c r="D5347" s="60"/>
      <c r="E5347" s="74">
        <v>2023</v>
      </c>
      <c r="F5347" s="74" t="s">
        <v>489</v>
      </c>
      <c r="G5347" s="61">
        <v>1</v>
      </c>
      <c r="H5347" s="61">
        <v>10</v>
      </c>
      <c r="I5347" s="61">
        <v>41.784610000000001</v>
      </c>
    </row>
    <row r="5348" spans="1:9" s="71" customFormat="1" ht="24" hidden="1" customHeight="1" outlineLevel="1" x14ac:dyDescent="0.25">
      <c r="A5348" s="74">
        <v>6573</v>
      </c>
      <c r="B5348" s="45" t="s">
        <v>664</v>
      </c>
      <c r="C5348" s="60" t="s">
        <v>4927</v>
      </c>
      <c r="D5348" s="60"/>
      <c r="E5348" s="74">
        <v>2023</v>
      </c>
      <c r="F5348" s="74" t="s">
        <v>489</v>
      </c>
      <c r="G5348" s="61">
        <v>1</v>
      </c>
      <c r="H5348" s="61">
        <v>15</v>
      </c>
      <c r="I5348" s="61">
        <v>37.926879999999997</v>
      </c>
    </row>
    <row r="5349" spans="1:9" s="71" customFormat="1" ht="24" hidden="1" customHeight="1" outlineLevel="1" x14ac:dyDescent="0.25">
      <c r="A5349" s="74">
        <v>6574</v>
      </c>
      <c r="B5349" s="45" t="s">
        <v>664</v>
      </c>
      <c r="C5349" s="60" t="s">
        <v>4928</v>
      </c>
      <c r="D5349" s="60"/>
      <c r="E5349" s="74">
        <v>2023</v>
      </c>
      <c r="F5349" s="74" t="s">
        <v>489</v>
      </c>
      <c r="G5349" s="61">
        <v>1</v>
      </c>
      <c r="H5349" s="61">
        <v>10</v>
      </c>
      <c r="I5349" s="61">
        <v>38.705050000000007</v>
      </c>
    </row>
    <row r="5350" spans="1:9" s="71" customFormat="1" ht="24" hidden="1" customHeight="1" outlineLevel="1" x14ac:dyDescent="0.25">
      <c r="A5350" s="74">
        <v>6536</v>
      </c>
      <c r="B5350" s="45" t="s">
        <v>664</v>
      </c>
      <c r="C5350" s="60" t="s">
        <v>4929</v>
      </c>
      <c r="D5350" s="60"/>
      <c r="E5350" s="74">
        <v>2023</v>
      </c>
      <c r="F5350" s="74" t="s">
        <v>489</v>
      </c>
      <c r="G5350" s="61">
        <v>1</v>
      </c>
      <c r="H5350" s="61">
        <v>12</v>
      </c>
      <c r="I5350" s="61">
        <v>37.190289999999997</v>
      </c>
    </row>
    <row r="5351" spans="1:9" s="71" customFormat="1" ht="24" hidden="1" customHeight="1" outlineLevel="1" x14ac:dyDescent="0.25">
      <c r="A5351" s="74">
        <v>6537</v>
      </c>
      <c r="B5351" s="45" t="s">
        <v>664</v>
      </c>
      <c r="C5351" s="60" t="s">
        <v>4930</v>
      </c>
      <c r="D5351" s="60"/>
      <c r="E5351" s="74">
        <v>2023</v>
      </c>
      <c r="F5351" s="74" t="s">
        <v>489</v>
      </c>
      <c r="G5351" s="61">
        <v>1</v>
      </c>
      <c r="H5351" s="61">
        <v>12</v>
      </c>
      <c r="I5351" s="61">
        <v>37.153360000000006</v>
      </c>
    </row>
    <row r="5352" spans="1:9" s="71" customFormat="1" ht="24" hidden="1" customHeight="1" outlineLevel="1" x14ac:dyDescent="0.25">
      <c r="A5352" s="74">
        <v>2532</v>
      </c>
      <c r="B5352" s="45" t="s">
        <v>664</v>
      </c>
      <c r="C5352" s="60" t="s">
        <v>4931</v>
      </c>
      <c r="D5352" s="60"/>
      <c r="E5352" s="74">
        <v>2023</v>
      </c>
      <c r="F5352" s="74" t="s">
        <v>489</v>
      </c>
      <c r="G5352" s="61">
        <v>1</v>
      </c>
      <c r="H5352" s="61">
        <v>7</v>
      </c>
      <c r="I5352" s="61">
        <v>42.951689999999999</v>
      </c>
    </row>
    <row r="5353" spans="1:9" s="71" customFormat="1" ht="24" hidden="1" customHeight="1" outlineLevel="1" x14ac:dyDescent="0.25">
      <c r="A5353" s="74">
        <v>2586</v>
      </c>
      <c r="B5353" s="45" t="s">
        <v>664</v>
      </c>
      <c r="C5353" s="60" t="s">
        <v>4932</v>
      </c>
      <c r="D5353" s="60"/>
      <c r="E5353" s="74">
        <v>2023</v>
      </c>
      <c r="F5353" s="74" t="s">
        <v>489</v>
      </c>
      <c r="G5353" s="61">
        <v>1</v>
      </c>
      <c r="H5353" s="61">
        <v>5</v>
      </c>
      <c r="I5353" s="61">
        <v>42.951689999999999</v>
      </c>
    </row>
    <row r="5354" spans="1:9" s="71" customFormat="1" ht="24" hidden="1" customHeight="1" outlineLevel="1" x14ac:dyDescent="0.25">
      <c r="A5354" s="74">
        <v>6575</v>
      </c>
      <c r="B5354" s="45" t="s">
        <v>664</v>
      </c>
      <c r="C5354" s="60" t="s">
        <v>4933</v>
      </c>
      <c r="D5354" s="60"/>
      <c r="E5354" s="74">
        <v>2023</v>
      </c>
      <c r="F5354" s="74" t="s">
        <v>489</v>
      </c>
      <c r="G5354" s="61">
        <v>1</v>
      </c>
      <c r="H5354" s="61">
        <v>15</v>
      </c>
      <c r="I5354" s="61">
        <v>42.951689999999999</v>
      </c>
    </row>
    <row r="5355" spans="1:9" s="71" customFormat="1" ht="24" hidden="1" customHeight="1" outlineLevel="1" x14ac:dyDescent="0.25">
      <c r="A5355" s="74">
        <v>6576</v>
      </c>
      <c r="B5355" s="45" t="s">
        <v>664</v>
      </c>
      <c r="C5355" s="60" t="s">
        <v>4934</v>
      </c>
      <c r="D5355" s="60"/>
      <c r="E5355" s="74">
        <v>2023</v>
      </c>
      <c r="F5355" s="74" t="s">
        <v>489</v>
      </c>
      <c r="G5355" s="61">
        <v>1</v>
      </c>
      <c r="H5355" s="61">
        <v>15</v>
      </c>
      <c r="I5355" s="61">
        <v>42.951689999999999</v>
      </c>
    </row>
    <row r="5356" spans="1:9" s="71" customFormat="1" ht="24" hidden="1" customHeight="1" outlineLevel="1" x14ac:dyDescent="0.25">
      <c r="A5356" s="74">
        <v>6577</v>
      </c>
      <c r="B5356" s="45" t="s">
        <v>664</v>
      </c>
      <c r="C5356" s="60" t="s">
        <v>4935</v>
      </c>
      <c r="D5356" s="60"/>
      <c r="E5356" s="74">
        <v>2023</v>
      </c>
      <c r="F5356" s="74" t="s">
        <v>489</v>
      </c>
      <c r="G5356" s="61">
        <v>1</v>
      </c>
      <c r="H5356" s="61">
        <v>15</v>
      </c>
      <c r="I5356" s="61">
        <v>42.951689999999999</v>
      </c>
    </row>
    <row r="5357" spans="1:9" s="71" customFormat="1" ht="24" hidden="1" customHeight="1" outlineLevel="1" x14ac:dyDescent="0.25">
      <c r="A5357" s="74">
        <v>6586</v>
      </c>
      <c r="B5357" s="45" t="s">
        <v>664</v>
      </c>
      <c r="C5357" s="60" t="s">
        <v>4936</v>
      </c>
      <c r="D5357" s="60"/>
      <c r="E5357" s="74">
        <v>2023</v>
      </c>
      <c r="F5357" s="74" t="s">
        <v>489</v>
      </c>
      <c r="G5357" s="61">
        <v>1</v>
      </c>
      <c r="H5357" s="61">
        <v>40</v>
      </c>
      <c r="I5357" s="61">
        <v>38.233689999999996</v>
      </c>
    </row>
    <row r="5358" spans="1:9" s="71" customFormat="1" ht="24" hidden="1" customHeight="1" outlineLevel="1" x14ac:dyDescent="0.25">
      <c r="A5358" s="74">
        <v>6587</v>
      </c>
      <c r="B5358" s="45" t="s">
        <v>664</v>
      </c>
      <c r="C5358" s="60" t="s">
        <v>4937</v>
      </c>
      <c r="D5358" s="60"/>
      <c r="E5358" s="74">
        <v>2023</v>
      </c>
      <c r="F5358" s="74" t="s">
        <v>489</v>
      </c>
      <c r="G5358" s="61">
        <v>1</v>
      </c>
      <c r="H5358" s="61">
        <v>10</v>
      </c>
      <c r="I5358" s="61">
        <v>38.233689999999996</v>
      </c>
    </row>
    <row r="5359" spans="1:9" s="71" customFormat="1" ht="24" hidden="1" customHeight="1" outlineLevel="1" x14ac:dyDescent="0.25">
      <c r="A5359" s="74">
        <v>6588</v>
      </c>
      <c r="B5359" s="45" t="s">
        <v>664</v>
      </c>
      <c r="C5359" s="60" t="s">
        <v>4938</v>
      </c>
      <c r="D5359" s="60"/>
      <c r="E5359" s="74">
        <v>2023</v>
      </c>
      <c r="F5359" s="74" t="s">
        <v>489</v>
      </c>
      <c r="G5359" s="61">
        <v>1</v>
      </c>
      <c r="H5359" s="61">
        <v>15</v>
      </c>
      <c r="I5359" s="61">
        <v>37.620919999999998</v>
      </c>
    </row>
    <row r="5360" spans="1:9" s="71" customFormat="1" ht="24" hidden="1" customHeight="1" outlineLevel="1" x14ac:dyDescent="0.25">
      <c r="A5360" s="74">
        <v>6589</v>
      </c>
      <c r="B5360" s="45" t="s">
        <v>664</v>
      </c>
      <c r="C5360" s="60" t="s">
        <v>4939</v>
      </c>
      <c r="D5360" s="60"/>
      <c r="E5360" s="74">
        <v>2023</v>
      </c>
      <c r="F5360" s="74" t="s">
        <v>489</v>
      </c>
      <c r="G5360" s="61">
        <v>1</v>
      </c>
      <c r="H5360" s="61">
        <v>15</v>
      </c>
      <c r="I5360" s="61">
        <v>39.765449999999994</v>
      </c>
    </row>
    <row r="5361" spans="1:9" s="71" customFormat="1" ht="24" hidden="1" customHeight="1" outlineLevel="1" x14ac:dyDescent="0.25">
      <c r="A5361" s="74">
        <v>6590</v>
      </c>
      <c r="B5361" s="45" t="s">
        <v>664</v>
      </c>
      <c r="C5361" s="60" t="s">
        <v>4940</v>
      </c>
      <c r="D5361" s="60"/>
      <c r="E5361" s="74">
        <v>2023</v>
      </c>
      <c r="F5361" s="74" t="s">
        <v>489</v>
      </c>
      <c r="G5361" s="61">
        <v>1</v>
      </c>
      <c r="H5361" s="61">
        <v>15</v>
      </c>
      <c r="I5361" s="61">
        <v>35.935939999999995</v>
      </c>
    </row>
    <row r="5362" spans="1:9" s="71" customFormat="1" ht="24" hidden="1" customHeight="1" outlineLevel="1" x14ac:dyDescent="0.25">
      <c r="A5362" s="74">
        <v>6591</v>
      </c>
      <c r="B5362" s="45" t="s">
        <v>664</v>
      </c>
      <c r="C5362" s="60" t="s">
        <v>4941</v>
      </c>
      <c r="D5362" s="60"/>
      <c r="E5362" s="74">
        <v>2023</v>
      </c>
      <c r="F5362" s="74" t="s">
        <v>489</v>
      </c>
      <c r="G5362" s="61">
        <v>1</v>
      </c>
      <c r="H5362" s="61">
        <v>15</v>
      </c>
      <c r="I5362" s="61">
        <v>38.233689999999996</v>
      </c>
    </row>
    <row r="5363" spans="1:9" s="71" customFormat="1" ht="24" hidden="1" customHeight="1" outlineLevel="1" x14ac:dyDescent="0.25">
      <c r="A5363" s="74">
        <v>2573</v>
      </c>
      <c r="B5363" s="45" t="s">
        <v>664</v>
      </c>
      <c r="C5363" s="60" t="s">
        <v>4942</v>
      </c>
      <c r="D5363" s="60"/>
      <c r="E5363" s="74">
        <v>2023</v>
      </c>
      <c r="F5363" s="74" t="s">
        <v>489</v>
      </c>
      <c r="G5363" s="61">
        <v>1</v>
      </c>
      <c r="H5363" s="61">
        <v>5</v>
      </c>
      <c r="I5363" s="61">
        <v>38.999580000000002</v>
      </c>
    </row>
    <row r="5364" spans="1:9" s="71" customFormat="1" ht="24" hidden="1" customHeight="1" outlineLevel="1" x14ac:dyDescent="0.25">
      <c r="A5364" s="74">
        <v>6592</v>
      </c>
      <c r="B5364" s="45" t="s">
        <v>664</v>
      </c>
      <c r="C5364" s="60" t="s">
        <v>4943</v>
      </c>
      <c r="D5364" s="60"/>
      <c r="E5364" s="74">
        <v>2023</v>
      </c>
      <c r="F5364" s="74" t="s">
        <v>489</v>
      </c>
      <c r="G5364" s="61">
        <v>1</v>
      </c>
      <c r="H5364" s="61">
        <v>15</v>
      </c>
      <c r="I5364" s="61">
        <v>38.233689999999996</v>
      </c>
    </row>
    <row r="5365" spans="1:9" s="71" customFormat="1" ht="24" hidden="1" customHeight="1" outlineLevel="1" x14ac:dyDescent="0.25">
      <c r="A5365" s="74">
        <v>2625</v>
      </c>
      <c r="B5365" s="45" t="s">
        <v>664</v>
      </c>
      <c r="C5365" s="60" t="s">
        <v>4944</v>
      </c>
      <c r="D5365" s="60"/>
      <c r="E5365" s="74">
        <v>2023</v>
      </c>
      <c r="F5365" s="74" t="s">
        <v>489</v>
      </c>
      <c r="G5365" s="61">
        <v>1</v>
      </c>
      <c r="H5365" s="61">
        <v>3</v>
      </c>
      <c r="I5365" s="61">
        <v>38.233689999999996</v>
      </c>
    </row>
    <row r="5366" spans="1:9" s="71" customFormat="1" ht="24" hidden="1" customHeight="1" outlineLevel="1" x14ac:dyDescent="0.25">
      <c r="A5366" s="74">
        <v>6593</v>
      </c>
      <c r="B5366" s="45" t="s">
        <v>664</v>
      </c>
      <c r="C5366" s="60" t="s">
        <v>4945</v>
      </c>
      <c r="D5366" s="60"/>
      <c r="E5366" s="74">
        <v>2023</v>
      </c>
      <c r="F5366" s="74" t="s">
        <v>489</v>
      </c>
      <c r="G5366" s="61">
        <v>1</v>
      </c>
      <c r="H5366" s="61">
        <v>15</v>
      </c>
      <c r="I5366" s="61">
        <v>38.999580000000002</v>
      </c>
    </row>
    <row r="5367" spans="1:9" s="71" customFormat="1" ht="24" hidden="1" customHeight="1" outlineLevel="1" x14ac:dyDescent="0.25">
      <c r="A5367" s="74">
        <v>6594</v>
      </c>
      <c r="B5367" s="45" t="s">
        <v>664</v>
      </c>
      <c r="C5367" s="60" t="s">
        <v>4946</v>
      </c>
      <c r="D5367" s="60"/>
      <c r="E5367" s="74">
        <v>2023</v>
      </c>
      <c r="F5367" s="74" t="s">
        <v>489</v>
      </c>
      <c r="G5367" s="61">
        <v>1</v>
      </c>
      <c r="H5367" s="61">
        <v>15</v>
      </c>
      <c r="I5367" s="61">
        <v>42.849989999999998</v>
      </c>
    </row>
    <row r="5368" spans="1:9" s="71" customFormat="1" ht="24" hidden="1" customHeight="1" outlineLevel="1" x14ac:dyDescent="0.25">
      <c r="A5368" s="74">
        <v>2525</v>
      </c>
      <c r="B5368" s="45" t="s">
        <v>664</v>
      </c>
      <c r="C5368" s="60" t="s">
        <v>4947</v>
      </c>
      <c r="D5368" s="60"/>
      <c r="E5368" s="74">
        <v>2023</v>
      </c>
      <c r="F5368" s="74" t="s">
        <v>489</v>
      </c>
      <c r="G5368" s="61">
        <v>1</v>
      </c>
      <c r="H5368" s="61">
        <v>1</v>
      </c>
      <c r="I5368" s="61">
        <v>42.849989999999998</v>
      </c>
    </row>
    <row r="5369" spans="1:9" s="71" customFormat="1" ht="24" hidden="1" customHeight="1" outlineLevel="1" x14ac:dyDescent="0.25">
      <c r="A5369" s="74">
        <v>6595</v>
      </c>
      <c r="B5369" s="45" t="s">
        <v>664</v>
      </c>
      <c r="C5369" s="60" t="s">
        <v>4948</v>
      </c>
      <c r="D5369" s="60"/>
      <c r="E5369" s="74">
        <v>2023</v>
      </c>
      <c r="F5369" s="74" t="s">
        <v>489</v>
      </c>
      <c r="G5369" s="61">
        <v>1</v>
      </c>
      <c r="H5369" s="61">
        <v>15</v>
      </c>
      <c r="I5369" s="61">
        <v>42.849989999999998</v>
      </c>
    </row>
    <row r="5370" spans="1:9" s="71" customFormat="1" ht="24" hidden="1" customHeight="1" outlineLevel="1" x14ac:dyDescent="0.25">
      <c r="A5370" s="74">
        <v>6596</v>
      </c>
      <c r="B5370" s="45" t="s">
        <v>664</v>
      </c>
      <c r="C5370" s="60" t="s">
        <v>4949</v>
      </c>
      <c r="D5370" s="60"/>
      <c r="E5370" s="74">
        <v>2023</v>
      </c>
      <c r="F5370" s="74" t="s">
        <v>489</v>
      </c>
      <c r="G5370" s="61">
        <v>1</v>
      </c>
      <c r="H5370" s="61">
        <v>15</v>
      </c>
      <c r="I5370" s="61">
        <v>42.849989999999998</v>
      </c>
    </row>
    <row r="5371" spans="1:9" s="71" customFormat="1" ht="24" hidden="1" customHeight="1" outlineLevel="1" x14ac:dyDescent="0.25">
      <c r="A5371" s="74">
        <v>6598</v>
      </c>
      <c r="B5371" s="45" t="s">
        <v>664</v>
      </c>
      <c r="C5371" s="60" t="s">
        <v>4950</v>
      </c>
      <c r="D5371" s="60"/>
      <c r="E5371" s="74">
        <v>2023</v>
      </c>
      <c r="F5371" s="74" t="s">
        <v>489</v>
      </c>
      <c r="G5371" s="61">
        <v>1</v>
      </c>
      <c r="H5371" s="61">
        <v>10</v>
      </c>
      <c r="I5371" s="61">
        <v>42.849989999999998</v>
      </c>
    </row>
    <row r="5372" spans="1:9" s="71" customFormat="1" ht="24" hidden="1" customHeight="1" outlineLevel="1" x14ac:dyDescent="0.25">
      <c r="A5372" s="74">
        <v>6599</v>
      </c>
      <c r="B5372" s="45" t="s">
        <v>664</v>
      </c>
      <c r="C5372" s="60" t="s">
        <v>4951</v>
      </c>
      <c r="D5372" s="60"/>
      <c r="E5372" s="74">
        <v>2023</v>
      </c>
      <c r="F5372" s="74" t="s">
        <v>489</v>
      </c>
      <c r="G5372" s="61">
        <v>1</v>
      </c>
      <c r="H5372" s="61">
        <v>15</v>
      </c>
      <c r="I5372" s="61">
        <v>42.849989999999998</v>
      </c>
    </row>
    <row r="5373" spans="1:9" s="71" customFormat="1" ht="24" hidden="1" customHeight="1" outlineLevel="1" x14ac:dyDescent="0.25">
      <c r="A5373" s="74">
        <v>6600</v>
      </c>
      <c r="B5373" s="45" t="s">
        <v>664</v>
      </c>
      <c r="C5373" s="60" t="s">
        <v>4952</v>
      </c>
      <c r="D5373" s="60"/>
      <c r="E5373" s="74">
        <v>2023</v>
      </c>
      <c r="F5373" s="74" t="s">
        <v>489</v>
      </c>
      <c r="G5373" s="61">
        <v>1</v>
      </c>
      <c r="H5373" s="61">
        <v>15</v>
      </c>
      <c r="I5373" s="61">
        <v>42.849989999999998</v>
      </c>
    </row>
    <row r="5374" spans="1:9" s="71" customFormat="1" ht="24" hidden="1" customHeight="1" outlineLevel="1" x14ac:dyDescent="0.25">
      <c r="A5374" s="74">
        <v>6602</v>
      </c>
      <c r="B5374" s="45" t="s">
        <v>664</v>
      </c>
      <c r="C5374" s="60" t="s">
        <v>4953</v>
      </c>
      <c r="D5374" s="60"/>
      <c r="E5374" s="74">
        <v>2023</v>
      </c>
      <c r="F5374" s="74" t="s">
        <v>489</v>
      </c>
      <c r="G5374" s="61">
        <v>1</v>
      </c>
      <c r="H5374" s="61">
        <v>15</v>
      </c>
      <c r="I5374" s="61">
        <v>42.849989999999998</v>
      </c>
    </row>
    <row r="5375" spans="1:9" s="71" customFormat="1" ht="24" hidden="1" customHeight="1" outlineLevel="1" x14ac:dyDescent="0.25">
      <c r="A5375" s="74">
        <v>6603</v>
      </c>
      <c r="B5375" s="45" t="s">
        <v>664</v>
      </c>
      <c r="C5375" s="60" t="s">
        <v>4954</v>
      </c>
      <c r="D5375" s="60"/>
      <c r="E5375" s="74">
        <v>2023</v>
      </c>
      <c r="F5375" s="74" t="s">
        <v>489</v>
      </c>
      <c r="G5375" s="61">
        <v>1</v>
      </c>
      <c r="H5375" s="61">
        <v>15</v>
      </c>
      <c r="I5375" s="61">
        <v>42.849989999999998</v>
      </c>
    </row>
    <row r="5376" spans="1:9" s="71" customFormat="1" ht="24" hidden="1" customHeight="1" outlineLevel="1" x14ac:dyDescent="0.25">
      <c r="A5376" s="74">
        <v>6604</v>
      </c>
      <c r="B5376" s="45" t="s">
        <v>664</v>
      </c>
      <c r="C5376" s="60" t="s">
        <v>4955</v>
      </c>
      <c r="D5376" s="60"/>
      <c r="E5376" s="74">
        <v>2023</v>
      </c>
      <c r="F5376" s="74" t="s">
        <v>489</v>
      </c>
      <c r="G5376" s="61">
        <v>1</v>
      </c>
      <c r="H5376" s="61">
        <v>10</v>
      </c>
      <c r="I5376" s="61">
        <v>42.849989999999998</v>
      </c>
    </row>
    <row r="5377" spans="1:9" s="71" customFormat="1" ht="24" hidden="1" customHeight="1" outlineLevel="1" x14ac:dyDescent="0.25">
      <c r="A5377" s="74">
        <v>2591</v>
      </c>
      <c r="B5377" s="45" t="s">
        <v>664</v>
      </c>
      <c r="C5377" s="60" t="s">
        <v>4956</v>
      </c>
      <c r="D5377" s="60"/>
      <c r="E5377" s="74">
        <v>2023</v>
      </c>
      <c r="F5377" s="74" t="s">
        <v>489</v>
      </c>
      <c r="G5377" s="61">
        <v>1</v>
      </c>
      <c r="H5377" s="61">
        <v>7</v>
      </c>
      <c r="I5377" s="61">
        <v>42.849989999999998</v>
      </c>
    </row>
    <row r="5378" spans="1:9" s="71" customFormat="1" ht="24" hidden="1" customHeight="1" outlineLevel="1" x14ac:dyDescent="0.25">
      <c r="A5378" s="74">
        <v>2605</v>
      </c>
      <c r="B5378" s="45" t="s">
        <v>664</v>
      </c>
      <c r="C5378" s="60" t="s">
        <v>4957</v>
      </c>
      <c r="D5378" s="60"/>
      <c r="E5378" s="74">
        <v>2023</v>
      </c>
      <c r="F5378" s="74" t="s">
        <v>489</v>
      </c>
      <c r="G5378" s="61">
        <v>1</v>
      </c>
      <c r="H5378" s="61">
        <v>3</v>
      </c>
      <c r="I5378" s="61">
        <v>42.849989999999998</v>
      </c>
    </row>
    <row r="5379" spans="1:9" s="71" customFormat="1" ht="24" hidden="1" customHeight="1" outlineLevel="1" x14ac:dyDescent="0.25">
      <c r="A5379" s="74">
        <v>662</v>
      </c>
      <c r="B5379" s="45" t="s">
        <v>664</v>
      </c>
      <c r="C5379" s="60" t="s">
        <v>4958</v>
      </c>
      <c r="D5379" s="60"/>
      <c r="E5379" s="74">
        <v>2023</v>
      </c>
      <c r="F5379" s="74" t="s">
        <v>489</v>
      </c>
      <c r="G5379" s="61">
        <v>1</v>
      </c>
      <c r="H5379" s="61">
        <v>15</v>
      </c>
      <c r="I5379" s="61">
        <v>48.735700000000001</v>
      </c>
    </row>
    <row r="5380" spans="1:9" s="71" customFormat="1" ht="24" hidden="1" customHeight="1" outlineLevel="1" x14ac:dyDescent="0.25">
      <c r="A5380" s="74">
        <v>6541</v>
      </c>
      <c r="B5380" s="45" t="s">
        <v>664</v>
      </c>
      <c r="C5380" s="60" t="s">
        <v>4959</v>
      </c>
      <c r="D5380" s="60"/>
      <c r="E5380" s="74">
        <v>2023</v>
      </c>
      <c r="F5380" s="74" t="s">
        <v>489</v>
      </c>
      <c r="G5380" s="61">
        <v>1</v>
      </c>
      <c r="H5380" s="61">
        <v>15</v>
      </c>
      <c r="I5380" s="61">
        <v>41.472750000000005</v>
      </c>
    </row>
    <row r="5381" spans="1:9" s="71" customFormat="1" ht="24" hidden="1" customHeight="1" outlineLevel="1" x14ac:dyDescent="0.25">
      <c r="A5381" s="74">
        <v>6542</v>
      </c>
      <c r="B5381" s="45" t="s">
        <v>664</v>
      </c>
      <c r="C5381" s="60" t="s">
        <v>4960</v>
      </c>
      <c r="D5381" s="60"/>
      <c r="E5381" s="74">
        <v>2023</v>
      </c>
      <c r="F5381" s="74" t="s">
        <v>489</v>
      </c>
      <c r="G5381" s="61">
        <v>1</v>
      </c>
      <c r="H5381" s="61">
        <v>10</v>
      </c>
      <c r="I5381" s="61">
        <v>41.472720000000002</v>
      </c>
    </row>
    <row r="5382" spans="1:9" s="71" customFormat="1" ht="24" hidden="1" customHeight="1" outlineLevel="1" x14ac:dyDescent="0.25">
      <c r="A5382" s="74">
        <v>2577</v>
      </c>
      <c r="B5382" s="45" t="s">
        <v>664</v>
      </c>
      <c r="C5382" s="60" t="s">
        <v>4961</v>
      </c>
      <c r="D5382" s="60"/>
      <c r="E5382" s="74">
        <v>2023</v>
      </c>
      <c r="F5382" s="74" t="s">
        <v>489</v>
      </c>
      <c r="G5382" s="61">
        <v>1</v>
      </c>
      <c r="H5382" s="61">
        <v>5</v>
      </c>
      <c r="I5382" s="61">
        <v>41.653620000000004</v>
      </c>
    </row>
    <row r="5383" spans="1:9" s="71" customFormat="1" ht="24" hidden="1" customHeight="1" outlineLevel="1" x14ac:dyDescent="0.25">
      <c r="A5383" s="74">
        <v>6559</v>
      </c>
      <c r="B5383" s="45" t="s">
        <v>664</v>
      </c>
      <c r="C5383" s="60" t="s">
        <v>4962</v>
      </c>
      <c r="D5383" s="60"/>
      <c r="E5383" s="74">
        <v>2023</v>
      </c>
      <c r="F5383" s="74" t="s">
        <v>489</v>
      </c>
      <c r="G5383" s="61">
        <v>1</v>
      </c>
      <c r="H5383" s="61">
        <v>12</v>
      </c>
      <c r="I5383" s="61">
        <v>41.254259999999995</v>
      </c>
    </row>
    <row r="5384" spans="1:9" s="71" customFormat="1" ht="24" hidden="1" customHeight="1" outlineLevel="1" x14ac:dyDescent="0.25">
      <c r="A5384" s="74">
        <v>6560</v>
      </c>
      <c r="B5384" s="45" t="s">
        <v>664</v>
      </c>
      <c r="C5384" s="60" t="s">
        <v>4963</v>
      </c>
      <c r="D5384" s="60"/>
      <c r="E5384" s="74">
        <v>2023</v>
      </c>
      <c r="F5384" s="74" t="s">
        <v>489</v>
      </c>
      <c r="G5384" s="61">
        <v>1</v>
      </c>
      <c r="H5384" s="61">
        <v>10</v>
      </c>
      <c r="I5384" s="61">
        <v>42.100700000000003</v>
      </c>
    </row>
    <row r="5385" spans="1:9" s="71" customFormat="1" ht="24" hidden="1" customHeight="1" outlineLevel="1" x14ac:dyDescent="0.25">
      <c r="A5385" s="74">
        <v>6561</v>
      </c>
      <c r="B5385" s="45" t="s">
        <v>664</v>
      </c>
      <c r="C5385" s="60" t="s">
        <v>4964</v>
      </c>
      <c r="D5385" s="60"/>
      <c r="E5385" s="74">
        <v>2023</v>
      </c>
      <c r="F5385" s="74" t="s">
        <v>489</v>
      </c>
      <c r="G5385" s="61">
        <v>1</v>
      </c>
      <c r="H5385" s="61">
        <v>15</v>
      </c>
      <c r="I5385" s="61">
        <v>41.254259999999995</v>
      </c>
    </row>
    <row r="5386" spans="1:9" s="71" customFormat="1" ht="24" hidden="1" customHeight="1" outlineLevel="1" x14ac:dyDescent="0.25">
      <c r="A5386" s="74">
        <v>6562</v>
      </c>
      <c r="B5386" s="45" t="s">
        <v>664</v>
      </c>
      <c r="C5386" s="60" t="s">
        <v>4965</v>
      </c>
      <c r="D5386" s="60"/>
      <c r="E5386" s="74">
        <v>2023</v>
      </c>
      <c r="F5386" s="74" t="s">
        <v>489</v>
      </c>
      <c r="G5386" s="61">
        <v>1</v>
      </c>
      <c r="H5386" s="61">
        <v>10</v>
      </c>
      <c r="I5386" s="61">
        <v>45.450410000000005</v>
      </c>
    </row>
    <row r="5387" spans="1:9" s="71" customFormat="1" ht="24" hidden="1" customHeight="1" outlineLevel="1" x14ac:dyDescent="0.25">
      <c r="A5387" s="74">
        <v>6563</v>
      </c>
      <c r="B5387" s="45" t="s">
        <v>664</v>
      </c>
      <c r="C5387" s="60" t="s">
        <v>4966</v>
      </c>
      <c r="D5387" s="60"/>
      <c r="E5387" s="74">
        <v>2023</v>
      </c>
      <c r="F5387" s="74" t="s">
        <v>489</v>
      </c>
      <c r="G5387" s="61">
        <v>1</v>
      </c>
      <c r="H5387" s="61">
        <v>15</v>
      </c>
      <c r="I5387" s="61">
        <v>41.254259999999995</v>
      </c>
    </row>
    <row r="5388" spans="1:9" s="71" customFormat="1" ht="24" hidden="1" customHeight="1" outlineLevel="1" x14ac:dyDescent="0.25">
      <c r="A5388" s="74">
        <v>6578</v>
      </c>
      <c r="B5388" s="45" t="s">
        <v>664</v>
      </c>
      <c r="C5388" s="60" t="s">
        <v>4967</v>
      </c>
      <c r="D5388" s="60"/>
      <c r="E5388" s="74">
        <v>2023</v>
      </c>
      <c r="F5388" s="74" t="s">
        <v>489</v>
      </c>
      <c r="G5388" s="61">
        <v>1</v>
      </c>
      <c r="H5388" s="61">
        <v>15</v>
      </c>
      <c r="I5388" s="61">
        <v>38.588999999999999</v>
      </c>
    </row>
    <row r="5389" spans="1:9" s="71" customFormat="1" ht="24" hidden="1" customHeight="1" outlineLevel="1" x14ac:dyDescent="0.25">
      <c r="A5389" s="74">
        <v>6581</v>
      </c>
      <c r="B5389" s="45" t="s">
        <v>664</v>
      </c>
      <c r="C5389" s="60" t="s">
        <v>4968</v>
      </c>
      <c r="D5389" s="60"/>
      <c r="E5389" s="74">
        <v>2023</v>
      </c>
      <c r="F5389" s="74" t="s">
        <v>489</v>
      </c>
      <c r="G5389" s="61">
        <v>1</v>
      </c>
      <c r="H5389" s="61">
        <v>4.0999999999999996</v>
      </c>
      <c r="I5389" s="61">
        <v>41.64387</v>
      </c>
    </row>
    <row r="5390" spans="1:9" s="71" customFormat="1" ht="24" hidden="1" customHeight="1" outlineLevel="1" x14ac:dyDescent="0.25">
      <c r="A5390" s="74">
        <v>2624</v>
      </c>
      <c r="B5390" s="45" t="s">
        <v>664</v>
      </c>
      <c r="C5390" s="60" t="s">
        <v>4969</v>
      </c>
      <c r="D5390" s="60"/>
      <c r="E5390" s="74">
        <v>2023</v>
      </c>
      <c r="F5390" s="74" t="s">
        <v>489</v>
      </c>
      <c r="G5390" s="61">
        <v>1</v>
      </c>
      <c r="H5390" s="61">
        <v>1</v>
      </c>
      <c r="I5390" s="61">
        <v>41.671979999999998</v>
      </c>
    </row>
    <row r="5391" spans="1:9" s="71" customFormat="1" ht="24" hidden="1" customHeight="1" outlineLevel="1" x14ac:dyDescent="0.25">
      <c r="A5391" s="74">
        <v>6607</v>
      </c>
      <c r="B5391" s="45" t="s">
        <v>664</v>
      </c>
      <c r="C5391" s="60" t="s">
        <v>4970</v>
      </c>
      <c r="D5391" s="60"/>
      <c r="E5391" s="74">
        <v>2023</v>
      </c>
      <c r="F5391" s="74" t="s">
        <v>489</v>
      </c>
      <c r="G5391" s="61">
        <v>1</v>
      </c>
      <c r="H5391" s="61">
        <v>15</v>
      </c>
      <c r="I5391" s="61">
        <v>44.921120000000002</v>
      </c>
    </row>
    <row r="5392" spans="1:9" s="71" customFormat="1" ht="24" hidden="1" customHeight="1" outlineLevel="1" x14ac:dyDescent="0.25">
      <c r="A5392" s="74">
        <v>6608</v>
      </c>
      <c r="B5392" s="45" t="s">
        <v>664</v>
      </c>
      <c r="C5392" s="60" t="s">
        <v>4971</v>
      </c>
      <c r="D5392" s="60"/>
      <c r="E5392" s="74">
        <v>2023</v>
      </c>
      <c r="F5392" s="74" t="s">
        <v>489</v>
      </c>
      <c r="G5392" s="61">
        <v>1</v>
      </c>
      <c r="H5392" s="61">
        <v>15</v>
      </c>
      <c r="I5392" s="61">
        <v>44.921120000000002</v>
      </c>
    </row>
    <row r="5393" spans="1:9" s="71" customFormat="1" ht="24" hidden="1" customHeight="1" outlineLevel="1" x14ac:dyDescent="0.25">
      <c r="A5393" s="74">
        <v>2631</v>
      </c>
      <c r="B5393" s="45" t="s">
        <v>664</v>
      </c>
      <c r="C5393" s="60" t="s">
        <v>4972</v>
      </c>
      <c r="D5393" s="60"/>
      <c r="E5393" s="74">
        <v>2023</v>
      </c>
      <c r="F5393" s="74" t="s">
        <v>489</v>
      </c>
      <c r="G5393" s="61">
        <v>1</v>
      </c>
      <c r="H5393" s="61">
        <v>15</v>
      </c>
      <c r="I5393" s="61">
        <v>44.921120000000002</v>
      </c>
    </row>
    <row r="5394" spans="1:9" s="71" customFormat="1" ht="24" hidden="1" customHeight="1" outlineLevel="1" x14ac:dyDescent="0.25">
      <c r="A5394" s="74">
        <v>6610</v>
      </c>
      <c r="B5394" s="45" t="s">
        <v>664</v>
      </c>
      <c r="C5394" s="60" t="s">
        <v>4973</v>
      </c>
      <c r="D5394" s="60"/>
      <c r="E5394" s="74">
        <v>2023</v>
      </c>
      <c r="F5394" s="74" t="s">
        <v>489</v>
      </c>
      <c r="G5394" s="61">
        <v>1</v>
      </c>
      <c r="H5394" s="61">
        <v>12</v>
      </c>
      <c r="I5394" s="61">
        <v>44.921120000000002</v>
      </c>
    </row>
    <row r="5395" spans="1:9" s="71" customFormat="1" ht="24" hidden="1" customHeight="1" outlineLevel="1" x14ac:dyDescent="0.25">
      <c r="A5395" s="74">
        <v>6611</v>
      </c>
      <c r="B5395" s="45" t="s">
        <v>664</v>
      </c>
      <c r="C5395" s="60" t="s">
        <v>4974</v>
      </c>
      <c r="D5395" s="60"/>
      <c r="E5395" s="74">
        <v>2023</v>
      </c>
      <c r="F5395" s="74" t="s">
        <v>489</v>
      </c>
      <c r="G5395" s="61">
        <v>1</v>
      </c>
      <c r="H5395" s="61">
        <v>10</v>
      </c>
      <c r="I5395" s="61">
        <v>44.921120000000002</v>
      </c>
    </row>
    <row r="5396" spans="1:9" s="71" customFormat="1" ht="24" hidden="1" customHeight="1" outlineLevel="1" x14ac:dyDescent="0.25">
      <c r="A5396" s="74">
        <v>2656</v>
      </c>
      <c r="B5396" s="45" t="s">
        <v>664</v>
      </c>
      <c r="C5396" s="60" t="s">
        <v>4975</v>
      </c>
      <c r="D5396" s="60"/>
      <c r="E5396" s="74">
        <v>2023</v>
      </c>
      <c r="F5396" s="74" t="s">
        <v>489</v>
      </c>
      <c r="G5396" s="61">
        <v>1</v>
      </c>
      <c r="H5396" s="61">
        <v>15</v>
      </c>
      <c r="I5396" s="61">
        <v>44.921120000000002</v>
      </c>
    </row>
    <row r="5397" spans="1:9" s="71" customFormat="1" ht="24" hidden="1" customHeight="1" outlineLevel="1" x14ac:dyDescent="0.25">
      <c r="A5397" s="74">
        <v>6616</v>
      </c>
      <c r="B5397" s="45" t="s">
        <v>664</v>
      </c>
      <c r="C5397" s="60" t="s">
        <v>4976</v>
      </c>
      <c r="D5397" s="60"/>
      <c r="E5397" s="74">
        <v>2023</v>
      </c>
      <c r="F5397" s="74" t="s">
        <v>489</v>
      </c>
      <c r="G5397" s="61">
        <v>1</v>
      </c>
      <c r="H5397" s="61">
        <v>15</v>
      </c>
      <c r="I5397" s="61">
        <v>44.921120000000002</v>
      </c>
    </row>
    <row r="5398" spans="1:9" s="71" customFormat="1" ht="24" hidden="1" customHeight="1" outlineLevel="1" x14ac:dyDescent="0.25">
      <c r="A5398" s="74">
        <v>6617</v>
      </c>
      <c r="B5398" s="45" t="s">
        <v>664</v>
      </c>
      <c r="C5398" s="60" t="s">
        <v>4977</v>
      </c>
      <c r="D5398" s="60"/>
      <c r="E5398" s="74">
        <v>2023</v>
      </c>
      <c r="F5398" s="74" t="s">
        <v>489</v>
      </c>
      <c r="G5398" s="61">
        <v>1</v>
      </c>
      <c r="H5398" s="61">
        <v>15</v>
      </c>
      <c r="I5398" s="61">
        <v>44.921120000000002</v>
      </c>
    </row>
    <row r="5399" spans="1:9" s="71" customFormat="1" ht="24" hidden="1" customHeight="1" outlineLevel="1" x14ac:dyDescent="0.25">
      <c r="A5399" s="74">
        <v>2677</v>
      </c>
      <c r="B5399" s="45" t="s">
        <v>664</v>
      </c>
      <c r="C5399" s="60" t="s">
        <v>4978</v>
      </c>
      <c r="D5399" s="60"/>
      <c r="E5399" s="74">
        <v>2023</v>
      </c>
      <c r="F5399" s="74" t="s">
        <v>489</v>
      </c>
      <c r="G5399" s="61">
        <v>1</v>
      </c>
      <c r="H5399" s="61">
        <v>15</v>
      </c>
      <c r="I5399" s="61">
        <v>44.921120000000002</v>
      </c>
    </row>
    <row r="5400" spans="1:9" s="71" customFormat="1" ht="24" hidden="1" customHeight="1" outlineLevel="1" x14ac:dyDescent="0.25">
      <c r="A5400" s="74">
        <v>6619</v>
      </c>
      <c r="B5400" s="45" t="s">
        <v>664</v>
      </c>
      <c r="C5400" s="60" t="s">
        <v>4979</v>
      </c>
      <c r="D5400" s="60"/>
      <c r="E5400" s="74">
        <v>2023</v>
      </c>
      <c r="F5400" s="74" t="s">
        <v>489</v>
      </c>
      <c r="G5400" s="61">
        <v>1</v>
      </c>
      <c r="H5400" s="61">
        <v>15</v>
      </c>
      <c r="I5400" s="61">
        <v>44.921120000000002</v>
      </c>
    </row>
    <row r="5401" spans="1:9" s="71" customFormat="1" ht="24" hidden="1" customHeight="1" outlineLevel="1" x14ac:dyDescent="0.25">
      <c r="A5401" s="74">
        <v>6620</v>
      </c>
      <c r="B5401" s="45" t="s">
        <v>664</v>
      </c>
      <c r="C5401" s="60" t="s">
        <v>4980</v>
      </c>
      <c r="D5401" s="60"/>
      <c r="E5401" s="74">
        <v>2023</v>
      </c>
      <c r="F5401" s="74" t="s">
        <v>489</v>
      </c>
      <c r="G5401" s="61">
        <v>1</v>
      </c>
      <c r="H5401" s="61">
        <v>14</v>
      </c>
      <c r="I5401" s="61">
        <v>44.445799999999991</v>
      </c>
    </row>
    <row r="5402" spans="1:9" s="71" customFormat="1" ht="24" hidden="1" customHeight="1" outlineLevel="1" x14ac:dyDescent="0.25">
      <c r="A5402" s="74">
        <v>6630</v>
      </c>
      <c r="B5402" s="45" t="s">
        <v>664</v>
      </c>
      <c r="C5402" s="60" t="s">
        <v>4981</v>
      </c>
      <c r="D5402" s="60"/>
      <c r="E5402" s="74">
        <v>2023</v>
      </c>
      <c r="F5402" s="74" t="s">
        <v>489</v>
      </c>
      <c r="G5402" s="61">
        <v>1</v>
      </c>
      <c r="H5402" s="61">
        <v>15</v>
      </c>
      <c r="I5402" s="61">
        <v>44.445799999999991</v>
      </c>
    </row>
    <row r="5403" spans="1:9" s="71" customFormat="1" ht="24" hidden="1" customHeight="1" outlineLevel="1" x14ac:dyDescent="0.25">
      <c r="A5403" s="74">
        <v>2676</v>
      </c>
      <c r="B5403" s="45" t="s">
        <v>664</v>
      </c>
      <c r="C5403" s="60" t="s">
        <v>4982</v>
      </c>
      <c r="D5403" s="60"/>
      <c r="E5403" s="74">
        <v>2023</v>
      </c>
      <c r="F5403" s="74" t="s">
        <v>489</v>
      </c>
      <c r="G5403" s="61">
        <v>1</v>
      </c>
      <c r="H5403" s="61">
        <v>5</v>
      </c>
      <c r="I5403" s="61">
        <v>44.445799999999991</v>
      </c>
    </row>
    <row r="5404" spans="1:9" s="71" customFormat="1" ht="24" hidden="1" customHeight="1" outlineLevel="1" x14ac:dyDescent="0.25">
      <c r="A5404" s="74">
        <v>6651</v>
      </c>
      <c r="B5404" s="45" t="s">
        <v>664</v>
      </c>
      <c r="C5404" s="60" t="s">
        <v>4983</v>
      </c>
      <c r="D5404" s="60"/>
      <c r="E5404" s="74">
        <v>2023</v>
      </c>
      <c r="F5404" s="74" t="s">
        <v>489</v>
      </c>
      <c r="G5404" s="61">
        <v>1</v>
      </c>
      <c r="H5404" s="61">
        <v>15</v>
      </c>
      <c r="I5404" s="61">
        <v>37.9572</v>
      </c>
    </row>
    <row r="5405" spans="1:9" s="71" customFormat="1" ht="24" hidden="1" customHeight="1" outlineLevel="1" x14ac:dyDescent="0.25">
      <c r="A5405" s="74">
        <v>6652</v>
      </c>
      <c r="B5405" s="45" t="s">
        <v>664</v>
      </c>
      <c r="C5405" s="60" t="s">
        <v>4984</v>
      </c>
      <c r="D5405" s="60"/>
      <c r="E5405" s="74">
        <v>2023</v>
      </c>
      <c r="F5405" s="74" t="s">
        <v>489</v>
      </c>
      <c r="G5405" s="61">
        <v>1</v>
      </c>
      <c r="H5405" s="61">
        <v>10</v>
      </c>
      <c r="I5405" s="61">
        <v>42.678319999999992</v>
      </c>
    </row>
    <row r="5406" spans="1:9" s="71" customFormat="1" ht="24" hidden="1" customHeight="1" outlineLevel="1" x14ac:dyDescent="0.25">
      <c r="A5406" s="74">
        <v>6653</v>
      </c>
      <c r="B5406" s="45" t="s">
        <v>664</v>
      </c>
      <c r="C5406" s="60" t="s">
        <v>4985</v>
      </c>
      <c r="D5406" s="60"/>
      <c r="E5406" s="74">
        <v>2023</v>
      </c>
      <c r="F5406" s="74" t="s">
        <v>489</v>
      </c>
      <c r="G5406" s="61">
        <v>1</v>
      </c>
      <c r="H5406" s="61">
        <v>15</v>
      </c>
      <c r="I5406" s="61">
        <v>38.63165</v>
      </c>
    </row>
    <row r="5407" spans="1:9" s="71" customFormat="1" ht="24" hidden="1" customHeight="1" outlineLevel="1" x14ac:dyDescent="0.25">
      <c r="A5407" s="74">
        <v>2635</v>
      </c>
      <c r="B5407" s="45" t="s">
        <v>664</v>
      </c>
      <c r="C5407" s="60" t="s">
        <v>4986</v>
      </c>
      <c r="D5407" s="60"/>
      <c r="E5407" s="74">
        <v>2023</v>
      </c>
      <c r="F5407" s="74" t="s">
        <v>489</v>
      </c>
      <c r="G5407" s="61">
        <v>1</v>
      </c>
      <c r="H5407" s="61">
        <v>15</v>
      </c>
      <c r="I5407" s="61">
        <v>37.282739999999997</v>
      </c>
    </row>
    <row r="5408" spans="1:9" s="71" customFormat="1" ht="24" hidden="1" customHeight="1" outlineLevel="1" x14ac:dyDescent="0.25">
      <c r="A5408" s="74">
        <v>2636</v>
      </c>
      <c r="B5408" s="45" t="s">
        <v>664</v>
      </c>
      <c r="C5408" s="60" t="s">
        <v>4987</v>
      </c>
      <c r="D5408" s="60"/>
      <c r="E5408" s="74">
        <v>2023</v>
      </c>
      <c r="F5408" s="74" t="s">
        <v>489</v>
      </c>
      <c r="G5408" s="61">
        <v>1</v>
      </c>
      <c r="H5408" s="61">
        <v>12.9</v>
      </c>
      <c r="I5408" s="61">
        <v>38.631630000000001</v>
      </c>
    </row>
    <row r="5409" spans="1:9" s="71" customFormat="1" ht="24" hidden="1" customHeight="1" outlineLevel="1" x14ac:dyDescent="0.25">
      <c r="A5409" s="74">
        <v>2617</v>
      </c>
      <c r="B5409" s="45" t="s">
        <v>664</v>
      </c>
      <c r="C5409" s="60" t="s">
        <v>4988</v>
      </c>
      <c r="D5409" s="60"/>
      <c r="E5409" s="74">
        <v>2023</v>
      </c>
      <c r="F5409" s="74" t="s">
        <v>489</v>
      </c>
      <c r="G5409" s="61">
        <v>1</v>
      </c>
      <c r="H5409" s="61">
        <v>10</v>
      </c>
      <c r="I5409" s="61">
        <v>37.9572</v>
      </c>
    </row>
    <row r="5410" spans="1:9" s="71" customFormat="1" ht="24" hidden="1" customHeight="1" outlineLevel="1" x14ac:dyDescent="0.25">
      <c r="A5410" s="74">
        <v>2660</v>
      </c>
      <c r="B5410" s="45" t="s">
        <v>664</v>
      </c>
      <c r="C5410" s="60" t="s">
        <v>4989</v>
      </c>
      <c r="D5410" s="60"/>
      <c r="E5410" s="74">
        <v>2023</v>
      </c>
      <c r="F5410" s="74" t="s">
        <v>489</v>
      </c>
      <c r="G5410" s="61">
        <v>1</v>
      </c>
      <c r="H5410" s="61">
        <v>15</v>
      </c>
      <c r="I5410" s="61">
        <v>39.306099999999994</v>
      </c>
    </row>
    <row r="5411" spans="1:9" s="71" customFormat="1" ht="24" hidden="1" customHeight="1" outlineLevel="1" x14ac:dyDescent="0.25">
      <c r="A5411" s="74">
        <v>6654</v>
      </c>
      <c r="B5411" s="45" t="s">
        <v>664</v>
      </c>
      <c r="C5411" s="60" t="s">
        <v>4990</v>
      </c>
      <c r="D5411" s="60"/>
      <c r="E5411" s="74">
        <v>2023</v>
      </c>
      <c r="F5411" s="74" t="s">
        <v>489</v>
      </c>
      <c r="G5411" s="61">
        <v>1</v>
      </c>
      <c r="H5411" s="61">
        <v>10</v>
      </c>
      <c r="I5411" s="61">
        <v>37.9572</v>
      </c>
    </row>
    <row r="5412" spans="1:9" s="71" customFormat="1" ht="24" hidden="1" customHeight="1" outlineLevel="1" x14ac:dyDescent="0.25">
      <c r="A5412" s="74">
        <v>6655</v>
      </c>
      <c r="B5412" s="45" t="s">
        <v>664</v>
      </c>
      <c r="C5412" s="60" t="s">
        <v>4991</v>
      </c>
      <c r="D5412" s="60"/>
      <c r="E5412" s="74">
        <v>2023</v>
      </c>
      <c r="F5412" s="74" t="s">
        <v>489</v>
      </c>
      <c r="G5412" s="61">
        <v>1</v>
      </c>
      <c r="H5412" s="61">
        <v>10</v>
      </c>
      <c r="I5412" s="61">
        <v>37.282729999999994</v>
      </c>
    </row>
    <row r="5413" spans="1:9" s="71" customFormat="1" ht="24" hidden="1" customHeight="1" outlineLevel="1" x14ac:dyDescent="0.25">
      <c r="A5413" s="74">
        <v>6656</v>
      </c>
      <c r="B5413" s="45" t="s">
        <v>664</v>
      </c>
      <c r="C5413" s="60" t="s">
        <v>4992</v>
      </c>
      <c r="D5413" s="60"/>
      <c r="E5413" s="74">
        <v>2023</v>
      </c>
      <c r="F5413" s="74" t="s">
        <v>489</v>
      </c>
      <c r="G5413" s="61">
        <v>1</v>
      </c>
      <c r="H5413" s="61">
        <v>10</v>
      </c>
      <c r="I5413" s="61">
        <v>37.282739999999997</v>
      </c>
    </row>
    <row r="5414" spans="1:9" s="71" customFormat="1" ht="24" hidden="1" customHeight="1" outlineLevel="1" x14ac:dyDescent="0.25">
      <c r="A5414" s="74">
        <v>6657</v>
      </c>
      <c r="B5414" s="45" t="s">
        <v>664</v>
      </c>
      <c r="C5414" s="60" t="s">
        <v>4993</v>
      </c>
      <c r="D5414" s="60"/>
      <c r="E5414" s="74">
        <v>2023</v>
      </c>
      <c r="F5414" s="74" t="s">
        <v>489</v>
      </c>
      <c r="G5414" s="61">
        <v>1</v>
      </c>
      <c r="H5414" s="61">
        <v>50</v>
      </c>
      <c r="I5414" s="61">
        <v>40.654959999999996</v>
      </c>
    </row>
    <row r="5415" spans="1:9" s="71" customFormat="1" ht="24" hidden="1" customHeight="1" outlineLevel="1" x14ac:dyDescent="0.25">
      <c r="A5415" s="74">
        <v>6658</v>
      </c>
      <c r="B5415" s="45" t="s">
        <v>664</v>
      </c>
      <c r="C5415" s="60" t="s">
        <v>4994</v>
      </c>
      <c r="D5415" s="60"/>
      <c r="E5415" s="74">
        <v>2023</v>
      </c>
      <c r="F5415" s="74" t="s">
        <v>489</v>
      </c>
      <c r="G5415" s="61">
        <v>1</v>
      </c>
      <c r="H5415" s="61">
        <v>15</v>
      </c>
      <c r="I5415" s="61">
        <v>37.9572</v>
      </c>
    </row>
    <row r="5416" spans="1:9" s="71" customFormat="1" ht="24" hidden="1" customHeight="1" outlineLevel="1" x14ac:dyDescent="0.25">
      <c r="A5416" s="74">
        <v>6203</v>
      </c>
      <c r="B5416" s="45" t="s">
        <v>664</v>
      </c>
      <c r="C5416" s="60" t="s">
        <v>4995</v>
      </c>
      <c r="D5416" s="60"/>
      <c r="E5416" s="74">
        <v>2023</v>
      </c>
      <c r="F5416" s="74" t="s">
        <v>489</v>
      </c>
      <c r="G5416" s="61">
        <v>1</v>
      </c>
      <c r="H5416" s="61">
        <v>15</v>
      </c>
      <c r="I5416" s="61">
        <v>17.884</v>
      </c>
    </row>
    <row r="5417" spans="1:9" s="71" customFormat="1" ht="24" hidden="1" customHeight="1" outlineLevel="1" x14ac:dyDescent="0.25">
      <c r="A5417" s="74">
        <v>3494</v>
      </c>
      <c r="B5417" s="45" t="s">
        <v>664</v>
      </c>
      <c r="C5417" s="60" t="s">
        <v>4996</v>
      </c>
      <c r="D5417" s="60"/>
      <c r="E5417" s="74">
        <v>2023</v>
      </c>
      <c r="F5417" s="74" t="s">
        <v>489</v>
      </c>
      <c r="G5417" s="61">
        <v>1</v>
      </c>
      <c r="H5417" s="61">
        <v>15</v>
      </c>
      <c r="I5417" s="61">
        <v>11.2096</v>
      </c>
    </row>
    <row r="5418" spans="1:9" s="71" customFormat="1" ht="24" hidden="1" customHeight="1" outlineLevel="1" x14ac:dyDescent="0.25">
      <c r="A5418" s="74">
        <v>6638</v>
      </c>
      <c r="B5418" s="45" t="s">
        <v>664</v>
      </c>
      <c r="C5418" s="60" t="s">
        <v>4997</v>
      </c>
      <c r="D5418" s="60"/>
      <c r="E5418" s="74">
        <v>2023</v>
      </c>
      <c r="F5418" s="74" t="s">
        <v>489</v>
      </c>
      <c r="G5418" s="61">
        <v>1</v>
      </c>
      <c r="H5418" s="61">
        <v>10</v>
      </c>
      <c r="I5418" s="61">
        <v>36.295000000000002</v>
      </c>
    </row>
    <row r="5419" spans="1:9" s="71" customFormat="1" ht="24" hidden="1" customHeight="1" outlineLevel="1" x14ac:dyDescent="0.25">
      <c r="A5419" s="74">
        <v>6639</v>
      </c>
      <c r="B5419" s="45" t="s">
        <v>664</v>
      </c>
      <c r="C5419" s="60" t="s">
        <v>4998</v>
      </c>
      <c r="D5419" s="60"/>
      <c r="E5419" s="74">
        <v>2023</v>
      </c>
      <c r="F5419" s="74" t="s">
        <v>489</v>
      </c>
      <c r="G5419" s="61">
        <v>1</v>
      </c>
      <c r="H5419" s="61">
        <v>5</v>
      </c>
      <c r="I5419" s="61">
        <v>4.7</v>
      </c>
    </row>
    <row r="5420" spans="1:9" s="71" customFormat="1" ht="24" hidden="1" customHeight="1" outlineLevel="1" x14ac:dyDescent="0.25">
      <c r="A5420" s="74">
        <v>6640</v>
      </c>
      <c r="B5420" s="45" t="s">
        <v>664</v>
      </c>
      <c r="C5420" s="60" t="s">
        <v>4999</v>
      </c>
      <c r="D5420" s="60"/>
      <c r="E5420" s="74">
        <v>2023</v>
      </c>
      <c r="F5420" s="74" t="s">
        <v>489</v>
      </c>
      <c r="G5420" s="61">
        <v>1</v>
      </c>
      <c r="H5420" s="61">
        <v>15</v>
      </c>
      <c r="I5420" s="61">
        <v>40.436800000000005</v>
      </c>
    </row>
    <row r="5421" spans="1:9" s="71" customFormat="1" ht="24" hidden="1" customHeight="1" outlineLevel="1" x14ac:dyDescent="0.25">
      <c r="A5421" s="74">
        <v>6641</v>
      </c>
      <c r="B5421" s="45" t="s">
        <v>664</v>
      </c>
      <c r="C5421" s="60" t="s">
        <v>5000</v>
      </c>
      <c r="D5421" s="60"/>
      <c r="E5421" s="74">
        <v>2023</v>
      </c>
      <c r="F5421" s="74" t="s">
        <v>489</v>
      </c>
      <c r="G5421" s="61">
        <v>1</v>
      </c>
      <c r="H5421" s="61">
        <v>14</v>
      </c>
      <c r="I5421" s="61">
        <v>46.439</v>
      </c>
    </row>
    <row r="5422" spans="1:9" s="71" customFormat="1" ht="24" hidden="1" customHeight="1" outlineLevel="1" x14ac:dyDescent="0.25">
      <c r="A5422" s="74">
        <v>6642</v>
      </c>
      <c r="B5422" s="45" t="s">
        <v>664</v>
      </c>
      <c r="C5422" s="60" t="s">
        <v>5001</v>
      </c>
      <c r="D5422" s="60"/>
      <c r="E5422" s="74">
        <v>2023</v>
      </c>
      <c r="F5422" s="74" t="s">
        <v>489</v>
      </c>
      <c r="G5422" s="61">
        <v>1</v>
      </c>
      <c r="H5422" s="61">
        <v>15</v>
      </c>
      <c r="I5422" s="61">
        <v>40.484000000000002</v>
      </c>
    </row>
    <row r="5423" spans="1:9" s="71" customFormat="1" ht="24" hidden="1" customHeight="1" outlineLevel="1" x14ac:dyDescent="0.25">
      <c r="A5423" s="74">
        <v>6643</v>
      </c>
      <c r="B5423" s="45" t="s">
        <v>664</v>
      </c>
      <c r="C5423" s="60" t="s">
        <v>5002</v>
      </c>
      <c r="D5423" s="60"/>
      <c r="E5423" s="74">
        <v>2023</v>
      </c>
      <c r="F5423" s="74" t="s">
        <v>489</v>
      </c>
      <c r="G5423" s="61">
        <v>1</v>
      </c>
      <c r="H5423" s="61">
        <v>15</v>
      </c>
      <c r="I5423" s="61">
        <v>40.48395</v>
      </c>
    </row>
    <row r="5424" spans="1:9" s="71" customFormat="1" ht="24" hidden="1" customHeight="1" outlineLevel="1" x14ac:dyDescent="0.25">
      <c r="A5424" s="74">
        <v>6647</v>
      </c>
      <c r="B5424" s="45" t="s">
        <v>664</v>
      </c>
      <c r="C5424" s="60" t="s">
        <v>5003</v>
      </c>
      <c r="D5424" s="60"/>
      <c r="E5424" s="74">
        <v>2023</v>
      </c>
      <c r="F5424" s="74" t="s">
        <v>489</v>
      </c>
      <c r="G5424" s="61">
        <v>1</v>
      </c>
      <c r="H5424" s="61">
        <v>8.8000000000000007</v>
      </c>
      <c r="I5424" s="61">
        <v>40.994</v>
      </c>
    </row>
    <row r="5425" spans="1:9" s="71" customFormat="1" ht="24" hidden="1" customHeight="1" outlineLevel="1" x14ac:dyDescent="0.25">
      <c r="A5425" s="74">
        <v>6648</v>
      </c>
      <c r="B5425" s="45" t="s">
        <v>664</v>
      </c>
      <c r="C5425" s="60" t="s">
        <v>5004</v>
      </c>
      <c r="D5425" s="60"/>
      <c r="E5425" s="74">
        <v>2023</v>
      </c>
      <c r="F5425" s="74" t="s">
        <v>489</v>
      </c>
      <c r="G5425" s="61">
        <v>1</v>
      </c>
      <c r="H5425" s="61">
        <v>15</v>
      </c>
      <c r="I5425" s="61">
        <v>40.838999999999999</v>
      </c>
    </row>
    <row r="5426" spans="1:9" s="71" customFormat="1" ht="24" hidden="1" customHeight="1" outlineLevel="1" x14ac:dyDescent="0.25">
      <c r="A5426" s="74">
        <v>6649</v>
      </c>
      <c r="B5426" s="45" t="s">
        <v>664</v>
      </c>
      <c r="C5426" s="60" t="s">
        <v>5005</v>
      </c>
      <c r="D5426" s="60"/>
      <c r="E5426" s="74">
        <v>2023</v>
      </c>
      <c r="F5426" s="74" t="s">
        <v>489</v>
      </c>
      <c r="G5426" s="61">
        <v>1</v>
      </c>
      <c r="H5426" s="61">
        <v>14.5</v>
      </c>
      <c r="I5426" s="61">
        <v>42.361000000000004</v>
      </c>
    </row>
    <row r="5427" spans="1:9" s="71" customFormat="1" ht="24" hidden="1" customHeight="1" outlineLevel="1" x14ac:dyDescent="0.25">
      <c r="A5427" s="74">
        <v>6650</v>
      </c>
      <c r="B5427" s="45" t="s">
        <v>664</v>
      </c>
      <c r="C5427" s="60" t="s">
        <v>5006</v>
      </c>
      <c r="D5427" s="60"/>
      <c r="E5427" s="74">
        <v>2023</v>
      </c>
      <c r="F5427" s="74" t="s">
        <v>489</v>
      </c>
      <c r="G5427" s="61">
        <v>1</v>
      </c>
      <c r="H5427" s="61">
        <v>15</v>
      </c>
      <c r="I5427" s="61">
        <v>43.516979999999997</v>
      </c>
    </row>
    <row r="5428" spans="1:9" s="71" customFormat="1" ht="24" hidden="1" customHeight="1" outlineLevel="1" x14ac:dyDescent="0.25">
      <c r="A5428" s="74">
        <v>6677</v>
      </c>
      <c r="B5428" s="45" t="s">
        <v>664</v>
      </c>
      <c r="C5428" s="60" t="s">
        <v>5007</v>
      </c>
      <c r="D5428" s="60"/>
      <c r="E5428" s="74">
        <v>2023</v>
      </c>
      <c r="F5428" s="74" t="s">
        <v>489</v>
      </c>
      <c r="G5428" s="61">
        <v>1</v>
      </c>
      <c r="H5428" s="61">
        <v>15</v>
      </c>
      <c r="I5428" s="61">
        <v>46.599799999999995</v>
      </c>
    </row>
    <row r="5429" spans="1:9" s="71" customFormat="1" ht="24" hidden="1" customHeight="1" outlineLevel="1" x14ac:dyDescent="0.25">
      <c r="A5429" s="74">
        <v>6680</v>
      </c>
      <c r="B5429" s="45" t="s">
        <v>664</v>
      </c>
      <c r="C5429" s="60" t="s">
        <v>5008</v>
      </c>
      <c r="D5429" s="60"/>
      <c r="E5429" s="74">
        <v>2023</v>
      </c>
      <c r="F5429" s="74" t="s">
        <v>489</v>
      </c>
      <c r="G5429" s="61">
        <v>1</v>
      </c>
      <c r="H5429" s="61">
        <v>15</v>
      </c>
      <c r="I5429" s="61">
        <v>46.718000000000004</v>
      </c>
    </row>
    <row r="5430" spans="1:9" s="71" customFormat="1" ht="24" hidden="1" customHeight="1" outlineLevel="1" x14ac:dyDescent="0.25">
      <c r="A5430" s="74">
        <v>2711</v>
      </c>
      <c r="B5430" s="45" t="s">
        <v>664</v>
      </c>
      <c r="C5430" s="60" t="s">
        <v>5009</v>
      </c>
      <c r="D5430" s="60"/>
      <c r="E5430" s="74">
        <v>2023</v>
      </c>
      <c r="F5430" s="74" t="s">
        <v>489</v>
      </c>
      <c r="G5430" s="61">
        <v>1</v>
      </c>
      <c r="H5430" s="61">
        <v>5</v>
      </c>
      <c r="I5430" s="61">
        <v>46.599799999999995</v>
      </c>
    </row>
    <row r="5431" spans="1:9" s="71" customFormat="1" ht="24" hidden="1" customHeight="1" outlineLevel="1" x14ac:dyDescent="0.25">
      <c r="A5431" s="74">
        <v>6681</v>
      </c>
      <c r="B5431" s="45" t="s">
        <v>664</v>
      </c>
      <c r="C5431" s="60" t="s">
        <v>5010</v>
      </c>
      <c r="D5431" s="60"/>
      <c r="E5431" s="74">
        <v>2023</v>
      </c>
      <c r="F5431" s="74" t="s">
        <v>489</v>
      </c>
      <c r="G5431" s="61">
        <v>1</v>
      </c>
      <c r="H5431" s="61">
        <v>15</v>
      </c>
      <c r="I5431" s="61">
        <v>46.599799999999995</v>
      </c>
    </row>
    <row r="5432" spans="1:9" s="71" customFormat="1" ht="24" hidden="1" customHeight="1" outlineLevel="1" x14ac:dyDescent="0.25">
      <c r="A5432" s="74">
        <v>2726</v>
      </c>
      <c r="B5432" s="45" t="s">
        <v>664</v>
      </c>
      <c r="C5432" s="60" t="s">
        <v>5011</v>
      </c>
      <c r="D5432" s="60"/>
      <c r="E5432" s="74">
        <v>2023</v>
      </c>
      <c r="F5432" s="74" t="s">
        <v>489</v>
      </c>
      <c r="G5432" s="61">
        <v>1</v>
      </c>
      <c r="H5432" s="61">
        <v>5</v>
      </c>
      <c r="I5432" s="61">
        <v>46.718000000000004</v>
      </c>
    </row>
    <row r="5433" spans="1:9" s="71" customFormat="1" ht="24" hidden="1" customHeight="1" outlineLevel="1" x14ac:dyDescent="0.25">
      <c r="A5433" s="74">
        <v>6684</v>
      </c>
      <c r="B5433" s="45" t="s">
        <v>664</v>
      </c>
      <c r="C5433" s="60" t="s">
        <v>5012</v>
      </c>
      <c r="D5433" s="60"/>
      <c r="E5433" s="74">
        <v>2023</v>
      </c>
      <c r="F5433" s="74" t="s">
        <v>489</v>
      </c>
      <c r="G5433" s="61">
        <v>1</v>
      </c>
      <c r="H5433" s="61">
        <v>15</v>
      </c>
      <c r="I5433" s="61">
        <v>44.564</v>
      </c>
    </row>
    <row r="5434" spans="1:9" s="71" customFormat="1" ht="24" hidden="1" customHeight="1" outlineLevel="1" x14ac:dyDescent="0.25">
      <c r="A5434" s="74">
        <v>6685</v>
      </c>
      <c r="B5434" s="45" t="s">
        <v>664</v>
      </c>
      <c r="C5434" s="60" t="s">
        <v>5013</v>
      </c>
      <c r="D5434" s="60"/>
      <c r="E5434" s="74">
        <v>2023</v>
      </c>
      <c r="F5434" s="74" t="s">
        <v>489</v>
      </c>
      <c r="G5434" s="61">
        <v>1</v>
      </c>
      <c r="H5434" s="61">
        <v>10</v>
      </c>
      <c r="I5434" s="61">
        <v>44.564150000000005</v>
      </c>
    </row>
    <row r="5435" spans="1:9" s="71" customFormat="1" ht="24" hidden="1" customHeight="1" outlineLevel="1" x14ac:dyDescent="0.25">
      <c r="A5435" s="74">
        <v>6690</v>
      </c>
      <c r="B5435" s="45" t="s">
        <v>664</v>
      </c>
      <c r="C5435" s="60" t="s">
        <v>5014</v>
      </c>
      <c r="D5435" s="60"/>
      <c r="E5435" s="74">
        <v>2023</v>
      </c>
      <c r="F5435" s="74" t="s">
        <v>489</v>
      </c>
      <c r="G5435" s="61">
        <v>1</v>
      </c>
      <c r="H5435" s="61">
        <v>15</v>
      </c>
      <c r="I5435" s="61">
        <v>44.451269999999994</v>
      </c>
    </row>
    <row r="5436" spans="1:9" s="71" customFormat="1" ht="24" hidden="1" customHeight="1" outlineLevel="1" x14ac:dyDescent="0.25">
      <c r="A5436" s="74">
        <v>6706</v>
      </c>
      <c r="B5436" s="45" t="s">
        <v>664</v>
      </c>
      <c r="C5436" s="60" t="s">
        <v>5015</v>
      </c>
      <c r="D5436" s="60"/>
      <c r="E5436" s="74">
        <v>2023</v>
      </c>
      <c r="F5436" s="74" t="s">
        <v>489</v>
      </c>
      <c r="G5436" s="61">
        <v>1</v>
      </c>
      <c r="H5436" s="61">
        <v>10</v>
      </c>
      <c r="I5436" s="61">
        <v>40.083239999999996</v>
      </c>
    </row>
    <row r="5437" spans="1:9" s="71" customFormat="1" ht="24" hidden="1" customHeight="1" outlineLevel="1" x14ac:dyDescent="0.25">
      <c r="A5437" s="74">
        <v>6707</v>
      </c>
      <c r="B5437" s="45" t="s">
        <v>664</v>
      </c>
      <c r="C5437" s="60" t="s">
        <v>5016</v>
      </c>
      <c r="D5437" s="60"/>
      <c r="E5437" s="74">
        <v>2023</v>
      </c>
      <c r="F5437" s="74" t="s">
        <v>489</v>
      </c>
      <c r="G5437" s="61">
        <v>1</v>
      </c>
      <c r="H5437" s="61">
        <v>10</v>
      </c>
      <c r="I5437" s="61">
        <v>39.345179999999999</v>
      </c>
    </row>
    <row r="5438" spans="1:9" s="71" customFormat="1" ht="24" hidden="1" customHeight="1" outlineLevel="1" x14ac:dyDescent="0.25">
      <c r="A5438" s="74">
        <v>2693</v>
      </c>
      <c r="B5438" s="45" t="s">
        <v>664</v>
      </c>
      <c r="C5438" s="60" t="s">
        <v>5017</v>
      </c>
      <c r="D5438" s="60"/>
      <c r="E5438" s="74">
        <v>2023</v>
      </c>
      <c r="F5438" s="74" t="s">
        <v>489</v>
      </c>
      <c r="G5438" s="61">
        <v>1</v>
      </c>
      <c r="H5438" s="61">
        <v>5</v>
      </c>
      <c r="I5438" s="61">
        <v>39.345179999999999</v>
      </c>
    </row>
    <row r="5439" spans="1:9" s="71" customFormat="1" ht="24" hidden="1" customHeight="1" outlineLevel="1" x14ac:dyDescent="0.25">
      <c r="A5439" s="74">
        <v>6708</v>
      </c>
      <c r="B5439" s="45" t="s">
        <v>664</v>
      </c>
      <c r="C5439" s="60" t="s">
        <v>5018</v>
      </c>
      <c r="D5439" s="60"/>
      <c r="E5439" s="74">
        <v>2023</v>
      </c>
      <c r="F5439" s="74" t="s">
        <v>489</v>
      </c>
      <c r="G5439" s="61">
        <v>1</v>
      </c>
      <c r="H5439" s="61">
        <v>14</v>
      </c>
      <c r="I5439" s="61">
        <v>40.82141</v>
      </c>
    </row>
    <row r="5440" spans="1:9" s="71" customFormat="1" ht="24" hidden="1" customHeight="1" outlineLevel="1" x14ac:dyDescent="0.25">
      <c r="A5440" s="74">
        <v>2576</v>
      </c>
      <c r="B5440" s="45" t="s">
        <v>664</v>
      </c>
      <c r="C5440" s="60" t="s">
        <v>5019</v>
      </c>
      <c r="D5440" s="60"/>
      <c r="E5440" s="74">
        <v>2023</v>
      </c>
      <c r="F5440" s="74" t="s">
        <v>489</v>
      </c>
      <c r="G5440" s="61">
        <v>1</v>
      </c>
      <c r="H5440" s="61">
        <v>6</v>
      </c>
      <c r="I5440" s="61">
        <v>39.492739999999998</v>
      </c>
    </row>
    <row r="5441" spans="1:9" s="71" customFormat="1" ht="24" hidden="1" customHeight="1" outlineLevel="1" x14ac:dyDescent="0.25">
      <c r="A5441" s="74">
        <v>2695</v>
      </c>
      <c r="B5441" s="45" t="s">
        <v>664</v>
      </c>
      <c r="C5441" s="60" t="s">
        <v>5020</v>
      </c>
      <c r="D5441" s="60"/>
      <c r="E5441" s="74">
        <v>2023</v>
      </c>
      <c r="F5441" s="74" t="s">
        <v>489</v>
      </c>
      <c r="G5441" s="61">
        <v>1</v>
      </c>
      <c r="H5441" s="61">
        <v>1</v>
      </c>
      <c r="I5441" s="61">
        <v>38.606999999999999</v>
      </c>
    </row>
    <row r="5442" spans="1:9" s="71" customFormat="1" ht="24" hidden="1" customHeight="1" outlineLevel="1" x14ac:dyDescent="0.25">
      <c r="A5442" s="74">
        <v>2697</v>
      </c>
      <c r="B5442" s="45" t="s">
        <v>664</v>
      </c>
      <c r="C5442" s="60" t="s">
        <v>5021</v>
      </c>
      <c r="D5442" s="60"/>
      <c r="E5442" s="74">
        <v>2023</v>
      </c>
      <c r="F5442" s="74" t="s">
        <v>489</v>
      </c>
      <c r="G5442" s="61">
        <v>1</v>
      </c>
      <c r="H5442" s="61">
        <v>3</v>
      </c>
      <c r="I5442" s="61">
        <v>40.821419999999996</v>
      </c>
    </row>
    <row r="5443" spans="1:9" s="71" customFormat="1" ht="24" hidden="1" customHeight="1" outlineLevel="1" x14ac:dyDescent="0.25">
      <c r="A5443" s="74">
        <v>6709</v>
      </c>
      <c r="B5443" s="45" t="s">
        <v>664</v>
      </c>
      <c r="C5443" s="60" t="s">
        <v>5022</v>
      </c>
      <c r="D5443" s="60"/>
      <c r="E5443" s="74">
        <v>2023</v>
      </c>
      <c r="F5443" s="74" t="s">
        <v>489</v>
      </c>
      <c r="G5443" s="61">
        <v>1</v>
      </c>
      <c r="H5443" s="61">
        <v>10</v>
      </c>
      <c r="I5443" s="61">
        <v>40.82141</v>
      </c>
    </row>
    <row r="5444" spans="1:9" s="71" customFormat="1" ht="24" hidden="1" customHeight="1" outlineLevel="1" x14ac:dyDescent="0.25">
      <c r="A5444" s="74">
        <v>6710</v>
      </c>
      <c r="B5444" s="45" t="s">
        <v>664</v>
      </c>
      <c r="C5444" s="60" t="s">
        <v>5023</v>
      </c>
      <c r="D5444" s="60"/>
      <c r="E5444" s="74">
        <v>2023</v>
      </c>
      <c r="F5444" s="74" t="s">
        <v>489</v>
      </c>
      <c r="G5444" s="61">
        <v>1</v>
      </c>
      <c r="H5444" s="61">
        <v>10</v>
      </c>
      <c r="I5444" s="61">
        <v>39.049950000000003</v>
      </c>
    </row>
    <row r="5445" spans="1:9" s="71" customFormat="1" ht="24" hidden="1" customHeight="1" outlineLevel="1" x14ac:dyDescent="0.25">
      <c r="A5445" s="74">
        <v>909</v>
      </c>
      <c r="B5445" s="45" t="s">
        <v>664</v>
      </c>
      <c r="C5445" s="60" t="s">
        <v>5024</v>
      </c>
      <c r="D5445" s="60"/>
      <c r="E5445" s="74">
        <v>2023</v>
      </c>
      <c r="F5445" s="74" t="s">
        <v>489</v>
      </c>
      <c r="G5445" s="61">
        <v>1</v>
      </c>
      <c r="H5445" s="61">
        <v>15</v>
      </c>
      <c r="I5445" s="61">
        <v>38.607040000000005</v>
      </c>
    </row>
    <row r="5446" spans="1:9" s="71" customFormat="1" ht="24" hidden="1" customHeight="1" outlineLevel="1" x14ac:dyDescent="0.25">
      <c r="A5446" s="74">
        <v>6693</v>
      </c>
      <c r="B5446" s="45" t="s">
        <v>664</v>
      </c>
      <c r="C5446" s="60" t="s">
        <v>5025</v>
      </c>
      <c r="D5446" s="60"/>
      <c r="E5446" s="74">
        <v>2023</v>
      </c>
      <c r="F5446" s="74" t="s">
        <v>489</v>
      </c>
      <c r="G5446" s="61">
        <v>1</v>
      </c>
      <c r="H5446" s="61">
        <v>15</v>
      </c>
      <c r="I5446" s="61">
        <v>39.018000000000001</v>
      </c>
    </row>
    <row r="5447" spans="1:9" s="71" customFormat="1" ht="24" hidden="1" customHeight="1" outlineLevel="1" x14ac:dyDescent="0.25">
      <c r="A5447" s="74">
        <v>2530</v>
      </c>
      <c r="B5447" s="45" t="s">
        <v>664</v>
      </c>
      <c r="C5447" s="60" t="s">
        <v>5026</v>
      </c>
      <c r="D5447" s="60"/>
      <c r="E5447" s="74">
        <v>2023</v>
      </c>
      <c r="F5447" s="74" t="s">
        <v>489</v>
      </c>
      <c r="G5447" s="61">
        <v>1</v>
      </c>
      <c r="H5447" s="61">
        <v>10</v>
      </c>
      <c r="I5447" s="61">
        <v>40.988249999999987</v>
      </c>
    </row>
    <row r="5448" spans="1:9" s="71" customFormat="1" ht="24" hidden="1" customHeight="1" outlineLevel="1" x14ac:dyDescent="0.25">
      <c r="A5448" s="74">
        <v>6697</v>
      </c>
      <c r="B5448" s="45" t="s">
        <v>664</v>
      </c>
      <c r="C5448" s="60" t="s">
        <v>5027</v>
      </c>
      <c r="D5448" s="60"/>
      <c r="E5448" s="74">
        <v>2023</v>
      </c>
      <c r="F5448" s="74" t="s">
        <v>489</v>
      </c>
      <c r="G5448" s="61">
        <v>1</v>
      </c>
      <c r="H5448" s="61">
        <v>15</v>
      </c>
      <c r="I5448" s="61">
        <v>40.865169999999999</v>
      </c>
    </row>
    <row r="5449" spans="1:9" s="71" customFormat="1" ht="24" hidden="1" customHeight="1" outlineLevel="1" x14ac:dyDescent="0.25">
      <c r="A5449" s="74">
        <v>6698</v>
      </c>
      <c r="B5449" s="45" t="s">
        <v>664</v>
      </c>
      <c r="C5449" s="60" t="s">
        <v>5028</v>
      </c>
      <c r="D5449" s="60"/>
      <c r="E5449" s="74">
        <v>2023</v>
      </c>
      <c r="F5449" s="74" t="s">
        <v>489</v>
      </c>
      <c r="G5449" s="61">
        <v>1</v>
      </c>
      <c r="H5449" s="61">
        <v>15</v>
      </c>
      <c r="I5449" s="61">
        <v>40.684980000000003</v>
      </c>
    </row>
    <row r="5450" spans="1:9" s="71" customFormat="1" ht="24" hidden="1" customHeight="1" outlineLevel="1" x14ac:dyDescent="0.25">
      <c r="A5450" s="74">
        <v>6699</v>
      </c>
      <c r="B5450" s="45" t="s">
        <v>664</v>
      </c>
      <c r="C5450" s="60" t="s">
        <v>5029</v>
      </c>
      <c r="D5450" s="60"/>
      <c r="E5450" s="74">
        <v>2023</v>
      </c>
      <c r="F5450" s="74" t="s">
        <v>489</v>
      </c>
      <c r="G5450" s="61">
        <v>1</v>
      </c>
      <c r="H5450" s="61">
        <v>15</v>
      </c>
      <c r="I5450" s="61">
        <v>44.326630000000002</v>
      </c>
    </row>
    <row r="5451" spans="1:9" s="71" customFormat="1" ht="24" hidden="1" customHeight="1" outlineLevel="1" x14ac:dyDescent="0.25">
      <c r="A5451" s="74">
        <v>2718</v>
      </c>
      <c r="B5451" s="45" t="s">
        <v>664</v>
      </c>
      <c r="C5451" s="60" t="s">
        <v>5030</v>
      </c>
      <c r="D5451" s="60"/>
      <c r="E5451" s="74">
        <v>2023</v>
      </c>
      <c r="F5451" s="74" t="s">
        <v>489</v>
      </c>
      <c r="G5451" s="61">
        <v>1</v>
      </c>
      <c r="H5451" s="61">
        <v>6</v>
      </c>
      <c r="I5451" s="61">
        <v>41.642660000000006</v>
      </c>
    </row>
    <row r="5452" spans="1:9" s="71" customFormat="1" ht="24" hidden="1" customHeight="1" outlineLevel="1" x14ac:dyDescent="0.25">
      <c r="A5452" s="74">
        <v>6700</v>
      </c>
      <c r="B5452" s="45" t="s">
        <v>664</v>
      </c>
      <c r="C5452" s="60" t="s">
        <v>5031</v>
      </c>
      <c r="D5452" s="60"/>
      <c r="E5452" s="74">
        <v>2023</v>
      </c>
      <c r="F5452" s="74" t="s">
        <v>489</v>
      </c>
      <c r="G5452" s="61">
        <v>1</v>
      </c>
      <c r="H5452" s="61">
        <v>15</v>
      </c>
      <c r="I5452" s="61">
        <v>42.318010000000001</v>
      </c>
    </row>
    <row r="5453" spans="1:9" s="71" customFormat="1" ht="24" hidden="1" customHeight="1" outlineLevel="1" x14ac:dyDescent="0.25">
      <c r="A5453" s="74">
        <v>6702</v>
      </c>
      <c r="B5453" s="45" t="s">
        <v>664</v>
      </c>
      <c r="C5453" s="60" t="s">
        <v>5032</v>
      </c>
      <c r="D5453" s="60"/>
      <c r="E5453" s="74">
        <v>2023</v>
      </c>
      <c r="F5453" s="74" t="s">
        <v>489</v>
      </c>
      <c r="G5453" s="61">
        <v>1</v>
      </c>
      <c r="H5453" s="61">
        <v>15</v>
      </c>
      <c r="I5453" s="61">
        <v>41.991320000000002</v>
      </c>
    </row>
    <row r="5454" spans="1:9" s="71" customFormat="1" ht="24" hidden="1" customHeight="1" outlineLevel="1" x14ac:dyDescent="0.25">
      <c r="A5454" s="74">
        <v>6703</v>
      </c>
      <c r="B5454" s="45" t="s">
        <v>664</v>
      </c>
      <c r="C5454" s="60" t="s">
        <v>5033</v>
      </c>
      <c r="D5454" s="60"/>
      <c r="E5454" s="74">
        <v>2023</v>
      </c>
      <c r="F5454" s="74" t="s">
        <v>489</v>
      </c>
      <c r="G5454" s="61">
        <v>1</v>
      </c>
      <c r="H5454" s="61">
        <v>15</v>
      </c>
      <c r="I5454" s="61">
        <v>41.984210000000004</v>
      </c>
    </row>
    <row r="5455" spans="1:9" s="71" customFormat="1" ht="24" hidden="1" customHeight="1" outlineLevel="1" x14ac:dyDescent="0.25">
      <c r="A5455" s="74">
        <v>2738</v>
      </c>
      <c r="B5455" s="45" t="s">
        <v>664</v>
      </c>
      <c r="C5455" s="60" t="s">
        <v>5034</v>
      </c>
      <c r="D5455" s="60"/>
      <c r="E5455" s="74">
        <v>2023</v>
      </c>
      <c r="F5455" s="74" t="s">
        <v>489</v>
      </c>
      <c r="G5455" s="61">
        <v>1</v>
      </c>
      <c r="H5455" s="61">
        <v>5</v>
      </c>
      <c r="I5455" s="61">
        <v>41.990309999999994</v>
      </c>
    </row>
    <row r="5456" spans="1:9" s="71" customFormat="1" ht="24" hidden="1" customHeight="1" outlineLevel="1" x14ac:dyDescent="0.25">
      <c r="A5456" s="74">
        <v>2265</v>
      </c>
      <c r="B5456" s="45" t="s">
        <v>664</v>
      </c>
      <c r="C5456" s="60" t="s">
        <v>5035</v>
      </c>
      <c r="D5456" s="60"/>
      <c r="E5456" s="74">
        <v>2023</v>
      </c>
      <c r="F5456" s="74" t="s">
        <v>489</v>
      </c>
      <c r="G5456" s="61">
        <v>1</v>
      </c>
      <c r="H5456" s="61">
        <v>3</v>
      </c>
      <c r="I5456" s="61">
        <v>41.698670000000007</v>
      </c>
    </row>
    <row r="5457" spans="1:9" s="71" customFormat="1" ht="24" hidden="1" customHeight="1" outlineLevel="1" x14ac:dyDescent="0.25">
      <c r="A5457" s="74">
        <v>6712</v>
      </c>
      <c r="B5457" s="45" t="s">
        <v>664</v>
      </c>
      <c r="C5457" s="60" t="s">
        <v>5036</v>
      </c>
      <c r="D5457" s="60"/>
      <c r="E5457" s="74">
        <v>2023</v>
      </c>
      <c r="F5457" s="74" t="s">
        <v>489</v>
      </c>
      <c r="G5457" s="61">
        <v>1</v>
      </c>
      <c r="H5457" s="61">
        <v>10</v>
      </c>
      <c r="I5457" s="61">
        <v>43.803040000000003</v>
      </c>
    </row>
    <row r="5458" spans="1:9" s="71" customFormat="1" ht="24" hidden="1" customHeight="1" outlineLevel="1" x14ac:dyDescent="0.25">
      <c r="A5458" s="74">
        <v>2761</v>
      </c>
      <c r="B5458" s="45" t="s">
        <v>664</v>
      </c>
      <c r="C5458" s="60" t="s">
        <v>5037</v>
      </c>
      <c r="D5458" s="60"/>
      <c r="E5458" s="74">
        <v>2023</v>
      </c>
      <c r="F5458" s="74" t="s">
        <v>489</v>
      </c>
      <c r="G5458" s="61">
        <v>1</v>
      </c>
      <c r="H5458" s="61">
        <v>15</v>
      </c>
      <c r="I5458" s="61">
        <v>43.803040000000003</v>
      </c>
    </row>
    <row r="5459" spans="1:9" s="71" customFormat="1" ht="24" hidden="1" customHeight="1" outlineLevel="1" x14ac:dyDescent="0.25">
      <c r="A5459" s="74">
        <v>6713</v>
      </c>
      <c r="B5459" s="45" t="s">
        <v>664</v>
      </c>
      <c r="C5459" s="60" t="s">
        <v>5038</v>
      </c>
      <c r="D5459" s="60"/>
      <c r="E5459" s="74">
        <v>2023</v>
      </c>
      <c r="F5459" s="74" t="s">
        <v>489</v>
      </c>
      <c r="G5459" s="61">
        <v>1</v>
      </c>
      <c r="H5459" s="61">
        <v>15</v>
      </c>
      <c r="I5459" s="61">
        <v>43.803040000000003</v>
      </c>
    </row>
    <row r="5460" spans="1:9" s="71" customFormat="1" ht="24" hidden="1" customHeight="1" outlineLevel="1" x14ac:dyDescent="0.25">
      <c r="A5460" s="74">
        <v>2785</v>
      </c>
      <c r="B5460" s="45" t="s">
        <v>664</v>
      </c>
      <c r="C5460" s="60" t="s">
        <v>5039</v>
      </c>
      <c r="D5460" s="60"/>
      <c r="E5460" s="74">
        <v>2023</v>
      </c>
      <c r="F5460" s="74" t="s">
        <v>489</v>
      </c>
      <c r="G5460" s="61">
        <v>1</v>
      </c>
      <c r="H5460" s="61">
        <v>15</v>
      </c>
      <c r="I5460" s="61">
        <v>43.803040000000003</v>
      </c>
    </row>
    <row r="5461" spans="1:9" s="71" customFormat="1" ht="24" hidden="1" customHeight="1" outlineLevel="1" x14ac:dyDescent="0.25">
      <c r="A5461" s="74">
        <v>6721</v>
      </c>
      <c r="B5461" s="45" t="s">
        <v>664</v>
      </c>
      <c r="C5461" s="60" t="s">
        <v>5040</v>
      </c>
      <c r="D5461" s="60"/>
      <c r="E5461" s="74">
        <v>2023</v>
      </c>
      <c r="F5461" s="74" t="s">
        <v>489</v>
      </c>
      <c r="G5461" s="61">
        <v>1</v>
      </c>
      <c r="H5461" s="61">
        <v>15</v>
      </c>
      <c r="I5461" s="61">
        <v>43.803040000000003</v>
      </c>
    </row>
    <row r="5462" spans="1:9" s="71" customFormat="1" ht="24" hidden="1" customHeight="1" outlineLevel="1" x14ac:dyDescent="0.25">
      <c r="A5462" s="74">
        <v>2780</v>
      </c>
      <c r="B5462" s="45" t="s">
        <v>664</v>
      </c>
      <c r="C5462" s="60" t="s">
        <v>5041</v>
      </c>
      <c r="D5462" s="60"/>
      <c r="E5462" s="74">
        <v>2023</v>
      </c>
      <c r="F5462" s="74" t="s">
        <v>489</v>
      </c>
      <c r="G5462" s="61">
        <v>1</v>
      </c>
      <c r="H5462" s="61">
        <v>15</v>
      </c>
      <c r="I5462" s="61">
        <v>43.803040000000003</v>
      </c>
    </row>
    <row r="5463" spans="1:9" s="71" customFormat="1" ht="24" hidden="1" customHeight="1" outlineLevel="1" x14ac:dyDescent="0.25">
      <c r="A5463" s="74">
        <v>2799</v>
      </c>
      <c r="B5463" s="45" t="s">
        <v>664</v>
      </c>
      <c r="C5463" s="60" t="s">
        <v>5042</v>
      </c>
      <c r="D5463" s="60"/>
      <c r="E5463" s="74">
        <v>2023</v>
      </c>
      <c r="F5463" s="74" t="s">
        <v>489</v>
      </c>
      <c r="G5463" s="61">
        <v>1</v>
      </c>
      <c r="H5463" s="61">
        <v>3</v>
      </c>
      <c r="I5463" s="61">
        <v>43.803040000000003</v>
      </c>
    </row>
    <row r="5464" spans="1:9" s="71" customFormat="1" ht="24" hidden="1" customHeight="1" outlineLevel="1" x14ac:dyDescent="0.25">
      <c r="A5464" s="74">
        <v>2755</v>
      </c>
      <c r="B5464" s="45" t="s">
        <v>664</v>
      </c>
      <c r="C5464" s="60" t="s">
        <v>5043</v>
      </c>
      <c r="D5464" s="60"/>
      <c r="E5464" s="74">
        <v>2023</v>
      </c>
      <c r="F5464" s="74" t="s">
        <v>489</v>
      </c>
      <c r="G5464" s="61">
        <v>1</v>
      </c>
      <c r="H5464" s="61">
        <v>1</v>
      </c>
      <c r="I5464" s="61">
        <v>43.914270000000002</v>
      </c>
    </row>
    <row r="5465" spans="1:9" s="71" customFormat="1" ht="24" hidden="1" customHeight="1" outlineLevel="1" x14ac:dyDescent="0.25">
      <c r="A5465" s="74">
        <v>2746</v>
      </c>
      <c r="B5465" s="45" t="s">
        <v>664</v>
      </c>
      <c r="C5465" s="60" t="s">
        <v>5044</v>
      </c>
      <c r="D5465" s="60"/>
      <c r="E5465" s="74">
        <v>2023</v>
      </c>
      <c r="F5465" s="74" t="s">
        <v>489</v>
      </c>
      <c r="G5465" s="61">
        <v>1</v>
      </c>
      <c r="H5465" s="61">
        <v>15</v>
      </c>
      <c r="I5465" s="61">
        <v>43.914270000000002</v>
      </c>
    </row>
    <row r="5466" spans="1:9" s="71" customFormat="1" ht="24" hidden="1" customHeight="1" outlineLevel="1" x14ac:dyDescent="0.25">
      <c r="A5466" s="74">
        <v>2770</v>
      </c>
      <c r="B5466" s="45" t="s">
        <v>664</v>
      </c>
      <c r="C5466" s="60" t="s">
        <v>5045</v>
      </c>
      <c r="D5466" s="60"/>
      <c r="E5466" s="74">
        <v>2023</v>
      </c>
      <c r="F5466" s="74" t="s">
        <v>489</v>
      </c>
      <c r="G5466" s="61">
        <v>1</v>
      </c>
      <c r="H5466" s="61">
        <v>6</v>
      </c>
      <c r="I5466" s="61">
        <v>43.914270000000002</v>
      </c>
    </row>
    <row r="5467" spans="1:9" s="71" customFormat="1" ht="24" hidden="1" customHeight="1" outlineLevel="1" x14ac:dyDescent="0.25">
      <c r="A5467" s="74">
        <v>2775</v>
      </c>
      <c r="B5467" s="45" t="s">
        <v>664</v>
      </c>
      <c r="C5467" s="60" t="s">
        <v>5046</v>
      </c>
      <c r="D5467" s="60"/>
      <c r="E5467" s="74">
        <v>2023</v>
      </c>
      <c r="F5467" s="74" t="s">
        <v>489</v>
      </c>
      <c r="G5467" s="61">
        <v>1</v>
      </c>
      <c r="H5467" s="61">
        <v>15</v>
      </c>
      <c r="I5467" s="61">
        <v>43.914270000000002</v>
      </c>
    </row>
    <row r="5468" spans="1:9" s="71" customFormat="1" ht="24" hidden="1" customHeight="1" outlineLevel="1" x14ac:dyDescent="0.25">
      <c r="A5468" s="74">
        <v>2784</v>
      </c>
      <c r="B5468" s="45" t="s">
        <v>664</v>
      </c>
      <c r="C5468" s="60" t="s">
        <v>5047</v>
      </c>
      <c r="D5468" s="60"/>
      <c r="E5468" s="74">
        <v>2023</v>
      </c>
      <c r="F5468" s="74" t="s">
        <v>489</v>
      </c>
      <c r="G5468" s="61">
        <v>1</v>
      </c>
      <c r="H5468" s="61">
        <v>10</v>
      </c>
      <c r="I5468" s="61">
        <v>43.914270000000002</v>
      </c>
    </row>
    <row r="5469" spans="1:9" s="71" customFormat="1" ht="24" hidden="1" customHeight="1" outlineLevel="1" x14ac:dyDescent="0.25">
      <c r="A5469" s="74">
        <v>6733</v>
      </c>
      <c r="B5469" s="45" t="s">
        <v>664</v>
      </c>
      <c r="C5469" s="60" t="s">
        <v>5048</v>
      </c>
      <c r="D5469" s="60"/>
      <c r="E5469" s="74">
        <v>2023</v>
      </c>
      <c r="F5469" s="74" t="s">
        <v>489</v>
      </c>
      <c r="G5469" s="61">
        <v>1</v>
      </c>
      <c r="H5469" s="61">
        <v>5</v>
      </c>
      <c r="I5469" s="61">
        <v>43.914270000000002</v>
      </c>
    </row>
    <row r="5470" spans="1:9" s="71" customFormat="1" ht="24" hidden="1" customHeight="1" outlineLevel="1" x14ac:dyDescent="0.25">
      <c r="A5470" s="74">
        <v>6736</v>
      </c>
      <c r="B5470" s="45" t="s">
        <v>664</v>
      </c>
      <c r="C5470" s="60" t="s">
        <v>5049</v>
      </c>
      <c r="D5470" s="60"/>
      <c r="E5470" s="74">
        <v>2023</v>
      </c>
      <c r="F5470" s="74" t="s">
        <v>489</v>
      </c>
      <c r="G5470" s="61">
        <v>1</v>
      </c>
      <c r="H5470" s="61">
        <v>15</v>
      </c>
      <c r="I5470" s="61">
        <v>39.67456</v>
      </c>
    </row>
    <row r="5471" spans="1:9" s="71" customFormat="1" ht="24" hidden="1" customHeight="1" outlineLevel="1" x14ac:dyDescent="0.25">
      <c r="A5471" s="74">
        <v>6738</v>
      </c>
      <c r="B5471" s="45" t="s">
        <v>664</v>
      </c>
      <c r="C5471" s="60" t="s">
        <v>5050</v>
      </c>
      <c r="D5471" s="60"/>
      <c r="E5471" s="74">
        <v>2023</v>
      </c>
      <c r="F5471" s="74" t="s">
        <v>489</v>
      </c>
      <c r="G5471" s="61">
        <v>1</v>
      </c>
      <c r="H5471" s="61">
        <v>15</v>
      </c>
      <c r="I5471" s="61">
        <v>40.395059999999994</v>
      </c>
    </row>
    <row r="5472" spans="1:9" s="71" customFormat="1" ht="24" hidden="1" customHeight="1" outlineLevel="1" x14ac:dyDescent="0.25">
      <c r="A5472" s="74">
        <v>6737</v>
      </c>
      <c r="B5472" s="45" t="s">
        <v>664</v>
      </c>
      <c r="C5472" s="60" t="s">
        <v>5051</v>
      </c>
      <c r="D5472" s="60"/>
      <c r="E5472" s="74">
        <v>2023</v>
      </c>
      <c r="F5472" s="74" t="s">
        <v>489</v>
      </c>
      <c r="G5472" s="61">
        <v>1</v>
      </c>
      <c r="H5472" s="61">
        <v>15</v>
      </c>
      <c r="I5472" s="61">
        <v>40.65898</v>
      </c>
    </row>
    <row r="5473" spans="1:9" s="71" customFormat="1" ht="24" hidden="1" customHeight="1" outlineLevel="1" x14ac:dyDescent="0.25">
      <c r="A5473" s="74">
        <v>2798</v>
      </c>
      <c r="B5473" s="45" t="s">
        <v>664</v>
      </c>
      <c r="C5473" s="60" t="s">
        <v>5052</v>
      </c>
      <c r="D5473" s="60"/>
      <c r="E5473" s="74">
        <v>2023</v>
      </c>
      <c r="F5473" s="74" t="s">
        <v>489</v>
      </c>
      <c r="G5473" s="61">
        <v>1</v>
      </c>
      <c r="H5473" s="61">
        <v>9</v>
      </c>
      <c r="I5473" s="61">
        <v>40.395020000000002</v>
      </c>
    </row>
    <row r="5474" spans="1:9" s="71" customFormat="1" ht="24" hidden="1" customHeight="1" outlineLevel="1" x14ac:dyDescent="0.25">
      <c r="A5474" s="74">
        <v>2754</v>
      </c>
      <c r="B5474" s="45" t="s">
        <v>664</v>
      </c>
      <c r="C5474" s="60" t="s">
        <v>5053</v>
      </c>
      <c r="D5474" s="60"/>
      <c r="E5474" s="74">
        <v>2023</v>
      </c>
      <c r="F5474" s="74" t="s">
        <v>489</v>
      </c>
      <c r="G5474" s="61">
        <v>1</v>
      </c>
      <c r="H5474" s="61">
        <v>6</v>
      </c>
      <c r="I5474" s="61">
        <v>41.469269999999995</v>
      </c>
    </row>
    <row r="5475" spans="1:9" s="71" customFormat="1" ht="24" hidden="1" customHeight="1" outlineLevel="1" x14ac:dyDescent="0.25">
      <c r="A5475" s="74">
        <v>6754</v>
      </c>
      <c r="B5475" s="45" t="s">
        <v>664</v>
      </c>
      <c r="C5475" s="60" t="s">
        <v>5054</v>
      </c>
      <c r="D5475" s="60"/>
      <c r="E5475" s="74">
        <v>2023</v>
      </c>
      <c r="F5475" s="74" t="s">
        <v>489</v>
      </c>
      <c r="G5475" s="61">
        <v>1</v>
      </c>
      <c r="H5475" s="61">
        <v>30</v>
      </c>
      <c r="I5475" s="61">
        <v>45.27017</v>
      </c>
    </row>
    <row r="5476" spans="1:9" s="71" customFormat="1" ht="24" hidden="1" customHeight="1" outlineLevel="1" x14ac:dyDescent="0.25">
      <c r="A5476" s="74">
        <v>2774</v>
      </c>
      <c r="B5476" s="45" t="s">
        <v>664</v>
      </c>
      <c r="C5476" s="60" t="s">
        <v>5055</v>
      </c>
      <c r="D5476" s="60"/>
      <c r="E5476" s="74">
        <v>2023</v>
      </c>
      <c r="F5476" s="74" t="s">
        <v>489</v>
      </c>
      <c r="G5476" s="61">
        <v>1</v>
      </c>
      <c r="H5476" s="61">
        <v>5</v>
      </c>
      <c r="I5476" s="61">
        <v>38.400509999999997</v>
      </c>
    </row>
    <row r="5477" spans="1:9" s="71" customFormat="1" ht="24" hidden="1" customHeight="1" outlineLevel="1" x14ac:dyDescent="0.25">
      <c r="A5477" s="74">
        <v>6755</v>
      </c>
      <c r="B5477" s="45" t="s">
        <v>664</v>
      </c>
      <c r="C5477" s="60" t="s">
        <v>5056</v>
      </c>
      <c r="D5477" s="60"/>
      <c r="E5477" s="74">
        <v>2023</v>
      </c>
      <c r="F5477" s="74" t="s">
        <v>489</v>
      </c>
      <c r="G5477" s="61">
        <v>1</v>
      </c>
      <c r="H5477" s="61">
        <v>10</v>
      </c>
      <c r="I5477" s="61">
        <v>42.640229999999995</v>
      </c>
    </row>
    <row r="5478" spans="1:9" s="71" customFormat="1" ht="24" hidden="1" customHeight="1" outlineLevel="1" x14ac:dyDescent="0.25">
      <c r="A5478" s="74">
        <v>2768</v>
      </c>
      <c r="B5478" s="45" t="s">
        <v>664</v>
      </c>
      <c r="C5478" s="60" t="s">
        <v>5057</v>
      </c>
      <c r="D5478" s="60"/>
      <c r="E5478" s="74">
        <v>2023</v>
      </c>
      <c r="F5478" s="74" t="s">
        <v>489</v>
      </c>
      <c r="G5478" s="61">
        <v>1</v>
      </c>
      <c r="H5478" s="61">
        <v>15</v>
      </c>
      <c r="I5478" s="61">
        <v>42.640229999999995</v>
      </c>
    </row>
    <row r="5479" spans="1:9" s="71" customFormat="1" ht="24" hidden="1" customHeight="1" outlineLevel="1" x14ac:dyDescent="0.25">
      <c r="A5479" s="74">
        <v>6756</v>
      </c>
      <c r="B5479" s="45" t="s">
        <v>664</v>
      </c>
      <c r="C5479" s="60" t="s">
        <v>5058</v>
      </c>
      <c r="D5479" s="60"/>
      <c r="E5479" s="74">
        <v>2023</v>
      </c>
      <c r="F5479" s="74" t="s">
        <v>489</v>
      </c>
      <c r="G5479" s="61">
        <v>1</v>
      </c>
      <c r="H5479" s="61">
        <v>10</v>
      </c>
      <c r="I5479" s="61">
        <v>41.178559999999997</v>
      </c>
    </row>
    <row r="5480" spans="1:9" s="71" customFormat="1" ht="24" hidden="1" customHeight="1" outlineLevel="1" x14ac:dyDescent="0.25">
      <c r="A5480" s="74">
        <v>2776</v>
      </c>
      <c r="B5480" s="45" t="s">
        <v>664</v>
      </c>
      <c r="C5480" s="60" t="s">
        <v>5059</v>
      </c>
      <c r="D5480" s="60"/>
      <c r="E5480" s="74">
        <v>2023</v>
      </c>
      <c r="F5480" s="74" t="s">
        <v>489</v>
      </c>
      <c r="G5480" s="61">
        <v>1</v>
      </c>
      <c r="H5480" s="61">
        <v>15</v>
      </c>
      <c r="I5480" s="61">
        <v>36.763890000000004</v>
      </c>
    </row>
    <row r="5481" spans="1:9" s="71" customFormat="1" ht="24" hidden="1" customHeight="1" outlineLevel="1" x14ac:dyDescent="0.25">
      <c r="A5481" s="74">
        <v>6757</v>
      </c>
      <c r="B5481" s="45" t="s">
        <v>664</v>
      </c>
      <c r="C5481" s="60" t="s">
        <v>5060</v>
      </c>
      <c r="D5481" s="60"/>
      <c r="E5481" s="74">
        <v>2023</v>
      </c>
      <c r="F5481" s="74" t="s">
        <v>489</v>
      </c>
      <c r="G5481" s="61">
        <v>1</v>
      </c>
      <c r="H5481" s="61">
        <v>15</v>
      </c>
      <c r="I5481" s="61">
        <v>38.400869999999998</v>
      </c>
    </row>
    <row r="5482" spans="1:9" s="71" customFormat="1" ht="24" hidden="1" customHeight="1" outlineLevel="1" x14ac:dyDescent="0.25">
      <c r="A5482" s="74">
        <v>6758</v>
      </c>
      <c r="B5482" s="45" t="s">
        <v>664</v>
      </c>
      <c r="C5482" s="60" t="s">
        <v>5061</v>
      </c>
      <c r="D5482" s="60"/>
      <c r="E5482" s="74">
        <v>2023</v>
      </c>
      <c r="F5482" s="74" t="s">
        <v>489</v>
      </c>
      <c r="G5482" s="61">
        <v>1</v>
      </c>
      <c r="H5482" s="61">
        <v>10</v>
      </c>
      <c r="I5482" s="61">
        <v>37.37764</v>
      </c>
    </row>
    <row r="5483" spans="1:9" s="71" customFormat="1" ht="24" hidden="1" customHeight="1" outlineLevel="1" x14ac:dyDescent="0.25">
      <c r="A5483" s="74">
        <v>6759</v>
      </c>
      <c r="B5483" s="45" t="s">
        <v>664</v>
      </c>
      <c r="C5483" s="60" t="s">
        <v>5062</v>
      </c>
      <c r="D5483" s="60"/>
      <c r="E5483" s="74">
        <v>2023</v>
      </c>
      <c r="F5483" s="74" t="s">
        <v>489</v>
      </c>
      <c r="G5483" s="61">
        <v>1</v>
      </c>
      <c r="H5483" s="61">
        <v>15</v>
      </c>
      <c r="I5483" s="61">
        <v>38.809989999999999</v>
      </c>
    </row>
    <row r="5484" spans="1:9" s="71" customFormat="1" ht="24" hidden="1" customHeight="1" outlineLevel="1" x14ac:dyDescent="0.25">
      <c r="A5484" s="74">
        <v>6760</v>
      </c>
      <c r="B5484" s="45" t="s">
        <v>664</v>
      </c>
      <c r="C5484" s="60" t="s">
        <v>5063</v>
      </c>
      <c r="D5484" s="60"/>
      <c r="E5484" s="74">
        <v>2023</v>
      </c>
      <c r="F5484" s="74" t="s">
        <v>489</v>
      </c>
      <c r="G5484" s="61">
        <v>1</v>
      </c>
      <c r="H5484" s="61">
        <v>15</v>
      </c>
      <c r="I5484" s="61">
        <v>39.218960000000003</v>
      </c>
    </row>
    <row r="5485" spans="1:9" s="71" customFormat="1" ht="24" hidden="1" customHeight="1" outlineLevel="1" x14ac:dyDescent="0.25">
      <c r="A5485" s="74">
        <v>2788</v>
      </c>
      <c r="B5485" s="45" t="s">
        <v>664</v>
      </c>
      <c r="C5485" s="60" t="s">
        <v>5064</v>
      </c>
      <c r="D5485" s="60"/>
      <c r="E5485" s="74">
        <v>2023</v>
      </c>
      <c r="F5485" s="74" t="s">
        <v>489</v>
      </c>
      <c r="G5485" s="61">
        <v>1</v>
      </c>
      <c r="H5485" s="61">
        <v>15</v>
      </c>
      <c r="I5485" s="61">
        <v>42.640229999999995</v>
      </c>
    </row>
    <row r="5486" spans="1:9" s="71" customFormat="1" ht="24" hidden="1" customHeight="1" outlineLevel="1" x14ac:dyDescent="0.25">
      <c r="A5486" s="74">
        <v>2789</v>
      </c>
      <c r="B5486" s="45" t="s">
        <v>664</v>
      </c>
      <c r="C5486" s="60" t="s">
        <v>5065</v>
      </c>
      <c r="D5486" s="60"/>
      <c r="E5486" s="74">
        <v>2023</v>
      </c>
      <c r="F5486" s="74" t="s">
        <v>489</v>
      </c>
      <c r="G5486" s="61">
        <v>1</v>
      </c>
      <c r="H5486" s="61">
        <v>9</v>
      </c>
      <c r="I5486" s="61">
        <v>42.640229999999995</v>
      </c>
    </row>
    <row r="5487" spans="1:9" s="71" customFormat="1" ht="24" hidden="1" customHeight="1" outlineLevel="1" x14ac:dyDescent="0.25">
      <c r="A5487" s="74">
        <v>6761</v>
      </c>
      <c r="B5487" s="45" t="s">
        <v>664</v>
      </c>
      <c r="C5487" s="60" t="s">
        <v>5066</v>
      </c>
      <c r="D5487" s="60"/>
      <c r="E5487" s="74">
        <v>2023</v>
      </c>
      <c r="F5487" s="74" t="s">
        <v>489</v>
      </c>
      <c r="G5487" s="61">
        <v>1</v>
      </c>
      <c r="H5487" s="61">
        <v>15</v>
      </c>
      <c r="I5487" s="61">
        <v>38.400509999999997</v>
      </c>
    </row>
    <row r="5488" spans="1:9" s="71" customFormat="1" ht="24" hidden="1" customHeight="1" outlineLevel="1" x14ac:dyDescent="0.25">
      <c r="A5488" s="74">
        <v>6762</v>
      </c>
      <c r="B5488" s="45" t="s">
        <v>664</v>
      </c>
      <c r="C5488" s="60" t="s">
        <v>5067</v>
      </c>
      <c r="D5488" s="60"/>
      <c r="E5488" s="74">
        <v>2023</v>
      </c>
      <c r="F5488" s="74" t="s">
        <v>489</v>
      </c>
      <c r="G5488" s="61">
        <v>1</v>
      </c>
      <c r="H5488" s="61">
        <v>10</v>
      </c>
      <c r="I5488" s="61">
        <v>37.37764</v>
      </c>
    </row>
    <row r="5489" spans="1:9" s="71" customFormat="1" ht="24" hidden="1" customHeight="1" outlineLevel="1" x14ac:dyDescent="0.25">
      <c r="A5489" s="74">
        <v>6763</v>
      </c>
      <c r="B5489" s="45" t="s">
        <v>664</v>
      </c>
      <c r="C5489" s="60" t="s">
        <v>5068</v>
      </c>
      <c r="D5489" s="60"/>
      <c r="E5489" s="74">
        <v>2023</v>
      </c>
      <c r="F5489" s="74" t="s">
        <v>489</v>
      </c>
      <c r="G5489" s="61">
        <v>1</v>
      </c>
      <c r="H5489" s="61">
        <v>15</v>
      </c>
      <c r="I5489" s="61">
        <v>37.37764</v>
      </c>
    </row>
    <row r="5490" spans="1:9" s="71" customFormat="1" ht="24" hidden="1" customHeight="1" outlineLevel="1" x14ac:dyDescent="0.25">
      <c r="A5490" s="74">
        <v>6764</v>
      </c>
      <c r="B5490" s="45" t="s">
        <v>664</v>
      </c>
      <c r="C5490" s="60" t="s">
        <v>5069</v>
      </c>
      <c r="D5490" s="60"/>
      <c r="E5490" s="74">
        <v>2023</v>
      </c>
      <c r="F5490" s="74" t="s">
        <v>489</v>
      </c>
      <c r="G5490" s="61">
        <v>1</v>
      </c>
      <c r="H5490" s="61">
        <v>15</v>
      </c>
      <c r="I5490" s="61">
        <v>37.37764</v>
      </c>
    </row>
    <row r="5491" spans="1:9" s="71" customFormat="1" ht="24" hidden="1" customHeight="1" outlineLevel="1" x14ac:dyDescent="0.25">
      <c r="A5491" s="74">
        <v>6765</v>
      </c>
      <c r="B5491" s="45" t="s">
        <v>664</v>
      </c>
      <c r="C5491" s="60" t="s">
        <v>5070</v>
      </c>
      <c r="D5491" s="60"/>
      <c r="E5491" s="74">
        <v>2023</v>
      </c>
      <c r="F5491" s="74" t="s">
        <v>489</v>
      </c>
      <c r="G5491" s="61">
        <v>1</v>
      </c>
      <c r="H5491" s="61">
        <v>15</v>
      </c>
      <c r="I5491" s="61">
        <v>39.218780000000002</v>
      </c>
    </row>
    <row r="5492" spans="1:9" s="71" customFormat="1" ht="24" hidden="1" customHeight="1" outlineLevel="1" x14ac:dyDescent="0.25">
      <c r="A5492" s="74">
        <v>2735</v>
      </c>
      <c r="B5492" s="45" t="s">
        <v>664</v>
      </c>
      <c r="C5492" s="60" t="s">
        <v>5071</v>
      </c>
      <c r="D5492" s="60"/>
      <c r="E5492" s="74">
        <v>2023</v>
      </c>
      <c r="F5492" s="74" t="s">
        <v>489</v>
      </c>
      <c r="G5492" s="61">
        <v>1</v>
      </c>
      <c r="H5492" s="61">
        <v>5</v>
      </c>
      <c r="I5492" s="61">
        <v>39.423319999999997</v>
      </c>
    </row>
    <row r="5493" spans="1:9" s="71" customFormat="1" ht="24" hidden="1" customHeight="1" outlineLevel="1" x14ac:dyDescent="0.25">
      <c r="A5493" s="74">
        <v>6766</v>
      </c>
      <c r="B5493" s="45" t="s">
        <v>664</v>
      </c>
      <c r="C5493" s="60" t="s">
        <v>5072</v>
      </c>
      <c r="D5493" s="60"/>
      <c r="E5493" s="74">
        <v>2023</v>
      </c>
      <c r="F5493" s="74" t="s">
        <v>489</v>
      </c>
      <c r="G5493" s="61">
        <v>1</v>
      </c>
      <c r="H5493" s="61">
        <v>15</v>
      </c>
      <c r="I5493" s="61">
        <v>41.178559999999997</v>
      </c>
    </row>
    <row r="5494" spans="1:9" s="71" customFormat="1" ht="24" hidden="1" customHeight="1" outlineLevel="1" x14ac:dyDescent="0.25">
      <c r="A5494" s="74">
        <v>6767</v>
      </c>
      <c r="B5494" s="45" t="s">
        <v>664</v>
      </c>
      <c r="C5494" s="60" t="s">
        <v>5073</v>
      </c>
      <c r="D5494" s="60"/>
      <c r="E5494" s="74">
        <v>2023</v>
      </c>
      <c r="F5494" s="74" t="s">
        <v>489</v>
      </c>
      <c r="G5494" s="61">
        <v>1</v>
      </c>
      <c r="H5494" s="61">
        <v>15</v>
      </c>
      <c r="I5494" s="61">
        <v>39.423299999999998</v>
      </c>
    </row>
    <row r="5495" spans="1:9" s="71" customFormat="1" ht="24" hidden="1" customHeight="1" outlineLevel="1" x14ac:dyDescent="0.25">
      <c r="A5495" s="74">
        <v>6768</v>
      </c>
      <c r="B5495" s="45" t="s">
        <v>664</v>
      </c>
      <c r="C5495" s="60" t="s">
        <v>5074</v>
      </c>
      <c r="D5495" s="60"/>
      <c r="E5495" s="74">
        <v>2023</v>
      </c>
      <c r="F5495" s="74" t="s">
        <v>489</v>
      </c>
      <c r="G5495" s="61">
        <v>1</v>
      </c>
      <c r="H5495" s="61">
        <v>15</v>
      </c>
      <c r="I5495" s="61">
        <v>38.195930000000004</v>
      </c>
    </row>
    <row r="5496" spans="1:9" s="71" customFormat="1" ht="24" hidden="1" customHeight="1" outlineLevel="1" x14ac:dyDescent="0.25">
      <c r="A5496" s="74">
        <v>6769</v>
      </c>
      <c r="B5496" s="45" t="s">
        <v>664</v>
      </c>
      <c r="C5496" s="60" t="s">
        <v>5075</v>
      </c>
      <c r="D5496" s="60"/>
      <c r="E5496" s="74">
        <v>2023</v>
      </c>
      <c r="F5496" s="74" t="s">
        <v>489</v>
      </c>
      <c r="G5496" s="61">
        <v>1</v>
      </c>
      <c r="H5496" s="61">
        <v>40</v>
      </c>
      <c r="I5496" s="61">
        <v>44.10183</v>
      </c>
    </row>
    <row r="5497" spans="1:9" s="71" customFormat="1" ht="24" hidden="1" customHeight="1" outlineLevel="1" x14ac:dyDescent="0.25">
      <c r="A5497" s="74">
        <v>6770</v>
      </c>
      <c r="B5497" s="45" t="s">
        <v>664</v>
      </c>
      <c r="C5497" s="60" t="s">
        <v>5076</v>
      </c>
      <c r="D5497" s="60"/>
      <c r="E5497" s="74">
        <v>2023</v>
      </c>
      <c r="F5497" s="74" t="s">
        <v>489</v>
      </c>
      <c r="G5497" s="61">
        <v>1</v>
      </c>
      <c r="H5497" s="61">
        <v>15</v>
      </c>
      <c r="I5497" s="61">
        <v>37.37764</v>
      </c>
    </row>
    <row r="5498" spans="1:9" s="71" customFormat="1" ht="24" hidden="1" customHeight="1" outlineLevel="1" x14ac:dyDescent="0.25">
      <c r="A5498" s="74">
        <v>2743</v>
      </c>
      <c r="B5498" s="45" t="s">
        <v>664</v>
      </c>
      <c r="C5498" s="60" t="s">
        <v>5077</v>
      </c>
      <c r="D5498" s="60"/>
      <c r="E5498" s="74">
        <v>2023</v>
      </c>
      <c r="F5498" s="74" t="s">
        <v>489</v>
      </c>
      <c r="G5498" s="61">
        <v>1</v>
      </c>
      <c r="H5498" s="61">
        <v>15</v>
      </c>
      <c r="I5498" s="61">
        <v>36.793539999999993</v>
      </c>
    </row>
    <row r="5499" spans="1:9" s="71" customFormat="1" ht="24" hidden="1" customHeight="1" outlineLevel="1" x14ac:dyDescent="0.25">
      <c r="A5499" s="74">
        <v>2748</v>
      </c>
      <c r="B5499" s="45" t="s">
        <v>664</v>
      </c>
      <c r="C5499" s="60" t="s">
        <v>5078</v>
      </c>
      <c r="D5499" s="60"/>
      <c r="E5499" s="74">
        <v>2023</v>
      </c>
      <c r="F5499" s="74" t="s">
        <v>489</v>
      </c>
      <c r="G5499" s="61">
        <v>1</v>
      </c>
      <c r="H5499" s="61">
        <v>12</v>
      </c>
      <c r="I5499" s="61">
        <v>39.423319999999997</v>
      </c>
    </row>
    <row r="5500" spans="1:9" s="71" customFormat="1" ht="24" hidden="1" customHeight="1" outlineLevel="1" x14ac:dyDescent="0.25">
      <c r="A5500" s="74">
        <v>2752</v>
      </c>
      <c r="B5500" s="45" t="s">
        <v>664</v>
      </c>
      <c r="C5500" s="60" t="s">
        <v>5079</v>
      </c>
      <c r="D5500" s="60"/>
      <c r="E5500" s="74">
        <v>2023</v>
      </c>
      <c r="F5500" s="74" t="s">
        <v>489</v>
      </c>
      <c r="G5500" s="61">
        <v>1</v>
      </c>
      <c r="H5500" s="61">
        <v>15</v>
      </c>
      <c r="I5500" s="61">
        <v>39.423299999999998</v>
      </c>
    </row>
    <row r="5501" spans="1:9" s="71" customFormat="1" ht="24" hidden="1" customHeight="1" outlineLevel="1" x14ac:dyDescent="0.25">
      <c r="A5501" s="74">
        <v>6771</v>
      </c>
      <c r="B5501" s="45" t="s">
        <v>664</v>
      </c>
      <c r="C5501" s="60" t="s">
        <v>5080</v>
      </c>
      <c r="D5501" s="60"/>
      <c r="E5501" s="74">
        <v>2023</v>
      </c>
      <c r="F5501" s="74" t="s">
        <v>489</v>
      </c>
      <c r="G5501" s="61">
        <v>1</v>
      </c>
      <c r="H5501" s="61">
        <v>15</v>
      </c>
      <c r="I5501" s="61">
        <v>37.176470000000002</v>
      </c>
    </row>
    <row r="5502" spans="1:9" s="71" customFormat="1" ht="24" hidden="1" customHeight="1" outlineLevel="1" x14ac:dyDescent="0.25">
      <c r="A5502" s="74">
        <v>6772</v>
      </c>
      <c r="B5502" s="45" t="s">
        <v>664</v>
      </c>
      <c r="C5502" s="60" t="s">
        <v>5081</v>
      </c>
      <c r="D5502" s="60"/>
      <c r="E5502" s="74">
        <v>2023</v>
      </c>
      <c r="F5502" s="74" t="s">
        <v>489</v>
      </c>
      <c r="G5502" s="61">
        <v>1</v>
      </c>
      <c r="H5502" s="61">
        <v>15</v>
      </c>
      <c r="I5502" s="61">
        <v>39.014200000000002</v>
      </c>
    </row>
    <row r="5503" spans="1:9" s="71" customFormat="1" ht="24" hidden="1" customHeight="1" outlineLevel="1" x14ac:dyDescent="0.25">
      <c r="A5503" s="74">
        <v>6208</v>
      </c>
      <c r="B5503" s="45" t="s">
        <v>664</v>
      </c>
      <c r="C5503" s="60" t="s">
        <v>5082</v>
      </c>
      <c r="D5503" s="60"/>
      <c r="E5503" s="74">
        <v>2023</v>
      </c>
      <c r="F5503" s="74" t="s">
        <v>489</v>
      </c>
      <c r="G5503" s="61">
        <v>1</v>
      </c>
      <c r="H5503" s="61">
        <v>91</v>
      </c>
      <c r="I5503" s="61">
        <v>37.395380000000003</v>
      </c>
    </row>
    <row r="5504" spans="1:9" s="71" customFormat="1" ht="24" hidden="1" customHeight="1" outlineLevel="1" x14ac:dyDescent="0.25">
      <c r="A5504" s="74">
        <v>6211</v>
      </c>
      <c r="B5504" s="45" t="s">
        <v>664</v>
      </c>
      <c r="C5504" s="60" t="s">
        <v>5083</v>
      </c>
      <c r="D5504" s="60"/>
      <c r="E5504" s="74">
        <v>2023</v>
      </c>
      <c r="F5504" s="74" t="s">
        <v>489</v>
      </c>
      <c r="G5504" s="61">
        <v>1</v>
      </c>
      <c r="H5504" s="61">
        <v>24</v>
      </c>
      <c r="I5504" s="61">
        <v>32.514050000000005</v>
      </c>
    </row>
    <row r="5505" spans="1:9" s="71" customFormat="1" ht="24" hidden="1" customHeight="1" outlineLevel="1" x14ac:dyDescent="0.25">
      <c r="A5505" s="74">
        <v>6212</v>
      </c>
      <c r="B5505" s="45" t="s">
        <v>664</v>
      </c>
      <c r="C5505" s="60" t="s">
        <v>5084</v>
      </c>
      <c r="D5505" s="60"/>
      <c r="E5505" s="74">
        <v>2023</v>
      </c>
      <c r="F5505" s="74" t="s">
        <v>489</v>
      </c>
      <c r="G5505" s="61">
        <v>1</v>
      </c>
      <c r="H5505" s="61">
        <v>130</v>
      </c>
      <c r="I5505" s="61">
        <v>32.227429999999998</v>
      </c>
    </row>
    <row r="5506" spans="1:9" s="71" customFormat="1" ht="24" hidden="1" customHeight="1" outlineLevel="1" x14ac:dyDescent="0.25">
      <c r="A5506" s="74">
        <v>6335</v>
      </c>
      <c r="B5506" s="45" t="s">
        <v>664</v>
      </c>
      <c r="C5506" s="60" t="s">
        <v>5085</v>
      </c>
      <c r="D5506" s="60"/>
      <c r="E5506" s="74">
        <v>2023</v>
      </c>
      <c r="F5506" s="74" t="s">
        <v>489</v>
      </c>
      <c r="G5506" s="61">
        <v>1</v>
      </c>
      <c r="H5506" s="61">
        <v>145</v>
      </c>
      <c r="I5506" s="61">
        <v>35.359379999999994</v>
      </c>
    </row>
    <row r="5507" spans="1:9" s="71" customFormat="1" ht="24" hidden="1" customHeight="1" outlineLevel="1" x14ac:dyDescent="0.25">
      <c r="A5507" s="74">
        <v>6411</v>
      </c>
      <c r="B5507" s="45" t="s">
        <v>664</v>
      </c>
      <c r="C5507" s="60" t="s">
        <v>5086</v>
      </c>
      <c r="D5507" s="60"/>
      <c r="E5507" s="74">
        <v>2023</v>
      </c>
      <c r="F5507" s="74" t="s">
        <v>489</v>
      </c>
      <c r="G5507" s="61">
        <v>1</v>
      </c>
      <c r="H5507" s="61">
        <v>15</v>
      </c>
      <c r="I5507" s="61">
        <v>35.201560000000001</v>
      </c>
    </row>
    <row r="5508" spans="1:9" s="71" customFormat="1" ht="24" hidden="1" customHeight="1" outlineLevel="1" x14ac:dyDescent="0.25">
      <c r="A5508" s="74">
        <v>6449</v>
      </c>
      <c r="B5508" s="45" t="s">
        <v>664</v>
      </c>
      <c r="C5508" s="60" t="s">
        <v>5087</v>
      </c>
      <c r="D5508" s="60"/>
      <c r="E5508" s="74">
        <v>2023</v>
      </c>
      <c r="F5508" s="74" t="s">
        <v>489</v>
      </c>
      <c r="G5508" s="61">
        <v>1</v>
      </c>
      <c r="H5508" s="61">
        <v>60</v>
      </c>
      <c r="I5508" s="61">
        <v>36.518619999999999</v>
      </c>
    </row>
    <row r="5509" spans="1:9" s="71" customFormat="1" ht="24" hidden="1" customHeight="1" outlineLevel="1" x14ac:dyDescent="0.25">
      <c r="A5509" s="74">
        <v>6410</v>
      </c>
      <c r="B5509" s="45" t="s">
        <v>664</v>
      </c>
      <c r="C5509" s="60" t="s">
        <v>5088</v>
      </c>
      <c r="D5509" s="60"/>
      <c r="E5509" s="74">
        <v>2023</v>
      </c>
      <c r="F5509" s="74" t="s">
        <v>489</v>
      </c>
      <c r="G5509" s="61">
        <v>1</v>
      </c>
      <c r="H5509" s="61">
        <v>45</v>
      </c>
      <c r="I5509" s="61">
        <v>40.439720000000001</v>
      </c>
    </row>
    <row r="5510" spans="1:9" s="71" customFormat="1" ht="24" hidden="1" customHeight="1" outlineLevel="1" x14ac:dyDescent="0.25">
      <c r="A5510" s="74">
        <v>6532</v>
      </c>
      <c r="B5510" s="45" t="s">
        <v>664</v>
      </c>
      <c r="C5510" s="60" t="s">
        <v>5089</v>
      </c>
      <c r="D5510" s="60"/>
      <c r="E5510" s="74">
        <v>2023</v>
      </c>
      <c r="F5510" s="74" t="s">
        <v>489</v>
      </c>
      <c r="G5510" s="61">
        <v>1</v>
      </c>
      <c r="H5510" s="61">
        <v>150</v>
      </c>
      <c r="I5510" s="61">
        <v>58.099439999999994</v>
      </c>
    </row>
    <row r="5511" spans="1:9" s="71" customFormat="1" ht="24" hidden="1" customHeight="1" outlineLevel="1" x14ac:dyDescent="0.25">
      <c r="A5511" s="74">
        <v>6194</v>
      </c>
      <c r="B5511" s="45" t="s">
        <v>664</v>
      </c>
      <c r="C5511" s="60" t="s">
        <v>5090</v>
      </c>
      <c r="D5511" s="60"/>
      <c r="E5511" s="74">
        <v>2023</v>
      </c>
      <c r="F5511" s="74" t="s">
        <v>489</v>
      </c>
      <c r="G5511" s="61">
        <v>1</v>
      </c>
      <c r="H5511" s="61">
        <v>150</v>
      </c>
      <c r="I5511" s="61">
        <v>53.317280000000004</v>
      </c>
    </row>
    <row r="5512" spans="1:9" s="71" customFormat="1" ht="24" hidden="1" customHeight="1" outlineLevel="1" x14ac:dyDescent="0.25">
      <c r="A5512" s="74">
        <v>6195</v>
      </c>
      <c r="B5512" s="45" t="s">
        <v>664</v>
      </c>
      <c r="C5512" s="60" t="s">
        <v>5091</v>
      </c>
      <c r="D5512" s="60"/>
      <c r="E5512" s="74">
        <v>2023</v>
      </c>
      <c r="F5512" s="74" t="s">
        <v>489</v>
      </c>
      <c r="G5512" s="61">
        <v>1</v>
      </c>
      <c r="H5512" s="61">
        <v>150</v>
      </c>
      <c r="I5512" s="61">
        <v>54.468119999999999</v>
      </c>
    </row>
    <row r="5513" spans="1:9" s="71" customFormat="1" ht="24" hidden="1" customHeight="1" outlineLevel="1" x14ac:dyDescent="0.25">
      <c r="A5513" s="74">
        <v>6515</v>
      </c>
      <c r="B5513" s="45" t="s">
        <v>664</v>
      </c>
      <c r="C5513" s="60" t="s">
        <v>5092</v>
      </c>
      <c r="D5513" s="60"/>
      <c r="E5513" s="74">
        <v>2023</v>
      </c>
      <c r="F5513" s="74" t="s">
        <v>489</v>
      </c>
      <c r="G5513" s="61">
        <v>1</v>
      </c>
      <c r="H5513" s="61">
        <v>68</v>
      </c>
      <c r="I5513" s="61">
        <v>37.312890000000003</v>
      </c>
    </row>
    <row r="5514" spans="1:9" s="71" customFormat="1" ht="24" hidden="1" customHeight="1" outlineLevel="1" x14ac:dyDescent="0.25">
      <c r="A5514" s="74">
        <v>6659</v>
      </c>
      <c r="B5514" s="45" t="s">
        <v>664</v>
      </c>
      <c r="C5514" s="60" t="s">
        <v>5093</v>
      </c>
      <c r="D5514" s="60"/>
      <c r="E5514" s="74">
        <v>2023</v>
      </c>
      <c r="F5514" s="74" t="s">
        <v>489</v>
      </c>
      <c r="G5514" s="61">
        <v>1</v>
      </c>
      <c r="H5514" s="61">
        <v>95</v>
      </c>
      <c r="I5514" s="61">
        <v>61.088070000000002</v>
      </c>
    </row>
    <row r="5515" spans="1:9" s="71" customFormat="1" ht="24" hidden="1" customHeight="1" outlineLevel="1" x14ac:dyDescent="0.25">
      <c r="A5515" s="74">
        <v>6660</v>
      </c>
      <c r="B5515" s="45" t="s">
        <v>664</v>
      </c>
      <c r="C5515" s="60" t="s">
        <v>5094</v>
      </c>
      <c r="D5515" s="60"/>
      <c r="E5515" s="74">
        <v>2023</v>
      </c>
      <c r="F5515" s="74" t="s">
        <v>489</v>
      </c>
      <c r="G5515" s="61">
        <v>1</v>
      </c>
      <c r="H5515" s="61">
        <v>60</v>
      </c>
      <c r="I5515" s="61">
        <v>54.044889999999988</v>
      </c>
    </row>
    <row r="5516" spans="1:9" s="71" customFormat="1" ht="24" hidden="1" customHeight="1" outlineLevel="1" x14ac:dyDescent="0.25">
      <c r="A5516" s="74">
        <v>6662</v>
      </c>
      <c r="B5516" s="45" t="s">
        <v>664</v>
      </c>
      <c r="C5516" s="60" t="s">
        <v>5095</v>
      </c>
      <c r="D5516" s="60"/>
      <c r="E5516" s="74">
        <v>2023</v>
      </c>
      <c r="F5516" s="74" t="s">
        <v>489</v>
      </c>
      <c r="G5516" s="61">
        <v>1</v>
      </c>
      <c r="H5516" s="61">
        <v>150</v>
      </c>
      <c r="I5516" s="61">
        <v>58.80932</v>
      </c>
    </row>
    <row r="5517" spans="1:9" s="71" customFormat="1" ht="24" hidden="1" customHeight="1" outlineLevel="1" x14ac:dyDescent="0.25">
      <c r="A5517" s="74">
        <v>6704</v>
      </c>
      <c r="B5517" s="45" t="s">
        <v>664</v>
      </c>
      <c r="C5517" s="60" t="s">
        <v>5096</v>
      </c>
      <c r="D5517" s="60"/>
      <c r="E5517" s="74">
        <v>2023</v>
      </c>
      <c r="F5517" s="74" t="s">
        <v>489</v>
      </c>
      <c r="G5517" s="61">
        <v>1</v>
      </c>
      <c r="H5517" s="61">
        <v>100</v>
      </c>
      <c r="I5517" s="61">
        <v>52.463989999999995</v>
      </c>
    </row>
    <row r="5518" spans="1:9" s="71" customFormat="1" ht="24" hidden="1" customHeight="1" outlineLevel="1" x14ac:dyDescent="0.25">
      <c r="A5518" s="74">
        <v>6701</v>
      </c>
      <c r="B5518" s="45" t="s">
        <v>664</v>
      </c>
      <c r="C5518" s="60" t="s">
        <v>5097</v>
      </c>
      <c r="D5518" s="60"/>
      <c r="E5518" s="74">
        <v>2023</v>
      </c>
      <c r="F5518" s="74" t="s">
        <v>489</v>
      </c>
      <c r="G5518" s="61">
        <v>1</v>
      </c>
      <c r="H5518" s="61">
        <v>85</v>
      </c>
      <c r="I5518" s="61">
        <v>55.695169999999997</v>
      </c>
    </row>
    <row r="5519" spans="1:9" s="71" customFormat="1" ht="24" hidden="1" customHeight="1" outlineLevel="1" x14ac:dyDescent="0.25">
      <c r="A5519" s="74">
        <v>6773</v>
      </c>
      <c r="B5519" s="45" t="s">
        <v>664</v>
      </c>
      <c r="C5519" s="60" t="s">
        <v>5098</v>
      </c>
      <c r="D5519" s="60"/>
      <c r="E5519" s="74">
        <v>2023</v>
      </c>
      <c r="F5519" s="74" t="s">
        <v>489</v>
      </c>
      <c r="G5519" s="61">
        <v>1</v>
      </c>
      <c r="H5519" s="61">
        <v>150</v>
      </c>
      <c r="I5519" s="61">
        <v>55.867400000000004</v>
      </c>
    </row>
    <row r="5520" spans="1:9" s="71" customFormat="1" ht="24" hidden="1" customHeight="1" outlineLevel="1" x14ac:dyDescent="0.25">
      <c r="A5520" s="74">
        <v>3978</v>
      </c>
      <c r="B5520" s="45" t="s">
        <v>664</v>
      </c>
      <c r="C5520" s="60" t="s">
        <v>5099</v>
      </c>
      <c r="D5520" s="60"/>
      <c r="E5520" s="74">
        <v>2023</v>
      </c>
      <c r="F5520" s="74" t="s">
        <v>489</v>
      </c>
      <c r="G5520" s="61">
        <v>1</v>
      </c>
      <c r="H5520" s="61">
        <v>15</v>
      </c>
      <c r="I5520" s="61">
        <v>26.103999999999999</v>
      </c>
    </row>
    <row r="5521" spans="1:9" s="71" customFormat="1" ht="24" hidden="1" customHeight="1" outlineLevel="1" x14ac:dyDescent="0.25">
      <c r="A5521" s="74">
        <v>6165</v>
      </c>
      <c r="B5521" s="45" t="s">
        <v>664</v>
      </c>
      <c r="C5521" s="60" t="s">
        <v>5100</v>
      </c>
      <c r="D5521" s="60"/>
      <c r="E5521" s="74">
        <v>2023</v>
      </c>
      <c r="F5521" s="74" t="s">
        <v>489</v>
      </c>
      <c r="G5521" s="61">
        <v>1</v>
      </c>
      <c r="H5521" s="61">
        <v>15</v>
      </c>
      <c r="I5521" s="61">
        <v>25.506999999999998</v>
      </c>
    </row>
    <row r="5522" spans="1:9" s="71" customFormat="1" ht="24" hidden="1" customHeight="1" outlineLevel="1" x14ac:dyDescent="0.25">
      <c r="A5522" s="74">
        <v>3967</v>
      </c>
      <c r="B5522" s="45" t="s">
        <v>664</v>
      </c>
      <c r="C5522" s="60" t="s">
        <v>5101</v>
      </c>
      <c r="D5522" s="60"/>
      <c r="E5522" s="74">
        <v>2023</v>
      </c>
      <c r="F5522" s="74" t="s">
        <v>489</v>
      </c>
      <c r="G5522" s="61">
        <v>1</v>
      </c>
      <c r="H5522" s="61">
        <v>10</v>
      </c>
      <c r="I5522" s="61">
        <v>33.905000000000001</v>
      </c>
    </row>
    <row r="5523" spans="1:9" s="71" customFormat="1" ht="24" hidden="1" customHeight="1" outlineLevel="1" x14ac:dyDescent="0.25">
      <c r="A5523" s="74">
        <v>3921</v>
      </c>
      <c r="B5523" s="45" t="s">
        <v>664</v>
      </c>
      <c r="C5523" s="60" t="s">
        <v>5102</v>
      </c>
      <c r="D5523" s="60"/>
      <c r="E5523" s="74">
        <v>2023</v>
      </c>
      <c r="F5523" s="74" t="s">
        <v>489</v>
      </c>
      <c r="G5523" s="61">
        <v>1</v>
      </c>
      <c r="H5523" s="61">
        <v>15</v>
      </c>
      <c r="I5523" s="61">
        <v>33.730000000000004</v>
      </c>
    </row>
    <row r="5524" spans="1:9" s="71" customFormat="1" ht="24" hidden="1" customHeight="1" outlineLevel="1" x14ac:dyDescent="0.25">
      <c r="A5524" s="74">
        <v>6169</v>
      </c>
      <c r="B5524" s="45" t="s">
        <v>664</v>
      </c>
      <c r="C5524" s="60" t="s">
        <v>5103</v>
      </c>
      <c r="D5524" s="60"/>
      <c r="E5524" s="74">
        <v>2023</v>
      </c>
      <c r="F5524" s="74" t="s">
        <v>489</v>
      </c>
      <c r="G5524" s="61">
        <v>1</v>
      </c>
      <c r="H5524" s="61">
        <v>15</v>
      </c>
      <c r="I5524" s="61">
        <v>30.605</v>
      </c>
    </row>
    <row r="5525" spans="1:9" s="71" customFormat="1" ht="24" hidden="1" customHeight="1" outlineLevel="1" x14ac:dyDescent="0.25">
      <c r="A5525" s="74">
        <v>3906</v>
      </c>
      <c r="B5525" s="45" t="s">
        <v>664</v>
      </c>
      <c r="C5525" s="60" t="s">
        <v>5104</v>
      </c>
      <c r="D5525" s="60"/>
      <c r="E5525" s="74">
        <v>2023</v>
      </c>
      <c r="F5525" s="74" t="s">
        <v>489</v>
      </c>
      <c r="G5525" s="61">
        <v>1</v>
      </c>
      <c r="H5525" s="61">
        <v>15</v>
      </c>
      <c r="I5525" s="61">
        <v>27.5</v>
      </c>
    </row>
    <row r="5526" spans="1:9" s="71" customFormat="1" ht="24" hidden="1" customHeight="1" outlineLevel="1" x14ac:dyDescent="0.25">
      <c r="A5526" s="74">
        <v>6197</v>
      </c>
      <c r="B5526" s="45" t="s">
        <v>664</v>
      </c>
      <c r="C5526" s="60" t="s">
        <v>5105</v>
      </c>
      <c r="D5526" s="60"/>
      <c r="E5526" s="74">
        <v>2023</v>
      </c>
      <c r="F5526" s="74" t="s">
        <v>489</v>
      </c>
      <c r="G5526" s="61">
        <v>1</v>
      </c>
      <c r="H5526" s="61">
        <v>40</v>
      </c>
      <c r="I5526" s="61">
        <v>25.867999999999999</v>
      </c>
    </row>
    <row r="5527" spans="1:9" s="71" customFormat="1" ht="24" hidden="1" customHeight="1" outlineLevel="1" x14ac:dyDescent="0.25">
      <c r="A5527" s="74">
        <v>3073</v>
      </c>
      <c r="B5527" s="45" t="s">
        <v>664</v>
      </c>
      <c r="C5527" s="60" t="s">
        <v>5106</v>
      </c>
      <c r="D5527" s="60"/>
      <c r="E5527" s="74">
        <v>2023</v>
      </c>
      <c r="F5527" s="74" t="s">
        <v>489</v>
      </c>
      <c r="G5527" s="61">
        <v>1</v>
      </c>
      <c r="H5527" s="61">
        <v>150</v>
      </c>
      <c r="I5527" s="61">
        <v>21.093</v>
      </c>
    </row>
    <row r="5528" spans="1:9" s="71" customFormat="1" ht="24" hidden="1" customHeight="1" outlineLevel="1" x14ac:dyDescent="0.25">
      <c r="A5528" s="74">
        <v>1046</v>
      </c>
      <c r="B5528" s="45" t="s">
        <v>664</v>
      </c>
      <c r="C5528" s="60" t="s">
        <v>5107</v>
      </c>
      <c r="D5528" s="60"/>
      <c r="E5528" s="74">
        <v>2023</v>
      </c>
      <c r="F5528" s="74" t="s">
        <v>489</v>
      </c>
      <c r="G5528" s="61">
        <v>1</v>
      </c>
      <c r="H5528" s="61">
        <v>15</v>
      </c>
      <c r="I5528" s="61">
        <v>52.040000000000006</v>
      </c>
    </row>
    <row r="5529" spans="1:9" s="71" customFormat="1" ht="24" hidden="1" customHeight="1" outlineLevel="1" x14ac:dyDescent="0.25">
      <c r="A5529" s="74">
        <v>1069</v>
      </c>
      <c r="B5529" s="45" t="s">
        <v>664</v>
      </c>
      <c r="C5529" s="60" t="s">
        <v>5108</v>
      </c>
      <c r="D5529" s="60"/>
      <c r="E5529" s="74">
        <v>2023</v>
      </c>
      <c r="F5529" s="74" t="s">
        <v>489</v>
      </c>
      <c r="G5529" s="61">
        <v>1</v>
      </c>
      <c r="H5529" s="61">
        <v>15</v>
      </c>
      <c r="I5529" s="61">
        <v>52.651999999999994</v>
      </c>
    </row>
    <row r="5530" spans="1:9" s="71" customFormat="1" ht="24" hidden="1" customHeight="1" outlineLevel="1" x14ac:dyDescent="0.25">
      <c r="A5530" s="74">
        <v>618</v>
      </c>
      <c r="B5530" s="45" t="s">
        <v>664</v>
      </c>
      <c r="C5530" s="60" t="s">
        <v>5109</v>
      </c>
      <c r="D5530" s="60"/>
      <c r="E5530" s="74">
        <v>2023</v>
      </c>
      <c r="F5530" s="74" t="s">
        <v>489</v>
      </c>
      <c r="G5530" s="61">
        <v>1</v>
      </c>
      <c r="H5530" s="61">
        <v>15</v>
      </c>
      <c r="I5530" s="61">
        <v>47.197000000000003</v>
      </c>
    </row>
    <row r="5531" spans="1:9" s="71" customFormat="1" ht="24" hidden="1" customHeight="1" outlineLevel="1" x14ac:dyDescent="0.25">
      <c r="A5531" s="74">
        <v>560</v>
      </c>
      <c r="B5531" s="45" t="s">
        <v>664</v>
      </c>
      <c r="C5531" s="60" t="s">
        <v>5110</v>
      </c>
      <c r="D5531" s="60"/>
      <c r="E5531" s="74">
        <v>2023</v>
      </c>
      <c r="F5531" s="74" t="s">
        <v>489</v>
      </c>
      <c r="G5531" s="61">
        <v>1</v>
      </c>
      <c r="H5531" s="61">
        <v>15</v>
      </c>
      <c r="I5531" s="61">
        <v>9.2200000000000006</v>
      </c>
    </row>
    <row r="5532" spans="1:9" s="71" customFormat="1" ht="24" hidden="1" customHeight="1" outlineLevel="1" x14ac:dyDescent="0.25">
      <c r="A5532" s="74">
        <v>559</v>
      </c>
      <c r="B5532" s="45" t="s">
        <v>664</v>
      </c>
      <c r="C5532" s="60" t="s">
        <v>5111</v>
      </c>
      <c r="D5532" s="60"/>
      <c r="E5532" s="74">
        <v>2023</v>
      </c>
      <c r="F5532" s="74" t="s">
        <v>489</v>
      </c>
      <c r="G5532" s="61">
        <v>1</v>
      </c>
      <c r="H5532" s="61">
        <v>15</v>
      </c>
      <c r="I5532" s="61">
        <v>6.8999999999999995</v>
      </c>
    </row>
    <row r="5533" spans="1:9" s="71" customFormat="1" ht="24" hidden="1" customHeight="1" outlineLevel="1" x14ac:dyDescent="0.25">
      <c r="A5533" s="74">
        <v>642</v>
      </c>
      <c r="B5533" s="45" t="s">
        <v>664</v>
      </c>
      <c r="C5533" s="60" t="s">
        <v>5112</v>
      </c>
      <c r="D5533" s="60"/>
      <c r="E5533" s="74">
        <v>2023</v>
      </c>
      <c r="F5533" s="74" t="s">
        <v>489</v>
      </c>
      <c r="G5533" s="61">
        <v>1</v>
      </c>
      <c r="H5533" s="61">
        <v>30</v>
      </c>
      <c r="I5533" s="61">
        <v>8.9700000000000006</v>
      </c>
    </row>
    <row r="5534" spans="1:9" s="71" customFormat="1" ht="24" hidden="1" customHeight="1" outlineLevel="1" x14ac:dyDescent="0.25">
      <c r="A5534" s="74">
        <v>817</v>
      </c>
      <c r="B5534" s="45" t="s">
        <v>664</v>
      </c>
      <c r="C5534" s="60" t="s">
        <v>5113</v>
      </c>
      <c r="D5534" s="60"/>
      <c r="E5534" s="74">
        <v>2023</v>
      </c>
      <c r="F5534" s="74" t="s">
        <v>489</v>
      </c>
      <c r="G5534" s="61">
        <v>1</v>
      </c>
      <c r="H5534" s="61">
        <v>15</v>
      </c>
      <c r="I5534" s="61">
        <v>8.11</v>
      </c>
    </row>
    <row r="5535" spans="1:9" s="71" customFormat="1" ht="24" hidden="1" customHeight="1" outlineLevel="1" x14ac:dyDescent="0.25">
      <c r="A5535" s="74">
        <v>818</v>
      </c>
      <c r="B5535" s="45" t="s">
        <v>664</v>
      </c>
      <c r="C5535" s="60" t="s">
        <v>5114</v>
      </c>
      <c r="D5535" s="60"/>
      <c r="E5535" s="74">
        <v>2023</v>
      </c>
      <c r="F5535" s="74" t="s">
        <v>489</v>
      </c>
      <c r="G5535" s="61">
        <v>1</v>
      </c>
      <c r="H5535" s="61">
        <v>15</v>
      </c>
      <c r="I5535" s="61">
        <v>8.9200000000000017</v>
      </c>
    </row>
    <row r="5536" spans="1:9" s="71" customFormat="1" ht="24" hidden="1" customHeight="1" outlineLevel="1" x14ac:dyDescent="0.25">
      <c r="A5536" s="74">
        <v>813</v>
      </c>
      <c r="B5536" s="45" t="s">
        <v>664</v>
      </c>
      <c r="C5536" s="60" t="s">
        <v>5115</v>
      </c>
      <c r="D5536" s="60"/>
      <c r="E5536" s="74">
        <v>2023</v>
      </c>
      <c r="F5536" s="74" t="s">
        <v>489</v>
      </c>
      <c r="G5536" s="61">
        <v>1</v>
      </c>
      <c r="H5536" s="61">
        <v>15</v>
      </c>
      <c r="I5536" s="61">
        <v>9.8600000000000012</v>
      </c>
    </row>
    <row r="5537" spans="1:9" s="71" customFormat="1" ht="24" hidden="1" customHeight="1" outlineLevel="1" x14ac:dyDescent="0.25">
      <c r="A5537" s="74">
        <v>845</v>
      </c>
      <c r="B5537" s="45" t="s">
        <v>664</v>
      </c>
      <c r="C5537" s="60" t="s">
        <v>5116</v>
      </c>
      <c r="D5537" s="60"/>
      <c r="E5537" s="74">
        <v>2023</v>
      </c>
      <c r="F5537" s="74" t="s">
        <v>489</v>
      </c>
      <c r="G5537" s="61">
        <v>1</v>
      </c>
      <c r="H5537" s="61">
        <v>15</v>
      </c>
      <c r="I5537" s="61">
        <v>11.709999999999999</v>
      </c>
    </row>
    <row r="5538" spans="1:9" s="71" customFormat="1" ht="24" hidden="1" customHeight="1" outlineLevel="1" x14ac:dyDescent="0.25">
      <c r="A5538" s="74">
        <v>514</v>
      </c>
      <c r="B5538" s="45" t="s">
        <v>664</v>
      </c>
      <c r="C5538" s="60" t="s">
        <v>5117</v>
      </c>
      <c r="D5538" s="60"/>
      <c r="E5538" s="74">
        <v>2023</v>
      </c>
      <c r="F5538" s="74" t="s">
        <v>489</v>
      </c>
      <c r="G5538" s="61">
        <v>1</v>
      </c>
      <c r="H5538" s="61">
        <v>15</v>
      </c>
      <c r="I5538" s="61">
        <v>163.458</v>
      </c>
    </row>
    <row r="5539" spans="1:9" s="71" customFormat="1" ht="24" hidden="1" customHeight="1" outlineLevel="1" x14ac:dyDescent="0.25">
      <c r="A5539" s="74">
        <v>6241</v>
      </c>
      <c r="B5539" s="45" t="s">
        <v>664</v>
      </c>
      <c r="C5539" s="60" t="s">
        <v>5118</v>
      </c>
      <c r="D5539" s="60"/>
      <c r="E5539" s="74">
        <v>2023</v>
      </c>
      <c r="F5539" s="74" t="s">
        <v>489</v>
      </c>
      <c r="G5539" s="61">
        <v>1</v>
      </c>
      <c r="H5539" s="61">
        <v>15</v>
      </c>
      <c r="I5539" s="61">
        <v>60.974000000000004</v>
      </c>
    </row>
    <row r="5540" spans="1:9" s="71" customFormat="1" ht="24" hidden="1" customHeight="1" outlineLevel="1" x14ac:dyDescent="0.25">
      <c r="A5540" s="74">
        <v>509</v>
      </c>
      <c r="B5540" s="45" t="s">
        <v>664</v>
      </c>
      <c r="C5540" s="60" t="s">
        <v>5119</v>
      </c>
      <c r="D5540" s="60"/>
      <c r="E5540" s="74">
        <v>2023</v>
      </c>
      <c r="F5540" s="74" t="s">
        <v>489</v>
      </c>
      <c r="G5540" s="61">
        <v>1</v>
      </c>
      <c r="H5540" s="61">
        <v>15</v>
      </c>
      <c r="I5540" s="61">
        <v>145.9</v>
      </c>
    </row>
    <row r="5541" spans="1:9" s="71" customFormat="1" ht="24" hidden="1" customHeight="1" outlineLevel="1" x14ac:dyDescent="0.25">
      <c r="A5541" s="74">
        <v>6196</v>
      </c>
      <c r="B5541" s="45" t="s">
        <v>664</v>
      </c>
      <c r="C5541" s="60" t="s">
        <v>5120</v>
      </c>
      <c r="D5541" s="60"/>
      <c r="E5541" s="74">
        <v>2023</v>
      </c>
      <c r="F5541" s="74" t="s">
        <v>489</v>
      </c>
      <c r="G5541" s="61">
        <v>1</v>
      </c>
      <c r="H5541" s="61">
        <v>15</v>
      </c>
      <c r="I5541" s="61">
        <v>46.889000000000003</v>
      </c>
    </row>
    <row r="5542" spans="1:9" s="71" customFormat="1" ht="24" hidden="1" customHeight="1" outlineLevel="1" x14ac:dyDescent="0.25">
      <c r="A5542" s="74">
        <v>629</v>
      </c>
      <c r="B5542" s="45" t="s">
        <v>664</v>
      </c>
      <c r="C5542" s="60" t="s">
        <v>5121</v>
      </c>
      <c r="D5542" s="60"/>
      <c r="E5542" s="74">
        <v>2023</v>
      </c>
      <c r="F5542" s="74" t="s">
        <v>489</v>
      </c>
      <c r="G5542" s="61">
        <v>1</v>
      </c>
      <c r="H5542" s="61">
        <v>15</v>
      </c>
      <c r="I5542" s="61">
        <v>45.834000000000003</v>
      </c>
    </row>
    <row r="5543" spans="1:9" s="71" customFormat="1" ht="24" hidden="1" customHeight="1" outlineLevel="1" x14ac:dyDescent="0.25">
      <c r="A5543" s="74">
        <v>636</v>
      </c>
      <c r="B5543" s="45" t="s">
        <v>664</v>
      </c>
      <c r="C5543" s="60" t="s">
        <v>5122</v>
      </c>
      <c r="D5543" s="60"/>
      <c r="E5543" s="74">
        <v>2023</v>
      </c>
      <c r="F5543" s="74" t="s">
        <v>489</v>
      </c>
      <c r="G5543" s="61">
        <v>1</v>
      </c>
      <c r="H5543" s="61">
        <v>15</v>
      </c>
      <c r="I5543" s="61">
        <v>48.198</v>
      </c>
    </row>
    <row r="5544" spans="1:9" s="71" customFormat="1" ht="24" hidden="1" customHeight="1" outlineLevel="1" x14ac:dyDescent="0.25">
      <c r="A5544" s="74">
        <v>667</v>
      </c>
      <c r="B5544" s="45" t="s">
        <v>664</v>
      </c>
      <c r="C5544" s="60" t="s">
        <v>5123</v>
      </c>
      <c r="D5544" s="60"/>
      <c r="E5544" s="74">
        <v>2023</v>
      </c>
      <c r="F5544" s="74" t="s">
        <v>489</v>
      </c>
      <c r="G5544" s="61">
        <v>2</v>
      </c>
      <c r="H5544" s="61">
        <v>60</v>
      </c>
      <c r="I5544" s="61">
        <v>90.7774</v>
      </c>
    </row>
    <row r="5545" spans="1:9" s="71" customFormat="1" ht="24" hidden="1" customHeight="1" outlineLevel="1" x14ac:dyDescent="0.25">
      <c r="A5545" s="74">
        <v>679</v>
      </c>
      <c r="B5545" s="45" t="s">
        <v>664</v>
      </c>
      <c r="C5545" s="60" t="s">
        <v>5124</v>
      </c>
      <c r="D5545" s="60"/>
      <c r="E5545" s="74">
        <v>2023</v>
      </c>
      <c r="F5545" s="74" t="s">
        <v>489</v>
      </c>
      <c r="G5545" s="61">
        <v>1</v>
      </c>
      <c r="H5545" s="61">
        <v>15</v>
      </c>
      <c r="I5545" s="61">
        <v>44</v>
      </c>
    </row>
    <row r="5546" spans="1:9" s="71" customFormat="1" ht="24" hidden="1" customHeight="1" outlineLevel="1" x14ac:dyDescent="0.25">
      <c r="A5546" s="74">
        <v>3659</v>
      </c>
      <c r="B5546" s="45" t="s">
        <v>664</v>
      </c>
      <c r="C5546" s="60" t="s">
        <v>5125</v>
      </c>
      <c r="D5546" s="60"/>
      <c r="E5546" s="74">
        <v>2023</v>
      </c>
      <c r="F5546" s="74" t="s">
        <v>489</v>
      </c>
      <c r="G5546" s="61">
        <v>1</v>
      </c>
      <c r="H5546" s="61">
        <v>15</v>
      </c>
      <c r="I5546" s="61">
        <v>49.855999999999995</v>
      </c>
    </row>
    <row r="5547" spans="1:9" s="71" customFormat="1" ht="24" hidden="1" customHeight="1" outlineLevel="1" x14ac:dyDescent="0.25">
      <c r="A5547" s="74">
        <v>839</v>
      </c>
      <c r="B5547" s="45" t="s">
        <v>664</v>
      </c>
      <c r="C5547" s="60" t="s">
        <v>5126</v>
      </c>
      <c r="D5547" s="60"/>
      <c r="E5547" s="74">
        <v>2023</v>
      </c>
      <c r="F5547" s="74" t="s">
        <v>489</v>
      </c>
      <c r="G5547" s="61">
        <v>1</v>
      </c>
      <c r="H5547" s="61">
        <v>15</v>
      </c>
      <c r="I5547" s="61">
        <v>51.552</v>
      </c>
    </row>
    <row r="5548" spans="1:9" s="71" customFormat="1" ht="24" hidden="1" customHeight="1" outlineLevel="1" x14ac:dyDescent="0.25">
      <c r="A5548" s="74">
        <v>3225</v>
      </c>
      <c r="B5548" s="45" t="s">
        <v>664</v>
      </c>
      <c r="C5548" s="60" t="s">
        <v>5127</v>
      </c>
      <c r="D5548" s="60"/>
      <c r="E5548" s="74">
        <v>2023</v>
      </c>
      <c r="F5548" s="74" t="s">
        <v>489</v>
      </c>
      <c r="G5548" s="61">
        <v>1</v>
      </c>
      <c r="H5548" s="61">
        <v>15</v>
      </c>
      <c r="I5548" s="61">
        <v>52.496000000000002</v>
      </c>
    </row>
    <row r="5549" spans="1:9" s="71" customFormat="1" ht="24" hidden="1" customHeight="1" outlineLevel="1" x14ac:dyDescent="0.25">
      <c r="A5549" s="74">
        <v>3108</v>
      </c>
      <c r="B5549" s="45" t="s">
        <v>664</v>
      </c>
      <c r="C5549" s="60" t="s">
        <v>5128</v>
      </c>
      <c r="D5549" s="60"/>
      <c r="E5549" s="74">
        <v>2023</v>
      </c>
      <c r="F5549" s="74" t="s">
        <v>489</v>
      </c>
      <c r="G5549" s="61">
        <v>1</v>
      </c>
      <c r="H5549" s="61">
        <v>23.75</v>
      </c>
      <c r="I5549" s="61">
        <v>45.826000000000001</v>
      </c>
    </row>
    <row r="5550" spans="1:9" s="71" customFormat="1" ht="24" hidden="1" customHeight="1" outlineLevel="1" x14ac:dyDescent="0.25">
      <c r="A5550" s="74">
        <v>860</v>
      </c>
      <c r="B5550" s="45" t="s">
        <v>664</v>
      </c>
      <c r="C5550" s="60" t="s">
        <v>5129</v>
      </c>
      <c r="D5550" s="60"/>
      <c r="E5550" s="74">
        <v>2023</v>
      </c>
      <c r="F5550" s="74" t="s">
        <v>489</v>
      </c>
      <c r="G5550" s="61">
        <v>1</v>
      </c>
      <c r="H5550" s="61">
        <v>15</v>
      </c>
      <c r="I5550" s="61">
        <v>66.699999999999989</v>
      </c>
    </row>
    <row r="5551" spans="1:9" s="71" customFormat="1" ht="24" hidden="1" customHeight="1" outlineLevel="1" x14ac:dyDescent="0.25">
      <c r="A5551" s="74">
        <v>6248</v>
      </c>
      <c r="B5551" s="45" t="s">
        <v>664</v>
      </c>
      <c r="C5551" s="60" t="s">
        <v>5130</v>
      </c>
      <c r="D5551" s="60"/>
      <c r="E5551" s="74">
        <v>2023</v>
      </c>
      <c r="F5551" s="74" t="s">
        <v>489</v>
      </c>
      <c r="G5551" s="61">
        <v>3</v>
      </c>
      <c r="H5551" s="61">
        <v>45</v>
      </c>
      <c r="I5551" s="61">
        <v>173.96100000000001</v>
      </c>
    </row>
    <row r="5552" spans="1:9" s="71" customFormat="1" ht="24" hidden="1" customHeight="1" outlineLevel="1" x14ac:dyDescent="0.25">
      <c r="A5552" s="74">
        <v>6256</v>
      </c>
      <c r="B5552" s="45" t="s">
        <v>664</v>
      </c>
      <c r="C5552" s="60" t="s">
        <v>5131</v>
      </c>
      <c r="D5552" s="60"/>
      <c r="E5552" s="74">
        <v>2023</v>
      </c>
      <c r="F5552" s="74" t="s">
        <v>489</v>
      </c>
      <c r="G5552" s="61">
        <v>1</v>
      </c>
      <c r="H5552" s="61">
        <v>7.5</v>
      </c>
      <c r="I5552" s="61">
        <v>48.113</v>
      </c>
    </row>
    <row r="5553" spans="1:9" s="71" customFormat="1" ht="24" hidden="1" customHeight="1" outlineLevel="1" x14ac:dyDescent="0.25">
      <c r="A5553" s="74">
        <v>6257</v>
      </c>
      <c r="B5553" s="45" t="s">
        <v>664</v>
      </c>
      <c r="C5553" s="60" t="s">
        <v>5132</v>
      </c>
      <c r="D5553" s="60"/>
      <c r="E5553" s="74">
        <v>2023</v>
      </c>
      <c r="F5553" s="74" t="s">
        <v>489</v>
      </c>
      <c r="G5553" s="61">
        <v>1</v>
      </c>
      <c r="H5553" s="61">
        <v>7.5</v>
      </c>
      <c r="I5553" s="61">
        <v>49.598000000000006</v>
      </c>
    </row>
    <row r="5554" spans="1:9" s="71" customFormat="1" ht="24" hidden="1" customHeight="1" outlineLevel="1" x14ac:dyDescent="0.25">
      <c r="A5554" s="74">
        <v>3864</v>
      </c>
      <c r="B5554" s="45" t="s">
        <v>664</v>
      </c>
      <c r="C5554" s="60" t="s">
        <v>5133</v>
      </c>
      <c r="D5554" s="60"/>
      <c r="E5554" s="74">
        <v>2023</v>
      </c>
      <c r="F5554" s="74" t="s">
        <v>489</v>
      </c>
      <c r="G5554" s="61">
        <v>1</v>
      </c>
      <c r="H5554" s="61">
        <v>15</v>
      </c>
      <c r="I5554" s="61">
        <v>43.731999999999999</v>
      </c>
    </row>
    <row r="5555" spans="1:9" s="71" customFormat="1" ht="24" hidden="1" customHeight="1" outlineLevel="1" x14ac:dyDescent="0.25">
      <c r="A5555" s="74">
        <v>600</v>
      </c>
      <c r="B5555" s="45" t="s">
        <v>664</v>
      </c>
      <c r="C5555" s="60" t="s">
        <v>5134</v>
      </c>
      <c r="D5555" s="60"/>
      <c r="E5555" s="74">
        <v>2023</v>
      </c>
      <c r="F5555" s="74" t="s">
        <v>489</v>
      </c>
      <c r="G5555" s="61">
        <v>1</v>
      </c>
      <c r="H5555" s="61">
        <v>15</v>
      </c>
      <c r="I5555" s="61">
        <v>42.695999999999998</v>
      </c>
    </row>
    <row r="5556" spans="1:9" s="71" customFormat="1" ht="24" hidden="1" customHeight="1" outlineLevel="1" x14ac:dyDescent="0.25">
      <c r="A5556" s="74">
        <v>616</v>
      </c>
      <c r="B5556" s="45" t="s">
        <v>664</v>
      </c>
      <c r="C5556" s="60" t="s">
        <v>5135</v>
      </c>
      <c r="D5556" s="60"/>
      <c r="E5556" s="74">
        <v>2023</v>
      </c>
      <c r="F5556" s="74" t="s">
        <v>489</v>
      </c>
      <c r="G5556" s="61">
        <v>2</v>
      </c>
      <c r="H5556" s="61">
        <v>30</v>
      </c>
      <c r="I5556" s="61">
        <v>85.647000000000006</v>
      </c>
    </row>
    <row r="5557" spans="1:9" s="71" customFormat="1" ht="24" hidden="1" customHeight="1" outlineLevel="1" x14ac:dyDescent="0.25">
      <c r="A5557" s="74">
        <v>3052</v>
      </c>
      <c r="B5557" s="45" t="s">
        <v>664</v>
      </c>
      <c r="C5557" s="60" t="s">
        <v>5136</v>
      </c>
      <c r="D5557" s="60"/>
      <c r="E5557" s="74">
        <v>2023</v>
      </c>
      <c r="F5557" s="74" t="s">
        <v>489</v>
      </c>
      <c r="G5557" s="61">
        <v>1</v>
      </c>
      <c r="H5557" s="61">
        <v>50</v>
      </c>
      <c r="I5557" s="61">
        <v>44.1</v>
      </c>
    </row>
    <row r="5558" spans="1:9" s="71" customFormat="1" ht="24" hidden="1" customHeight="1" outlineLevel="1" x14ac:dyDescent="0.25">
      <c r="A5558" s="74">
        <v>3253</v>
      </c>
      <c r="B5558" s="45" t="s">
        <v>664</v>
      </c>
      <c r="C5558" s="60" t="s">
        <v>5137</v>
      </c>
      <c r="D5558" s="60"/>
      <c r="E5558" s="74">
        <v>2023</v>
      </c>
      <c r="F5558" s="74" t="s">
        <v>489</v>
      </c>
      <c r="G5558" s="61">
        <v>1</v>
      </c>
      <c r="H5558" s="61">
        <v>5.5</v>
      </c>
      <c r="I5558" s="61">
        <v>55.058999999999997</v>
      </c>
    </row>
    <row r="5559" spans="1:9" s="71" customFormat="1" ht="24" hidden="1" customHeight="1" outlineLevel="1" x14ac:dyDescent="0.25">
      <c r="A5559" s="74">
        <v>3349</v>
      </c>
      <c r="B5559" s="45" t="s">
        <v>664</v>
      </c>
      <c r="C5559" s="60" t="s">
        <v>5138</v>
      </c>
      <c r="D5559" s="60"/>
      <c r="E5559" s="74">
        <v>2023</v>
      </c>
      <c r="F5559" s="74" t="s">
        <v>489</v>
      </c>
      <c r="G5559" s="61">
        <v>1</v>
      </c>
      <c r="H5559" s="61">
        <v>35</v>
      </c>
      <c r="I5559" s="61">
        <v>44.57</v>
      </c>
    </row>
    <row r="5560" spans="1:9" s="71" customFormat="1" ht="24" hidden="1" customHeight="1" outlineLevel="1" x14ac:dyDescent="0.25">
      <c r="A5560" s="74">
        <v>1230</v>
      </c>
      <c r="B5560" s="45" t="s">
        <v>664</v>
      </c>
      <c r="C5560" s="60" t="s">
        <v>5139</v>
      </c>
      <c r="D5560" s="60"/>
      <c r="E5560" s="74">
        <v>2023</v>
      </c>
      <c r="F5560" s="74" t="s">
        <v>489</v>
      </c>
      <c r="G5560" s="61">
        <v>1</v>
      </c>
      <c r="H5560" s="61">
        <v>15</v>
      </c>
      <c r="I5560" s="61">
        <v>51.833999999999996</v>
      </c>
    </row>
    <row r="5561" spans="1:9" s="71" customFormat="1" ht="24" hidden="1" customHeight="1" outlineLevel="1" x14ac:dyDescent="0.25">
      <c r="A5561" s="74">
        <v>889</v>
      </c>
      <c r="B5561" s="45" t="s">
        <v>664</v>
      </c>
      <c r="C5561" s="60" t="s">
        <v>5140</v>
      </c>
      <c r="D5561" s="60"/>
      <c r="E5561" s="74">
        <v>2023</v>
      </c>
      <c r="F5561" s="74" t="s">
        <v>489</v>
      </c>
      <c r="G5561" s="61">
        <v>1</v>
      </c>
      <c r="H5561" s="61">
        <v>15</v>
      </c>
      <c r="I5561" s="61">
        <v>44.769999999999996</v>
      </c>
    </row>
    <row r="5562" spans="1:9" s="71" customFormat="1" ht="24" hidden="1" customHeight="1" outlineLevel="1" x14ac:dyDescent="0.25">
      <c r="A5562" s="74">
        <v>1323</v>
      </c>
      <c r="B5562" s="45" t="s">
        <v>664</v>
      </c>
      <c r="C5562" s="60" t="s">
        <v>5141</v>
      </c>
      <c r="D5562" s="60"/>
      <c r="E5562" s="74">
        <v>2023</v>
      </c>
      <c r="F5562" s="74" t="s">
        <v>489</v>
      </c>
      <c r="G5562" s="61">
        <v>1</v>
      </c>
      <c r="H5562" s="61">
        <v>15</v>
      </c>
      <c r="I5562" s="61">
        <v>81.92</v>
      </c>
    </row>
    <row r="5563" spans="1:9" s="71" customFormat="1" ht="24" hidden="1" customHeight="1" outlineLevel="1" x14ac:dyDescent="0.25">
      <c r="A5563" s="74">
        <v>431</v>
      </c>
      <c r="B5563" s="45" t="s">
        <v>664</v>
      </c>
      <c r="C5563" s="60" t="s">
        <v>5142</v>
      </c>
      <c r="D5563" s="60"/>
      <c r="E5563" s="74">
        <v>2023</v>
      </c>
      <c r="F5563" s="74" t="s">
        <v>489</v>
      </c>
      <c r="G5563" s="61">
        <v>1</v>
      </c>
      <c r="H5563" s="61">
        <v>15</v>
      </c>
      <c r="I5563" s="61">
        <v>44.341999999999999</v>
      </c>
    </row>
    <row r="5564" spans="1:9" s="71" customFormat="1" ht="24" hidden="1" customHeight="1" outlineLevel="1" x14ac:dyDescent="0.25">
      <c r="A5564" s="74">
        <v>638</v>
      </c>
      <c r="B5564" s="45" t="s">
        <v>664</v>
      </c>
      <c r="C5564" s="60" t="s">
        <v>5143</v>
      </c>
      <c r="D5564" s="60"/>
      <c r="E5564" s="74">
        <v>2023</v>
      </c>
      <c r="F5564" s="74" t="s">
        <v>489</v>
      </c>
      <c r="G5564" s="61">
        <v>1</v>
      </c>
      <c r="H5564" s="61">
        <v>15</v>
      </c>
      <c r="I5564" s="61">
        <v>46.54</v>
      </c>
    </row>
    <row r="5565" spans="1:9" s="71" customFormat="1" ht="24" hidden="1" customHeight="1" outlineLevel="1" x14ac:dyDescent="0.25">
      <c r="A5565" s="74">
        <v>1108</v>
      </c>
      <c r="B5565" s="45" t="s">
        <v>664</v>
      </c>
      <c r="C5565" s="60" t="s">
        <v>5144</v>
      </c>
      <c r="D5565" s="60"/>
      <c r="E5565" s="74">
        <v>2023</v>
      </c>
      <c r="F5565" s="74" t="s">
        <v>489</v>
      </c>
      <c r="G5565" s="61">
        <v>1</v>
      </c>
      <c r="H5565" s="61">
        <v>15</v>
      </c>
      <c r="I5565" s="61">
        <v>44.33</v>
      </c>
    </row>
    <row r="5566" spans="1:9" s="71" customFormat="1" ht="24" hidden="1" customHeight="1" outlineLevel="1" x14ac:dyDescent="0.25">
      <c r="A5566" s="74">
        <v>1199</v>
      </c>
      <c r="B5566" s="45" t="s">
        <v>664</v>
      </c>
      <c r="C5566" s="60" t="s">
        <v>5145</v>
      </c>
      <c r="D5566" s="60"/>
      <c r="E5566" s="74">
        <v>2023</v>
      </c>
      <c r="F5566" s="74" t="s">
        <v>489</v>
      </c>
      <c r="G5566" s="61">
        <v>1</v>
      </c>
      <c r="H5566" s="61">
        <v>1</v>
      </c>
      <c r="I5566" s="61">
        <v>46.915999999999997</v>
      </c>
    </row>
    <row r="5567" spans="1:9" s="71" customFormat="1" ht="24" hidden="1" customHeight="1" outlineLevel="1" x14ac:dyDescent="0.25">
      <c r="A5567" s="74">
        <v>1254</v>
      </c>
      <c r="B5567" s="45" t="s">
        <v>664</v>
      </c>
      <c r="C5567" s="60" t="s">
        <v>5146</v>
      </c>
      <c r="D5567" s="60"/>
      <c r="E5567" s="74">
        <v>2023</v>
      </c>
      <c r="F5567" s="74" t="s">
        <v>489</v>
      </c>
      <c r="G5567" s="61">
        <v>1</v>
      </c>
      <c r="H5567" s="61">
        <v>2</v>
      </c>
      <c r="I5567" s="61">
        <v>51.173999999999999</v>
      </c>
    </row>
    <row r="5568" spans="1:9" s="71" customFormat="1" ht="24" hidden="1" customHeight="1" outlineLevel="1" x14ac:dyDescent="0.25">
      <c r="A5568" s="74">
        <v>1231</v>
      </c>
      <c r="B5568" s="45" t="s">
        <v>664</v>
      </c>
      <c r="C5568" s="60" t="s">
        <v>5147</v>
      </c>
      <c r="D5568" s="60"/>
      <c r="E5568" s="74">
        <v>2023</v>
      </c>
      <c r="F5568" s="74" t="s">
        <v>489</v>
      </c>
      <c r="G5568" s="61">
        <v>1</v>
      </c>
      <c r="H5568" s="61">
        <v>10</v>
      </c>
      <c r="I5568" s="61">
        <v>48.722999999999999</v>
      </c>
    </row>
    <row r="5569" spans="1:9" s="71" customFormat="1" ht="24" hidden="1" customHeight="1" outlineLevel="1" x14ac:dyDescent="0.25">
      <c r="A5569" s="74">
        <v>3238</v>
      </c>
      <c r="B5569" s="45" t="s">
        <v>664</v>
      </c>
      <c r="C5569" s="60" t="s">
        <v>5148</v>
      </c>
      <c r="D5569" s="60"/>
      <c r="E5569" s="74">
        <v>2023</v>
      </c>
      <c r="F5569" s="74" t="s">
        <v>489</v>
      </c>
      <c r="G5569" s="61">
        <v>1</v>
      </c>
      <c r="H5569" s="61">
        <v>15</v>
      </c>
      <c r="I5569" s="61">
        <v>49.338999999999999</v>
      </c>
    </row>
    <row r="5570" spans="1:9" s="71" customFormat="1" ht="24" hidden="1" customHeight="1" outlineLevel="1" x14ac:dyDescent="0.25">
      <c r="A5570" s="74">
        <v>1310</v>
      </c>
      <c r="B5570" s="45" t="s">
        <v>664</v>
      </c>
      <c r="C5570" s="60" t="s">
        <v>5149</v>
      </c>
      <c r="D5570" s="60"/>
      <c r="E5570" s="74">
        <v>2023</v>
      </c>
      <c r="F5570" s="74" t="s">
        <v>489</v>
      </c>
      <c r="G5570" s="61">
        <v>1</v>
      </c>
      <c r="H5570" s="61">
        <v>12</v>
      </c>
      <c r="I5570" s="61">
        <v>61.408999999999999</v>
      </c>
    </row>
    <row r="5571" spans="1:9" s="71" customFormat="1" ht="24" hidden="1" customHeight="1" outlineLevel="1" x14ac:dyDescent="0.25">
      <c r="A5571" s="74">
        <v>2849</v>
      </c>
      <c r="B5571" s="45" t="s">
        <v>664</v>
      </c>
      <c r="C5571" s="60" t="s">
        <v>5150</v>
      </c>
      <c r="D5571" s="60"/>
      <c r="E5571" s="74">
        <v>2023</v>
      </c>
      <c r="F5571" s="74" t="s">
        <v>489</v>
      </c>
      <c r="G5571" s="61">
        <v>1</v>
      </c>
      <c r="H5571" s="61">
        <v>15</v>
      </c>
      <c r="I5571" s="61">
        <v>62.07</v>
      </c>
    </row>
    <row r="5572" spans="1:9" s="71" customFormat="1" ht="24" hidden="1" customHeight="1" outlineLevel="1" x14ac:dyDescent="0.25">
      <c r="A5572" s="74">
        <v>827</v>
      </c>
      <c r="B5572" s="45" t="s">
        <v>664</v>
      </c>
      <c r="C5572" s="60" t="s">
        <v>5151</v>
      </c>
      <c r="D5572" s="60"/>
      <c r="E5572" s="74">
        <v>2023</v>
      </c>
      <c r="F5572" s="74" t="s">
        <v>489</v>
      </c>
      <c r="G5572" s="61">
        <v>1</v>
      </c>
      <c r="H5572" s="61">
        <v>15</v>
      </c>
      <c r="I5572" s="61">
        <v>65.433000000000007</v>
      </c>
    </row>
    <row r="5573" spans="1:9" s="71" customFormat="1" ht="24" hidden="1" customHeight="1" outlineLevel="1" x14ac:dyDescent="0.25">
      <c r="A5573" s="74">
        <v>3241</v>
      </c>
      <c r="B5573" s="45" t="s">
        <v>664</v>
      </c>
      <c r="C5573" s="60" t="s">
        <v>5152</v>
      </c>
      <c r="D5573" s="60"/>
      <c r="E5573" s="74">
        <v>2023</v>
      </c>
      <c r="F5573" s="74" t="s">
        <v>489</v>
      </c>
      <c r="G5573" s="61">
        <v>1</v>
      </c>
      <c r="H5573" s="61">
        <v>5</v>
      </c>
      <c r="I5573" s="61">
        <v>55.292500000000004</v>
      </c>
    </row>
    <row r="5574" spans="1:9" s="71" customFormat="1" ht="24" hidden="1" customHeight="1" outlineLevel="1" x14ac:dyDescent="0.25">
      <c r="A5574" s="74">
        <v>1088</v>
      </c>
      <c r="B5574" s="45" t="s">
        <v>664</v>
      </c>
      <c r="C5574" s="60" t="s">
        <v>566</v>
      </c>
      <c r="D5574" s="60"/>
      <c r="E5574" s="74">
        <v>2023</v>
      </c>
      <c r="F5574" s="74" t="s">
        <v>489</v>
      </c>
      <c r="G5574" s="61">
        <v>3</v>
      </c>
      <c r="H5574" s="61">
        <v>45</v>
      </c>
      <c r="I5574" s="61">
        <v>169.73</v>
      </c>
    </row>
    <row r="5575" spans="1:9" s="71" customFormat="1" ht="24" hidden="1" customHeight="1" outlineLevel="1" x14ac:dyDescent="0.25">
      <c r="A5575" s="74">
        <v>6403</v>
      </c>
      <c r="B5575" s="45" t="s">
        <v>664</v>
      </c>
      <c r="C5575" s="60" t="s">
        <v>612</v>
      </c>
      <c r="D5575" s="60"/>
      <c r="E5575" s="74">
        <v>2023</v>
      </c>
      <c r="F5575" s="74" t="s">
        <v>489</v>
      </c>
      <c r="G5575" s="61">
        <v>1</v>
      </c>
      <c r="H5575" s="61">
        <v>60</v>
      </c>
      <c r="I5575" s="61">
        <v>57.393999999999998</v>
      </c>
    </row>
    <row r="5576" spans="1:9" s="71" customFormat="1" ht="24" hidden="1" customHeight="1" outlineLevel="1" x14ac:dyDescent="0.25">
      <c r="A5576" s="74">
        <v>704</v>
      </c>
      <c r="B5576" s="45" t="s">
        <v>664</v>
      </c>
      <c r="C5576" s="60" t="s">
        <v>5153</v>
      </c>
      <c r="D5576" s="60"/>
      <c r="E5576" s="74">
        <v>2023</v>
      </c>
      <c r="F5576" s="74" t="s">
        <v>489</v>
      </c>
      <c r="G5576" s="61">
        <v>1</v>
      </c>
      <c r="H5576" s="61">
        <v>15</v>
      </c>
      <c r="I5576" s="61">
        <v>68.12</v>
      </c>
    </row>
    <row r="5577" spans="1:9" s="71" customFormat="1" ht="24" hidden="1" customHeight="1" outlineLevel="1" x14ac:dyDescent="0.25">
      <c r="A5577" s="74">
        <v>1349</v>
      </c>
      <c r="B5577" s="45" t="s">
        <v>664</v>
      </c>
      <c r="C5577" s="60" t="s">
        <v>5154</v>
      </c>
      <c r="D5577" s="60"/>
      <c r="E5577" s="74">
        <v>2023</v>
      </c>
      <c r="F5577" s="74" t="s">
        <v>489</v>
      </c>
      <c r="G5577" s="61">
        <v>1</v>
      </c>
      <c r="H5577" s="61">
        <v>15</v>
      </c>
      <c r="I5577" s="61">
        <v>67.959670000000003</v>
      </c>
    </row>
    <row r="5578" spans="1:9" s="71" customFormat="1" ht="24" hidden="1" customHeight="1" outlineLevel="1" x14ac:dyDescent="0.25">
      <c r="A5578" s="74">
        <v>614</v>
      </c>
      <c r="B5578" s="45" t="s">
        <v>664</v>
      </c>
      <c r="C5578" s="60" t="s">
        <v>5155</v>
      </c>
      <c r="D5578" s="60"/>
      <c r="E5578" s="74">
        <v>2023</v>
      </c>
      <c r="F5578" s="74" t="s">
        <v>489</v>
      </c>
      <c r="G5578" s="61">
        <v>1</v>
      </c>
      <c r="H5578" s="61">
        <v>15</v>
      </c>
      <c r="I5578" s="61">
        <v>19.349999999999998</v>
      </c>
    </row>
    <row r="5579" spans="1:9" s="71" customFormat="1" ht="24" hidden="1" customHeight="1" outlineLevel="1" x14ac:dyDescent="0.25">
      <c r="A5579" s="74">
        <v>630</v>
      </c>
      <c r="B5579" s="45" t="s">
        <v>664</v>
      </c>
      <c r="C5579" s="60" t="s">
        <v>5156</v>
      </c>
      <c r="D5579" s="60"/>
      <c r="E5579" s="74">
        <v>2023</v>
      </c>
      <c r="F5579" s="74" t="s">
        <v>489</v>
      </c>
      <c r="G5579" s="61">
        <v>1</v>
      </c>
      <c r="H5579" s="61">
        <v>15</v>
      </c>
      <c r="I5579" s="61">
        <v>73.199939999999998</v>
      </c>
    </row>
    <row r="5580" spans="1:9" s="71" customFormat="1" ht="24" hidden="1" customHeight="1" outlineLevel="1" x14ac:dyDescent="0.25">
      <c r="A5580" s="74">
        <v>681</v>
      </c>
      <c r="B5580" s="45" t="s">
        <v>664</v>
      </c>
      <c r="C5580" s="60" t="s">
        <v>5157</v>
      </c>
      <c r="D5580" s="60"/>
      <c r="E5580" s="74">
        <v>2023</v>
      </c>
      <c r="F5580" s="74" t="s">
        <v>489</v>
      </c>
      <c r="G5580" s="61">
        <v>1</v>
      </c>
      <c r="H5580" s="61">
        <v>15</v>
      </c>
      <c r="I5580" s="61">
        <v>54.234180000000002</v>
      </c>
    </row>
    <row r="5581" spans="1:9" s="71" customFormat="1" ht="24" hidden="1" customHeight="1" outlineLevel="1" x14ac:dyDescent="0.25">
      <c r="A5581" s="74">
        <v>716</v>
      </c>
      <c r="B5581" s="45" t="s">
        <v>664</v>
      </c>
      <c r="C5581" s="60" t="s">
        <v>5158</v>
      </c>
      <c r="D5581" s="60"/>
      <c r="E5581" s="74">
        <v>2023</v>
      </c>
      <c r="F5581" s="74" t="s">
        <v>489</v>
      </c>
      <c r="G5581" s="61">
        <v>1</v>
      </c>
      <c r="H5581" s="61">
        <v>15</v>
      </c>
      <c r="I5581" s="61">
        <v>50.140920000000001</v>
      </c>
    </row>
    <row r="5582" spans="1:9" s="71" customFormat="1" ht="24" hidden="1" customHeight="1" outlineLevel="1" x14ac:dyDescent="0.25">
      <c r="A5582" s="74">
        <v>3232</v>
      </c>
      <c r="B5582" s="45" t="s">
        <v>664</v>
      </c>
      <c r="C5582" s="60" t="s">
        <v>5159</v>
      </c>
      <c r="D5582" s="60"/>
      <c r="E5582" s="74">
        <v>2023</v>
      </c>
      <c r="F5582" s="74" t="s">
        <v>489</v>
      </c>
      <c r="G5582" s="61">
        <v>1</v>
      </c>
      <c r="H5582" s="61">
        <v>15</v>
      </c>
      <c r="I5582" s="61">
        <v>63.001349999999995</v>
      </c>
    </row>
    <row r="5583" spans="1:9" s="71" customFormat="1" ht="24" hidden="1" customHeight="1" outlineLevel="1" x14ac:dyDescent="0.25">
      <c r="A5583" s="74">
        <v>748</v>
      </c>
      <c r="B5583" s="45" t="s">
        <v>664</v>
      </c>
      <c r="C5583" s="60" t="s">
        <v>5160</v>
      </c>
      <c r="D5583" s="60"/>
      <c r="E5583" s="74">
        <v>2023</v>
      </c>
      <c r="F5583" s="74" t="s">
        <v>489</v>
      </c>
      <c r="G5583" s="61">
        <v>1</v>
      </c>
      <c r="H5583" s="61">
        <v>15</v>
      </c>
      <c r="I5583" s="61">
        <v>49.93676</v>
      </c>
    </row>
    <row r="5584" spans="1:9" s="71" customFormat="1" ht="24" hidden="1" customHeight="1" outlineLevel="1" x14ac:dyDescent="0.25">
      <c r="A5584" s="74">
        <v>762</v>
      </c>
      <c r="B5584" s="45" t="s">
        <v>664</v>
      </c>
      <c r="C5584" s="60" t="s">
        <v>5161</v>
      </c>
      <c r="D5584" s="60"/>
      <c r="E5584" s="74">
        <v>2023</v>
      </c>
      <c r="F5584" s="74" t="s">
        <v>489</v>
      </c>
      <c r="G5584" s="61">
        <v>1</v>
      </c>
      <c r="H5584" s="61">
        <v>15</v>
      </c>
      <c r="I5584" s="61">
        <v>42.910629999999998</v>
      </c>
    </row>
    <row r="5585" spans="1:9" s="71" customFormat="1" ht="24" hidden="1" customHeight="1" outlineLevel="1" x14ac:dyDescent="0.25">
      <c r="A5585" s="74">
        <v>764</v>
      </c>
      <c r="B5585" s="45" t="s">
        <v>664</v>
      </c>
      <c r="C5585" s="60" t="s">
        <v>5162</v>
      </c>
      <c r="D5585" s="60"/>
      <c r="E5585" s="74">
        <v>2023</v>
      </c>
      <c r="F5585" s="74" t="s">
        <v>489</v>
      </c>
      <c r="G5585" s="61">
        <v>1</v>
      </c>
      <c r="H5585" s="61">
        <v>8</v>
      </c>
      <c r="I5585" s="61">
        <v>45.939369999999997</v>
      </c>
    </row>
    <row r="5586" spans="1:9" s="71" customFormat="1" ht="24" hidden="1" customHeight="1" outlineLevel="1" x14ac:dyDescent="0.25">
      <c r="A5586" s="74">
        <v>797</v>
      </c>
      <c r="B5586" s="45" t="s">
        <v>664</v>
      </c>
      <c r="C5586" s="60" t="s">
        <v>5163</v>
      </c>
      <c r="D5586" s="60"/>
      <c r="E5586" s="74">
        <v>2023</v>
      </c>
      <c r="F5586" s="74" t="s">
        <v>489</v>
      </c>
      <c r="G5586" s="61">
        <v>1</v>
      </c>
      <c r="H5586" s="61">
        <v>15</v>
      </c>
      <c r="I5586" s="61">
        <v>44.581600000000002</v>
      </c>
    </row>
    <row r="5587" spans="1:9" s="71" customFormat="1" ht="24" hidden="1" customHeight="1" outlineLevel="1" x14ac:dyDescent="0.25">
      <c r="A5587" s="74">
        <v>3354</v>
      </c>
      <c r="B5587" s="45" t="s">
        <v>664</v>
      </c>
      <c r="C5587" s="60" t="s">
        <v>5164</v>
      </c>
      <c r="D5587" s="60"/>
      <c r="E5587" s="74">
        <v>2023</v>
      </c>
      <c r="F5587" s="74" t="s">
        <v>489</v>
      </c>
      <c r="G5587" s="61">
        <v>1</v>
      </c>
      <c r="H5587" s="61">
        <v>85</v>
      </c>
      <c r="I5587" s="61">
        <v>61.997056000000001</v>
      </c>
    </row>
    <row r="5588" spans="1:9" s="71" customFormat="1" ht="24" hidden="1" customHeight="1" outlineLevel="1" x14ac:dyDescent="0.25">
      <c r="A5588" s="74">
        <v>880</v>
      </c>
      <c r="B5588" s="45" t="s">
        <v>664</v>
      </c>
      <c r="C5588" s="60" t="s">
        <v>5165</v>
      </c>
      <c r="D5588" s="60"/>
      <c r="E5588" s="74">
        <v>2023</v>
      </c>
      <c r="F5588" s="74" t="s">
        <v>489</v>
      </c>
      <c r="G5588" s="61">
        <v>1</v>
      </c>
      <c r="H5588" s="61">
        <v>15</v>
      </c>
      <c r="I5588" s="61">
        <v>61.419889999999995</v>
      </c>
    </row>
    <row r="5589" spans="1:9" s="71" customFormat="1" ht="24" hidden="1" customHeight="1" outlineLevel="1" x14ac:dyDescent="0.25">
      <c r="A5589" s="74">
        <v>910</v>
      </c>
      <c r="B5589" s="45" t="s">
        <v>664</v>
      </c>
      <c r="C5589" s="60" t="s">
        <v>5166</v>
      </c>
      <c r="D5589" s="60"/>
      <c r="E5589" s="74">
        <v>2023</v>
      </c>
      <c r="F5589" s="74" t="s">
        <v>489</v>
      </c>
      <c r="G5589" s="61">
        <v>1</v>
      </c>
      <c r="H5589" s="61">
        <v>15</v>
      </c>
      <c r="I5589" s="61">
        <v>59.32029</v>
      </c>
    </row>
    <row r="5590" spans="1:9" s="71" customFormat="1" ht="24" hidden="1" customHeight="1" outlineLevel="1" x14ac:dyDescent="0.25">
      <c r="A5590" s="74">
        <v>3530</v>
      </c>
      <c r="B5590" s="45" t="s">
        <v>664</v>
      </c>
      <c r="C5590" s="60" t="s">
        <v>5167</v>
      </c>
      <c r="D5590" s="60"/>
      <c r="E5590" s="74">
        <v>2023</v>
      </c>
      <c r="F5590" s="74" t="s">
        <v>489</v>
      </c>
      <c r="G5590" s="61">
        <v>1</v>
      </c>
      <c r="H5590" s="61">
        <v>10</v>
      </c>
      <c r="I5590" s="61">
        <v>55.452099999999994</v>
      </c>
    </row>
    <row r="5591" spans="1:9" s="71" customFormat="1" ht="24" hidden="1" customHeight="1" outlineLevel="1" x14ac:dyDescent="0.25">
      <c r="A5591" s="74">
        <v>1194</v>
      </c>
      <c r="B5591" s="45" t="s">
        <v>664</v>
      </c>
      <c r="C5591" s="60" t="s">
        <v>5168</v>
      </c>
      <c r="D5591" s="60"/>
      <c r="E5591" s="74">
        <v>2023</v>
      </c>
      <c r="F5591" s="74" t="s">
        <v>489</v>
      </c>
      <c r="G5591" s="61">
        <v>1</v>
      </c>
      <c r="H5591" s="61">
        <v>7.5</v>
      </c>
      <c r="I5591" s="61">
        <v>50.063690000000001</v>
      </c>
    </row>
    <row r="5592" spans="1:9" s="71" customFormat="1" ht="24" hidden="1" customHeight="1" outlineLevel="1" x14ac:dyDescent="0.25">
      <c r="A5592" s="74">
        <v>3094</v>
      </c>
      <c r="B5592" s="45" t="s">
        <v>664</v>
      </c>
      <c r="C5592" s="60" t="s">
        <v>5169</v>
      </c>
      <c r="D5592" s="60"/>
      <c r="E5592" s="74">
        <v>2023</v>
      </c>
      <c r="F5592" s="74" t="s">
        <v>489</v>
      </c>
      <c r="G5592" s="61">
        <v>1</v>
      </c>
      <c r="H5592" s="61">
        <v>150</v>
      </c>
      <c r="I5592" s="61">
        <v>60.006</v>
      </c>
    </row>
    <row r="5593" spans="1:9" s="71" customFormat="1" ht="24" hidden="1" customHeight="1" outlineLevel="1" x14ac:dyDescent="0.25">
      <c r="A5593" s="74">
        <v>1232</v>
      </c>
      <c r="B5593" s="45" t="s">
        <v>664</v>
      </c>
      <c r="C5593" s="60" t="s">
        <v>5170</v>
      </c>
      <c r="D5593" s="60"/>
      <c r="E5593" s="74">
        <v>2023</v>
      </c>
      <c r="F5593" s="74" t="s">
        <v>489</v>
      </c>
      <c r="G5593" s="61">
        <v>1</v>
      </c>
      <c r="H5593" s="61">
        <v>5</v>
      </c>
      <c r="I5593" s="61">
        <v>53.862029999999997</v>
      </c>
    </row>
    <row r="5594" spans="1:9" s="71" customFormat="1" ht="24" hidden="1" customHeight="1" outlineLevel="1" x14ac:dyDescent="0.25">
      <c r="A5594" s="74">
        <v>3521</v>
      </c>
      <c r="B5594" s="45" t="s">
        <v>664</v>
      </c>
      <c r="C5594" s="60" t="s">
        <v>5171</v>
      </c>
      <c r="D5594" s="60"/>
      <c r="E5594" s="74">
        <v>2023</v>
      </c>
      <c r="F5594" s="74" t="s">
        <v>489</v>
      </c>
      <c r="G5594" s="61">
        <v>1</v>
      </c>
      <c r="H5594" s="61">
        <v>15</v>
      </c>
      <c r="I5594" s="61">
        <v>51.348150000000004</v>
      </c>
    </row>
    <row r="5595" spans="1:9" s="71" customFormat="1" ht="24" hidden="1" customHeight="1" outlineLevel="1" x14ac:dyDescent="0.25">
      <c r="A5595" s="74">
        <v>6259</v>
      </c>
      <c r="B5595" s="45" t="s">
        <v>664</v>
      </c>
      <c r="C5595" s="60" t="s">
        <v>5172</v>
      </c>
      <c r="D5595" s="60"/>
      <c r="E5595" s="74">
        <v>2023</v>
      </c>
      <c r="F5595" s="74" t="s">
        <v>489</v>
      </c>
      <c r="G5595" s="61">
        <v>1</v>
      </c>
      <c r="H5595" s="61">
        <v>7.5</v>
      </c>
      <c r="I5595" s="61">
        <v>67.650619999999989</v>
      </c>
    </row>
    <row r="5596" spans="1:9" s="71" customFormat="1" ht="24" hidden="1" customHeight="1" outlineLevel="1" x14ac:dyDescent="0.25">
      <c r="A5596" s="74">
        <v>2848</v>
      </c>
      <c r="B5596" s="45" t="s">
        <v>664</v>
      </c>
      <c r="C5596" s="60" t="s">
        <v>5173</v>
      </c>
      <c r="D5596" s="60"/>
      <c r="E5596" s="74">
        <v>2023</v>
      </c>
      <c r="F5596" s="74" t="s">
        <v>489</v>
      </c>
      <c r="G5596" s="61">
        <v>1</v>
      </c>
      <c r="H5596" s="61">
        <v>15</v>
      </c>
      <c r="I5596" s="61">
        <v>45.759239999999998</v>
      </c>
    </row>
    <row r="5597" spans="1:9" s="71" customFormat="1" ht="24" hidden="1" customHeight="1" outlineLevel="1" x14ac:dyDescent="0.25">
      <c r="A5597" s="74">
        <v>6260</v>
      </c>
      <c r="B5597" s="45" t="s">
        <v>664</v>
      </c>
      <c r="C5597" s="60" t="s">
        <v>5174</v>
      </c>
      <c r="D5597" s="60"/>
      <c r="E5597" s="74">
        <v>2023</v>
      </c>
      <c r="F5597" s="74" t="s">
        <v>489</v>
      </c>
      <c r="G5597" s="61">
        <v>1</v>
      </c>
      <c r="H5597" s="61">
        <v>15</v>
      </c>
      <c r="I5597" s="61">
        <v>52.414950000000005</v>
      </c>
    </row>
    <row r="5598" spans="1:9" s="71" customFormat="1" ht="24" hidden="1" customHeight="1" outlineLevel="1" x14ac:dyDescent="0.25">
      <c r="A5598" s="74">
        <v>1017</v>
      </c>
      <c r="B5598" s="45" t="s">
        <v>664</v>
      </c>
      <c r="C5598" s="60" t="s">
        <v>5175</v>
      </c>
      <c r="D5598" s="60"/>
      <c r="E5598" s="74">
        <v>2023</v>
      </c>
      <c r="F5598" s="74" t="s">
        <v>489</v>
      </c>
      <c r="G5598" s="61">
        <v>1</v>
      </c>
      <c r="H5598" s="61">
        <v>15</v>
      </c>
      <c r="I5598" s="61">
        <v>84.212400000000002</v>
      </c>
    </row>
    <row r="5599" spans="1:9" s="71" customFormat="1" ht="24" hidden="1" customHeight="1" outlineLevel="1" x14ac:dyDescent="0.25">
      <c r="A5599" s="74">
        <v>1408</v>
      </c>
      <c r="B5599" s="45" t="s">
        <v>664</v>
      </c>
      <c r="C5599" s="60" t="s">
        <v>5176</v>
      </c>
      <c r="D5599" s="60"/>
      <c r="E5599" s="74">
        <v>2023</v>
      </c>
      <c r="F5599" s="74" t="s">
        <v>489</v>
      </c>
      <c r="G5599" s="61">
        <v>1</v>
      </c>
      <c r="H5599" s="61">
        <v>5</v>
      </c>
      <c r="I5599" s="61">
        <v>136.59046999999998</v>
      </c>
    </row>
    <row r="5600" spans="1:9" s="71" customFormat="1" ht="24" hidden="1" customHeight="1" outlineLevel="1" x14ac:dyDescent="0.25">
      <c r="A5600" s="74">
        <v>1725</v>
      </c>
      <c r="B5600" s="45" t="s">
        <v>664</v>
      </c>
      <c r="C5600" s="60" t="s">
        <v>5177</v>
      </c>
      <c r="D5600" s="60"/>
      <c r="E5600" s="74">
        <v>2023</v>
      </c>
      <c r="F5600" s="74" t="s">
        <v>489</v>
      </c>
      <c r="G5600" s="61">
        <v>1</v>
      </c>
      <c r="H5600" s="61">
        <v>15</v>
      </c>
      <c r="I5600" s="61">
        <v>120.41504</v>
      </c>
    </row>
    <row r="5601" spans="1:9" s="71" customFormat="1" ht="24" hidden="1" customHeight="1" outlineLevel="1" x14ac:dyDescent="0.25">
      <c r="A5601" s="74">
        <v>933</v>
      </c>
      <c r="B5601" s="45" t="s">
        <v>664</v>
      </c>
      <c r="C5601" s="60" t="s">
        <v>5178</v>
      </c>
      <c r="D5601" s="60"/>
      <c r="E5601" s="74">
        <v>2023</v>
      </c>
      <c r="F5601" s="74" t="s">
        <v>489</v>
      </c>
      <c r="G5601" s="61">
        <v>1</v>
      </c>
      <c r="H5601" s="61">
        <v>15</v>
      </c>
      <c r="I5601" s="61">
        <v>124.40213999999999</v>
      </c>
    </row>
    <row r="5602" spans="1:9" s="71" customFormat="1" ht="24" hidden="1" customHeight="1" outlineLevel="1" x14ac:dyDescent="0.25">
      <c r="A5602" s="74">
        <v>6468</v>
      </c>
      <c r="B5602" s="45" t="s">
        <v>664</v>
      </c>
      <c r="C5602" s="60" t="s">
        <v>5179</v>
      </c>
      <c r="D5602" s="60"/>
      <c r="E5602" s="74">
        <v>2023</v>
      </c>
      <c r="F5602" s="74" t="s">
        <v>489</v>
      </c>
      <c r="G5602" s="61">
        <v>1</v>
      </c>
      <c r="H5602" s="61">
        <v>10</v>
      </c>
      <c r="I5602" s="61">
        <v>89.705699999999993</v>
      </c>
    </row>
    <row r="5603" spans="1:9" s="71" customFormat="1" ht="24" hidden="1" customHeight="1" outlineLevel="1" x14ac:dyDescent="0.25">
      <c r="A5603" s="74">
        <v>671</v>
      </c>
      <c r="B5603" s="45" t="s">
        <v>664</v>
      </c>
      <c r="C5603" s="60" t="s">
        <v>5180</v>
      </c>
      <c r="D5603" s="60"/>
      <c r="E5603" s="74">
        <v>2023</v>
      </c>
      <c r="F5603" s="74" t="s">
        <v>489</v>
      </c>
      <c r="G5603" s="61">
        <v>1</v>
      </c>
      <c r="H5603" s="61">
        <v>15</v>
      </c>
      <c r="I5603" s="61">
        <v>64.233649999999997</v>
      </c>
    </row>
    <row r="5604" spans="1:9" s="71" customFormat="1" ht="24" hidden="1" customHeight="1" outlineLevel="1" x14ac:dyDescent="0.25">
      <c r="A5604" s="74">
        <v>1567</v>
      </c>
      <c r="B5604" s="45" t="s">
        <v>664</v>
      </c>
      <c r="C5604" s="60" t="s">
        <v>5181</v>
      </c>
      <c r="D5604" s="60"/>
      <c r="E5604" s="74">
        <v>2023</v>
      </c>
      <c r="F5604" s="74" t="s">
        <v>489</v>
      </c>
      <c r="G5604" s="61">
        <v>1</v>
      </c>
      <c r="H5604" s="61">
        <v>15</v>
      </c>
      <c r="I5604" s="61">
        <v>155.60642999999999</v>
      </c>
    </row>
    <row r="5605" spans="1:9" s="71" customFormat="1" ht="24" hidden="1" customHeight="1" outlineLevel="1" x14ac:dyDescent="0.25">
      <c r="A5605" s="74">
        <v>611</v>
      </c>
      <c r="B5605" s="45" t="s">
        <v>664</v>
      </c>
      <c r="C5605" s="60" t="s">
        <v>5182</v>
      </c>
      <c r="D5605" s="60"/>
      <c r="E5605" s="74">
        <v>2023</v>
      </c>
      <c r="F5605" s="74" t="s">
        <v>489</v>
      </c>
      <c r="G5605" s="61">
        <v>1</v>
      </c>
      <c r="H5605" s="61">
        <v>10</v>
      </c>
      <c r="I5605" s="61">
        <v>59.434849999999997</v>
      </c>
    </row>
    <row r="5606" spans="1:9" s="71" customFormat="1" ht="24" hidden="1" customHeight="1" outlineLevel="1" x14ac:dyDescent="0.25">
      <c r="A5606" s="74">
        <v>1375</v>
      </c>
      <c r="B5606" s="45" t="s">
        <v>664</v>
      </c>
      <c r="C5606" s="60" t="s">
        <v>5183</v>
      </c>
      <c r="D5606" s="60"/>
      <c r="E5606" s="74">
        <v>2023</v>
      </c>
      <c r="F5606" s="74" t="s">
        <v>489</v>
      </c>
      <c r="G5606" s="61">
        <v>1</v>
      </c>
      <c r="H5606" s="61">
        <v>8</v>
      </c>
      <c r="I5606" s="61">
        <v>112.11790000000001</v>
      </c>
    </row>
    <row r="5607" spans="1:9" s="71" customFormat="1" ht="24" hidden="1" customHeight="1" outlineLevel="1" x14ac:dyDescent="0.25">
      <c r="A5607" s="74">
        <v>2859</v>
      </c>
      <c r="B5607" s="45" t="s">
        <v>664</v>
      </c>
      <c r="C5607" s="60" t="s">
        <v>5184</v>
      </c>
      <c r="D5607" s="60"/>
      <c r="E5607" s="74">
        <v>2023</v>
      </c>
      <c r="F5607" s="74" t="s">
        <v>489</v>
      </c>
      <c r="G5607" s="61">
        <v>1</v>
      </c>
      <c r="H5607" s="61">
        <v>15</v>
      </c>
      <c r="I5607" s="61">
        <v>80.089999999999989</v>
      </c>
    </row>
    <row r="5608" spans="1:9" s="71" customFormat="1" ht="24" hidden="1" customHeight="1" outlineLevel="1" x14ac:dyDescent="0.25">
      <c r="A5608" s="74">
        <v>1235</v>
      </c>
      <c r="B5608" s="45" t="s">
        <v>664</v>
      </c>
      <c r="C5608" s="60" t="s">
        <v>5185</v>
      </c>
      <c r="D5608" s="60"/>
      <c r="E5608" s="74">
        <v>2023</v>
      </c>
      <c r="F5608" s="74" t="s">
        <v>489</v>
      </c>
      <c r="G5608" s="61">
        <v>1</v>
      </c>
      <c r="H5608" s="61">
        <v>15</v>
      </c>
      <c r="I5608" s="61">
        <v>95.073300000000003</v>
      </c>
    </row>
    <row r="5609" spans="1:9" s="71" customFormat="1" ht="24" hidden="1" customHeight="1" outlineLevel="1" x14ac:dyDescent="0.25">
      <c r="A5609" s="74">
        <v>3236</v>
      </c>
      <c r="B5609" s="45" t="s">
        <v>664</v>
      </c>
      <c r="C5609" s="60" t="s">
        <v>5186</v>
      </c>
      <c r="D5609" s="60"/>
      <c r="E5609" s="74">
        <v>2023</v>
      </c>
      <c r="F5609" s="74" t="s">
        <v>489</v>
      </c>
      <c r="G5609" s="61">
        <v>1</v>
      </c>
      <c r="H5609" s="61">
        <v>15</v>
      </c>
      <c r="I5609" s="61">
        <v>63.728200000000001</v>
      </c>
    </row>
    <row r="5610" spans="1:9" s="71" customFormat="1" ht="24" hidden="1" customHeight="1" outlineLevel="1" x14ac:dyDescent="0.25">
      <c r="A5610" s="74">
        <v>475</v>
      </c>
      <c r="B5610" s="45" t="s">
        <v>664</v>
      </c>
      <c r="C5610" s="60" t="s">
        <v>5187</v>
      </c>
      <c r="D5610" s="60"/>
      <c r="E5610" s="74">
        <v>2023</v>
      </c>
      <c r="F5610" s="74" t="s">
        <v>489</v>
      </c>
      <c r="G5610" s="61">
        <v>1</v>
      </c>
      <c r="H5610" s="61">
        <v>15</v>
      </c>
      <c r="I5610" s="61">
        <v>54.432569999999998</v>
      </c>
    </row>
    <row r="5611" spans="1:9" s="71" customFormat="1" ht="24" hidden="1" customHeight="1" outlineLevel="1" x14ac:dyDescent="0.25">
      <c r="A5611" s="74">
        <v>3366</v>
      </c>
      <c r="B5611" s="45" t="s">
        <v>664</v>
      </c>
      <c r="C5611" s="60" t="s">
        <v>5188</v>
      </c>
      <c r="D5611" s="60"/>
      <c r="E5611" s="74">
        <v>2023</v>
      </c>
      <c r="F5611" s="74" t="s">
        <v>489</v>
      </c>
      <c r="G5611" s="61">
        <v>1</v>
      </c>
      <c r="H5611" s="61">
        <v>150</v>
      </c>
      <c r="I5611" s="61">
        <v>44.879849999999998</v>
      </c>
    </row>
    <row r="5612" spans="1:9" s="71" customFormat="1" ht="24" hidden="1" customHeight="1" outlineLevel="1" x14ac:dyDescent="0.25">
      <c r="A5612" s="74">
        <v>1099</v>
      </c>
      <c r="B5612" s="45" t="s">
        <v>664</v>
      </c>
      <c r="C5612" s="60" t="s">
        <v>5189</v>
      </c>
      <c r="D5612" s="60"/>
      <c r="E5612" s="74">
        <v>2023</v>
      </c>
      <c r="F5612" s="74" t="s">
        <v>489</v>
      </c>
      <c r="G5612" s="61">
        <v>1</v>
      </c>
      <c r="H5612" s="61">
        <v>15</v>
      </c>
      <c r="I5612" s="61">
        <v>60.22974</v>
      </c>
    </row>
    <row r="5613" spans="1:9" s="71" customFormat="1" ht="24" hidden="1" customHeight="1" outlineLevel="1" x14ac:dyDescent="0.25">
      <c r="A5613" s="74">
        <v>729</v>
      </c>
      <c r="B5613" s="45" t="s">
        <v>664</v>
      </c>
      <c r="C5613" s="60" t="s">
        <v>5190</v>
      </c>
      <c r="D5613" s="60"/>
      <c r="E5613" s="74">
        <v>2023</v>
      </c>
      <c r="F5613" s="74" t="s">
        <v>489</v>
      </c>
      <c r="G5613" s="61">
        <v>1</v>
      </c>
      <c r="H5613" s="61">
        <v>15</v>
      </c>
      <c r="I5613" s="61">
        <v>65.207480000000004</v>
      </c>
    </row>
    <row r="5614" spans="1:9" s="71" customFormat="1" ht="24" hidden="1" customHeight="1" outlineLevel="1" x14ac:dyDescent="0.25">
      <c r="A5614" s="74">
        <v>1846</v>
      </c>
      <c r="B5614" s="45" t="s">
        <v>664</v>
      </c>
      <c r="C5614" s="60" t="s">
        <v>5191</v>
      </c>
      <c r="D5614" s="60"/>
      <c r="E5614" s="74">
        <v>2023</v>
      </c>
      <c r="F5614" s="74" t="s">
        <v>489</v>
      </c>
      <c r="G5614" s="61">
        <v>1</v>
      </c>
      <c r="H5614" s="61">
        <v>5</v>
      </c>
      <c r="I5614" s="61">
        <v>58.934899999999999</v>
      </c>
    </row>
    <row r="5615" spans="1:9" s="71" customFormat="1" ht="24" hidden="1" customHeight="1" outlineLevel="1" x14ac:dyDescent="0.25">
      <c r="A5615" s="74">
        <v>2880</v>
      </c>
      <c r="B5615" s="45" t="s">
        <v>664</v>
      </c>
      <c r="C5615" s="60" t="s">
        <v>5192</v>
      </c>
      <c r="D5615" s="60"/>
      <c r="E5615" s="74">
        <v>2023</v>
      </c>
      <c r="F5615" s="74" t="s">
        <v>489</v>
      </c>
      <c r="G5615" s="61">
        <v>1</v>
      </c>
      <c r="H5615" s="61">
        <v>15</v>
      </c>
      <c r="I5615" s="61">
        <v>67.885860000000008</v>
      </c>
    </row>
    <row r="5616" spans="1:9" s="71" customFormat="1" ht="24" hidden="1" customHeight="1" outlineLevel="1" x14ac:dyDescent="0.25">
      <c r="A5616" s="74">
        <v>1578</v>
      </c>
      <c r="B5616" s="45" t="s">
        <v>664</v>
      </c>
      <c r="C5616" s="60" t="s">
        <v>5193</v>
      </c>
      <c r="D5616" s="60"/>
      <c r="E5616" s="74">
        <v>2023</v>
      </c>
      <c r="F5616" s="74" t="s">
        <v>489</v>
      </c>
      <c r="G5616" s="61">
        <v>1</v>
      </c>
      <c r="H5616" s="61">
        <v>15</v>
      </c>
      <c r="I5616" s="61">
        <v>85.181300000000007</v>
      </c>
    </row>
    <row r="5617" spans="1:9" s="71" customFormat="1" ht="24" hidden="1" customHeight="1" outlineLevel="1" x14ac:dyDescent="0.25">
      <c r="A5617" s="74">
        <v>595</v>
      </c>
      <c r="B5617" s="45" t="s">
        <v>664</v>
      </c>
      <c r="C5617" s="60" t="s">
        <v>5194</v>
      </c>
      <c r="D5617" s="60"/>
      <c r="E5617" s="74">
        <v>2023</v>
      </c>
      <c r="F5617" s="74" t="s">
        <v>489</v>
      </c>
      <c r="G5617" s="61">
        <v>1</v>
      </c>
      <c r="H5617" s="61">
        <v>10</v>
      </c>
      <c r="I5617" s="61">
        <v>70.729900000000001</v>
      </c>
    </row>
    <row r="5618" spans="1:9" s="71" customFormat="1" ht="24" hidden="1" customHeight="1" outlineLevel="1" x14ac:dyDescent="0.25">
      <c r="A5618" s="74">
        <v>1322</v>
      </c>
      <c r="B5618" s="45" t="s">
        <v>664</v>
      </c>
      <c r="C5618" s="60" t="s">
        <v>5195</v>
      </c>
      <c r="D5618" s="60"/>
      <c r="E5618" s="74">
        <v>2023</v>
      </c>
      <c r="F5618" s="74" t="s">
        <v>489</v>
      </c>
      <c r="G5618" s="61">
        <v>1</v>
      </c>
      <c r="H5618" s="61">
        <v>15</v>
      </c>
      <c r="I5618" s="61">
        <v>124.8603</v>
      </c>
    </row>
    <row r="5619" spans="1:9" s="71" customFormat="1" ht="24" hidden="1" customHeight="1" outlineLevel="1" x14ac:dyDescent="0.25">
      <c r="A5619" s="74">
        <v>1094</v>
      </c>
      <c r="B5619" s="45" t="s">
        <v>664</v>
      </c>
      <c r="C5619" s="60" t="s">
        <v>5196</v>
      </c>
      <c r="D5619" s="60"/>
      <c r="E5619" s="74">
        <v>2023</v>
      </c>
      <c r="F5619" s="74" t="s">
        <v>489</v>
      </c>
      <c r="G5619" s="61">
        <v>1</v>
      </c>
      <c r="H5619" s="61">
        <v>15</v>
      </c>
      <c r="I5619" s="61">
        <v>62.22</v>
      </c>
    </row>
    <row r="5620" spans="1:9" s="71" customFormat="1" ht="24" hidden="1" customHeight="1" outlineLevel="1" x14ac:dyDescent="0.25">
      <c r="A5620" s="74">
        <v>3270</v>
      </c>
      <c r="B5620" s="45" t="s">
        <v>664</v>
      </c>
      <c r="C5620" s="60" t="s">
        <v>5197</v>
      </c>
      <c r="D5620" s="60"/>
      <c r="E5620" s="74">
        <v>2023</v>
      </c>
      <c r="F5620" s="74" t="s">
        <v>489</v>
      </c>
      <c r="G5620" s="61">
        <v>1</v>
      </c>
      <c r="H5620" s="61">
        <v>15</v>
      </c>
      <c r="I5620" s="61">
        <v>90.976459999999989</v>
      </c>
    </row>
    <row r="5621" spans="1:9" s="71" customFormat="1" ht="24" hidden="1" customHeight="1" outlineLevel="1" x14ac:dyDescent="0.25">
      <c r="A5621" s="74">
        <v>1445</v>
      </c>
      <c r="B5621" s="45" t="s">
        <v>664</v>
      </c>
      <c r="C5621" s="60" t="s">
        <v>5198</v>
      </c>
      <c r="D5621" s="60"/>
      <c r="E5621" s="74">
        <v>2023</v>
      </c>
      <c r="F5621" s="74" t="s">
        <v>489</v>
      </c>
      <c r="G5621" s="61">
        <v>1</v>
      </c>
      <c r="H5621" s="61">
        <v>10</v>
      </c>
      <c r="I5621" s="61">
        <v>51.253999999999998</v>
      </c>
    </row>
    <row r="5622" spans="1:9" s="71" customFormat="1" ht="24" hidden="1" customHeight="1" outlineLevel="1" x14ac:dyDescent="0.25">
      <c r="A5622" s="74">
        <v>3139</v>
      </c>
      <c r="B5622" s="45" t="s">
        <v>664</v>
      </c>
      <c r="C5622" s="60" t="s">
        <v>5199</v>
      </c>
      <c r="D5622" s="60"/>
      <c r="E5622" s="74">
        <v>2023</v>
      </c>
      <c r="F5622" s="74" t="s">
        <v>489</v>
      </c>
      <c r="G5622" s="61">
        <v>1</v>
      </c>
      <c r="H5622" s="61">
        <v>44</v>
      </c>
      <c r="I5622" s="61">
        <v>73.927679999999995</v>
      </c>
    </row>
    <row r="5623" spans="1:9" s="71" customFormat="1" ht="24" hidden="1" customHeight="1" outlineLevel="1" x14ac:dyDescent="0.25">
      <c r="A5623" s="74">
        <v>6535</v>
      </c>
      <c r="B5623" s="45" t="s">
        <v>664</v>
      </c>
      <c r="C5623" s="60" t="s">
        <v>5200</v>
      </c>
      <c r="D5623" s="60"/>
      <c r="E5623" s="74">
        <v>2023</v>
      </c>
      <c r="F5623" s="74" t="s">
        <v>489</v>
      </c>
      <c r="G5623" s="61">
        <v>1</v>
      </c>
      <c r="H5623" s="61">
        <v>15</v>
      </c>
      <c r="I5623" s="61">
        <v>67.263000000000005</v>
      </c>
    </row>
    <row r="5624" spans="1:9" s="71" customFormat="1" ht="24" hidden="1" customHeight="1" outlineLevel="1" x14ac:dyDescent="0.25">
      <c r="A5624" s="74">
        <v>2857</v>
      </c>
      <c r="B5624" s="45" t="s">
        <v>664</v>
      </c>
      <c r="C5624" s="60" t="s">
        <v>5201</v>
      </c>
      <c r="D5624" s="60"/>
      <c r="E5624" s="74">
        <v>2023</v>
      </c>
      <c r="F5624" s="74" t="s">
        <v>489</v>
      </c>
      <c r="G5624" s="61">
        <v>1</v>
      </c>
      <c r="H5624" s="61">
        <v>15</v>
      </c>
      <c r="I5624" s="61">
        <v>67.27297999999999</v>
      </c>
    </row>
    <row r="5625" spans="1:9" s="71" customFormat="1" ht="24" hidden="1" customHeight="1" outlineLevel="1" x14ac:dyDescent="0.25">
      <c r="A5625" s="74">
        <v>2252</v>
      </c>
      <c r="B5625" s="45" t="s">
        <v>664</v>
      </c>
      <c r="C5625" s="60" t="s">
        <v>5202</v>
      </c>
      <c r="D5625" s="60"/>
      <c r="E5625" s="74">
        <v>2023</v>
      </c>
      <c r="F5625" s="74" t="s">
        <v>489</v>
      </c>
      <c r="G5625" s="61">
        <v>1</v>
      </c>
      <c r="H5625" s="61">
        <v>5</v>
      </c>
      <c r="I5625" s="61">
        <v>142.5018</v>
      </c>
    </row>
    <row r="5626" spans="1:9" s="71" customFormat="1" ht="24" hidden="1" customHeight="1" outlineLevel="1" x14ac:dyDescent="0.25">
      <c r="A5626" s="74">
        <v>1946</v>
      </c>
      <c r="B5626" s="45" t="s">
        <v>664</v>
      </c>
      <c r="C5626" s="60" t="s">
        <v>5203</v>
      </c>
      <c r="D5626" s="60"/>
      <c r="E5626" s="74">
        <v>2023</v>
      </c>
      <c r="F5626" s="74" t="s">
        <v>489</v>
      </c>
      <c r="G5626" s="61">
        <v>1</v>
      </c>
      <c r="H5626" s="61">
        <v>5</v>
      </c>
      <c r="I5626" s="61">
        <v>105.10796999999999</v>
      </c>
    </row>
    <row r="5627" spans="1:9" s="71" customFormat="1" ht="24" hidden="1" customHeight="1" outlineLevel="1" x14ac:dyDescent="0.25">
      <c r="A5627" s="74">
        <v>2063</v>
      </c>
      <c r="B5627" s="45" t="s">
        <v>664</v>
      </c>
      <c r="C5627" s="60" t="s">
        <v>5204</v>
      </c>
      <c r="D5627" s="60"/>
      <c r="E5627" s="74">
        <v>2023</v>
      </c>
      <c r="F5627" s="74" t="s">
        <v>489</v>
      </c>
      <c r="G5627" s="61">
        <v>1</v>
      </c>
      <c r="H5627" s="61">
        <v>15</v>
      </c>
      <c r="I5627" s="61">
        <v>95.799690000000012</v>
      </c>
    </row>
    <row r="5628" spans="1:9" s="71" customFormat="1" ht="24" hidden="1" customHeight="1" outlineLevel="1" x14ac:dyDescent="0.25">
      <c r="A5628" s="74">
        <v>2154</v>
      </c>
      <c r="B5628" s="45" t="s">
        <v>664</v>
      </c>
      <c r="C5628" s="60" t="s">
        <v>5205</v>
      </c>
      <c r="D5628" s="60"/>
      <c r="E5628" s="74">
        <v>2023</v>
      </c>
      <c r="F5628" s="74" t="s">
        <v>489</v>
      </c>
      <c r="G5628" s="61">
        <v>1</v>
      </c>
      <c r="H5628" s="61">
        <v>15</v>
      </c>
      <c r="I5628" s="61">
        <v>114.33964</v>
      </c>
    </row>
    <row r="5629" spans="1:9" s="71" customFormat="1" ht="24" hidden="1" customHeight="1" outlineLevel="1" x14ac:dyDescent="0.25">
      <c r="A5629" s="74">
        <v>1626</v>
      </c>
      <c r="B5629" s="45" t="s">
        <v>664</v>
      </c>
      <c r="C5629" s="60" t="s">
        <v>5206</v>
      </c>
      <c r="D5629" s="60"/>
      <c r="E5629" s="74">
        <v>2023</v>
      </c>
      <c r="F5629" s="74" t="s">
        <v>489</v>
      </c>
      <c r="G5629" s="61">
        <v>1</v>
      </c>
      <c r="H5629" s="61">
        <v>15</v>
      </c>
      <c r="I5629" s="61">
        <v>65.167720000000003</v>
      </c>
    </row>
    <row r="5630" spans="1:9" s="71" customFormat="1" ht="24" hidden="1" customHeight="1" outlineLevel="1" x14ac:dyDescent="0.25">
      <c r="A5630" s="74">
        <v>1857</v>
      </c>
      <c r="B5630" s="45" t="s">
        <v>664</v>
      </c>
      <c r="C5630" s="60" t="s">
        <v>5207</v>
      </c>
      <c r="D5630" s="60"/>
      <c r="E5630" s="74">
        <v>2023</v>
      </c>
      <c r="F5630" s="74" t="s">
        <v>489</v>
      </c>
      <c r="G5630" s="61">
        <v>1</v>
      </c>
      <c r="H5630" s="61">
        <v>5</v>
      </c>
      <c r="I5630" s="61">
        <v>66.608609999999999</v>
      </c>
    </row>
    <row r="5631" spans="1:9" s="71" customFormat="1" ht="24" hidden="1" customHeight="1" outlineLevel="1" x14ac:dyDescent="0.25">
      <c r="A5631" s="74">
        <v>3136</v>
      </c>
      <c r="B5631" s="45" t="s">
        <v>664</v>
      </c>
      <c r="C5631" s="60" t="s">
        <v>5208</v>
      </c>
      <c r="D5631" s="60"/>
      <c r="E5631" s="74">
        <v>2023</v>
      </c>
      <c r="F5631" s="74" t="s">
        <v>489</v>
      </c>
      <c r="G5631" s="61">
        <v>1</v>
      </c>
      <c r="H5631" s="61">
        <v>20</v>
      </c>
      <c r="I5631" s="61">
        <v>61.258000000000003</v>
      </c>
    </row>
    <row r="5632" spans="1:9" s="71" customFormat="1" ht="24" hidden="1" customHeight="1" outlineLevel="1" x14ac:dyDescent="0.25">
      <c r="A5632" s="74">
        <v>3301</v>
      </c>
      <c r="B5632" s="45" t="s">
        <v>664</v>
      </c>
      <c r="C5632" s="60" t="s">
        <v>5209</v>
      </c>
      <c r="D5632" s="60"/>
      <c r="E5632" s="74">
        <v>2023</v>
      </c>
      <c r="F5632" s="74" t="s">
        <v>489</v>
      </c>
      <c r="G5632" s="61">
        <v>1</v>
      </c>
      <c r="H5632" s="61">
        <v>15</v>
      </c>
      <c r="I5632" s="61">
        <v>67.506</v>
      </c>
    </row>
    <row r="5633" spans="1:9" s="71" customFormat="1" ht="24" hidden="1" customHeight="1" outlineLevel="1" x14ac:dyDescent="0.25">
      <c r="A5633" s="74">
        <v>2065</v>
      </c>
      <c r="B5633" s="45" t="s">
        <v>664</v>
      </c>
      <c r="C5633" s="60" t="s">
        <v>5210</v>
      </c>
      <c r="D5633" s="60"/>
      <c r="E5633" s="74">
        <v>2023</v>
      </c>
      <c r="F5633" s="74" t="s">
        <v>489</v>
      </c>
      <c r="G5633" s="61">
        <v>1</v>
      </c>
      <c r="H5633" s="61">
        <v>10</v>
      </c>
      <c r="I5633" s="61">
        <v>69.756</v>
      </c>
    </row>
    <row r="5634" spans="1:9" s="71" customFormat="1" ht="24" hidden="1" customHeight="1" outlineLevel="1" x14ac:dyDescent="0.25">
      <c r="A5634" s="74">
        <v>1957</v>
      </c>
      <c r="B5634" s="45" t="s">
        <v>664</v>
      </c>
      <c r="C5634" s="60" t="s">
        <v>5211</v>
      </c>
      <c r="D5634" s="60"/>
      <c r="E5634" s="74">
        <v>2023</v>
      </c>
      <c r="F5634" s="74" t="s">
        <v>489</v>
      </c>
      <c r="G5634" s="61">
        <v>1</v>
      </c>
      <c r="H5634" s="61">
        <v>1</v>
      </c>
      <c r="I5634" s="61">
        <v>68.570000000000007</v>
      </c>
    </row>
    <row r="5635" spans="1:9" s="71" customFormat="1" ht="24" hidden="1" customHeight="1" outlineLevel="1" x14ac:dyDescent="0.25">
      <c r="A5635" s="74">
        <v>685</v>
      </c>
      <c r="B5635" s="45" t="s">
        <v>664</v>
      </c>
      <c r="C5635" s="60" t="s">
        <v>5212</v>
      </c>
      <c r="D5635" s="60"/>
      <c r="E5635" s="74">
        <v>2023</v>
      </c>
      <c r="F5635" s="74" t="s">
        <v>489</v>
      </c>
      <c r="G5635" s="61">
        <v>1</v>
      </c>
      <c r="H5635" s="61">
        <v>15</v>
      </c>
      <c r="I5635" s="61">
        <v>18.082000000000001</v>
      </c>
    </row>
    <row r="5636" spans="1:9" s="71" customFormat="1" ht="24" hidden="1" customHeight="1" outlineLevel="1" x14ac:dyDescent="0.25">
      <c r="A5636" s="74">
        <v>634</v>
      </c>
      <c r="B5636" s="45" t="s">
        <v>664</v>
      </c>
      <c r="C5636" s="60" t="s">
        <v>5213</v>
      </c>
      <c r="D5636" s="60"/>
      <c r="E5636" s="74">
        <v>2023</v>
      </c>
      <c r="F5636" s="74" t="s">
        <v>489</v>
      </c>
      <c r="G5636" s="61">
        <v>1</v>
      </c>
      <c r="H5636" s="61">
        <v>15</v>
      </c>
      <c r="I5636" s="61">
        <v>52.024900000000002</v>
      </c>
    </row>
    <row r="5637" spans="1:9" s="71" customFormat="1" ht="24" hidden="1" customHeight="1" outlineLevel="1" x14ac:dyDescent="0.25">
      <c r="A5637" s="74">
        <v>650</v>
      </c>
      <c r="B5637" s="45" t="s">
        <v>664</v>
      </c>
      <c r="C5637" s="60" t="s">
        <v>5214</v>
      </c>
      <c r="D5637" s="60"/>
      <c r="E5637" s="74">
        <v>2023</v>
      </c>
      <c r="F5637" s="74" t="s">
        <v>489</v>
      </c>
      <c r="G5637" s="61">
        <v>3</v>
      </c>
      <c r="H5637" s="61">
        <v>30</v>
      </c>
      <c r="I5637" s="61">
        <v>200.512</v>
      </c>
    </row>
    <row r="5638" spans="1:9" s="71" customFormat="1" ht="24" hidden="1" customHeight="1" outlineLevel="1" x14ac:dyDescent="0.25">
      <c r="A5638" s="74">
        <v>652</v>
      </c>
      <c r="B5638" s="45" t="s">
        <v>664</v>
      </c>
      <c r="C5638" s="60" t="s">
        <v>5215</v>
      </c>
      <c r="D5638" s="60"/>
      <c r="E5638" s="74">
        <v>2023</v>
      </c>
      <c r="F5638" s="74" t="s">
        <v>489</v>
      </c>
      <c r="G5638" s="61">
        <v>1</v>
      </c>
      <c r="H5638" s="61">
        <v>10</v>
      </c>
      <c r="I5638" s="61">
        <v>53.455999999999996</v>
      </c>
    </row>
    <row r="5639" spans="1:9" s="71" customFormat="1" ht="24" hidden="1" customHeight="1" outlineLevel="1" x14ac:dyDescent="0.25">
      <c r="A5639" s="74">
        <v>661</v>
      </c>
      <c r="B5639" s="45" t="s">
        <v>664</v>
      </c>
      <c r="C5639" s="60" t="s">
        <v>5216</v>
      </c>
      <c r="D5639" s="60"/>
      <c r="E5639" s="74">
        <v>2023</v>
      </c>
      <c r="F5639" s="74" t="s">
        <v>489</v>
      </c>
      <c r="G5639" s="61">
        <v>1</v>
      </c>
      <c r="H5639" s="61">
        <v>10</v>
      </c>
      <c r="I5639" s="61">
        <v>57.271000000000001</v>
      </c>
    </row>
    <row r="5640" spans="1:9" s="71" customFormat="1" ht="24" hidden="1" customHeight="1" outlineLevel="1" x14ac:dyDescent="0.25">
      <c r="A5640" s="74">
        <v>915</v>
      </c>
      <c r="B5640" s="45" t="s">
        <v>664</v>
      </c>
      <c r="C5640" s="60" t="s">
        <v>5217</v>
      </c>
      <c r="D5640" s="60"/>
      <c r="E5640" s="74">
        <v>2023</v>
      </c>
      <c r="F5640" s="74" t="s">
        <v>489</v>
      </c>
      <c r="G5640" s="61">
        <v>1</v>
      </c>
      <c r="H5640" s="61">
        <v>15</v>
      </c>
      <c r="I5640" s="61">
        <v>46.140999999999998</v>
      </c>
    </row>
    <row r="5641" spans="1:9" s="71" customFormat="1" ht="24" hidden="1" customHeight="1" outlineLevel="1" x14ac:dyDescent="0.25">
      <c r="A5641" s="74">
        <v>2861</v>
      </c>
      <c r="B5641" s="45" t="s">
        <v>664</v>
      </c>
      <c r="C5641" s="60" t="s">
        <v>5218</v>
      </c>
      <c r="D5641" s="60"/>
      <c r="E5641" s="74">
        <v>2023</v>
      </c>
      <c r="F5641" s="74" t="s">
        <v>489</v>
      </c>
      <c r="G5641" s="61">
        <v>1</v>
      </c>
      <c r="H5641" s="61">
        <v>15</v>
      </c>
      <c r="I5641" s="61">
        <v>59.877000000000002</v>
      </c>
    </row>
    <row r="5642" spans="1:9" s="71" customFormat="1" ht="24" hidden="1" customHeight="1" outlineLevel="1" x14ac:dyDescent="0.25">
      <c r="A5642" s="74">
        <v>2177</v>
      </c>
      <c r="B5642" s="45" t="s">
        <v>664</v>
      </c>
      <c r="C5642" s="60" t="s">
        <v>5219</v>
      </c>
      <c r="D5642" s="60"/>
      <c r="E5642" s="74">
        <v>2023</v>
      </c>
      <c r="F5642" s="74" t="s">
        <v>489</v>
      </c>
      <c r="G5642" s="61">
        <v>1</v>
      </c>
      <c r="H5642" s="61">
        <v>10</v>
      </c>
      <c r="I5642" s="61">
        <v>55.311</v>
      </c>
    </row>
    <row r="5643" spans="1:9" s="71" customFormat="1" ht="24" hidden="1" customHeight="1" outlineLevel="1" x14ac:dyDescent="0.25">
      <c r="A5643" s="74">
        <v>2868</v>
      </c>
      <c r="B5643" s="45" t="s">
        <v>664</v>
      </c>
      <c r="C5643" s="60" t="s">
        <v>5220</v>
      </c>
      <c r="D5643" s="60"/>
      <c r="E5643" s="74">
        <v>2023</v>
      </c>
      <c r="F5643" s="74" t="s">
        <v>489</v>
      </c>
      <c r="G5643" s="61">
        <v>1</v>
      </c>
      <c r="H5643" s="61">
        <v>15</v>
      </c>
      <c r="I5643" s="61">
        <v>52.227000000000004</v>
      </c>
    </row>
    <row r="5644" spans="1:9" s="71" customFormat="1" ht="24" hidden="1" customHeight="1" outlineLevel="1" x14ac:dyDescent="0.25">
      <c r="A5644" s="74">
        <v>2295</v>
      </c>
      <c r="B5644" s="45" t="s">
        <v>664</v>
      </c>
      <c r="C5644" s="60" t="s">
        <v>5221</v>
      </c>
      <c r="D5644" s="60"/>
      <c r="E5644" s="74">
        <v>2023</v>
      </c>
      <c r="F5644" s="74" t="s">
        <v>489</v>
      </c>
      <c r="G5644" s="61">
        <v>1</v>
      </c>
      <c r="H5644" s="61">
        <v>15</v>
      </c>
      <c r="I5644" s="61">
        <v>74.481000000000009</v>
      </c>
    </row>
    <row r="5645" spans="1:9" s="71" customFormat="1" ht="24" hidden="1" customHeight="1" outlineLevel="1" x14ac:dyDescent="0.25">
      <c r="A5645" s="74">
        <v>6533</v>
      </c>
      <c r="B5645" s="45" t="s">
        <v>664</v>
      </c>
      <c r="C5645" s="60" t="s">
        <v>5222</v>
      </c>
      <c r="D5645" s="60"/>
      <c r="E5645" s="74">
        <v>2023</v>
      </c>
      <c r="F5645" s="74" t="s">
        <v>489</v>
      </c>
      <c r="G5645" s="61">
        <v>1</v>
      </c>
      <c r="H5645" s="61">
        <v>7.5</v>
      </c>
      <c r="I5645" s="61">
        <v>83.39</v>
      </c>
    </row>
    <row r="5646" spans="1:9" s="71" customFormat="1" ht="24" hidden="1" customHeight="1" outlineLevel="1" x14ac:dyDescent="0.25">
      <c r="A5646" s="74">
        <v>1654</v>
      </c>
      <c r="B5646" s="45" t="s">
        <v>664</v>
      </c>
      <c r="C5646" s="60" t="s">
        <v>5223</v>
      </c>
      <c r="D5646" s="60"/>
      <c r="E5646" s="74">
        <v>2023</v>
      </c>
      <c r="F5646" s="74" t="s">
        <v>489</v>
      </c>
      <c r="G5646" s="61">
        <v>1</v>
      </c>
      <c r="H5646" s="61">
        <v>15</v>
      </c>
      <c r="I5646" s="61">
        <v>61.864000000000004</v>
      </c>
    </row>
    <row r="5647" spans="1:9" s="71" customFormat="1" ht="24" hidden="1" customHeight="1" outlineLevel="1" x14ac:dyDescent="0.25">
      <c r="A5647" s="74">
        <v>644</v>
      </c>
      <c r="B5647" s="45" t="s">
        <v>664</v>
      </c>
      <c r="C5647" s="60" t="s">
        <v>5224</v>
      </c>
      <c r="D5647" s="60"/>
      <c r="E5647" s="74">
        <v>2023</v>
      </c>
      <c r="F5647" s="74" t="s">
        <v>489</v>
      </c>
      <c r="G5647" s="61">
        <v>1</v>
      </c>
      <c r="H5647" s="61">
        <v>15</v>
      </c>
      <c r="I5647" s="61">
        <v>56.707000000000001</v>
      </c>
    </row>
    <row r="5648" spans="1:9" s="71" customFormat="1" ht="24" hidden="1" customHeight="1" outlineLevel="1" x14ac:dyDescent="0.25">
      <c r="A5648" s="74">
        <v>678</v>
      </c>
      <c r="B5648" s="45" t="s">
        <v>664</v>
      </c>
      <c r="C5648" s="60" t="s">
        <v>5225</v>
      </c>
      <c r="D5648" s="60"/>
      <c r="E5648" s="74">
        <v>2023</v>
      </c>
      <c r="F5648" s="74" t="s">
        <v>489</v>
      </c>
      <c r="G5648" s="61">
        <v>1</v>
      </c>
      <c r="H5648" s="61">
        <v>14</v>
      </c>
      <c r="I5648" s="61">
        <v>82.357500000000002</v>
      </c>
    </row>
    <row r="5649" spans="1:9" s="71" customFormat="1" ht="24" hidden="1" customHeight="1" outlineLevel="1" x14ac:dyDescent="0.25">
      <c r="A5649" s="74">
        <v>633</v>
      </c>
      <c r="B5649" s="45" t="s">
        <v>664</v>
      </c>
      <c r="C5649" s="60" t="s">
        <v>5226</v>
      </c>
      <c r="D5649" s="60"/>
      <c r="E5649" s="74">
        <v>2023</v>
      </c>
      <c r="F5649" s="74" t="s">
        <v>489</v>
      </c>
      <c r="G5649" s="61">
        <v>1</v>
      </c>
      <c r="H5649" s="61">
        <v>10</v>
      </c>
      <c r="I5649" s="61">
        <v>73.191699999999997</v>
      </c>
    </row>
    <row r="5650" spans="1:9" s="71" customFormat="1" ht="24" hidden="1" customHeight="1" outlineLevel="1" x14ac:dyDescent="0.25">
      <c r="A5650" s="74">
        <v>1070</v>
      </c>
      <c r="B5650" s="45" t="s">
        <v>664</v>
      </c>
      <c r="C5650" s="60" t="s">
        <v>5227</v>
      </c>
      <c r="D5650" s="60"/>
      <c r="E5650" s="74">
        <v>2023</v>
      </c>
      <c r="F5650" s="74" t="s">
        <v>489</v>
      </c>
      <c r="G5650" s="61">
        <v>1</v>
      </c>
      <c r="H5650" s="61">
        <v>15</v>
      </c>
      <c r="I5650" s="61">
        <v>60.753</v>
      </c>
    </row>
    <row r="5651" spans="1:9" s="71" customFormat="1" ht="24" hidden="1" customHeight="1" outlineLevel="1" x14ac:dyDescent="0.25">
      <c r="A5651" s="74">
        <v>6534</v>
      </c>
      <c r="B5651" s="45" t="s">
        <v>664</v>
      </c>
      <c r="C5651" s="60" t="s">
        <v>5228</v>
      </c>
      <c r="D5651" s="60"/>
      <c r="E5651" s="74">
        <v>2023</v>
      </c>
      <c r="F5651" s="74" t="s">
        <v>489</v>
      </c>
      <c r="G5651" s="61">
        <v>1</v>
      </c>
      <c r="H5651" s="61">
        <v>45</v>
      </c>
      <c r="I5651" s="61">
        <v>75.478999999999999</v>
      </c>
    </row>
    <row r="5652" spans="1:9" s="71" customFormat="1" ht="24" hidden="1" customHeight="1" outlineLevel="1" x14ac:dyDescent="0.25">
      <c r="A5652" s="74">
        <v>2877</v>
      </c>
      <c r="B5652" s="45" t="s">
        <v>664</v>
      </c>
      <c r="C5652" s="60" t="s">
        <v>5229</v>
      </c>
      <c r="D5652" s="60"/>
      <c r="E5652" s="74">
        <v>2023</v>
      </c>
      <c r="F5652" s="74" t="s">
        <v>489</v>
      </c>
      <c r="G5652" s="61">
        <v>1</v>
      </c>
      <c r="H5652" s="61">
        <v>15</v>
      </c>
      <c r="I5652" s="61">
        <v>64.259600000000006</v>
      </c>
    </row>
    <row r="5653" spans="1:9" s="71" customFormat="1" ht="24" hidden="1" customHeight="1" outlineLevel="1" x14ac:dyDescent="0.25">
      <c r="A5653" s="74">
        <v>2383</v>
      </c>
      <c r="B5653" s="45" t="s">
        <v>664</v>
      </c>
      <c r="C5653" s="60" t="s">
        <v>5230</v>
      </c>
      <c r="D5653" s="60"/>
      <c r="E5653" s="74">
        <v>2023</v>
      </c>
      <c r="F5653" s="74" t="s">
        <v>489</v>
      </c>
      <c r="G5653" s="61">
        <v>1</v>
      </c>
      <c r="H5653" s="61">
        <v>10</v>
      </c>
      <c r="I5653" s="61">
        <v>60.358499999999999</v>
      </c>
    </row>
    <row r="5654" spans="1:9" s="71" customFormat="1" ht="24" hidden="1" customHeight="1" outlineLevel="1" x14ac:dyDescent="0.25">
      <c r="A5654" s="74">
        <v>1233</v>
      </c>
      <c r="B5654" s="45" t="s">
        <v>664</v>
      </c>
      <c r="C5654" s="60" t="s">
        <v>5231</v>
      </c>
      <c r="D5654" s="60"/>
      <c r="E5654" s="74">
        <v>2023</v>
      </c>
      <c r="F5654" s="74" t="s">
        <v>489</v>
      </c>
      <c r="G5654" s="61">
        <v>1</v>
      </c>
      <c r="H5654" s="61">
        <v>15</v>
      </c>
      <c r="I5654" s="61">
        <v>83.859000000000009</v>
      </c>
    </row>
    <row r="5655" spans="1:9" s="71" customFormat="1" ht="24" hidden="1" customHeight="1" outlineLevel="1" x14ac:dyDescent="0.25">
      <c r="A5655" s="74">
        <v>6692</v>
      </c>
      <c r="B5655" s="45" t="s">
        <v>664</v>
      </c>
      <c r="C5655" s="60" t="s">
        <v>5232</v>
      </c>
      <c r="D5655" s="60"/>
      <c r="E5655" s="74">
        <v>2023</v>
      </c>
      <c r="F5655" s="74" t="s">
        <v>489</v>
      </c>
      <c r="G5655" s="61">
        <v>1</v>
      </c>
      <c r="H5655" s="61">
        <v>15</v>
      </c>
      <c r="I5655" s="61">
        <v>43.475999999999999</v>
      </c>
    </row>
    <row r="5656" spans="1:9" s="71" customFormat="1" ht="24" hidden="1" customHeight="1" outlineLevel="1" x14ac:dyDescent="0.25">
      <c r="A5656" s="74">
        <v>3330</v>
      </c>
      <c r="B5656" s="45" t="s">
        <v>664</v>
      </c>
      <c r="C5656" s="60" t="s">
        <v>5233</v>
      </c>
      <c r="D5656" s="60"/>
      <c r="E5656" s="74">
        <v>2023</v>
      </c>
      <c r="F5656" s="74" t="s">
        <v>489</v>
      </c>
      <c r="G5656" s="61">
        <v>1</v>
      </c>
      <c r="H5656" s="61">
        <v>3</v>
      </c>
      <c r="I5656" s="61">
        <v>80.368800000000007</v>
      </c>
    </row>
    <row r="5657" spans="1:9" s="71" customFormat="1" ht="24" hidden="1" customHeight="1" outlineLevel="1" x14ac:dyDescent="0.25">
      <c r="A5657" s="74">
        <v>2169</v>
      </c>
      <c r="B5657" s="45" t="s">
        <v>664</v>
      </c>
      <c r="C5657" s="60" t="s">
        <v>5234</v>
      </c>
      <c r="D5657" s="60"/>
      <c r="E5657" s="74">
        <v>2023</v>
      </c>
      <c r="F5657" s="74" t="s">
        <v>489</v>
      </c>
      <c r="G5657" s="61">
        <v>1</v>
      </c>
      <c r="H5657" s="61">
        <v>5</v>
      </c>
      <c r="I5657" s="61">
        <v>77.09299</v>
      </c>
    </row>
    <row r="5658" spans="1:9" s="71" customFormat="1" ht="24" hidden="1" customHeight="1" outlineLevel="1" x14ac:dyDescent="0.25">
      <c r="A5658" s="74">
        <v>3018</v>
      </c>
      <c r="B5658" s="45" t="s">
        <v>664</v>
      </c>
      <c r="C5658" s="60" t="s">
        <v>567</v>
      </c>
      <c r="D5658" s="60"/>
      <c r="E5658" s="74">
        <v>2023</v>
      </c>
      <c r="F5658" s="74" t="s">
        <v>489</v>
      </c>
      <c r="G5658" s="61">
        <v>1</v>
      </c>
      <c r="H5658" s="61">
        <v>50</v>
      </c>
      <c r="I5658" s="61">
        <v>59.788000000000004</v>
      </c>
    </row>
    <row r="5659" spans="1:9" s="71" customFormat="1" ht="24" hidden="1" customHeight="1" outlineLevel="1" x14ac:dyDescent="0.25">
      <c r="A5659" s="74">
        <v>3280</v>
      </c>
      <c r="B5659" s="45" t="s">
        <v>664</v>
      </c>
      <c r="C5659" s="60" t="s">
        <v>5235</v>
      </c>
      <c r="D5659" s="60"/>
      <c r="E5659" s="74">
        <v>2023</v>
      </c>
      <c r="F5659" s="74" t="s">
        <v>489</v>
      </c>
      <c r="G5659" s="61">
        <v>1</v>
      </c>
      <c r="H5659" s="61">
        <v>15</v>
      </c>
      <c r="I5659" s="61">
        <v>71.528959999999998</v>
      </c>
    </row>
    <row r="5660" spans="1:9" s="71" customFormat="1" ht="24" hidden="1" customHeight="1" outlineLevel="1" x14ac:dyDescent="0.25">
      <c r="A5660" s="74">
        <v>361</v>
      </c>
      <c r="B5660" s="45" t="s">
        <v>664</v>
      </c>
      <c r="C5660" s="60" t="s">
        <v>519</v>
      </c>
      <c r="D5660" s="60"/>
      <c r="E5660" s="74">
        <v>2023</v>
      </c>
      <c r="F5660" s="74" t="s">
        <v>489</v>
      </c>
      <c r="G5660" s="61">
        <v>1</v>
      </c>
      <c r="H5660" s="61">
        <v>15</v>
      </c>
      <c r="I5660" s="61">
        <v>130.41800000000001</v>
      </c>
    </row>
    <row r="5661" spans="1:9" s="71" customFormat="1" ht="24" hidden="1" customHeight="1" outlineLevel="1" x14ac:dyDescent="0.25">
      <c r="A5661" s="74">
        <v>3152</v>
      </c>
      <c r="B5661" s="45" t="s">
        <v>664</v>
      </c>
      <c r="C5661" s="60" t="s">
        <v>5236</v>
      </c>
      <c r="D5661" s="60"/>
      <c r="E5661" s="74">
        <v>2023</v>
      </c>
      <c r="F5661" s="74" t="s">
        <v>489</v>
      </c>
      <c r="G5661" s="61">
        <v>1</v>
      </c>
      <c r="H5661" s="61">
        <v>50</v>
      </c>
      <c r="I5661" s="61">
        <v>96.284999999999997</v>
      </c>
    </row>
    <row r="5662" spans="1:9" s="71" customFormat="1" ht="24" hidden="1" customHeight="1" outlineLevel="1" x14ac:dyDescent="0.25">
      <c r="A5662" s="74">
        <v>1609</v>
      </c>
      <c r="B5662" s="45" t="s">
        <v>664</v>
      </c>
      <c r="C5662" s="60" t="s">
        <v>5237</v>
      </c>
      <c r="D5662" s="60"/>
      <c r="E5662" s="74">
        <v>2023</v>
      </c>
      <c r="F5662" s="74" t="s">
        <v>489</v>
      </c>
      <c r="G5662" s="61">
        <v>1</v>
      </c>
      <c r="H5662" s="61">
        <v>10</v>
      </c>
      <c r="I5662" s="61">
        <v>39.162030000000001</v>
      </c>
    </row>
    <row r="5663" spans="1:9" s="71" customFormat="1" ht="24" hidden="1" customHeight="1" outlineLevel="1" x14ac:dyDescent="0.25">
      <c r="A5663" s="74">
        <v>4039</v>
      </c>
      <c r="B5663" s="45" t="s">
        <v>664</v>
      </c>
      <c r="C5663" s="60" t="s">
        <v>5238</v>
      </c>
      <c r="D5663" s="60"/>
      <c r="E5663" s="74">
        <v>2023</v>
      </c>
      <c r="F5663" s="74" t="s">
        <v>489</v>
      </c>
      <c r="G5663" s="61">
        <v>1</v>
      </c>
      <c r="H5663" s="61">
        <v>15</v>
      </c>
      <c r="I5663" s="61">
        <v>38.342389999999995</v>
      </c>
    </row>
    <row r="5664" spans="1:9" s="71" customFormat="1" ht="24" hidden="1" customHeight="1" outlineLevel="1" x14ac:dyDescent="0.25">
      <c r="A5664" s="74">
        <v>4041</v>
      </c>
      <c r="B5664" s="45" t="s">
        <v>664</v>
      </c>
      <c r="C5664" s="60" t="s">
        <v>5239</v>
      </c>
      <c r="D5664" s="60"/>
      <c r="E5664" s="74">
        <v>2023</v>
      </c>
      <c r="F5664" s="74" t="s">
        <v>489</v>
      </c>
      <c r="G5664" s="61">
        <v>1</v>
      </c>
      <c r="H5664" s="61">
        <v>15</v>
      </c>
      <c r="I5664" s="61">
        <v>39.455179999999999</v>
      </c>
    </row>
    <row r="5665" spans="1:9" s="71" customFormat="1" ht="24" hidden="1" customHeight="1" outlineLevel="1" x14ac:dyDescent="0.25">
      <c r="A5665" s="74">
        <v>318</v>
      </c>
      <c r="B5665" s="45" t="s">
        <v>664</v>
      </c>
      <c r="C5665" s="60" t="s">
        <v>5240</v>
      </c>
      <c r="D5665" s="60"/>
      <c r="E5665" s="74">
        <v>2023</v>
      </c>
      <c r="F5665" s="74" t="s">
        <v>489</v>
      </c>
      <c r="G5665" s="61">
        <v>1</v>
      </c>
      <c r="H5665" s="61">
        <v>15</v>
      </c>
      <c r="I5665" s="61">
        <v>25.01397</v>
      </c>
    </row>
    <row r="5666" spans="1:9" s="71" customFormat="1" ht="24" hidden="1" customHeight="1" outlineLevel="1" x14ac:dyDescent="0.25">
      <c r="A5666" s="74">
        <v>1171</v>
      </c>
      <c r="B5666" s="45" t="s">
        <v>664</v>
      </c>
      <c r="C5666" s="60" t="s">
        <v>5241</v>
      </c>
      <c r="D5666" s="60"/>
      <c r="E5666" s="74">
        <v>2023</v>
      </c>
      <c r="F5666" s="74" t="s">
        <v>489</v>
      </c>
      <c r="G5666" s="61">
        <v>1</v>
      </c>
      <c r="H5666" s="61">
        <v>12</v>
      </c>
      <c r="I5666" s="61">
        <v>39.984569999999998</v>
      </c>
    </row>
    <row r="5667" spans="1:9" s="71" customFormat="1" ht="24" hidden="1" customHeight="1" outlineLevel="1" x14ac:dyDescent="0.25">
      <c r="A5667" s="74">
        <v>1144</v>
      </c>
      <c r="B5667" s="45" t="s">
        <v>664</v>
      </c>
      <c r="C5667" s="60" t="s">
        <v>5242</v>
      </c>
      <c r="D5667" s="60"/>
      <c r="E5667" s="74">
        <v>2023</v>
      </c>
      <c r="F5667" s="74" t="s">
        <v>489</v>
      </c>
      <c r="G5667" s="61">
        <v>1</v>
      </c>
      <c r="H5667" s="61">
        <v>15</v>
      </c>
      <c r="I5667" s="61">
        <v>22.145589999999999</v>
      </c>
    </row>
    <row r="5668" spans="1:9" s="71" customFormat="1" ht="24" hidden="1" customHeight="1" outlineLevel="1" x14ac:dyDescent="0.25">
      <c r="A5668" s="74">
        <v>4049</v>
      </c>
      <c r="B5668" s="45" t="s">
        <v>664</v>
      </c>
      <c r="C5668" s="60" t="s">
        <v>5243</v>
      </c>
      <c r="D5668" s="60"/>
      <c r="E5668" s="74">
        <v>2023</v>
      </c>
      <c r="F5668" s="74" t="s">
        <v>489</v>
      </c>
      <c r="G5668" s="61">
        <v>1</v>
      </c>
      <c r="H5668" s="61">
        <v>10</v>
      </c>
      <c r="I5668" s="61">
        <v>38.311440000000005</v>
      </c>
    </row>
    <row r="5669" spans="1:9" s="71" customFormat="1" ht="24" hidden="1" customHeight="1" outlineLevel="1" x14ac:dyDescent="0.25">
      <c r="A5669" s="74">
        <v>4035</v>
      </c>
      <c r="B5669" s="45" t="s">
        <v>664</v>
      </c>
      <c r="C5669" s="60" t="s">
        <v>5244</v>
      </c>
      <c r="D5669" s="60"/>
      <c r="E5669" s="74">
        <v>2023</v>
      </c>
      <c r="F5669" s="74" t="s">
        <v>489</v>
      </c>
      <c r="G5669" s="61">
        <v>1</v>
      </c>
      <c r="H5669" s="61">
        <v>10</v>
      </c>
      <c r="I5669" s="61">
        <v>40.007739999999998</v>
      </c>
    </row>
    <row r="5670" spans="1:9" s="71" customFormat="1" ht="24" hidden="1" customHeight="1" outlineLevel="1" x14ac:dyDescent="0.25">
      <c r="A5670" s="74">
        <v>4048</v>
      </c>
      <c r="B5670" s="45" t="s">
        <v>664</v>
      </c>
      <c r="C5670" s="60" t="s">
        <v>5245</v>
      </c>
      <c r="D5670" s="60"/>
      <c r="E5670" s="74">
        <v>2023</v>
      </c>
      <c r="F5670" s="74" t="s">
        <v>489</v>
      </c>
      <c r="G5670" s="61">
        <v>1</v>
      </c>
      <c r="H5670" s="61">
        <v>13</v>
      </c>
      <c r="I5670" s="61">
        <v>38.070039999999999</v>
      </c>
    </row>
    <row r="5671" spans="1:9" s="71" customFormat="1" ht="24" hidden="1" customHeight="1" outlineLevel="1" x14ac:dyDescent="0.25">
      <c r="A5671" s="74">
        <v>4050</v>
      </c>
      <c r="B5671" s="45" t="s">
        <v>664</v>
      </c>
      <c r="C5671" s="60" t="s">
        <v>5246</v>
      </c>
      <c r="D5671" s="60"/>
      <c r="E5671" s="74">
        <v>2023</v>
      </c>
      <c r="F5671" s="74" t="s">
        <v>489</v>
      </c>
      <c r="G5671" s="61">
        <v>1</v>
      </c>
      <c r="H5671" s="61">
        <v>15</v>
      </c>
      <c r="I5671" s="61">
        <v>38.310560000000002</v>
      </c>
    </row>
    <row r="5672" spans="1:9" s="71" customFormat="1" ht="24" hidden="1" customHeight="1" outlineLevel="1" x14ac:dyDescent="0.25">
      <c r="A5672" s="74">
        <v>3855</v>
      </c>
      <c r="B5672" s="45" t="s">
        <v>664</v>
      </c>
      <c r="C5672" s="60" t="s">
        <v>5247</v>
      </c>
      <c r="D5672" s="60"/>
      <c r="E5672" s="74">
        <v>2023</v>
      </c>
      <c r="F5672" s="74" t="s">
        <v>489</v>
      </c>
      <c r="G5672" s="61">
        <v>1</v>
      </c>
      <c r="H5672" s="61">
        <v>10</v>
      </c>
      <c r="I5672" s="61">
        <v>46.74503</v>
      </c>
    </row>
    <row r="5673" spans="1:9" s="71" customFormat="1" ht="24" hidden="1" customHeight="1" outlineLevel="1" x14ac:dyDescent="0.25">
      <c r="A5673" s="74">
        <v>1585</v>
      </c>
      <c r="B5673" s="45" t="s">
        <v>664</v>
      </c>
      <c r="C5673" s="60" t="s">
        <v>5248</v>
      </c>
      <c r="D5673" s="60"/>
      <c r="E5673" s="74">
        <v>2023</v>
      </c>
      <c r="F5673" s="74" t="s">
        <v>489</v>
      </c>
      <c r="G5673" s="61">
        <v>1</v>
      </c>
      <c r="H5673" s="61">
        <v>3</v>
      </c>
      <c r="I5673" s="61">
        <v>41.442029999999995</v>
      </c>
    </row>
    <row r="5674" spans="1:9" s="71" customFormat="1" ht="24" hidden="1" customHeight="1" outlineLevel="1" x14ac:dyDescent="0.25">
      <c r="A5674" s="74">
        <v>782</v>
      </c>
      <c r="B5674" s="45" t="s">
        <v>664</v>
      </c>
      <c r="C5674" s="60" t="s">
        <v>5249</v>
      </c>
      <c r="D5674" s="60"/>
      <c r="E5674" s="74">
        <v>2023</v>
      </c>
      <c r="F5674" s="74" t="s">
        <v>489</v>
      </c>
      <c r="G5674" s="61">
        <v>1</v>
      </c>
      <c r="H5674" s="61">
        <v>15</v>
      </c>
      <c r="I5674" s="61">
        <v>22.306419999999999</v>
      </c>
    </row>
    <row r="5675" spans="1:9" s="71" customFormat="1" ht="24" hidden="1" customHeight="1" outlineLevel="1" x14ac:dyDescent="0.25">
      <c r="A5675" s="74">
        <v>1425</v>
      </c>
      <c r="B5675" s="45" t="s">
        <v>664</v>
      </c>
      <c r="C5675" s="60" t="s">
        <v>5250</v>
      </c>
      <c r="D5675" s="60"/>
      <c r="E5675" s="74">
        <v>2023</v>
      </c>
      <c r="F5675" s="74" t="s">
        <v>489</v>
      </c>
      <c r="G5675" s="61">
        <v>1</v>
      </c>
      <c r="H5675" s="61">
        <v>3</v>
      </c>
      <c r="I5675" s="61">
        <v>41.017440000000001</v>
      </c>
    </row>
    <row r="5676" spans="1:9" s="71" customFormat="1" ht="24" hidden="1" customHeight="1" outlineLevel="1" x14ac:dyDescent="0.25">
      <c r="A5676" s="74">
        <v>4047</v>
      </c>
      <c r="B5676" s="45" t="s">
        <v>664</v>
      </c>
      <c r="C5676" s="60" t="s">
        <v>5251</v>
      </c>
      <c r="D5676" s="60"/>
      <c r="E5676" s="74">
        <v>2023</v>
      </c>
      <c r="F5676" s="74" t="s">
        <v>489</v>
      </c>
      <c r="G5676" s="61">
        <v>1</v>
      </c>
      <c r="H5676" s="61">
        <v>8</v>
      </c>
      <c r="I5676" s="61">
        <v>41.473080000000003</v>
      </c>
    </row>
    <row r="5677" spans="1:9" s="71" customFormat="1" ht="24" hidden="1" customHeight="1" outlineLevel="1" x14ac:dyDescent="0.25">
      <c r="A5677" s="74">
        <v>1618</v>
      </c>
      <c r="B5677" s="45" t="s">
        <v>664</v>
      </c>
      <c r="C5677" s="60" t="s">
        <v>5252</v>
      </c>
      <c r="D5677" s="60"/>
      <c r="E5677" s="74">
        <v>2023</v>
      </c>
      <c r="F5677" s="74" t="s">
        <v>489</v>
      </c>
      <c r="G5677" s="61">
        <v>1</v>
      </c>
      <c r="H5677" s="61">
        <v>2</v>
      </c>
      <c r="I5677" s="61">
        <v>42.482869999999998</v>
      </c>
    </row>
    <row r="5678" spans="1:9" s="71" customFormat="1" ht="24" hidden="1" customHeight="1" outlineLevel="1" x14ac:dyDescent="0.25">
      <c r="A5678" s="74">
        <v>4051</v>
      </c>
      <c r="B5678" s="45" t="s">
        <v>664</v>
      </c>
      <c r="C5678" s="60" t="s">
        <v>5253</v>
      </c>
      <c r="D5678" s="60"/>
      <c r="E5678" s="74">
        <v>2023</v>
      </c>
      <c r="F5678" s="74" t="s">
        <v>489</v>
      </c>
      <c r="G5678" s="61">
        <v>1</v>
      </c>
      <c r="H5678" s="61">
        <v>7.5</v>
      </c>
      <c r="I5678" s="61">
        <v>40.330129999999997</v>
      </c>
    </row>
    <row r="5679" spans="1:9" s="71" customFormat="1" ht="24" hidden="1" customHeight="1" outlineLevel="1" x14ac:dyDescent="0.25">
      <c r="A5679" s="74">
        <v>1579</v>
      </c>
      <c r="B5679" s="45" t="s">
        <v>664</v>
      </c>
      <c r="C5679" s="60" t="s">
        <v>5254</v>
      </c>
      <c r="D5679" s="60"/>
      <c r="E5679" s="74">
        <v>2023</v>
      </c>
      <c r="F5679" s="74" t="s">
        <v>489</v>
      </c>
      <c r="G5679" s="61">
        <v>1</v>
      </c>
      <c r="H5679" s="61">
        <v>6.5</v>
      </c>
      <c r="I5679" s="61">
        <v>42.38026</v>
      </c>
    </row>
    <row r="5680" spans="1:9" s="71" customFormat="1" ht="24" hidden="1" customHeight="1" outlineLevel="1" x14ac:dyDescent="0.25">
      <c r="A5680" s="74">
        <v>4064</v>
      </c>
      <c r="B5680" s="45" t="s">
        <v>664</v>
      </c>
      <c r="C5680" s="60" t="s">
        <v>5255</v>
      </c>
      <c r="D5680" s="60"/>
      <c r="E5680" s="74">
        <v>2023</v>
      </c>
      <c r="F5680" s="74" t="s">
        <v>489</v>
      </c>
      <c r="G5680" s="61">
        <v>1</v>
      </c>
      <c r="H5680" s="61">
        <v>15</v>
      </c>
      <c r="I5680" s="61">
        <v>37.463200000000001</v>
      </c>
    </row>
    <row r="5681" spans="1:9" s="71" customFormat="1" ht="24" hidden="1" customHeight="1" outlineLevel="1" x14ac:dyDescent="0.25">
      <c r="A5681" s="74">
        <v>4063</v>
      </c>
      <c r="B5681" s="45" t="s">
        <v>664</v>
      </c>
      <c r="C5681" s="60" t="s">
        <v>5256</v>
      </c>
      <c r="D5681" s="60"/>
      <c r="E5681" s="74">
        <v>2023</v>
      </c>
      <c r="F5681" s="74" t="s">
        <v>489</v>
      </c>
      <c r="G5681" s="61">
        <v>1</v>
      </c>
      <c r="H5681" s="61">
        <v>10</v>
      </c>
      <c r="I5681" s="61">
        <v>38.76482</v>
      </c>
    </row>
    <row r="5682" spans="1:9" s="71" customFormat="1" ht="24" hidden="1" customHeight="1" outlineLevel="1" x14ac:dyDescent="0.25">
      <c r="A5682" s="74">
        <v>4066</v>
      </c>
      <c r="B5682" s="45" t="s">
        <v>664</v>
      </c>
      <c r="C5682" s="60" t="s">
        <v>5257</v>
      </c>
      <c r="D5682" s="60"/>
      <c r="E5682" s="74">
        <v>2023</v>
      </c>
      <c r="F5682" s="74" t="s">
        <v>489</v>
      </c>
      <c r="G5682" s="61">
        <v>1</v>
      </c>
      <c r="H5682" s="61">
        <v>15</v>
      </c>
      <c r="I5682" s="61">
        <v>39.123900000000006</v>
      </c>
    </row>
    <row r="5683" spans="1:9" s="71" customFormat="1" ht="24" hidden="1" customHeight="1" outlineLevel="1" x14ac:dyDescent="0.25">
      <c r="A5683" s="74">
        <v>3888</v>
      </c>
      <c r="B5683" s="45" t="s">
        <v>664</v>
      </c>
      <c r="C5683" s="60" t="s">
        <v>5258</v>
      </c>
      <c r="D5683" s="60"/>
      <c r="E5683" s="74">
        <v>2023</v>
      </c>
      <c r="F5683" s="74" t="s">
        <v>489</v>
      </c>
      <c r="G5683" s="61">
        <v>1</v>
      </c>
      <c r="H5683" s="61">
        <v>14</v>
      </c>
      <c r="I5683" s="61">
        <v>42.193260000000002</v>
      </c>
    </row>
    <row r="5684" spans="1:9" s="71" customFormat="1" ht="24" hidden="1" customHeight="1" outlineLevel="1" x14ac:dyDescent="0.25">
      <c r="A5684" s="74">
        <v>4024</v>
      </c>
      <c r="B5684" s="45" t="s">
        <v>664</v>
      </c>
      <c r="C5684" s="60" t="s">
        <v>5259</v>
      </c>
      <c r="D5684" s="60"/>
      <c r="E5684" s="74">
        <v>2023</v>
      </c>
      <c r="F5684" s="74" t="s">
        <v>489</v>
      </c>
      <c r="G5684" s="61">
        <v>1</v>
      </c>
      <c r="H5684" s="61">
        <v>14</v>
      </c>
      <c r="I5684" s="61">
        <v>42.28904</v>
      </c>
    </row>
    <row r="5685" spans="1:9" s="71" customFormat="1" ht="24" hidden="1" customHeight="1" outlineLevel="1" x14ac:dyDescent="0.25">
      <c r="A5685" s="74">
        <v>4067</v>
      </c>
      <c r="B5685" s="45" t="s">
        <v>664</v>
      </c>
      <c r="C5685" s="60" t="s">
        <v>5260</v>
      </c>
      <c r="D5685" s="60"/>
      <c r="E5685" s="74">
        <v>2023</v>
      </c>
      <c r="F5685" s="74" t="s">
        <v>489</v>
      </c>
      <c r="G5685" s="61">
        <v>1</v>
      </c>
      <c r="H5685" s="61">
        <v>15</v>
      </c>
      <c r="I5685" s="61">
        <v>38.781059999999997</v>
      </c>
    </row>
    <row r="5686" spans="1:9" s="71" customFormat="1" ht="24" hidden="1" customHeight="1" outlineLevel="1" x14ac:dyDescent="0.25">
      <c r="A5686" s="74">
        <v>1746</v>
      </c>
      <c r="B5686" s="45" t="s">
        <v>664</v>
      </c>
      <c r="C5686" s="60" t="s">
        <v>5261</v>
      </c>
      <c r="D5686" s="60"/>
      <c r="E5686" s="74">
        <v>2023</v>
      </c>
      <c r="F5686" s="74" t="s">
        <v>489</v>
      </c>
      <c r="G5686" s="61">
        <v>1</v>
      </c>
      <c r="H5686" s="61">
        <v>15</v>
      </c>
      <c r="I5686" s="61">
        <v>38.205379999999998</v>
      </c>
    </row>
    <row r="5687" spans="1:9" s="71" customFormat="1" ht="24" hidden="1" customHeight="1" outlineLevel="1" x14ac:dyDescent="0.25">
      <c r="A5687" s="74">
        <v>4068</v>
      </c>
      <c r="B5687" s="45" t="s">
        <v>664</v>
      </c>
      <c r="C5687" s="60" t="s">
        <v>5262</v>
      </c>
      <c r="D5687" s="60"/>
      <c r="E5687" s="74">
        <v>2023</v>
      </c>
      <c r="F5687" s="74" t="s">
        <v>489</v>
      </c>
      <c r="G5687" s="61">
        <v>1</v>
      </c>
      <c r="H5687" s="61">
        <v>6</v>
      </c>
      <c r="I5687" s="61">
        <v>39.958779999999997</v>
      </c>
    </row>
    <row r="5688" spans="1:9" s="71" customFormat="1" ht="24" hidden="1" customHeight="1" outlineLevel="1" x14ac:dyDescent="0.25">
      <c r="A5688" s="74">
        <v>4069</v>
      </c>
      <c r="B5688" s="45" t="s">
        <v>664</v>
      </c>
      <c r="C5688" s="60" t="s">
        <v>5263</v>
      </c>
      <c r="D5688" s="60"/>
      <c r="E5688" s="74">
        <v>2023</v>
      </c>
      <c r="F5688" s="74" t="s">
        <v>489</v>
      </c>
      <c r="G5688" s="61">
        <v>1</v>
      </c>
      <c r="H5688" s="61">
        <v>7</v>
      </c>
      <c r="I5688" s="61">
        <v>39.958860000000001</v>
      </c>
    </row>
    <row r="5689" spans="1:9" s="71" customFormat="1" ht="24" hidden="1" customHeight="1" outlineLevel="1" x14ac:dyDescent="0.25">
      <c r="A5689" s="74">
        <v>4072</v>
      </c>
      <c r="B5689" s="45" t="s">
        <v>664</v>
      </c>
      <c r="C5689" s="60" t="s">
        <v>5264</v>
      </c>
      <c r="D5689" s="60"/>
      <c r="E5689" s="74">
        <v>2023</v>
      </c>
      <c r="F5689" s="74" t="s">
        <v>489</v>
      </c>
      <c r="G5689" s="61">
        <v>1</v>
      </c>
      <c r="H5689" s="61">
        <v>9</v>
      </c>
      <c r="I5689" s="61">
        <v>40.246650000000002</v>
      </c>
    </row>
    <row r="5690" spans="1:9" s="71" customFormat="1" ht="24" hidden="1" customHeight="1" outlineLevel="1" x14ac:dyDescent="0.25">
      <c r="A5690" s="74">
        <v>1668</v>
      </c>
      <c r="B5690" s="45" t="s">
        <v>664</v>
      </c>
      <c r="C5690" s="60" t="s">
        <v>5265</v>
      </c>
      <c r="D5690" s="60"/>
      <c r="E5690" s="74">
        <v>2023</v>
      </c>
      <c r="F5690" s="74" t="s">
        <v>489</v>
      </c>
      <c r="G5690" s="61">
        <v>1</v>
      </c>
      <c r="H5690" s="61">
        <v>9</v>
      </c>
      <c r="I5690" s="61">
        <v>38.29392</v>
      </c>
    </row>
    <row r="5691" spans="1:9" s="71" customFormat="1" ht="24" hidden="1" customHeight="1" outlineLevel="1" x14ac:dyDescent="0.25">
      <c r="A5691" s="74">
        <v>4073</v>
      </c>
      <c r="B5691" s="45" t="s">
        <v>664</v>
      </c>
      <c r="C5691" s="60" t="s">
        <v>5266</v>
      </c>
      <c r="D5691" s="60"/>
      <c r="E5691" s="74">
        <v>2023</v>
      </c>
      <c r="F5691" s="74" t="s">
        <v>489</v>
      </c>
      <c r="G5691" s="61">
        <v>1</v>
      </c>
      <c r="H5691" s="61">
        <v>15</v>
      </c>
      <c r="I5691" s="61">
        <v>38.549510000000005</v>
      </c>
    </row>
    <row r="5692" spans="1:9" s="71" customFormat="1" ht="24" hidden="1" customHeight="1" outlineLevel="1" x14ac:dyDescent="0.25">
      <c r="A5692" s="74">
        <v>4065</v>
      </c>
      <c r="B5692" s="45" t="s">
        <v>664</v>
      </c>
      <c r="C5692" s="60" t="s">
        <v>5267</v>
      </c>
      <c r="D5692" s="60"/>
      <c r="E5692" s="74">
        <v>2023</v>
      </c>
      <c r="F5692" s="74" t="s">
        <v>489</v>
      </c>
      <c r="G5692" s="61">
        <v>1</v>
      </c>
      <c r="H5692" s="61">
        <v>15</v>
      </c>
      <c r="I5692" s="61">
        <v>44.845469999999999</v>
      </c>
    </row>
    <row r="5693" spans="1:9" s="71" customFormat="1" ht="24" hidden="1" customHeight="1" outlineLevel="1" x14ac:dyDescent="0.25">
      <c r="A5693" s="74">
        <v>457</v>
      </c>
      <c r="B5693" s="45" t="s">
        <v>664</v>
      </c>
      <c r="C5693" s="60" t="s">
        <v>5268</v>
      </c>
      <c r="D5693" s="60"/>
      <c r="E5693" s="74">
        <v>2023</v>
      </c>
      <c r="F5693" s="74" t="s">
        <v>489</v>
      </c>
      <c r="G5693" s="61">
        <v>1</v>
      </c>
      <c r="H5693" s="61">
        <v>15</v>
      </c>
      <c r="I5693" s="61">
        <v>43.14537</v>
      </c>
    </row>
    <row r="5694" spans="1:9" s="71" customFormat="1" ht="24" hidden="1" customHeight="1" outlineLevel="1" x14ac:dyDescent="0.25">
      <c r="A5694" s="74">
        <v>456</v>
      </c>
      <c r="B5694" s="45" t="s">
        <v>664</v>
      </c>
      <c r="C5694" s="60" t="s">
        <v>5269</v>
      </c>
      <c r="D5694" s="60"/>
      <c r="E5694" s="74">
        <v>2023</v>
      </c>
      <c r="F5694" s="74" t="s">
        <v>489</v>
      </c>
      <c r="G5694" s="61">
        <v>1</v>
      </c>
      <c r="H5694" s="61">
        <v>15</v>
      </c>
      <c r="I5694" s="61">
        <v>45.409860000000002</v>
      </c>
    </row>
    <row r="5695" spans="1:9" s="71" customFormat="1" ht="24" hidden="1" customHeight="1" outlineLevel="1" x14ac:dyDescent="0.25">
      <c r="A5695" s="74">
        <v>4058</v>
      </c>
      <c r="B5695" s="45" t="s">
        <v>664</v>
      </c>
      <c r="C5695" s="60" t="s">
        <v>5270</v>
      </c>
      <c r="D5695" s="60"/>
      <c r="E5695" s="74">
        <v>2023</v>
      </c>
      <c r="F5695" s="74" t="s">
        <v>489</v>
      </c>
      <c r="G5695" s="61">
        <v>1</v>
      </c>
      <c r="H5695" s="61">
        <v>15</v>
      </c>
      <c r="I5695" s="61">
        <v>39.803070000000005</v>
      </c>
    </row>
    <row r="5696" spans="1:9" s="71" customFormat="1" ht="24" hidden="1" customHeight="1" outlineLevel="1" x14ac:dyDescent="0.25">
      <c r="A5696" s="74">
        <v>4056</v>
      </c>
      <c r="B5696" s="45" t="s">
        <v>664</v>
      </c>
      <c r="C5696" s="60" t="s">
        <v>5271</v>
      </c>
      <c r="D5696" s="60"/>
      <c r="E5696" s="74">
        <v>2023</v>
      </c>
      <c r="F5696" s="74" t="s">
        <v>489</v>
      </c>
      <c r="G5696" s="61">
        <v>1</v>
      </c>
      <c r="H5696" s="61">
        <v>10</v>
      </c>
      <c r="I5696" s="61">
        <v>38.83278</v>
      </c>
    </row>
    <row r="5697" spans="1:9" s="71" customFormat="1" ht="24" hidden="1" customHeight="1" outlineLevel="1" x14ac:dyDescent="0.25">
      <c r="A5697" s="74">
        <v>1737</v>
      </c>
      <c r="B5697" s="45" t="s">
        <v>664</v>
      </c>
      <c r="C5697" s="60" t="s">
        <v>5272</v>
      </c>
      <c r="D5697" s="60"/>
      <c r="E5697" s="74">
        <v>2023</v>
      </c>
      <c r="F5697" s="74" t="s">
        <v>489</v>
      </c>
      <c r="G5697" s="61">
        <v>1</v>
      </c>
      <c r="H5697" s="61">
        <v>1</v>
      </c>
      <c r="I5697" s="61">
        <v>39.85031</v>
      </c>
    </row>
    <row r="5698" spans="1:9" s="71" customFormat="1" ht="24" hidden="1" customHeight="1" outlineLevel="1" x14ac:dyDescent="0.25">
      <c r="A5698" s="74">
        <v>4054</v>
      </c>
      <c r="B5698" s="45" t="s">
        <v>664</v>
      </c>
      <c r="C5698" s="60" t="s">
        <v>5273</v>
      </c>
      <c r="D5698" s="60"/>
      <c r="E5698" s="74">
        <v>2023</v>
      </c>
      <c r="F5698" s="74" t="s">
        <v>489</v>
      </c>
      <c r="G5698" s="61">
        <v>1</v>
      </c>
      <c r="H5698" s="61">
        <v>10</v>
      </c>
      <c r="I5698" s="61">
        <v>40.124399999999994</v>
      </c>
    </row>
    <row r="5699" spans="1:9" s="71" customFormat="1" ht="24" hidden="1" customHeight="1" outlineLevel="1" x14ac:dyDescent="0.25">
      <c r="A5699" s="74">
        <v>1723</v>
      </c>
      <c r="B5699" s="45" t="s">
        <v>664</v>
      </c>
      <c r="C5699" s="60" t="s">
        <v>5274</v>
      </c>
      <c r="D5699" s="60"/>
      <c r="E5699" s="74">
        <v>2023</v>
      </c>
      <c r="F5699" s="74" t="s">
        <v>489</v>
      </c>
      <c r="G5699" s="61">
        <v>1</v>
      </c>
      <c r="H5699" s="61">
        <v>8</v>
      </c>
      <c r="I5699" s="61">
        <v>40.615859999999998</v>
      </c>
    </row>
    <row r="5700" spans="1:9" s="71" customFormat="1" ht="24" hidden="1" customHeight="1" outlineLevel="1" x14ac:dyDescent="0.25">
      <c r="A5700" s="74">
        <v>4059</v>
      </c>
      <c r="B5700" s="45" t="s">
        <v>664</v>
      </c>
      <c r="C5700" s="60" t="s">
        <v>5275</v>
      </c>
      <c r="D5700" s="60"/>
      <c r="E5700" s="74">
        <v>2023</v>
      </c>
      <c r="F5700" s="74" t="s">
        <v>489</v>
      </c>
      <c r="G5700" s="61">
        <v>1</v>
      </c>
      <c r="H5700" s="61">
        <v>9</v>
      </c>
      <c r="I5700" s="61">
        <v>38.286189999999998</v>
      </c>
    </row>
    <row r="5701" spans="1:9" s="71" customFormat="1" ht="24" hidden="1" customHeight="1" outlineLevel="1" x14ac:dyDescent="0.25">
      <c r="A5701" s="74">
        <v>4061</v>
      </c>
      <c r="B5701" s="45" t="s">
        <v>664</v>
      </c>
      <c r="C5701" s="60" t="s">
        <v>5276</v>
      </c>
      <c r="D5701" s="60"/>
      <c r="E5701" s="74">
        <v>2023</v>
      </c>
      <c r="F5701" s="74" t="s">
        <v>489</v>
      </c>
      <c r="G5701" s="61">
        <v>1</v>
      </c>
      <c r="H5701" s="61">
        <v>10</v>
      </c>
      <c r="I5701" s="61">
        <v>39.345289999999999</v>
      </c>
    </row>
    <row r="5702" spans="1:9" s="71" customFormat="1" ht="24" hidden="1" customHeight="1" outlineLevel="1" x14ac:dyDescent="0.25">
      <c r="A5702" s="74">
        <v>1703</v>
      </c>
      <c r="B5702" s="45" t="s">
        <v>664</v>
      </c>
      <c r="C5702" s="60" t="s">
        <v>5277</v>
      </c>
      <c r="D5702" s="60"/>
      <c r="E5702" s="74">
        <v>2023</v>
      </c>
      <c r="F5702" s="74" t="s">
        <v>489</v>
      </c>
      <c r="G5702" s="61">
        <v>1</v>
      </c>
      <c r="H5702" s="61">
        <v>10</v>
      </c>
      <c r="I5702" s="61">
        <v>39.784300000000002</v>
      </c>
    </row>
    <row r="5703" spans="1:9" s="71" customFormat="1" ht="24" hidden="1" customHeight="1" outlineLevel="1" x14ac:dyDescent="0.25">
      <c r="A5703" s="74">
        <v>1678</v>
      </c>
      <c r="B5703" s="45" t="s">
        <v>664</v>
      </c>
      <c r="C5703" s="60" t="s">
        <v>5278</v>
      </c>
      <c r="D5703" s="60"/>
      <c r="E5703" s="74">
        <v>2023</v>
      </c>
      <c r="F5703" s="74" t="s">
        <v>489</v>
      </c>
      <c r="G5703" s="61">
        <v>1</v>
      </c>
      <c r="H5703" s="61">
        <v>10</v>
      </c>
      <c r="I5703" s="61">
        <v>39.85031</v>
      </c>
    </row>
    <row r="5704" spans="1:9" s="71" customFormat="1" ht="24" hidden="1" customHeight="1" outlineLevel="1" x14ac:dyDescent="0.25">
      <c r="A5704" s="74">
        <v>1158</v>
      </c>
      <c r="B5704" s="45" t="s">
        <v>664</v>
      </c>
      <c r="C5704" s="60" t="s">
        <v>5279</v>
      </c>
      <c r="D5704" s="60"/>
      <c r="E5704" s="74">
        <v>2023</v>
      </c>
      <c r="F5704" s="74" t="s">
        <v>489</v>
      </c>
      <c r="G5704" s="61">
        <v>1</v>
      </c>
      <c r="H5704" s="61">
        <v>15</v>
      </c>
      <c r="I5704" s="61">
        <v>40.127379999999995</v>
      </c>
    </row>
    <row r="5705" spans="1:9" s="71" customFormat="1" ht="24" hidden="1" customHeight="1" outlineLevel="1" x14ac:dyDescent="0.25">
      <c r="A5705" s="74">
        <v>1273</v>
      </c>
      <c r="B5705" s="45" t="s">
        <v>664</v>
      </c>
      <c r="C5705" s="60" t="s">
        <v>5280</v>
      </c>
      <c r="D5705" s="60"/>
      <c r="E5705" s="74">
        <v>2023</v>
      </c>
      <c r="F5705" s="74" t="s">
        <v>489</v>
      </c>
      <c r="G5705" s="61">
        <v>1</v>
      </c>
      <c r="H5705" s="61">
        <v>15</v>
      </c>
      <c r="I5705" s="61">
        <v>39.40204</v>
      </c>
    </row>
    <row r="5706" spans="1:9" s="71" customFormat="1" ht="24" hidden="1" customHeight="1" outlineLevel="1" x14ac:dyDescent="0.25">
      <c r="A5706" s="74">
        <v>1922</v>
      </c>
      <c r="B5706" s="45" t="s">
        <v>664</v>
      </c>
      <c r="C5706" s="60" t="s">
        <v>5281</v>
      </c>
      <c r="D5706" s="60"/>
      <c r="E5706" s="74">
        <v>2023</v>
      </c>
      <c r="F5706" s="74" t="s">
        <v>489</v>
      </c>
      <c r="G5706" s="61">
        <v>1</v>
      </c>
      <c r="H5706" s="61">
        <v>4</v>
      </c>
      <c r="I5706" s="61">
        <v>38.581589999999998</v>
      </c>
    </row>
    <row r="5707" spans="1:9" s="71" customFormat="1" ht="24" hidden="1" customHeight="1" outlineLevel="1" x14ac:dyDescent="0.25">
      <c r="A5707" s="74">
        <v>1337</v>
      </c>
      <c r="B5707" s="45" t="s">
        <v>664</v>
      </c>
      <c r="C5707" s="60" t="s">
        <v>5282</v>
      </c>
      <c r="D5707" s="60"/>
      <c r="E5707" s="74">
        <v>2023</v>
      </c>
      <c r="F5707" s="74" t="s">
        <v>489</v>
      </c>
      <c r="G5707" s="61">
        <v>1</v>
      </c>
      <c r="H5707" s="61">
        <v>2</v>
      </c>
      <c r="I5707" s="61">
        <v>41.298200000000001</v>
      </c>
    </row>
    <row r="5708" spans="1:9" s="71" customFormat="1" ht="24" hidden="1" customHeight="1" outlineLevel="1" x14ac:dyDescent="0.25">
      <c r="A5708" s="74">
        <v>4057</v>
      </c>
      <c r="B5708" s="45" t="s">
        <v>664</v>
      </c>
      <c r="C5708" s="60" t="s">
        <v>5283</v>
      </c>
      <c r="D5708" s="60"/>
      <c r="E5708" s="74">
        <v>2023</v>
      </c>
      <c r="F5708" s="74" t="s">
        <v>489</v>
      </c>
      <c r="G5708" s="61">
        <v>1</v>
      </c>
      <c r="H5708" s="61">
        <v>15</v>
      </c>
      <c r="I5708" s="61">
        <v>41.085380000000001</v>
      </c>
    </row>
    <row r="5709" spans="1:9" s="71" customFormat="1" ht="24" hidden="1" customHeight="1" outlineLevel="1" x14ac:dyDescent="0.25">
      <c r="A5709" s="74">
        <v>1165</v>
      </c>
      <c r="B5709" s="45" t="s">
        <v>664</v>
      </c>
      <c r="C5709" s="60" t="s">
        <v>5284</v>
      </c>
      <c r="D5709" s="60"/>
      <c r="E5709" s="74">
        <v>2023</v>
      </c>
      <c r="F5709" s="74" t="s">
        <v>489</v>
      </c>
      <c r="G5709" s="61">
        <v>1</v>
      </c>
      <c r="H5709" s="61">
        <v>15</v>
      </c>
      <c r="I5709" s="61">
        <v>38.864890000000003</v>
      </c>
    </row>
    <row r="5710" spans="1:9" s="71" customFormat="1" ht="24" hidden="1" customHeight="1" outlineLevel="1" x14ac:dyDescent="0.25">
      <c r="A5710" s="74">
        <v>1938</v>
      </c>
      <c r="B5710" s="45" t="s">
        <v>664</v>
      </c>
      <c r="C5710" s="60" t="s">
        <v>5285</v>
      </c>
      <c r="D5710" s="60"/>
      <c r="E5710" s="74">
        <v>2023</v>
      </c>
      <c r="F5710" s="74" t="s">
        <v>489</v>
      </c>
      <c r="G5710" s="61">
        <v>1</v>
      </c>
      <c r="H5710" s="61">
        <v>4</v>
      </c>
      <c r="I5710" s="61">
        <v>38.217010000000002</v>
      </c>
    </row>
    <row r="5711" spans="1:9" s="71" customFormat="1" ht="24" hidden="1" customHeight="1" outlineLevel="1" x14ac:dyDescent="0.25">
      <c r="A5711" s="74">
        <v>4078</v>
      </c>
      <c r="B5711" s="45" t="s">
        <v>664</v>
      </c>
      <c r="C5711" s="60" t="s">
        <v>5286</v>
      </c>
      <c r="D5711" s="60"/>
      <c r="E5711" s="74">
        <v>2023</v>
      </c>
      <c r="F5711" s="74" t="s">
        <v>489</v>
      </c>
      <c r="G5711" s="61">
        <v>1</v>
      </c>
      <c r="H5711" s="61">
        <v>15</v>
      </c>
      <c r="I5711" s="61">
        <v>47.264800000000001</v>
      </c>
    </row>
    <row r="5712" spans="1:9" s="71" customFormat="1" ht="24" hidden="1" customHeight="1" outlineLevel="1" x14ac:dyDescent="0.25">
      <c r="A5712" s="74">
        <v>4075</v>
      </c>
      <c r="B5712" s="45" t="s">
        <v>664</v>
      </c>
      <c r="C5712" s="60" t="s">
        <v>5287</v>
      </c>
      <c r="D5712" s="60"/>
      <c r="E5712" s="74">
        <v>2023</v>
      </c>
      <c r="F5712" s="74" t="s">
        <v>489</v>
      </c>
      <c r="G5712" s="61">
        <v>1</v>
      </c>
      <c r="H5712" s="61">
        <v>15</v>
      </c>
      <c r="I5712" s="61">
        <v>39.327370000000002</v>
      </c>
    </row>
    <row r="5713" spans="1:9" s="71" customFormat="1" ht="24" hidden="1" customHeight="1" outlineLevel="1" x14ac:dyDescent="0.25">
      <c r="A5713" s="74">
        <v>497</v>
      </c>
      <c r="B5713" s="45" t="s">
        <v>664</v>
      </c>
      <c r="C5713" s="60" t="s">
        <v>5288</v>
      </c>
      <c r="D5713" s="60"/>
      <c r="E5713" s="74">
        <v>2023</v>
      </c>
      <c r="F5713" s="74" t="s">
        <v>489</v>
      </c>
      <c r="G5713" s="61">
        <v>1</v>
      </c>
      <c r="H5713" s="61">
        <v>15</v>
      </c>
      <c r="I5713" s="61">
        <v>462.62923999999998</v>
      </c>
    </row>
    <row r="5714" spans="1:9" s="71" customFormat="1" ht="24" hidden="1" customHeight="1" outlineLevel="1" x14ac:dyDescent="0.25">
      <c r="A5714" s="74">
        <v>4046</v>
      </c>
      <c r="B5714" s="45" t="s">
        <v>664</v>
      </c>
      <c r="C5714" s="60" t="s">
        <v>5289</v>
      </c>
      <c r="D5714" s="60"/>
      <c r="E5714" s="74">
        <v>2023</v>
      </c>
      <c r="F5714" s="74" t="s">
        <v>489</v>
      </c>
      <c r="G5714" s="61">
        <v>1</v>
      </c>
      <c r="H5714" s="61">
        <v>135</v>
      </c>
      <c r="I5714" s="61">
        <v>52.593739999999997</v>
      </c>
    </row>
    <row r="5715" spans="1:9" s="71" customFormat="1" ht="24" hidden="1" customHeight="1" outlineLevel="1" x14ac:dyDescent="0.25">
      <c r="A5715" s="74">
        <v>4083</v>
      </c>
      <c r="B5715" s="45" t="s">
        <v>664</v>
      </c>
      <c r="C5715" s="60" t="s">
        <v>5290</v>
      </c>
      <c r="D5715" s="60"/>
      <c r="E5715" s="74">
        <v>2023</v>
      </c>
      <c r="F5715" s="74" t="s">
        <v>489</v>
      </c>
      <c r="G5715" s="61">
        <v>1</v>
      </c>
      <c r="H5715" s="61">
        <v>15</v>
      </c>
      <c r="I5715" s="61">
        <v>38.308309999999999</v>
      </c>
    </row>
    <row r="5716" spans="1:9" s="71" customFormat="1" ht="24" hidden="1" customHeight="1" outlineLevel="1" x14ac:dyDescent="0.25">
      <c r="A5716" s="74">
        <v>4027</v>
      </c>
      <c r="B5716" s="45" t="s">
        <v>664</v>
      </c>
      <c r="C5716" s="60" t="s">
        <v>5291</v>
      </c>
      <c r="D5716" s="60"/>
      <c r="E5716" s="74">
        <v>2023</v>
      </c>
      <c r="F5716" s="74" t="s">
        <v>489</v>
      </c>
      <c r="G5716" s="61">
        <v>1</v>
      </c>
      <c r="H5716" s="61">
        <v>14</v>
      </c>
      <c r="I5716" s="61">
        <v>43.523829999999997</v>
      </c>
    </row>
    <row r="5717" spans="1:9" s="71" customFormat="1" ht="24" hidden="1" customHeight="1" outlineLevel="1" x14ac:dyDescent="0.25">
      <c r="A5717" s="74">
        <v>4026</v>
      </c>
      <c r="B5717" s="45" t="s">
        <v>664</v>
      </c>
      <c r="C5717" s="60" t="s">
        <v>5292</v>
      </c>
      <c r="D5717" s="60"/>
      <c r="E5717" s="74">
        <v>2023</v>
      </c>
      <c r="F5717" s="74" t="s">
        <v>489</v>
      </c>
      <c r="G5717" s="61">
        <v>1</v>
      </c>
      <c r="H5717" s="61">
        <v>14</v>
      </c>
      <c r="I5717" s="61">
        <v>43.523800000000001</v>
      </c>
    </row>
    <row r="5718" spans="1:9" s="71" customFormat="1" ht="24" hidden="1" customHeight="1" outlineLevel="1" x14ac:dyDescent="0.25">
      <c r="A5718" s="74">
        <v>460</v>
      </c>
      <c r="B5718" s="45" t="s">
        <v>664</v>
      </c>
      <c r="C5718" s="60" t="s">
        <v>5293</v>
      </c>
      <c r="D5718" s="60"/>
      <c r="E5718" s="74">
        <v>2023</v>
      </c>
      <c r="F5718" s="74" t="s">
        <v>489</v>
      </c>
      <c r="G5718" s="61">
        <v>1</v>
      </c>
      <c r="H5718" s="61">
        <v>14</v>
      </c>
      <c r="I5718" s="61">
        <v>43.523820000000001</v>
      </c>
    </row>
    <row r="5719" spans="1:9" s="71" customFormat="1" ht="24" hidden="1" customHeight="1" outlineLevel="1" x14ac:dyDescent="0.25">
      <c r="A5719" s="74">
        <v>4082</v>
      </c>
      <c r="B5719" s="45" t="s">
        <v>664</v>
      </c>
      <c r="C5719" s="60" t="s">
        <v>5294</v>
      </c>
      <c r="D5719" s="60"/>
      <c r="E5719" s="74">
        <v>2023</v>
      </c>
      <c r="F5719" s="74" t="s">
        <v>489</v>
      </c>
      <c r="G5719" s="61">
        <v>1</v>
      </c>
      <c r="H5719" s="61">
        <v>15</v>
      </c>
      <c r="I5719" s="61">
        <v>39.7605</v>
      </c>
    </row>
    <row r="5720" spans="1:9" s="71" customFormat="1" ht="24" hidden="1" customHeight="1" outlineLevel="1" x14ac:dyDescent="0.25">
      <c r="A5720" s="74">
        <v>4079</v>
      </c>
      <c r="B5720" s="45" t="s">
        <v>664</v>
      </c>
      <c r="C5720" s="60" t="s">
        <v>5295</v>
      </c>
      <c r="D5720" s="60"/>
      <c r="E5720" s="74">
        <v>2023</v>
      </c>
      <c r="F5720" s="74" t="s">
        <v>489</v>
      </c>
      <c r="G5720" s="61">
        <v>1</v>
      </c>
      <c r="H5720" s="61">
        <v>10</v>
      </c>
      <c r="I5720" s="61">
        <v>39.921840000000003</v>
      </c>
    </row>
    <row r="5721" spans="1:9" s="71" customFormat="1" ht="24" hidden="1" customHeight="1" outlineLevel="1" x14ac:dyDescent="0.25">
      <c r="A5721" s="74">
        <v>4081</v>
      </c>
      <c r="B5721" s="45" t="s">
        <v>664</v>
      </c>
      <c r="C5721" s="60" t="s">
        <v>5296</v>
      </c>
      <c r="D5721" s="60"/>
      <c r="E5721" s="74">
        <v>2023</v>
      </c>
      <c r="F5721" s="74" t="s">
        <v>489</v>
      </c>
      <c r="G5721" s="61">
        <v>1</v>
      </c>
      <c r="H5721" s="61">
        <v>10</v>
      </c>
      <c r="I5721" s="61">
        <v>40.708559999999999</v>
      </c>
    </row>
    <row r="5722" spans="1:9" s="71" customFormat="1" ht="24" hidden="1" customHeight="1" outlineLevel="1" x14ac:dyDescent="0.25">
      <c r="A5722" s="74">
        <v>1260</v>
      </c>
      <c r="B5722" s="45" t="s">
        <v>664</v>
      </c>
      <c r="C5722" s="60" t="s">
        <v>5297</v>
      </c>
      <c r="D5722" s="60"/>
      <c r="E5722" s="74">
        <v>2023</v>
      </c>
      <c r="F5722" s="74" t="s">
        <v>489</v>
      </c>
      <c r="G5722" s="61">
        <v>1</v>
      </c>
      <c r="H5722" s="61">
        <v>10</v>
      </c>
      <c r="I5722" s="61">
        <v>41.320040000000006</v>
      </c>
    </row>
    <row r="5723" spans="1:9" s="71" customFormat="1" ht="24" hidden="1" customHeight="1" outlineLevel="1" x14ac:dyDescent="0.25">
      <c r="A5723" s="74">
        <v>4029</v>
      </c>
      <c r="B5723" s="45" t="s">
        <v>664</v>
      </c>
      <c r="C5723" s="60" t="s">
        <v>5298</v>
      </c>
      <c r="D5723" s="60"/>
      <c r="E5723" s="74">
        <v>2023</v>
      </c>
      <c r="F5723" s="74" t="s">
        <v>489</v>
      </c>
      <c r="G5723" s="61">
        <v>1</v>
      </c>
      <c r="H5723" s="61">
        <v>15</v>
      </c>
      <c r="I5723" s="61">
        <v>29.310960000000001</v>
      </c>
    </row>
    <row r="5724" spans="1:9" s="71" customFormat="1" ht="24" hidden="1" customHeight="1" outlineLevel="1" x14ac:dyDescent="0.25">
      <c r="A5724" s="74">
        <v>422</v>
      </c>
      <c r="B5724" s="45" t="s">
        <v>664</v>
      </c>
      <c r="C5724" s="60" t="s">
        <v>5299</v>
      </c>
      <c r="D5724" s="60"/>
      <c r="E5724" s="74">
        <v>2023</v>
      </c>
      <c r="F5724" s="74" t="s">
        <v>489</v>
      </c>
      <c r="G5724" s="61">
        <v>1</v>
      </c>
      <c r="H5724" s="61">
        <v>10</v>
      </c>
      <c r="I5724" s="61">
        <v>62.417340000000003</v>
      </c>
    </row>
    <row r="5725" spans="1:9" s="71" customFormat="1" ht="24" hidden="1" customHeight="1" outlineLevel="1" x14ac:dyDescent="0.25">
      <c r="A5725" s="74">
        <v>4089</v>
      </c>
      <c r="B5725" s="45" t="s">
        <v>664</v>
      </c>
      <c r="C5725" s="60" t="s">
        <v>5300</v>
      </c>
      <c r="D5725" s="60"/>
      <c r="E5725" s="74">
        <v>2023</v>
      </c>
      <c r="F5725" s="74" t="s">
        <v>489</v>
      </c>
      <c r="G5725" s="61">
        <v>1</v>
      </c>
      <c r="H5725" s="61">
        <v>15</v>
      </c>
      <c r="I5725" s="61">
        <v>40.802379999999999</v>
      </c>
    </row>
    <row r="5726" spans="1:9" s="71" customFormat="1" ht="24" hidden="1" customHeight="1" outlineLevel="1" x14ac:dyDescent="0.25">
      <c r="A5726" s="74">
        <v>1952</v>
      </c>
      <c r="B5726" s="45" t="s">
        <v>664</v>
      </c>
      <c r="C5726" s="60" t="s">
        <v>5301</v>
      </c>
      <c r="D5726" s="60"/>
      <c r="E5726" s="74">
        <v>2023</v>
      </c>
      <c r="F5726" s="74" t="s">
        <v>489</v>
      </c>
      <c r="G5726" s="61">
        <v>1</v>
      </c>
      <c r="H5726" s="61">
        <v>5</v>
      </c>
      <c r="I5726" s="61">
        <v>37.808660000000003</v>
      </c>
    </row>
    <row r="5727" spans="1:9" s="71" customFormat="1" ht="24" hidden="1" customHeight="1" outlineLevel="1" x14ac:dyDescent="0.25">
      <c r="A5727" s="74">
        <v>4090</v>
      </c>
      <c r="B5727" s="45" t="s">
        <v>664</v>
      </c>
      <c r="C5727" s="60" t="s">
        <v>5302</v>
      </c>
      <c r="D5727" s="60"/>
      <c r="E5727" s="74">
        <v>2023</v>
      </c>
      <c r="F5727" s="74" t="s">
        <v>489</v>
      </c>
      <c r="G5727" s="61">
        <v>1</v>
      </c>
      <c r="H5727" s="61">
        <v>12.5</v>
      </c>
      <c r="I5727" s="61">
        <v>41.352910000000001</v>
      </c>
    </row>
    <row r="5728" spans="1:9" s="71" customFormat="1" ht="24" hidden="1" customHeight="1" outlineLevel="1" x14ac:dyDescent="0.25">
      <c r="A5728" s="74">
        <v>640</v>
      </c>
      <c r="B5728" s="45" t="s">
        <v>664</v>
      </c>
      <c r="C5728" s="60" t="s">
        <v>5303</v>
      </c>
      <c r="D5728" s="60"/>
      <c r="E5728" s="74">
        <v>2023</v>
      </c>
      <c r="F5728" s="74" t="s">
        <v>489</v>
      </c>
      <c r="G5728" s="61">
        <v>1</v>
      </c>
      <c r="H5728" s="61">
        <v>15</v>
      </c>
      <c r="I5728" s="61">
        <v>63.88711</v>
      </c>
    </row>
    <row r="5729" spans="1:9" s="71" customFormat="1" ht="24" hidden="1" customHeight="1" outlineLevel="1" x14ac:dyDescent="0.25">
      <c r="A5729" s="74">
        <v>4084</v>
      </c>
      <c r="B5729" s="45" t="s">
        <v>664</v>
      </c>
      <c r="C5729" s="60" t="s">
        <v>5304</v>
      </c>
      <c r="D5729" s="60"/>
      <c r="E5729" s="74">
        <v>2023</v>
      </c>
      <c r="F5729" s="74" t="s">
        <v>489</v>
      </c>
      <c r="G5729" s="61">
        <v>1</v>
      </c>
      <c r="H5729" s="61">
        <v>10</v>
      </c>
      <c r="I5729" s="61">
        <v>45.80218</v>
      </c>
    </row>
    <row r="5730" spans="1:9" s="71" customFormat="1" ht="24" hidden="1" customHeight="1" outlineLevel="1" x14ac:dyDescent="0.25">
      <c r="A5730" s="74">
        <v>4077</v>
      </c>
      <c r="B5730" s="45" t="s">
        <v>664</v>
      </c>
      <c r="C5730" s="60" t="s">
        <v>5305</v>
      </c>
      <c r="D5730" s="60"/>
      <c r="E5730" s="74">
        <v>2023</v>
      </c>
      <c r="F5730" s="74" t="s">
        <v>489</v>
      </c>
      <c r="G5730" s="61">
        <v>1</v>
      </c>
      <c r="H5730" s="61">
        <v>15</v>
      </c>
      <c r="I5730" s="61">
        <v>39.21452</v>
      </c>
    </row>
    <row r="5731" spans="1:9" s="71" customFormat="1" ht="24" hidden="1" customHeight="1" outlineLevel="1" x14ac:dyDescent="0.25">
      <c r="A5731" s="74">
        <v>4087</v>
      </c>
      <c r="B5731" s="45" t="s">
        <v>664</v>
      </c>
      <c r="C5731" s="60" t="s">
        <v>5306</v>
      </c>
      <c r="D5731" s="60"/>
      <c r="E5731" s="74">
        <v>2023</v>
      </c>
      <c r="F5731" s="74" t="s">
        <v>489</v>
      </c>
      <c r="G5731" s="61">
        <v>1</v>
      </c>
      <c r="H5731" s="61">
        <v>10</v>
      </c>
      <c r="I5731" s="61">
        <v>38.865719999999996</v>
      </c>
    </row>
    <row r="5732" spans="1:9" s="71" customFormat="1" ht="24" hidden="1" customHeight="1" outlineLevel="1" x14ac:dyDescent="0.25">
      <c r="A5732" s="74">
        <v>2050</v>
      </c>
      <c r="B5732" s="45" t="s">
        <v>664</v>
      </c>
      <c r="C5732" s="60" t="s">
        <v>5307</v>
      </c>
      <c r="D5732" s="60"/>
      <c r="E5732" s="74">
        <v>2023</v>
      </c>
      <c r="F5732" s="74" t="s">
        <v>489</v>
      </c>
      <c r="G5732" s="61">
        <v>1</v>
      </c>
      <c r="H5732" s="61">
        <v>3</v>
      </c>
      <c r="I5732" s="61">
        <v>38.863819999999997</v>
      </c>
    </row>
    <row r="5733" spans="1:9" s="71" customFormat="1" ht="24" hidden="1" customHeight="1" outlineLevel="1" x14ac:dyDescent="0.25">
      <c r="A5733" s="74">
        <v>1753</v>
      </c>
      <c r="B5733" s="45" t="s">
        <v>664</v>
      </c>
      <c r="C5733" s="60" t="s">
        <v>5308</v>
      </c>
      <c r="D5733" s="60"/>
      <c r="E5733" s="74">
        <v>2023</v>
      </c>
      <c r="F5733" s="74" t="s">
        <v>489</v>
      </c>
      <c r="G5733" s="61">
        <v>1</v>
      </c>
      <c r="H5733" s="61">
        <v>5</v>
      </c>
      <c r="I5733" s="61">
        <v>38.902760000000001</v>
      </c>
    </row>
    <row r="5734" spans="1:9" s="71" customFormat="1" ht="24" hidden="1" customHeight="1" outlineLevel="1" x14ac:dyDescent="0.25">
      <c r="A5734" s="74">
        <v>1220</v>
      </c>
      <c r="B5734" s="45" t="s">
        <v>664</v>
      </c>
      <c r="C5734" s="60" t="s">
        <v>5309</v>
      </c>
      <c r="D5734" s="60"/>
      <c r="E5734" s="74">
        <v>2023</v>
      </c>
      <c r="F5734" s="74" t="s">
        <v>489</v>
      </c>
      <c r="G5734" s="61">
        <v>1</v>
      </c>
      <c r="H5734" s="61">
        <v>2</v>
      </c>
      <c r="I5734" s="61">
        <v>39.228970000000004</v>
      </c>
    </row>
    <row r="5735" spans="1:9" s="71" customFormat="1" ht="24" hidden="1" customHeight="1" outlineLevel="1" x14ac:dyDescent="0.25">
      <c r="A5735" s="74">
        <v>355</v>
      </c>
      <c r="B5735" s="45" t="s">
        <v>664</v>
      </c>
      <c r="C5735" s="60" t="s">
        <v>5310</v>
      </c>
      <c r="D5735" s="60"/>
      <c r="E5735" s="74">
        <v>2023</v>
      </c>
      <c r="F5735" s="74" t="s">
        <v>489</v>
      </c>
      <c r="G5735" s="61">
        <v>1</v>
      </c>
      <c r="H5735" s="61">
        <v>10</v>
      </c>
      <c r="I5735" s="61">
        <v>46.400869999999998</v>
      </c>
    </row>
    <row r="5736" spans="1:9" s="71" customFormat="1" ht="24" hidden="1" customHeight="1" outlineLevel="1" x14ac:dyDescent="0.25">
      <c r="A5736" s="74">
        <v>843</v>
      </c>
      <c r="B5736" s="45" t="s">
        <v>664</v>
      </c>
      <c r="C5736" s="60" t="s">
        <v>5311</v>
      </c>
      <c r="D5736" s="60"/>
      <c r="E5736" s="74">
        <v>2023</v>
      </c>
      <c r="F5736" s="74" t="s">
        <v>489</v>
      </c>
      <c r="G5736" s="61">
        <v>1</v>
      </c>
      <c r="H5736" s="61">
        <v>10</v>
      </c>
      <c r="I5736" s="61">
        <v>37.375160000000001</v>
      </c>
    </row>
    <row r="5737" spans="1:9" s="71" customFormat="1" ht="24" hidden="1" customHeight="1" outlineLevel="1" x14ac:dyDescent="0.25">
      <c r="A5737" s="74">
        <v>572</v>
      </c>
      <c r="B5737" s="45" t="s">
        <v>664</v>
      </c>
      <c r="C5737" s="60" t="s">
        <v>5312</v>
      </c>
      <c r="D5737" s="60"/>
      <c r="E5737" s="74">
        <v>2023</v>
      </c>
      <c r="F5737" s="74" t="s">
        <v>489</v>
      </c>
      <c r="G5737" s="61">
        <v>1</v>
      </c>
      <c r="H5737" s="61">
        <v>10</v>
      </c>
      <c r="I5737" s="61">
        <v>62.871850000000009</v>
      </c>
    </row>
    <row r="5738" spans="1:9" s="71" customFormat="1" ht="24" hidden="1" customHeight="1" outlineLevel="1" x14ac:dyDescent="0.25">
      <c r="A5738" s="74">
        <v>4103</v>
      </c>
      <c r="B5738" s="45" t="s">
        <v>664</v>
      </c>
      <c r="C5738" s="60" t="s">
        <v>5313</v>
      </c>
      <c r="D5738" s="60"/>
      <c r="E5738" s="74">
        <v>2023</v>
      </c>
      <c r="F5738" s="74" t="s">
        <v>489</v>
      </c>
      <c r="G5738" s="61">
        <v>1</v>
      </c>
      <c r="H5738" s="61">
        <v>15</v>
      </c>
      <c r="I5738" s="61">
        <v>40.757259999999995</v>
      </c>
    </row>
    <row r="5739" spans="1:9" s="71" customFormat="1" ht="24" hidden="1" customHeight="1" outlineLevel="1" x14ac:dyDescent="0.25">
      <c r="A5739" s="74">
        <v>4102</v>
      </c>
      <c r="B5739" s="45" t="s">
        <v>664</v>
      </c>
      <c r="C5739" s="60" t="s">
        <v>5314</v>
      </c>
      <c r="D5739" s="60"/>
      <c r="E5739" s="74">
        <v>2023</v>
      </c>
      <c r="F5739" s="74" t="s">
        <v>489</v>
      </c>
      <c r="G5739" s="61">
        <v>1</v>
      </c>
      <c r="H5739" s="61">
        <v>15</v>
      </c>
      <c r="I5739" s="61">
        <v>40.0383</v>
      </c>
    </row>
    <row r="5740" spans="1:9" s="71" customFormat="1" ht="24" hidden="1" customHeight="1" outlineLevel="1" x14ac:dyDescent="0.25">
      <c r="A5740" s="74">
        <v>2214</v>
      </c>
      <c r="B5740" s="45" t="s">
        <v>664</v>
      </c>
      <c r="C5740" s="60" t="s">
        <v>5315</v>
      </c>
      <c r="D5740" s="60"/>
      <c r="E5740" s="74">
        <v>2023</v>
      </c>
      <c r="F5740" s="74" t="s">
        <v>489</v>
      </c>
      <c r="G5740" s="61">
        <v>1</v>
      </c>
      <c r="H5740" s="61">
        <v>6</v>
      </c>
      <c r="I5740" s="61">
        <v>39.496259999999999</v>
      </c>
    </row>
    <row r="5741" spans="1:9" s="71" customFormat="1" ht="24" hidden="1" customHeight="1" outlineLevel="1" x14ac:dyDescent="0.25">
      <c r="A5741" s="74">
        <v>4104</v>
      </c>
      <c r="B5741" s="45" t="s">
        <v>664</v>
      </c>
      <c r="C5741" s="60" t="s">
        <v>5316</v>
      </c>
      <c r="D5741" s="60"/>
      <c r="E5741" s="74">
        <v>2023</v>
      </c>
      <c r="F5741" s="74" t="s">
        <v>489</v>
      </c>
      <c r="G5741" s="61">
        <v>1</v>
      </c>
      <c r="H5741" s="61">
        <v>10</v>
      </c>
      <c r="I5741" s="61">
        <v>39.143389999999997</v>
      </c>
    </row>
    <row r="5742" spans="1:9" s="71" customFormat="1" ht="24" hidden="1" customHeight="1" outlineLevel="1" x14ac:dyDescent="0.25">
      <c r="A5742" s="74">
        <v>1873</v>
      </c>
      <c r="B5742" s="45" t="s">
        <v>664</v>
      </c>
      <c r="C5742" s="60" t="s">
        <v>5317</v>
      </c>
      <c r="D5742" s="60"/>
      <c r="E5742" s="74">
        <v>2023</v>
      </c>
      <c r="F5742" s="74" t="s">
        <v>489</v>
      </c>
      <c r="G5742" s="61">
        <v>1</v>
      </c>
      <c r="H5742" s="61">
        <v>15</v>
      </c>
      <c r="I5742" s="61">
        <v>39.597439999999999</v>
      </c>
    </row>
    <row r="5743" spans="1:9" s="71" customFormat="1" ht="24" hidden="1" customHeight="1" outlineLevel="1" x14ac:dyDescent="0.25">
      <c r="A5743" s="74">
        <v>4108</v>
      </c>
      <c r="B5743" s="45" t="s">
        <v>664</v>
      </c>
      <c r="C5743" s="60" t="s">
        <v>5318</v>
      </c>
      <c r="D5743" s="60"/>
      <c r="E5743" s="74">
        <v>2023</v>
      </c>
      <c r="F5743" s="74" t="s">
        <v>489</v>
      </c>
      <c r="G5743" s="61">
        <v>1</v>
      </c>
      <c r="H5743" s="61">
        <v>13.5</v>
      </c>
      <c r="I5743" s="61">
        <v>46.218229999999998</v>
      </c>
    </row>
    <row r="5744" spans="1:9" s="71" customFormat="1" ht="24" hidden="1" customHeight="1" outlineLevel="1" x14ac:dyDescent="0.25">
      <c r="A5744" s="74">
        <v>4110</v>
      </c>
      <c r="B5744" s="45" t="s">
        <v>664</v>
      </c>
      <c r="C5744" s="60" t="s">
        <v>5319</v>
      </c>
      <c r="D5744" s="60"/>
      <c r="E5744" s="74">
        <v>2023</v>
      </c>
      <c r="F5744" s="74" t="s">
        <v>489</v>
      </c>
      <c r="G5744" s="61">
        <v>1</v>
      </c>
      <c r="H5744" s="61">
        <v>15</v>
      </c>
      <c r="I5744" s="61">
        <v>39.779879999999999</v>
      </c>
    </row>
    <row r="5745" spans="1:9" s="71" customFormat="1" ht="24" hidden="1" customHeight="1" outlineLevel="1" x14ac:dyDescent="0.25">
      <c r="A5745" s="74">
        <v>4111</v>
      </c>
      <c r="B5745" s="45" t="s">
        <v>664</v>
      </c>
      <c r="C5745" s="60" t="s">
        <v>5320</v>
      </c>
      <c r="D5745" s="60"/>
      <c r="E5745" s="74">
        <v>2023</v>
      </c>
      <c r="F5745" s="74" t="s">
        <v>489</v>
      </c>
      <c r="G5745" s="61">
        <v>1</v>
      </c>
      <c r="H5745" s="61">
        <v>15</v>
      </c>
      <c r="I5745" s="61">
        <v>39.719329999999999</v>
      </c>
    </row>
    <row r="5746" spans="1:9" s="71" customFormat="1" ht="24" hidden="1" customHeight="1" outlineLevel="1" x14ac:dyDescent="0.25">
      <c r="A5746" s="74">
        <v>4096</v>
      </c>
      <c r="B5746" s="45" t="s">
        <v>664</v>
      </c>
      <c r="C5746" s="60" t="s">
        <v>5321</v>
      </c>
      <c r="D5746" s="60"/>
      <c r="E5746" s="74">
        <v>2023</v>
      </c>
      <c r="F5746" s="74" t="s">
        <v>489</v>
      </c>
      <c r="G5746" s="61">
        <v>1</v>
      </c>
      <c r="H5746" s="61">
        <v>15</v>
      </c>
      <c r="I5746" s="61">
        <v>39.641919999999999</v>
      </c>
    </row>
    <row r="5747" spans="1:9" s="71" customFormat="1" ht="24" hidden="1" customHeight="1" outlineLevel="1" x14ac:dyDescent="0.25">
      <c r="A5747" s="74">
        <v>4085</v>
      </c>
      <c r="B5747" s="45" t="s">
        <v>664</v>
      </c>
      <c r="C5747" s="60" t="s">
        <v>5322</v>
      </c>
      <c r="D5747" s="60"/>
      <c r="E5747" s="74">
        <v>2023</v>
      </c>
      <c r="F5747" s="74" t="s">
        <v>489</v>
      </c>
      <c r="G5747" s="61">
        <v>1</v>
      </c>
      <c r="H5747" s="61">
        <v>15</v>
      </c>
      <c r="I5747" s="61">
        <v>39.597380000000001</v>
      </c>
    </row>
    <row r="5748" spans="1:9" s="71" customFormat="1" ht="24" hidden="1" customHeight="1" outlineLevel="1" x14ac:dyDescent="0.25">
      <c r="A5748" s="74">
        <v>4094</v>
      </c>
      <c r="B5748" s="45" t="s">
        <v>664</v>
      </c>
      <c r="C5748" s="60" t="s">
        <v>5323</v>
      </c>
      <c r="D5748" s="60"/>
      <c r="E5748" s="74">
        <v>2023</v>
      </c>
      <c r="F5748" s="74" t="s">
        <v>489</v>
      </c>
      <c r="G5748" s="61">
        <v>1</v>
      </c>
      <c r="H5748" s="61">
        <v>10</v>
      </c>
      <c r="I5748" s="61">
        <v>39.504519999999999</v>
      </c>
    </row>
    <row r="5749" spans="1:9" s="71" customFormat="1" ht="24" hidden="1" customHeight="1" outlineLevel="1" x14ac:dyDescent="0.25">
      <c r="A5749" s="74">
        <v>4126</v>
      </c>
      <c r="B5749" s="45" t="s">
        <v>664</v>
      </c>
      <c r="C5749" s="60" t="s">
        <v>5324</v>
      </c>
      <c r="D5749" s="60"/>
      <c r="E5749" s="74">
        <v>2023</v>
      </c>
      <c r="F5749" s="74" t="s">
        <v>489</v>
      </c>
      <c r="G5749" s="61">
        <v>1</v>
      </c>
      <c r="H5749" s="61">
        <v>15</v>
      </c>
      <c r="I5749" s="61">
        <v>37.085659999999997</v>
      </c>
    </row>
    <row r="5750" spans="1:9" s="71" customFormat="1" ht="24" hidden="1" customHeight="1" outlineLevel="1" x14ac:dyDescent="0.25">
      <c r="A5750" s="74">
        <v>4127</v>
      </c>
      <c r="B5750" s="45" t="s">
        <v>664</v>
      </c>
      <c r="C5750" s="60" t="s">
        <v>5325</v>
      </c>
      <c r="D5750" s="60"/>
      <c r="E5750" s="74">
        <v>2023</v>
      </c>
      <c r="F5750" s="74" t="s">
        <v>489</v>
      </c>
      <c r="G5750" s="61">
        <v>1</v>
      </c>
      <c r="H5750" s="121">
        <v>13.24</v>
      </c>
      <c r="I5750" s="61">
        <v>38.970869999999998</v>
      </c>
    </row>
    <row r="5751" spans="1:9" s="71" customFormat="1" ht="24" hidden="1" customHeight="1" outlineLevel="1" x14ac:dyDescent="0.25">
      <c r="A5751" s="74">
        <v>2201</v>
      </c>
      <c r="B5751" s="45" t="s">
        <v>664</v>
      </c>
      <c r="C5751" s="60" t="s">
        <v>5326</v>
      </c>
      <c r="D5751" s="60"/>
      <c r="E5751" s="74">
        <v>2023</v>
      </c>
      <c r="F5751" s="74" t="s">
        <v>489</v>
      </c>
      <c r="G5751" s="61">
        <v>1</v>
      </c>
      <c r="H5751" s="61">
        <v>7</v>
      </c>
      <c r="I5751" s="61">
        <v>35.716409999999996</v>
      </c>
    </row>
    <row r="5752" spans="1:9" s="71" customFormat="1" ht="24" hidden="1" customHeight="1" outlineLevel="1" x14ac:dyDescent="0.25">
      <c r="A5752" s="74">
        <v>4106</v>
      </c>
      <c r="B5752" s="45" t="s">
        <v>664</v>
      </c>
      <c r="C5752" s="60" t="s">
        <v>5327</v>
      </c>
      <c r="D5752" s="60"/>
      <c r="E5752" s="74">
        <v>2023</v>
      </c>
      <c r="F5752" s="74" t="s">
        <v>489</v>
      </c>
      <c r="G5752" s="61">
        <v>1</v>
      </c>
      <c r="H5752" s="61">
        <v>15</v>
      </c>
      <c r="I5752" s="61">
        <v>40.42868</v>
      </c>
    </row>
    <row r="5753" spans="1:9" s="71" customFormat="1" ht="24" hidden="1" customHeight="1" outlineLevel="1" x14ac:dyDescent="0.25">
      <c r="A5753" s="74">
        <v>4125</v>
      </c>
      <c r="B5753" s="45" t="s">
        <v>664</v>
      </c>
      <c r="C5753" s="60" t="s">
        <v>5328</v>
      </c>
      <c r="D5753" s="60"/>
      <c r="E5753" s="74">
        <v>2023</v>
      </c>
      <c r="F5753" s="74" t="s">
        <v>489</v>
      </c>
      <c r="G5753" s="61">
        <v>1</v>
      </c>
      <c r="H5753" s="61">
        <v>10</v>
      </c>
      <c r="I5753" s="61">
        <v>36.877409999999998</v>
      </c>
    </row>
    <row r="5754" spans="1:9" s="71" customFormat="1" ht="24" hidden="1" customHeight="1" outlineLevel="1" x14ac:dyDescent="0.25">
      <c r="A5754" s="74">
        <v>4129</v>
      </c>
      <c r="B5754" s="45" t="s">
        <v>664</v>
      </c>
      <c r="C5754" s="60" t="s">
        <v>5329</v>
      </c>
      <c r="D5754" s="60"/>
      <c r="E5754" s="74">
        <v>2023</v>
      </c>
      <c r="F5754" s="74" t="s">
        <v>489</v>
      </c>
      <c r="G5754" s="61">
        <v>1</v>
      </c>
      <c r="H5754" s="61">
        <v>15</v>
      </c>
      <c r="I5754" s="61">
        <v>40.274389999999997</v>
      </c>
    </row>
    <row r="5755" spans="1:9" s="71" customFormat="1" ht="24" hidden="1" customHeight="1" outlineLevel="1" x14ac:dyDescent="0.25">
      <c r="A5755" s="74">
        <v>2319</v>
      </c>
      <c r="B5755" s="45" t="s">
        <v>664</v>
      </c>
      <c r="C5755" s="60" t="s">
        <v>5330</v>
      </c>
      <c r="D5755" s="60"/>
      <c r="E5755" s="74">
        <v>2023</v>
      </c>
      <c r="F5755" s="74" t="s">
        <v>489</v>
      </c>
      <c r="G5755" s="61">
        <v>1</v>
      </c>
      <c r="H5755" s="61">
        <v>1</v>
      </c>
      <c r="I5755" s="61">
        <v>36.935490000000001</v>
      </c>
    </row>
    <row r="5756" spans="1:9" s="71" customFormat="1" ht="24" hidden="1" customHeight="1" outlineLevel="1" x14ac:dyDescent="0.25">
      <c r="A5756" s="74">
        <v>4130</v>
      </c>
      <c r="B5756" s="45" t="s">
        <v>664</v>
      </c>
      <c r="C5756" s="60" t="s">
        <v>5331</v>
      </c>
      <c r="D5756" s="60"/>
      <c r="E5756" s="74">
        <v>2023</v>
      </c>
      <c r="F5756" s="74" t="s">
        <v>489</v>
      </c>
      <c r="G5756" s="61">
        <v>1</v>
      </c>
      <c r="H5756" s="61">
        <v>15</v>
      </c>
      <c r="I5756" s="61">
        <v>40.274389999999997</v>
      </c>
    </row>
    <row r="5757" spans="1:9" s="71" customFormat="1" ht="24" hidden="1" customHeight="1" outlineLevel="1" x14ac:dyDescent="0.25">
      <c r="A5757" s="74">
        <v>1886</v>
      </c>
      <c r="B5757" s="45" t="s">
        <v>664</v>
      </c>
      <c r="C5757" s="60" t="s">
        <v>5332</v>
      </c>
      <c r="D5757" s="60"/>
      <c r="E5757" s="74">
        <v>2023</v>
      </c>
      <c r="F5757" s="74" t="s">
        <v>489</v>
      </c>
      <c r="G5757" s="61">
        <v>1</v>
      </c>
      <c r="H5757" s="61">
        <v>10</v>
      </c>
      <c r="I5757" s="61">
        <v>46.34366</v>
      </c>
    </row>
    <row r="5758" spans="1:9" s="71" customFormat="1" ht="24" hidden="1" customHeight="1" outlineLevel="1" x14ac:dyDescent="0.25">
      <c r="A5758" s="74">
        <v>4133</v>
      </c>
      <c r="B5758" s="45" t="s">
        <v>664</v>
      </c>
      <c r="C5758" s="60" t="s">
        <v>5333</v>
      </c>
      <c r="D5758" s="60"/>
      <c r="E5758" s="74">
        <v>2023</v>
      </c>
      <c r="F5758" s="74" t="s">
        <v>489</v>
      </c>
      <c r="G5758" s="61">
        <v>1</v>
      </c>
      <c r="H5758" s="61">
        <v>10</v>
      </c>
      <c r="I5758" s="61">
        <v>37.663019999999996</v>
      </c>
    </row>
    <row r="5759" spans="1:9" s="71" customFormat="1" ht="24" hidden="1" customHeight="1" outlineLevel="1" x14ac:dyDescent="0.25">
      <c r="A5759" s="74">
        <v>4134</v>
      </c>
      <c r="B5759" s="45" t="s">
        <v>664</v>
      </c>
      <c r="C5759" s="60" t="s">
        <v>5334</v>
      </c>
      <c r="D5759" s="60"/>
      <c r="E5759" s="74">
        <v>2023</v>
      </c>
      <c r="F5759" s="74" t="s">
        <v>489</v>
      </c>
      <c r="G5759" s="61">
        <v>1</v>
      </c>
      <c r="H5759" s="61">
        <v>11</v>
      </c>
      <c r="I5759" s="61">
        <v>37.662320000000001</v>
      </c>
    </row>
    <row r="5760" spans="1:9" s="71" customFormat="1" ht="24" hidden="1" customHeight="1" outlineLevel="1" x14ac:dyDescent="0.25">
      <c r="A5760" s="74">
        <v>4115</v>
      </c>
      <c r="B5760" s="45" t="s">
        <v>664</v>
      </c>
      <c r="C5760" s="60" t="s">
        <v>5335</v>
      </c>
      <c r="D5760" s="60"/>
      <c r="E5760" s="74">
        <v>2023</v>
      </c>
      <c r="F5760" s="74" t="s">
        <v>489</v>
      </c>
      <c r="G5760" s="61">
        <v>1</v>
      </c>
      <c r="H5760" s="61">
        <v>11</v>
      </c>
      <c r="I5760" s="61">
        <v>38.719539999999995</v>
      </c>
    </row>
    <row r="5761" spans="1:9" s="71" customFormat="1" ht="24" hidden="1" customHeight="1" outlineLevel="1" x14ac:dyDescent="0.25">
      <c r="A5761" s="74">
        <v>4113</v>
      </c>
      <c r="B5761" s="45" t="s">
        <v>664</v>
      </c>
      <c r="C5761" s="60" t="s">
        <v>5336</v>
      </c>
      <c r="D5761" s="60"/>
      <c r="E5761" s="74">
        <v>2023</v>
      </c>
      <c r="F5761" s="74" t="s">
        <v>489</v>
      </c>
      <c r="G5761" s="61">
        <v>1</v>
      </c>
      <c r="H5761" s="61">
        <v>11</v>
      </c>
      <c r="I5761" s="61">
        <v>38.719529999999999</v>
      </c>
    </row>
    <row r="5762" spans="1:9" s="71" customFormat="1" ht="24" hidden="1" customHeight="1" outlineLevel="1" x14ac:dyDescent="0.25">
      <c r="A5762" s="74">
        <v>4114</v>
      </c>
      <c r="B5762" s="45" t="s">
        <v>664</v>
      </c>
      <c r="C5762" s="60" t="s">
        <v>5337</v>
      </c>
      <c r="D5762" s="60"/>
      <c r="E5762" s="74">
        <v>2023</v>
      </c>
      <c r="F5762" s="74" t="s">
        <v>489</v>
      </c>
      <c r="G5762" s="61">
        <v>1</v>
      </c>
      <c r="H5762" s="61">
        <v>11</v>
      </c>
      <c r="I5762" s="61">
        <v>38.719529999999999</v>
      </c>
    </row>
    <row r="5763" spans="1:9" s="71" customFormat="1" ht="24" hidden="1" customHeight="1" outlineLevel="1" x14ac:dyDescent="0.25">
      <c r="A5763" s="74">
        <v>4131</v>
      </c>
      <c r="B5763" s="45" t="s">
        <v>664</v>
      </c>
      <c r="C5763" s="60" t="s">
        <v>5338</v>
      </c>
      <c r="D5763" s="60"/>
      <c r="E5763" s="74">
        <v>2023</v>
      </c>
      <c r="F5763" s="74" t="s">
        <v>489</v>
      </c>
      <c r="G5763" s="61">
        <v>1</v>
      </c>
      <c r="H5763" s="61">
        <v>15</v>
      </c>
      <c r="I5763" s="61">
        <v>40.474379999999996</v>
      </c>
    </row>
    <row r="5764" spans="1:9" s="71" customFormat="1" ht="24" hidden="1" customHeight="1" outlineLevel="1" x14ac:dyDescent="0.25">
      <c r="A5764" s="74">
        <v>4107</v>
      </c>
      <c r="B5764" s="45" t="s">
        <v>664</v>
      </c>
      <c r="C5764" s="60" t="s">
        <v>5339</v>
      </c>
      <c r="D5764" s="60"/>
      <c r="E5764" s="74">
        <v>2023</v>
      </c>
      <c r="F5764" s="74" t="s">
        <v>489</v>
      </c>
      <c r="G5764" s="61">
        <v>1</v>
      </c>
      <c r="H5764" s="61">
        <v>10</v>
      </c>
      <c r="I5764" s="61">
        <v>37.312550000000002</v>
      </c>
    </row>
    <row r="5765" spans="1:9" s="71" customFormat="1" ht="24" hidden="1" customHeight="1" outlineLevel="1" x14ac:dyDescent="0.25">
      <c r="A5765" s="74">
        <v>4097</v>
      </c>
      <c r="B5765" s="45" t="s">
        <v>664</v>
      </c>
      <c r="C5765" s="60" t="s">
        <v>5340</v>
      </c>
      <c r="D5765" s="60"/>
      <c r="E5765" s="74">
        <v>2023</v>
      </c>
      <c r="F5765" s="74" t="s">
        <v>489</v>
      </c>
      <c r="G5765" s="61">
        <v>1</v>
      </c>
      <c r="H5765" s="61">
        <v>10</v>
      </c>
      <c r="I5765" s="61">
        <v>49.157560000000004</v>
      </c>
    </row>
    <row r="5766" spans="1:9" s="71" customFormat="1" ht="24" hidden="1" customHeight="1" outlineLevel="1" x14ac:dyDescent="0.25">
      <c r="A5766" s="74">
        <v>4119</v>
      </c>
      <c r="B5766" s="45" t="s">
        <v>664</v>
      </c>
      <c r="C5766" s="60" t="s">
        <v>5341</v>
      </c>
      <c r="D5766" s="60"/>
      <c r="E5766" s="74">
        <v>2023</v>
      </c>
      <c r="F5766" s="74" t="s">
        <v>489</v>
      </c>
      <c r="G5766" s="61">
        <v>1</v>
      </c>
      <c r="H5766" s="122">
        <v>13.5</v>
      </c>
      <c r="I5766" s="61">
        <v>41.197189999999999</v>
      </c>
    </row>
    <row r="5767" spans="1:9" s="71" customFormat="1" ht="24" hidden="1" customHeight="1" outlineLevel="1" x14ac:dyDescent="0.25">
      <c r="A5767" s="74">
        <v>4121</v>
      </c>
      <c r="B5767" s="45" t="s">
        <v>664</v>
      </c>
      <c r="C5767" s="60" t="s">
        <v>5342</v>
      </c>
      <c r="D5767" s="60"/>
      <c r="E5767" s="74">
        <v>2023</v>
      </c>
      <c r="F5767" s="74" t="s">
        <v>489</v>
      </c>
      <c r="G5767" s="61">
        <v>1</v>
      </c>
      <c r="H5767" s="122">
        <v>13.5</v>
      </c>
      <c r="I5767" s="61">
        <v>41.197209999999998</v>
      </c>
    </row>
    <row r="5768" spans="1:9" s="71" customFormat="1" ht="24" hidden="1" customHeight="1" outlineLevel="1" x14ac:dyDescent="0.25">
      <c r="A5768" s="74">
        <v>4120</v>
      </c>
      <c r="B5768" s="45" t="s">
        <v>664</v>
      </c>
      <c r="C5768" s="60" t="s">
        <v>5343</v>
      </c>
      <c r="D5768" s="60"/>
      <c r="E5768" s="74">
        <v>2023</v>
      </c>
      <c r="F5768" s="74" t="s">
        <v>489</v>
      </c>
      <c r="G5768" s="61">
        <v>1</v>
      </c>
      <c r="H5768" s="61">
        <v>10</v>
      </c>
      <c r="I5768" s="61">
        <v>41.197200000000002</v>
      </c>
    </row>
    <row r="5769" spans="1:9" s="71" customFormat="1" ht="24" hidden="1" customHeight="1" outlineLevel="1" x14ac:dyDescent="0.25">
      <c r="A5769" s="74">
        <v>4118</v>
      </c>
      <c r="B5769" s="45" t="s">
        <v>664</v>
      </c>
      <c r="C5769" s="60" t="s">
        <v>5344</v>
      </c>
      <c r="D5769" s="60"/>
      <c r="E5769" s="74">
        <v>2023</v>
      </c>
      <c r="F5769" s="74" t="s">
        <v>489</v>
      </c>
      <c r="G5769" s="61">
        <v>1</v>
      </c>
      <c r="H5769" s="122">
        <v>13.5</v>
      </c>
      <c r="I5769" s="61">
        <v>41.197209999999998</v>
      </c>
    </row>
    <row r="5770" spans="1:9" s="71" customFormat="1" ht="24" hidden="1" customHeight="1" outlineLevel="1" x14ac:dyDescent="0.25">
      <c r="A5770" s="74">
        <v>4122</v>
      </c>
      <c r="B5770" s="45" t="s">
        <v>664</v>
      </c>
      <c r="C5770" s="60" t="s">
        <v>5345</v>
      </c>
      <c r="D5770" s="60"/>
      <c r="E5770" s="74">
        <v>2023</v>
      </c>
      <c r="F5770" s="74" t="s">
        <v>489</v>
      </c>
      <c r="G5770" s="61">
        <v>1</v>
      </c>
      <c r="H5770" s="122">
        <v>13.5</v>
      </c>
      <c r="I5770" s="61">
        <v>41.127070000000003</v>
      </c>
    </row>
    <row r="5771" spans="1:9" s="71" customFormat="1" ht="24" hidden="1" customHeight="1" outlineLevel="1" x14ac:dyDescent="0.25">
      <c r="A5771" s="74">
        <v>4123</v>
      </c>
      <c r="B5771" s="45" t="s">
        <v>664</v>
      </c>
      <c r="C5771" s="60" t="s">
        <v>5346</v>
      </c>
      <c r="D5771" s="60"/>
      <c r="E5771" s="74">
        <v>2023</v>
      </c>
      <c r="F5771" s="74" t="s">
        <v>489</v>
      </c>
      <c r="G5771" s="61">
        <v>1</v>
      </c>
      <c r="H5771" s="61">
        <v>10</v>
      </c>
      <c r="I5771" s="61">
        <v>41.126269999999998</v>
      </c>
    </row>
    <row r="5772" spans="1:9" s="71" customFormat="1" ht="24" hidden="1" customHeight="1" outlineLevel="1" x14ac:dyDescent="0.25">
      <c r="A5772" s="74">
        <v>4117</v>
      </c>
      <c r="B5772" s="45" t="s">
        <v>664</v>
      </c>
      <c r="C5772" s="60" t="s">
        <v>5347</v>
      </c>
      <c r="D5772" s="60"/>
      <c r="E5772" s="74">
        <v>2023</v>
      </c>
      <c r="F5772" s="74" t="s">
        <v>489</v>
      </c>
      <c r="G5772" s="61">
        <v>1</v>
      </c>
      <c r="H5772" s="61">
        <v>13</v>
      </c>
      <c r="I5772" s="61">
        <v>41.315469999999998</v>
      </c>
    </row>
    <row r="5773" spans="1:9" s="71" customFormat="1" ht="24" hidden="1" customHeight="1" outlineLevel="1" x14ac:dyDescent="0.25">
      <c r="A5773" s="74">
        <v>4116</v>
      </c>
      <c r="B5773" s="45" t="s">
        <v>664</v>
      </c>
      <c r="C5773" s="60" t="s">
        <v>5348</v>
      </c>
      <c r="D5773" s="60"/>
      <c r="E5773" s="74">
        <v>2023</v>
      </c>
      <c r="F5773" s="74" t="s">
        <v>489</v>
      </c>
      <c r="G5773" s="61">
        <v>1</v>
      </c>
      <c r="H5773" s="61">
        <v>13</v>
      </c>
      <c r="I5773" s="61">
        <v>41.31673</v>
      </c>
    </row>
    <row r="5774" spans="1:9" s="71" customFormat="1" ht="24" hidden="1" customHeight="1" outlineLevel="1" x14ac:dyDescent="0.25">
      <c r="A5774" s="74">
        <v>4132</v>
      </c>
      <c r="B5774" s="45" t="s">
        <v>664</v>
      </c>
      <c r="C5774" s="60" t="s">
        <v>5349</v>
      </c>
      <c r="D5774" s="60"/>
      <c r="E5774" s="74">
        <v>2023</v>
      </c>
      <c r="F5774" s="74" t="s">
        <v>489</v>
      </c>
      <c r="G5774" s="61">
        <v>1</v>
      </c>
      <c r="H5774" s="61">
        <v>13</v>
      </c>
      <c r="I5774" s="61">
        <v>38.385509999999996</v>
      </c>
    </row>
    <row r="5775" spans="1:9" s="71" customFormat="1" ht="24" hidden="1" customHeight="1" outlineLevel="1" x14ac:dyDescent="0.25">
      <c r="A5775" s="74">
        <v>2309</v>
      </c>
      <c r="B5775" s="45" t="s">
        <v>664</v>
      </c>
      <c r="C5775" s="60" t="s">
        <v>5350</v>
      </c>
      <c r="D5775" s="60"/>
      <c r="E5775" s="74">
        <v>2023</v>
      </c>
      <c r="F5775" s="74" t="s">
        <v>489</v>
      </c>
      <c r="G5775" s="61">
        <v>1</v>
      </c>
      <c r="H5775" s="61">
        <v>15</v>
      </c>
      <c r="I5775" s="61">
        <v>38.441299999999998</v>
      </c>
    </row>
    <row r="5776" spans="1:9" s="71" customFormat="1" ht="24" hidden="1" customHeight="1" outlineLevel="1" x14ac:dyDescent="0.25">
      <c r="A5776" s="74">
        <v>631</v>
      </c>
      <c r="B5776" s="45" t="s">
        <v>664</v>
      </c>
      <c r="C5776" s="60" t="s">
        <v>5351</v>
      </c>
      <c r="D5776" s="60"/>
      <c r="E5776" s="74">
        <v>2023</v>
      </c>
      <c r="F5776" s="74" t="s">
        <v>489</v>
      </c>
      <c r="G5776" s="61">
        <v>1</v>
      </c>
      <c r="H5776" s="61">
        <v>10</v>
      </c>
      <c r="I5776" s="61">
        <v>39.224229999999999</v>
      </c>
    </row>
    <row r="5777" spans="1:9" s="71" customFormat="1" ht="24" hidden="1" customHeight="1" outlineLevel="1" x14ac:dyDescent="0.25">
      <c r="A5777" s="74">
        <v>4141</v>
      </c>
      <c r="B5777" s="45" t="s">
        <v>664</v>
      </c>
      <c r="C5777" s="60" t="s">
        <v>5352</v>
      </c>
      <c r="D5777" s="60"/>
      <c r="E5777" s="74">
        <v>2023</v>
      </c>
      <c r="F5777" s="74" t="s">
        <v>489</v>
      </c>
      <c r="G5777" s="61">
        <v>1</v>
      </c>
      <c r="H5777" s="61">
        <v>10</v>
      </c>
      <c r="I5777" s="61">
        <v>41.00835</v>
      </c>
    </row>
    <row r="5778" spans="1:9" s="71" customFormat="1" ht="24" hidden="1" customHeight="1" outlineLevel="1" x14ac:dyDescent="0.25">
      <c r="A5778" s="74">
        <v>2463</v>
      </c>
      <c r="B5778" s="45" t="s">
        <v>664</v>
      </c>
      <c r="C5778" s="60" t="s">
        <v>5353</v>
      </c>
      <c r="D5778" s="60"/>
      <c r="E5778" s="74">
        <v>2023</v>
      </c>
      <c r="F5778" s="74" t="s">
        <v>489</v>
      </c>
      <c r="G5778" s="61">
        <v>1</v>
      </c>
      <c r="H5778" s="61">
        <v>1</v>
      </c>
      <c r="I5778" s="61">
        <v>41.008369999999999</v>
      </c>
    </row>
    <row r="5779" spans="1:9" s="71" customFormat="1" ht="24" hidden="1" customHeight="1" outlineLevel="1" x14ac:dyDescent="0.25">
      <c r="A5779" s="74">
        <v>1845</v>
      </c>
      <c r="B5779" s="45" t="s">
        <v>664</v>
      </c>
      <c r="C5779" s="60" t="s">
        <v>5354</v>
      </c>
      <c r="D5779" s="60"/>
      <c r="E5779" s="74">
        <v>2023</v>
      </c>
      <c r="F5779" s="74" t="s">
        <v>489</v>
      </c>
      <c r="G5779" s="61">
        <v>1</v>
      </c>
      <c r="H5779" s="61">
        <v>10</v>
      </c>
      <c r="I5779" s="61">
        <v>34.265389999999996</v>
      </c>
    </row>
    <row r="5780" spans="1:9" s="71" customFormat="1" ht="24" hidden="1" customHeight="1" outlineLevel="1" x14ac:dyDescent="0.25">
      <c r="A5780" s="74">
        <v>2424</v>
      </c>
      <c r="B5780" s="45" t="s">
        <v>664</v>
      </c>
      <c r="C5780" s="60" t="s">
        <v>5355</v>
      </c>
      <c r="D5780" s="60"/>
      <c r="E5780" s="74">
        <v>2023</v>
      </c>
      <c r="F5780" s="74" t="s">
        <v>489</v>
      </c>
      <c r="G5780" s="61">
        <v>1</v>
      </c>
      <c r="H5780" s="61">
        <v>15</v>
      </c>
      <c r="I5780" s="61">
        <v>39.06138</v>
      </c>
    </row>
    <row r="5781" spans="1:9" s="71" customFormat="1" ht="24" hidden="1" customHeight="1" outlineLevel="1" x14ac:dyDescent="0.25">
      <c r="A5781" s="74">
        <v>4137</v>
      </c>
      <c r="B5781" s="45" t="s">
        <v>664</v>
      </c>
      <c r="C5781" s="60" t="s">
        <v>5356</v>
      </c>
      <c r="D5781" s="60"/>
      <c r="E5781" s="74">
        <v>2023</v>
      </c>
      <c r="F5781" s="74" t="s">
        <v>489</v>
      </c>
      <c r="G5781" s="61">
        <v>1</v>
      </c>
      <c r="H5781" s="61">
        <v>15</v>
      </c>
      <c r="I5781" s="61">
        <v>42.963260000000005</v>
      </c>
    </row>
    <row r="5782" spans="1:9" s="71" customFormat="1" ht="24" hidden="1" customHeight="1" outlineLevel="1" x14ac:dyDescent="0.25">
      <c r="A5782" s="74">
        <v>4138</v>
      </c>
      <c r="B5782" s="45" t="s">
        <v>664</v>
      </c>
      <c r="C5782" s="60" t="s">
        <v>5357</v>
      </c>
      <c r="D5782" s="60"/>
      <c r="E5782" s="74">
        <v>2023</v>
      </c>
      <c r="F5782" s="74" t="s">
        <v>489</v>
      </c>
      <c r="G5782" s="61">
        <v>1</v>
      </c>
      <c r="H5782" s="61">
        <v>15</v>
      </c>
      <c r="I5782" s="61">
        <v>42.229620000000004</v>
      </c>
    </row>
    <row r="5783" spans="1:9" s="71" customFormat="1" ht="24" hidden="1" customHeight="1" outlineLevel="1" x14ac:dyDescent="0.25">
      <c r="A5783" s="74">
        <v>4159</v>
      </c>
      <c r="B5783" s="45" t="s">
        <v>664</v>
      </c>
      <c r="C5783" s="60" t="s">
        <v>5358</v>
      </c>
      <c r="D5783" s="60"/>
      <c r="E5783" s="74">
        <v>2023</v>
      </c>
      <c r="F5783" s="74" t="s">
        <v>489</v>
      </c>
      <c r="G5783" s="61">
        <v>1</v>
      </c>
      <c r="H5783" s="61">
        <v>5.5</v>
      </c>
      <c r="I5783" s="61">
        <v>39.73827</v>
      </c>
    </row>
    <row r="5784" spans="1:9" s="71" customFormat="1" ht="24" hidden="1" customHeight="1" outlineLevel="1" x14ac:dyDescent="0.25">
      <c r="A5784" s="74">
        <v>2410</v>
      </c>
      <c r="B5784" s="45" t="s">
        <v>664</v>
      </c>
      <c r="C5784" s="60" t="s">
        <v>5359</v>
      </c>
      <c r="D5784" s="60"/>
      <c r="E5784" s="74">
        <v>2023</v>
      </c>
      <c r="F5784" s="74" t="s">
        <v>489</v>
      </c>
      <c r="G5784" s="61">
        <v>1</v>
      </c>
      <c r="H5784" s="61">
        <v>1</v>
      </c>
      <c r="I5784" s="61">
        <v>36.845570000000002</v>
      </c>
    </row>
    <row r="5785" spans="1:9" s="71" customFormat="1" ht="24" hidden="1" customHeight="1" outlineLevel="1" x14ac:dyDescent="0.25">
      <c r="A5785" s="74">
        <v>4154</v>
      </c>
      <c r="B5785" s="45" t="s">
        <v>664</v>
      </c>
      <c r="C5785" s="60" t="s">
        <v>5360</v>
      </c>
      <c r="D5785" s="60"/>
      <c r="E5785" s="74">
        <v>2023</v>
      </c>
      <c r="F5785" s="74" t="s">
        <v>489</v>
      </c>
      <c r="G5785" s="61">
        <v>1</v>
      </c>
      <c r="H5785" s="61">
        <v>10</v>
      </c>
      <c r="I5785" s="61">
        <v>39.06955</v>
      </c>
    </row>
    <row r="5786" spans="1:9" s="71" customFormat="1" ht="24" hidden="1" customHeight="1" outlineLevel="1" x14ac:dyDescent="0.25">
      <c r="A5786" s="74">
        <v>2482</v>
      </c>
      <c r="B5786" s="45" t="s">
        <v>664</v>
      </c>
      <c r="C5786" s="60" t="s">
        <v>5361</v>
      </c>
      <c r="D5786" s="60"/>
      <c r="E5786" s="74">
        <v>2023</v>
      </c>
      <c r="F5786" s="74" t="s">
        <v>489</v>
      </c>
      <c r="G5786" s="61">
        <v>1</v>
      </c>
      <c r="H5786" s="61">
        <v>6</v>
      </c>
      <c r="I5786" s="61">
        <v>39.069490000000002</v>
      </c>
    </row>
    <row r="5787" spans="1:9" s="71" customFormat="1" ht="24" hidden="1" customHeight="1" outlineLevel="1" x14ac:dyDescent="0.25">
      <c r="A5787" s="74">
        <v>4152</v>
      </c>
      <c r="B5787" s="45" t="s">
        <v>664</v>
      </c>
      <c r="C5787" s="60" t="s">
        <v>5362</v>
      </c>
      <c r="D5787" s="60"/>
      <c r="E5787" s="74">
        <v>2023</v>
      </c>
      <c r="F5787" s="74" t="s">
        <v>489</v>
      </c>
      <c r="G5787" s="61">
        <v>1</v>
      </c>
      <c r="H5787" s="61">
        <v>60</v>
      </c>
      <c r="I5787" s="61">
        <v>40.618000000000002</v>
      </c>
    </row>
    <row r="5788" spans="1:9" s="71" customFormat="1" ht="24" hidden="1" customHeight="1" outlineLevel="1" x14ac:dyDescent="0.25">
      <c r="A5788" s="74">
        <v>4161</v>
      </c>
      <c r="B5788" s="45" t="s">
        <v>664</v>
      </c>
      <c r="C5788" s="60" t="s">
        <v>5363</v>
      </c>
      <c r="D5788" s="60"/>
      <c r="E5788" s="74">
        <v>2023</v>
      </c>
      <c r="F5788" s="74" t="s">
        <v>489</v>
      </c>
      <c r="G5788" s="61">
        <v>1</v>
      </c>
      <c r="H5788" s="61">
        <v>7.5</v>
      </c>
      <c r="I5788" s="61">
        <v>38.821899999999999</v>
      </c>
    </row>
    <row r="5789" spans="1:9" s="71" customFormat="1" ht="24" hidden="1" customHeight="1" outlineLevel="1" x14ac:dyDescent="0.25">
      <c r="A5789" s="74">
        <v>4160</v>
      </c>
      <c r="B5789" s="45" t="s">
        <v>664</v>
      </c>
      <c r="C5789" s="60" t="s">
        <v>5364</v>
      </c>
      <c r="D5789" s="60"/>
      <c r="E5789" s="74">
        <v>2023</v>
      </c>
      <c r="F5789" s="74" t="s">
        <v>489</v>
      </c>
      <c r="G5789" s="61">
        <v>1</v>
      </c>
      <c r="H5789" s="61">
        <v>7.5</v>
      </c>
      <c r="I5789" s="61">
        <v>38.375010000000003</v>
      </c>
    </row>
    <row r="5790" spans="1:9" s="71" customFormat="1" ht="24" hidden="1" customHeight="1" outlineLevel="1" x14ac:dyDescent="0.25">
      <c r="A5790" s="74">
        <v>2538</v>
      </c>
      <c r="B5790" s="45" t="s">
        <v>664</v>
      </c>
      <c r="C5790" s="60" t="s">
        <v>5365</v>
      </c>
      <c r="D5790" s="60"/>
      <c r="E5790" s="74">
        <v>2023</v>
      </c>
      <c r="F5790" s="74" t="s">
        <v>489</v>
      </c>
      <c r="G5790" s="61">
        <v>1</v>
      </c>
      <c r="H5790" s="61">
        <v>10</v>
      </c>
      <c r="I5790" s="61">
        <v>38.932369999999999</v>
      </c>
    </row>
    <row r="5791" spans="1:9" s="71" customFormat="1" ht="24" hidden="1" customHeight="1" outlineLevel="1" x14ac:dyDescent="0.25">
      <c r="A5791" s="74">
        <v>4128</v>
      </c>
      <c r="B5791" s="45" t="s">
        <v>664</v>
      </c>
      <c r="C5791" s="60" t="s">
        <v>5366</v>
      </c>
      <c r="D5791" s="60"/>
      <c r="E5791" s="74">
        <v>2023</v>
      </c>
      <c r="F5791" s="74" t="s">
        <v>489</v>
      </c>
      <c r="G5791" s="61">
        <v>1</v>
      </c>
      <c r="H5791" s="61">
        <v>15</v>
      </c>
      <c r="I5791" s="61">
        <v>43.080350000000003</v>
      </c>
    </row>
    <row r="5792" spans="1:9" s="71" customFormat="1" ht="24" hidden="1" customHeight="1" outlineLevel="1" x14ac:dyDescent="0.25">
      <c r="A5792" s="74">
        <v>4151</v>
      </c>
      <c r="B5792" s="45" t="s">
        <v>664</v>
      </c>
      <c r="C5792" s="60" t="s">
        <v>5367</v>
      </c>
      <c r="D5792" s="60"/>
      <c r="E5792" s="74">
        <v>2023</v>
      </c>
      <c r="F5792" s="74" t="s">
        <v>489</v>
      </c>
      <c r="G5792" s="61">
        <v>1</v>
      </c>
      <c r="H5792" s="61">
        <v>10</v>
      </c>
      <c r="I5792" s="61">
        <v>42.197339999999997</v>
      </c>
    </row>
    <row r="5793" spans="1:9" s="71" customFormat="1" ht="24" hidden="1" customHeight="1" outlineLevel="1" x14ac:dyDescent="0.25">
      <c r="A5793" s="74">
        <v>4150</v>
      </c>
      <c r="B5793" s="45" t="s">
        <v>664</v>
      </c>
      <c r="C5793" s="60" t="s">
        <v>5368</v>
      </c>
      <c r="D5793" s="60"/>
      <c r="E5793" s="74">
        <v>2023</v>
      </c>
      <c r="F5793" s="74" t="s">
        <v>489</v>
      </c>
      <c r="G5793" s="61">
        <v>1</v>
      </c>
      <c r="H5793" s="61">
        <v>15</v>
      </c>
      <c r="I5793" s="61">
        <v>42.197330000000001</v>
      </c>
    </row>
    <row r="5794" spans="1:9" s="71" customFormat="1" ht="24" hidden="1" customHeight="1" outlineLevel="1" x14ac:dyDescent="0.25">
      <c r="A5794" s="74">
        <v>4165</v>
      </c>
      <c r="B5794" s="45" t="s">
        <v>664</v>
      </c>
      <c r="C5794" s="60" t="s">
        <v>5369</v>
      </c>
      <c r="D5794" s="60"/>
      <c r="E5794" s="74">
        <v>2023</v>
      </c>
      <c r="F5794" s="74" t="s">
        <v>489</v>
      </c>
      <c r="G5794" s="61">
        <v>1</v>
      </c>
      <c r="H5794" s="61">
        <v>15</v>
      </c>
      <c r="I5794" s="61">
        <v>41.32687</v>
      </c>
    </row>
    <row r="5795" spans="1:9" s="71" customFormat="1" ht="24" hidden="1" customHeight="1" outlineLevel="1" x14ac:dyDescent="0.25">
      <c r="A5795" s="74">
        <v>4148</v>
      </c>
      <c r="B5795" s="45" t="s">
        <v>664</v>
      </c>
      <c r="C5795" s="60" t="s">
        <v>5370</v>
      </c>
      <c r="D5795" s="60"/>
      <c r="E5795" s="74">
        <v>2023</v>
      </c>
      <c r="F5795" s="74" t="s">
        <v>489</v>
      </c>
      <c r="G5795" s="61">
        <v>1</v>
      </c>
      <c r="H5795" s="61">
        <v>10</v>
      </c>
      <c r="I5795" s="61">
        <v>41.947189999999999</v>
      </c>
    </row>
    <row r="5796" spans="1:9" s="71" customFormat="1" ht="24" hidden="1" customHeight="1" outlineLevel="1" x14ac:dyDescent="0.25">
      <c r="A5796" s="74">
        <v>4140</v>
      </c>
      <c r="B5796" s="45" t="s">
        <v>664</v>
      </c>
      <c r="C5796" s="60" t="s">
        <v>5371</v>
      </c>
      <c r="D5796" s="60"/>
      <c r="E5796" s="74">
        <v>2023</v>
      </c>
      <c r="F5796" s="74" t="s">
        <v>489</v>
      </c>
      <c r="G5796" s="61">
        <v>1</v>
      </c>
      <c r="H5796" s="61">
        <v>15</v>
      </c>
      <c r="I5796" s="61">
        <v>42.921710000000004</v>
      </c>
    </row>
    <row r="5797" spans="1:9" s="71" customFormat="1" ht="24" hidden="1" customHeight="1" outlineLevel="1" x14ac:dyDescent="0.25">
      <c r="A5797" s="74">
        <v>4166</v>
      </c>
      <c r="B5797" s="45" t="s">
        <v>664</v>
      </c>
      <c r="C5797" s="60" t="s">
        <v>5372</v>
      </c>
      <c r="D5797" s="60"/>
      <c r="E5797" s="74">
        <v>2023</v>
      </c>
      <c r="F5797" s="74" t="s">
        <v>489</v>
      </c>
      <c r="G5797" s="61">
        <v>1</v>
      </c>
      <c r="H5797" s="61">
        <v>15</v>
      </c>
      <c r="I5797" s="61">
        <v>41.326880000000003</v>
      </c>
    </row>
    <row r="5798" spans="1:9" s="71" customFormat="1" ht="24" hidden="1" customHeight="1" outlineLevel="1" x14ac:dyDescent="0.25">
      <c r="A5798" s="74">
        <v>4167</v>
      </c>
      <c r="B5798" s="45" t="s">
        <v>664</v>
      </c>
      <c r="C5798" s="60" t="s">
        <v>5373</v>
      </c>
      <c r="D5798" s="60"/>
      <c r="E5798" s="74">
        <v>2023</v>
      </c>
      <c r="F5798" s="74" t="s">
        <v>489</v>
      </c>
      <c r="G5798" s="61">
        <v>1</v>
      </c>
      <c r="H5798" s="122">
        <v>11.4</v>
      </c>
      <c r="I5798" s="61">
        <v>41.326889999999999</v>
      </c>
    </row>
    <row r="5799" spans="1:9" s="71" customFormat="1" ht="24" hidden="1" customHeight="1" outlineLevel="1" x14ac:dyDescent="0.25">
      <c r="A5799" s="74">
        <v>4168</v>
      </c>
      <c r="B5799" s="45" t="s">
        <v>664</v>
      </c>
      <c r="C5799" s="60" t="s">
        <v>5374</v>
      </c>
      <c r="D5799" s="60"/>
      <c r="E5799" s="74">
        <v>2023</v>
      </c>
      <c r="F5799" s="74" t="s">
        <v>489</v>
      </c>
      <c r="G5799" s="61">
        <v>1</v>
      </c>
      <c r="H5799" s="61">
        <v>15</v>
      </c>
      <c r="I5799" s="61">
        <v>41.21293</v>
      </c>
    </row>
    <row r="5800" spans="1:9" s="71" customFormat="1" ht="24" hidden="1" customHeight="1" outlineLevel="1" x14ac:dyDescent="0.25">
      <c r="A5800" s="74">
        <v>4170</v>
      </c>
      <c r="B5800" s="45" t="s">
        <v>664</v>
      </c>
      <c r="C5800" s="60" t="s">
        <v>5375</v>
      </c>
      <c r="D5800" s="60"/>
      <c r="E5800" s="74">
        <v>2023</v>
      </c>
      <c r="F5800" s="74" t="s">
        <v>489</v>
      </c>
      <c r="G5800" s="61">
        <v>1</v>
      </c>
      <c r="H5800" s="61">
        <v>15</v>
      </c>
      <c r="I5800" s="61">
        <v>41.328229999999998</v>
      </c>
    </row>
    <row r="5801" spans="1:9" s="71" customFormat="1" ht="24" hidden="1" customHeight="1" outlineLevel="1" x14ac:dyDescent="0.25">
      <c r="A5801" s="74">
        <v>4171</v>
      </c>
      <c r="B5801" s="45" t="s">
        <v>664</v>
      </c>
      <c r="C5801" s="60" t="s">
        <v>5376</v>
      </c>
      <c r="D5801" s="60"/>
      <c r="E5801" s="74">
        <v>2023</v>
      </c>
      <c r="F5801" s="74" t="s">
        <v>489</v>
      </c>
      <c r="G5801" s="61">
        <v>1</v>
      </c>
      <c r="H5801" s="61">
        <v>10</v>
      </c>
      <c r="I5801" s="61">
        <v>40.642910000000001</v>
      </c>
    </row>
    <row r="5802" spans="1:9" s="71" customFormat="1" ht="24" hidden="1" customHeight="1" outlineLevel="1" x14ac:dyDescent="0.25">
      <c r="A5802" s="74">
        <v>2595</v>
      </c>
      <c r="B5802" s="45" t="s">
        <v>664</v>
      </c>
      <c r="C5802" s="60" t="s">
        <v>5377</v>
      </c>
      <c r="D5802" s="60"/>
      <c r="E5802" s="74">
        <v>2023</v>
      </c>
      <c r="F5802" s="74" t="s">
        <v>489</v>
      </c>
      <c r="G5802" s="61">
        <v>1</v>
      </c>
      <c r="H5802" s="61">
        <v>10</v>
      </c>
      <c r="I5802" s="61">
        <v>30.144190000000002</v>
      </c>
    </row>
    <row r="5803" spans="1:9" s="71" customFormat="1" ht="24" hidden="1" customHeight="1" outlineLevel="1" x14ac:dyDescent="0.25">
      <c r="A5803" s="74">
        <v>4172</v>
      </c>
      <c r="B5803" s="45" t="s">
        <v>664</v>
      </c>
      <c r="C5803" s="60" t="s">
        <v>5378</v>
      </c>
      <c r="D5803" s="60"/>
      <c r="E5803" s="74">
        <v>2023</v>
      </c>
      <c r="F5803" s="74" t="s">
        <v>489</v>
      </c>
      <c r="G5803" s="61">
        <v>1</v>
      </c>
      <c r="H5803" s="61">
        <v>15</v>
      </c>
      <c r="I5803" s="61">
        <v>40.774199999999993</v>
      </c>
    </row>
    <row r="5804" spans="1:9" s="71" customFormat="1" ht="24" hidden="1" customHeight="1" outlineLevel="1" x14ac:dyDescent="0.25">
      <c r="A5804" s="74">
        <v>4164</v>
      </c>
      <c r="B5804" s="45" t="s">
        <v>664</v>
      </c>
      <c r="C5804" s="60" t="s">
        <v>5379</v>
      </c>
      <c r="D5804" s="60"/>
      <c r="E5804" s="74">
        <v>2023</v>
      </c>
      <c r="F5804" s="74" t="s">
        <v>489</v>
      </c>
      <c r="G5804" s="61">
        <v>1</v>
      </c>
      <c r="H5804" s="61">
        <v>15</v>
      </c>
      <c r="I5804" s="61">
        <v>39.645299999999999</v>
      </c>
    </row>
    <row r="5805" spans="1:9" s="71" customFormat="1" ht="24" hidden="1" customHeight="1" outlineLevel="1" x14ac:dyDescent="0.25">
      <c r="A5805" s="74">
        <v>2329</v>
      </c>
      <c r="B5805" s="45" t="s">
        <v>664</v>
      </c>
      <c r="C5805" s="60" t="s">
        <v>5380</v>
      </c>
      <c r="D5805" s="60"/>
      <c r="E5805" s="74">
        <v>2023</v>
      </c>
      <c r="F5805" s="74" t="s">
        <v>489</v>
      </c>
      <c r="G5805" s="61">
        <v>1</v>
      </c>
      <c r="H5805" s="61">
        <v>6</v>
      </c>
      <c r="I5805" s="61">
        <v>39.038980000000002</v>
      </c>
    </row>
    <row r="5806" spans="1:9" s="71" customFormat="1" ht="24" hidden="1" customHeight="1" outlineLevel="1" x14ac:dyDescent="0.25">
      <c r="A5806" s="74">
        <v>4174</v>
      </c>
      <c r="B5806" s="45" t="s">
        <v>664</v>
      </c>
      <c r="C5806" s="60" t="s">
        <v>5381</v>
      </c>
      <c r="D5806" s="60"/>
      <c r="E5806" s="74">
        <v>2023</v>
      </c>
      <c r="F5806" s="74" t="s">
        <v>489</v>
      </c>
      <c r="G5806" s="61">
        <v>1</v>
      </c>
      <c r="H5806" s="61">
        <v>10</v>
      </c>
      <c r="I5806" s="61">
        <v>38.732970000000002</v>
      </c>
    </row>
    <row r="5807" spans="1:9" s="71" customFormat="1" ht="24" hidden="1" customHeight="1" outlineLevel="1" x14ac:dyDescent="0.25">
      <c r="A5807" s="74">
        <v>4176</v>
      </c>
      <c r="B5807" s="45" t="s">
        <v>664</v>
      </c>
      <c r="C5807" s="60" t="s">
        <v>5382</v>
      </c>
      <c r="D5807" s="60"/>
      <c r="E5807" s="74">
        <v>2023</v>
      </c>
      <c r="F5807" s="74" t="s">
        <v>489</v>
      </c>
      <c r="G5807" s="61">
        <v>1</v>
      </c>
      <c r="H5807" s="61">
        <v>15</v>
      </c>
      <c r="I5807" s="61">
        <v>38.481630000000003</v>
      </c>
    </row>
    <row r="5808" spans="1:9" s="71" customFormat="1" ht="24" hidden="1" customHeight="1" outlineLevel="1" x14ac:dyDescent="0.25">
      <c r="A5808" s="74">
        <v>4175</v>
      </c>
      <c r="B5808" s="45" t="s">
        <v>664</v>
      </c>
      <c r="C5808" s="60" t="s">
        <v>5383</v>
      </c>
      <c r="D5808" s="60"/>
      <c r="E5808" s="74">
        <v>2023</v>
      </c>
      <c r="F5808" s="74" t="s">
        <v>489</v>
      </c>
      <c r="G5808" s="61">
        <v>1</v>
      </c>
      <c r="H5808" s="61">
        <v>15</v>
      </c>
      <c r="I5808" s="61">
        <v>38.808929999999997</v>
      </c>
    </row>
    <row r="5809" spans="1:9" s="71" customFormat="1" ht="24" hidden="1" customHeight="1" outlineLevel="1" x14ac:dyDescent="0.25">
      <c r="A5809" s="74">
        <v>474</v>
      </c>
      <c r="B5809" s="45" t="s">
        <v>664</v>
      </c>
      <c r="C5809" s="60" t="s">
        <v>5384</v>
      </c>
      <c r="D5809" s="60"/>
      <c r="E5809" s="74">
        <v>2023</v>
      </c>
      <c r="F5809" s="74" t="s">
        <v>489</v>
      </c>
      <c r="G5809" s="61">
        <v>1</v>
      </c>
      <c r="H5809" s="61">
        <v>10</v>
      </c>
      <c r="I5809" s="61">
        <v>39.273580000000003</v>
      </c>
    </row>
    <row r="5810" spans="1:9" s="71" customFormat="1" ht="24" hidden="1" customHeight="1" outlineLevel="1" x14ac:dyDescent="0.25">
      <c r="A5810" s="74">
        <v>4187</v>
      </c>
      <c r="B5810" s="45" t="s">
        <v>664</v>
      </c>
      <c r="C5810" s="60" t="s">
        <v>5385</v>
      </c>
      <c r="D5810" s="60"/>
      <c r="E5810" s="74">
        <v>2023</v>
      </c>
      <c r="F5810" s="74" t="s">
        <v>489</v>
      </c>
      <c r="G5810" s="61">
        <v>1</v>
      </c>
      <c r="H5810" s="61">
        <v>15</v>
      </c>
      <c r="I5810" s="61">
        <v>40.852789999999999</v>
      </c>
    </row>
    <row r="5811" spans="1:9" s="71" customFormat="1" ht="24" hidden="1" customHeight="1" outlineLevel="1" x14ac:dyDescent="0.25">
      <c r="A5811" s="74">
        <v>4188</v>
      </c>
      <c r="B5811" s="45" t="s">
        <v>664</v>
      </c>
      <c r="C5811" s="60" t="s">
        <v>5386</v>
      </c>
      <c r="D5811" s="60"/>
      <c r="E5811" s="74">
        <v>2023</v>
      </c>
      <c r="F5811" s="74" t="s">
        <v>489</v>
      </c>
      <c r="G5811" s="61">
        <v>1</v>
      </c>
      <c r="H5811" s="61">
        <v>15</v>
      </c>
      <c r="I5811" s="61">
        <v>40.852779999999996</v>
      </c>
    </row>
    <row r="5812" spans="1:9" s="71" customFormat="1" ht="24" hidden="1" customHeight="1" outlineLevel="1" x14ac:dyDescent="0.25">
      <c r="A5812" s="74">
        <v>4183</v>
      </c>
      <c r="B5812" s="45" t="s">
        <v>664</v>
      </c>
      <c r="C5812" s="60" t="s">
        <v>5387</v>
      </c>
      <c r="D5812" s="60"/>
      <c r="E5812" s="74">
        <v>2023</v>
      </c>
      <c r="F5812" s="74" t="s">
        <v>489</v>
      </c>
      <c r="G5812" s="61">
        <v>1</v>
      </c>
      <c r="H5812" s="61">
        <v>15</v>
      </c>
      <c r="I5812" s="61">
        <v>40.852820000000001</v>
      </c>
    </row>
    <row r="5813" spans="1:9" s="71" customFormat="1" ht="24" hidden="1" customHeight="1" outlineLevel="1" x14ac:dyDescent="0.25">
      <c r="A5813" s="74">
        <v>4184</v>
      </c>
      <c r="B5813" s="45" t="s">
        <v>664</v>
      </c>
      <c r="C5813" s="60" t="s">
        <v>5388</v>
      </c>
      <c r="D5813" s="60"/>
      <c r="E5813" s="74">
        <v>2023</v>
      </c>
      <c r="F5813" s="74" t="s">
        <v>489</v>
      </c>
      <c r="G5813" s="61">
        <v>1</v>
      </c>
      <c r="H5813" s="61">
        <v>15</v>
      </c>
      <c r="I5813" s="61">
        <v>40.852810000000005</v>
      </c>
    </row>
    <row r="5814" spans="1:9" s="71" customFormat="1" ht="24" hidden="1" customHeight="1" outlineLevel="1" x14ac:dyDescent="0.25">
      <c r="A5814" s="74">
        <v>4186</v>
      </c>
      <c r="B5814" s="45" t="s">
        <v>664</v>
      </c>
      <c r="C5814" s="60" t="s">
        <v>5389</v>
      </c>
      <c r="D5814" s="60"/>
      <c r="E5814" s="74">
        <v>2023</v>
      </c>
      <c r="F5814" s="74" t="s">
        <v>489</v>
      </c>
      <c r="G5814" s="61">
        <v>1</v>
      </c>
      <c r="H5814" s="61">
        <v>15</v>
      </c>
      <c r="I5814" s="61">
        <v>39.770670000000003</v>
      </c>
    </row>
    <row r="5815" spans="1:9" s="71" customFormat="1" ht="24" hidden="1" customHeight="1" outlineLevel="1" x14ac:dyDescent="0.25">
      <c r="A5815" s="74">
        <v>2651</v>
      </c>
      <c r="B5815" s="45" t="s">
        <v>664</v>
      </c>
      <c r="C5815" s="60" t="s">
        <v>5390</v>
      </c>
      <c r="D5815" s="60"/>
      <c r="E5815" s="74">
        <v>2023</v>
      </c>
      <c r="F5815" s="74" t="s">
        <v>489</v>
      </c>
      <c r="G5815" s="61">
        <v>1</v>
      </c>
      <c r="H5815" s="61">
        <v>15</v>
      </c>
      <c r="I5815" s="61">
        <v>38.955959999999997</v>
      </c>
    </row>
    <row r="5816" spans="1:9" s="71" customFormat="1" ht="24" hidden="1" customHeight="1" outlineLevel="1" x14ac:dyDescent="0.25">
      <c r="A5816" s="74">
        <v>4139</v>
      </c>
      <c r="B5816" s="45" t="s">
        <v>664</v>
      </c>
      <c r="C5816" s="60" t="s">
        <v>5391</v>
      </c>
      <c r="D5816" s="60"/>
      <c r="E5816" s="74">
        <v>2023</v>
      </c>
      <c r="F5816" s="74" t="s">
        <v>489</v>
      </c>
      <c r="G5816" s="61">
        <v>1</v>
      </c>
      <c r="H5816" s="61">
        <v>15</v>
      </c>
      <c r="I5816" s="61">
        <v>41.543789999999994</v>
      </c>
    </row>
    <row r="5817" spans="1:9" s="71" customFormat="1" ht="24" hidden="1" customHeight="1" outlineLevel="1" x14ac:dyDescent="0.25">
      <c r="A5817" s="74">
        <v>4181</v>
      </c>
      <c r="B5817" s="45" t="s">
        <v>664</v>
      </c>
      <c r="C5817" s="60" t="s">
        <v>5392</v>
      </c>
      <c r="D5817" s="60"/>
      <c r="E5817" s="74">
        <v>2023</v>
      </c>
      <c r="F5817" s="74" t="s">
        <v>489</v>
      </c>
      <c r="G5817" s="61">
        <v>1</v>
      </c>
      <c r="H5817" s="61">
        <v>15</v>
      </c>
      <c r="I5817" s="61">
        <v>39.09075</v>
      </c>
    </row>
    <row r="5818" spans="1:9" s="71" customFormat="1" ht="24" hidden="1" customHeight="1" outlineLevel="1" x14ac:dyDescent="0.25">
      <c r="A5818" s="74">
        <v>4180</v>
      </c>
      <c r="B5818" s="45" t="s">
        <v>664</v>
      </c>
      <c r="C5818" s="60" t="s">
        <v>5393</v>
      </c>
      <c r="D5818" s="60"/>
      <c r="E5818" s="74">
        <v>2023</v>
      </c>
      <c r="F5818" s="74" t="s">
        <v>489</v>
      </c>
      <c r="G5818" s="61">
        <v>1</v>
      </c>
      <c r="H5818" s="61">
        <v>15</v>
      </c>
      <c r="I5818" s="61">
        <v>38.896189999999997</v>
      </c>
    </row>
    <row r="5819" spans="1:9" s="71" customFormat="1" ht="24" hidden="1" customHeight="1" outlineLevel="1" x14ac:dyDescent="0.25">
      <c r="A5819" s="74">
        <v>4178</v>
      </c>
      <c r="B5819" s="45" t="s">
        <v>664</v>
      </c>
      <c r="C5819" s="60" t="s">
        <v>5394</v>
      </c>
      <c r="D5819" s="60"/>
      <c r="E5819" s="74">
        <v>2023</v>
      </c>
      <c r="F5819" s="74" t="s">
        <v>489</v>
      </c>
      <c r="G5819" s="61">
        <v>1</v>
      </c>
      <c r="H5819" s="121">
        <v>12.25</v>
      </c>
      <c r="I5819" s="61">
        <v>38.827210000000001</v>
      </c>
    </row>
    <row r="5820" spans="1:9" s="71" customFormat="1" ht="24" hidden="1" customHeight="1" outlineLevel="1" x14ac:dyDescent="0.25">
      <c r="A5820" s="74">
        <v>2642</v>
      </c>
      <c r="B5820" s="45" t="s">
        <v>664</v>
      </c>
      <c r="C5820" s="60" t="s">
        <v>5395</v>
      </c>
      <c r="D5820" s="60"/>
      <c r="E5820" s="74">
        <v>2023</v>
      </c>
      <c r="F5820" s="74" t="s">
        <v>489</v>
      </c>
      <c r="G5820" s="61">
        <v>1</v>
      </c>
      <c r="H5820" s="61">
        <v>9</v>
      </c>
      <c r="I5820" s="61">
        <v>41.268279999999997</v>
      </c>
    </row>
    <row r="5821" spans="1:9" s="71" customFormat="1" ht="24" hidden="1" customHeight="1" outlineLevel="1" x14ac:dyDescent="0.25">
      <c r="A5821" s="74">
        <v>2662</v>
      </c>
      <c r="B5821" s="45" t="s">
        <v>664</v>
      </c>
      <c r="C5821" s="60" t="s">
        <v>5396</v>
      </c>
      <c r="D5821" s="60"/>
      <c r="E5821" s="74">
        <v>2023</v>
      </c>
      <c r="F5821" s="74" t="s">
        <v>489</v>
      </c>
      <c r="G5821" s="61">
        <v>1</v>
      </c>
      <c r="H5821" s="61">
        <v>15</v>
      </c>
      <c r="I5821" s="61">
        <v>40.050179999999997</v>
      </c>
    </row>
    <row r="5822" spans="1:9" s="71" customFormat="1" ht="24" hidden="1" customHeight="1" outlineLevel="1" x14ac:dyDescent="0.25">
      <c r="A5822" s="74">
        <v>4179</v>
      </c>
      <c r="B5822" s="45" t="s">
        <v>664</v>
      </c>
      <c r="C5822" s="60" t="s">
        <v>5397</v>
      </c>
      <c r="D5822" s="60"/>
      <c r="E5822" s="74">
        <v>2023</v>
      </c>
      <c r="F5822" s="74" t="s">
        <v>489</v>
      </c>
      <c r="G5822" s="61">
        <v>1</v>
      </c>
      <c r="H5822" s="61">
        <v>25</v>
      </c>
      <c r="I5822" s="61">
        <v>40.052300000000002</v>
      </c>
    </row>
    <row r="5823" spans="1:9" s="71" customFormat="1" ht="24" hidden="1" customHeight="1" outlineLevel="1" x14ac:dyDescent="0.25">
      <c r="A5823" s="74">
        <v>4182</v>
      </c>
      <c r="B5823" s="45" t="s">
        <v>664</v>
      </c>
      <c r="C5823" s="60" t="s">
        <v>5398</v>
      </c>
      <c r="D5823" s="60"/>
      <c r="E5823" s="74">
        <v>2023</v>
      </c>
      <c r="F5823" s="74" t="s">
        <v>489</v>
      </c>
      <c r="G5823" s="61">
        <v>1</v>
      </c>
      <c r="H5823" s="61">
        <v>15</v>
      </c>
      <c r="I5823" s="61">
        <v>42.827400000000004</v>
      </c>
    </row>
    <row r="5824" spans="1:9" s="71" customFormat="1" ht="24" hidden="1" customHeight="1" outlineLevel="1" x14ac:dyDescent="0.25">
      <c r="A5824" s="74">
        <v>2684</v>
      </c>
      <c r="B5824" s="45" t="s">
        <v>664</v>
      </c>
      <c r="C5824" s="60" t="s">
        <v>5399</v>
      </c>
      <c r="D5824" s="60"/>
      <c r="E5824" s="74">
        <v>2023</v>
      </c>
      <c r="F5824" s="74" t="s">
        <v>489</v>
      </c>
      <c r="G5824" s="61">
        <v>1</v>
      </c>
      <c r="H5824" s="61">
        <v>1</v>
      </c>
      <c r="I5824" s="61">
        <v>43.264279999999999</v>
      </c>
    </row>
    <row r="5825" spans="1:9" s="71" customFormat="1" ht="24" hidden="1" customHeight="1" outlineLevel="1" x14ac:dyDescent="0.25">
      <c r="A5825" s="74">
        <v>4194</v>
      </c>
      <c r="B5825" s="45" t="s">
        <v>664</v>
      </c>
      <c r="C5825" s="60" t="s">
        <v>5400</v>
      </c>
      <c r="D5825" s="60"/>
      <c r="E5825" s="74">
        <v>2023</v>
      </c>
      <c r="F5825" s="74" t="s">
        <v>489</v>
      </c>
      <c r="G5825" s="61">
        <v>1</v>
      </c>
      <c r="H5825" s="61">
        <v>15</v>
      </c>
      <c r="I5825" s="61">
        <v>43.854129999999998</v>
      </c>
    </row>
    <row r="5826" spans="1:9" s="71" customFormat="1" ht="24" hidden="1" customHeight="1" outlineLevel="1" x14ac:dyDescent="0.25">
      <c r="A5826" s="74">
        <v>4190</v>
      </c>
      <c r="B5826" s="45" t="s">
        <v>664</v>
      </c>
      <c r="C5826" s="60" t="s">
        <v>5401</v>
      </c>
      <c r="D5826" s="60"/>
      <c r="E5826" s="74">
        <v>2023</v>
      </c>
      <c r="F5826" s="74" t="s">
        <v>489</v>
      </c>
      <c r="G5826" s="61">
        <v>1</v>
      </c>
      <c r="H5826" s="121">
        <v>13.54</v>
      </c>
      <c r="I5826" s="61">
        <v>39.659129999999998</v>
      </c>
    </row>
    <row r="5827" spans="1:9" s="71" customFormat="1" ht="24" hidden="1" customHeight="1" outlineLevel="1" x14ac:dyDescent="0.25">
      <c r="A5827" s="74">
        <v>4204</v>
      </c>
      <c r="B5827" s="45" t="s">
        <v>664</v>
      </c>
      <c r="C5827" s="60" t="s">
        <v>5402</v>
      </c>
      <c r="D5827" s="60"/>
      <c r="E5827" s="74">
        <v>2023</v>
      </c>
      <c r="F5827" s="74" t="s">
        <v>489</v>
      </c>
      <c r="G5827" s="61">
        <v>1</v>
      </c>
      <c r="H5827" s="61">
        <v>7.5</v>
      </c>
      <c r="I5827" s="61">
        <v>40.096289999999996</v>
      </c>
    </row>
    <row r="5828" spans="1:9" s="71" customFormat="1" ht="24" hidden="1" customHeight="1" outlineLevel="1" x14ac:dyDescent="0.25">
      <c r="A5828" s="74">
        <v>4202</v>
      </c>
      <c r="B5828" s="45" t="s">
        <v>664</v>
      </c>
      <c r="C5828" s="60" t="s">
        <v>5403</v>
      </c>
      <c r="D5828" s="60"/>
      <c r="E5828" s="74">
        <v>2023</v>
      </c>
      <c r="F5828" s="74" t="s">
        <v>489</v>
      </c>
      <c r="G5828" s="61">
        <v>1</v>
      </c>
      <c r="H5828" s="61">
        <v>7</v>
      </c>
      <c r="I5828" s="61">
        <v>40.266889999999997</v>
      </c>
    </row>
    <row r="5829" spans="1:9" s="71" customFormat="1" ht="24" hidden="1" customHeight="1" outlineLevel="1" x14ac:dyDescent="0.25">
      <c r="A5829" s="74">
        <v>4198</v>
      </c>
      <c r="B5829" s="45" t="s">
        <v>664</v>
      </c>
      <c r="C5829" s="60" t="s">
        <v>5404</v>
      </c>
      <c r="D5829" s="60"/>
      <c r="E5829" s="74">
        <v>2023</v>
      </c>
      <c r="F5829" s="74" t="s">
        <v>489</v>
      </c>
      <c r="G5829" s="61">
        <v>1</v>
      </c>
      <c r="H5829" s="61">
        <v>15</v>
      </c>
      <c r="I5829" s="61">
        <v>40.705280000000002</v>
      </c>
    </row>
    <row r="5830" spans="1:9" s="71" customFormat="1" ht="24" hidden="1" customHeight="1" outlineLevel="1" x14ac:dyDescent="0.25">
      <c r="A5830" s="74">
        <v>4197</v>
      </c>
      <c r="B5830" s="45" t="s">
        <v>664</v>
      </c>
      <c r="C5830" s="60" t="s">
        <v>5405</v>
      </c>
      <c r="D5830" s="60"/>
      <c r="E5830" s="74">
        <v>2023</v>
      </c>
      <c r="F5830" s="74" t="s">
        <v>489</v>
      </c>
      <c r="G5830" s="61">
        <v>1</v>
      </c>
      <c r="H5830" s="61">
        <v>7.5</v>
      </c>
      <c r="I5830" s="61">
        <v>40.431460000000001</v>
      </c>
    </row>
    <row r="5831" spans="1:9" s="71" customFormat="1" ht="24" hidden="1" customHeight="1" outlineLevel="1" x14ac:dyDescent="0.25">
      <c r="A5831" s="74">
        <v>4199</v>
      </c>
      <c r="B5831" s="45" t="s">
        <v>664</v>
      </c>
      <c r="C5831" s="60" t="s">
        <v>5406</v>
      </c>
      <c r="D5831" s="60"/>
      <c r="E5831" s="74">
        <v>2023</v>
      </c>
      <c r="F5831" s="74" t="s">
        <v>489</v>
      </c>
      <c r="G5831" s="61">
        <v>1</v>
      </c>
      <c r="H5831" s="61">
        <v>10</v>
      </c>
      <c r="I5831" s="61">
        <v>42.223930000000003</v>
      </c>
    </row>
    <row r="5832" spans="1:9" s="71" customFormat="1" ht="24" hidden="1" customHeight="1" outlineLevel="1" x14ac:dyDescent="0.25">
      <c r="A5832" s="74">
        <v>4192</v>
      </c>
      <c r="B5832" s="45" t="s">
        <v>664</v>
      </c>
      <c r="C5832" s="60" t="s">
        <v>5407</v>
      </c>
      <c r="D5832" s="60"/>
      <c r="E5832" s="74">
        <v>2023</v>
      </c>
      <c r="F5832" s="74" t="s">
        <v>489</v>
      </c>
      <c r="G5832" s="61">
        <v>1</v>
      </c>
      <c r="H5832" s="61">
        <v>15</v>
      </c>
      <c r="I5832" s="61">
        <v>40.939169999999997</v>
      </c>
    </row>
    <row r="5833" spans="1:9" s="71" customFormat="1" ht="24" hidden="1" customHeight="1" outlineLevel="1" x14ac:dyDescent="0.25">
      <c r="A5833" s="74">
        <v>2683</v>
      </c>
      <c r="B5833" s="45" t="s">
        <v>664</v>
      </c>
      <c r="C5833" s="60" t="s">
        <v>5408</v>
      </c>
      <c r="D5833" s="60"/>
      <c r="E5833" s="74">
        <v>2023</v>
      </c>
      <c r="F5833" s="74" t="s">
        <v>489</v>
      </c>
      <c r="G5833" s="61">
        <v>1</v>
      </c>
      <c r="H5833" s="61">
        <v>9</v>
      </c>
      <c r="I5833" s="61">
        <v>38.540430000000001</v>
      </c>
    </row>
    <row r="5834" spans="1:9" s="71" customFormat="1" ht="24" hidden="1" customHeight="1" outlineLevel="1" x14ac:dyDescent="0.25">
      <c r="A5834" s="74">
        <v>2691</v>
      </c>
      <c r="B5834" s="45" t="s">
        <v>664</v>
      </c>
      <c r="C5834" s="60" t="s">
        <v>5409</v>
      </c>
      <c r="D5834" s="60"/>
      <c r="E5834" s="74">
        <v>2023</v>
      </c>
      <c r="F5834" s="74" t="s">
        <v>489</v>
      </c>
      <c r="G5834" s="61">
        <v>1</v>
      </c>
      <c r="H5834" s="61">
        <v>14</v>
      </c>
      <c r="I5834" s="61">
        <v>38.540459999999996</v>
      </c>
    </row>
    <row r="5835" spans="1:9" s="71" customFormat="1" ht="24" hidden="1" customHeight="1" outlineLevel="1" x14ac:dyDescent="0.25">
      <c r="A5835" s="74">
        <v>4200</v>
      </c>
      <c r="B5835" s="45" t="s">
        <v>664</v>
      </c>
      <c r="C5835" s="60" t="s">
        <v>5410</v>
      </c>
      <c r="D5835" s="60"/>
      <c r="E5835" s="74">
        <v>2023</v>
      </c>
      <c r="F5835" s="74" t="s">
        <v>489</v>
      </c>
      <c r="G5835" s="61">
        <v>1</v>
      </c>
      <c r="H5835" s="61">
        <v>15</v>
      </c>
      <c r="I5835" s="61">
        <v>38.121189999999999</v>
      </c>
    </row>
    <row r="5836" spans="1:9" s="71" customFormat="1" ht="24" hidden="1" customHeight="1" outlineLevel="1" x14ac:dyDescent="0.25">
      <c r="A5836" s="74">
        <v>2682</v>
      </c>
      <c r="B5836" s="45" t="s">
        <v>664</v>
      </c>
      <c r="C5836" s="60" t="s">
        <v>5411</v>
      </c>
      <c r="D5836" s="60"/>
      <c r="E5836" s="74">
        <v>2023</v>
      </c>
      <c r="F5836" s="74" t="s">
        <v>489</v>
      </c>
      <c r="G5836" s="61">
        <v>1</v>
      </c>
      <c r="H5836" s="61">
        <v>10</v>
      </c>
      <c r="I5836" s="61">
        <v>42.357260000000004</v>
      </c>
    </row>
    <row r="5837" spans="1:9" s="71" customFormat="1" ht="24" hidden="1" customHeight="1" outlineLevel="1" x14ac:dyDescent="0.25">
      <c r="A5837" s="74">
        <v>4205</v>
      </c>
      <c r="B5837" s="45" t="s">
        <v>664</v>
      </c>
      <c r="C5837" s="60" t="s">
        <v>5412</v>
      </c>
      <c r="D5837" s="60"/>
      <c r="E5837" s="74">
        <v>2023</v>
      </c>
      <c r="F5837" s="74" t="s">
        <v>489</v>
      </c>
      <c r="G5837" s="61">
        <v>1</v>
      </c>
      <c r="H5837" s="61">
        <v>10</v>
      </c>
      <c r="I5837" s="61">
        <v>43.017939999999996</v>
      </c>
    </row>
    <row r="5838" spans="1:9" s="71" customFormat="1" ht="24" hidden="1" customHeight="1" outlineLevel="1" x14ac:dyDescent="0.25">
      <c r="A5838" s="74">
        <v>4195</v>
      </c>
      <c r="B5838" s="45" t="s">
        <v>664</v>
      </c>
      <c r="C5838" s="60" t="s">
        <v>5413</v>
      </c>
      <c r="D5838" s="60"/>
      <c r="E5838" s="74">
        <v>2023</v>
      </c>
      <c r="F5838" s="74" t="s">
        <v>489</v>
      </c>
      <c r="G5838" s="61">
        <v>1</v>
      </c>
      <c r="H5838" s="61">
        <v>15</v>
      </c>
      <c r="I5838" s="61">
        <v>39.478560000000002</v>
      </c>
    </row>
    <row r="5839" spans="1:9" s="71" customFormat="1" ht="24" hidden="1" customHeight="1" outlineLevel="1" x14ac:dyDescent="0.25">
      <c r="A5839" s="74">
        <v>4196</v>
      </c>
      <c r="B5839" s="45" t="s">
        <v>664</v>
      </c>
      <c r="C5839" s="60" t="s">
        <v>5414</v>
      </c>
      <c r="D5839" s="60"/>
      <c r="E5839" s="74">
        <v>2023</v>
      </c>
      <c r="F5839" s="74" t="s">
        <v>489</v>
      </c>
      <c r="G5839" s="61">
        <v>1</v>
      </c>
      <c r="H5839" s="61">
        <v>15</v>
      </c>
      <c r="I5839" s="61">
        <v>39.486359999999998</v>
      </c>
    </row>
    <row r="5840" spans="1:9" s="71" customFormat="1" ht="24" hidden="1" customHeight="1" outlineLevel="1" x14ac:dyDescent="0.25">
      <c r="A5840" s="74">
        <v>2714</v>
      </c>
      <c r="B5840" s="45" t="s">
        <v>664</v>
      </c>
      <c r="C5840" s="60" t="s">
        <v>5415</v>
      </c>
      <c r="D5840" s="60"/>
      <c r="E5840" s="74">
        <v>2023</v>
      </c>
      <c r="F5840" s="74" t="s">
        <v>489</v>
      </c>
      <c r="G5840" s="61">
        <v>1</v>
      </c>
      <c r="H5840" s="61">
        <v>14</v>
      </c>
      <c r="I5840" s="61">
        <v>40.62285</v>
      </c>
    </row>
    <row r="5841" spans="1:9" s="71" customFormat="1" ht="24" hidden="1" customHeight="1" outlineLevel="1" x14ac:dyDescent="0.25">
      <c r="A5841" s="74">
        <v>4208</v>
      </c>
      <c r="B5841" s="45" t="s">
        <v>664</v>
      </c>
      <c r="C5841" s="60" t="s">
        <v>5416</v>
      </c>
      <c r="D5841" s="60"/>
      <c r="E5841" s="74">
        <v>2023</v>
      </c>
      <c r="F5841" s="74" t="s">
        <v>489</v>
      </c>
      <c r="G5841" s="61">
        <v>1</v>
      </c>
      <c r="H5841" s="61">
        <v>15</v>
      </c>
      <c r="I5841" s="61">
        <v>41.178220000000003</v>
      </c>
    </row>
    <row r="5842" spans="1:9" s="71" customFormat="1" ht="24" hidden="1" customHeight="1" outlineLevel="1" x14ac:dyDescent="0.25">
      <c r="A5842" s="74">
        <v>4206</v>
      </c>
      <c r="B5842" s="45" t="s">
        <v>664</v>
      </c>
      <c r="C5842" s="60" t="s">
        <v>5417</v>
      </c>
      <c r="D5842" s="60"/>
      <c r="E5842" s="74">
        <v>2023</v>
      </c>
      <c r="F5842" s="74" t="s">
        <v>489</v>
      </c>
      <c r="G5842" s="61">
        <v>1</v>
      </c>
      <c r="H5842" s="61">
        <v>15</v>
      </c>
      <c r="I5842" s="61">
        <v>41.828760000000003</v>
      </c>
    </row>
    <row r="5843" spans="1:9" s="71" customFormat="1" ht="24" hidden="1" customHeight="1" outlineLevel="1" x14ac:dyDescent="0.25">
      <c r="A5843" s="74">
        <v>2727</v>
      </c>
      <c r="B5843" s="45" t="s">
        <v>664</v>
      </c>
      <c r="C5843" s="60" t="s">
        <v>5418</v>
      </c>
      <c r="D5843" s="60"/>
      <c r="E5843" s="74">
        <v>2023</v>
      </c>
      <c r="F5843" s="74" t="s">
        <v>489</v>
      </c>
      <c r="G5843" s="61">
        <v>1</v>
      </c>
      <c r="H5843" s="61">
        <v>10</v>
      </c>
      <c r="I5843" s="61">
        <v>42.127760000000002</v>
      </c>
    </row>
    <row r="5844" spans="1:9" s="71" customFormat="1" ht="24" hidden="1" customHeight="1" outlineLevel="1" x14ac:dyDescent="0.25">
      <c r="A5844" s="74">
        <v>4207</v>
      </c>
      <c r="B5844" s="45" t="s">
        <v>664</v>
      </c>
      <c r="C5844" s="60" t="s">
        <v>5419</v>
      </c>
      <c r="D5844" s="60"/>
      <c r="E5844" s="74">
        <v>2023</v>
      </c>
      <c r="F5844" s="74" t="s">
        <v>489</v>
      </c>
      <c r="G5844" s="61">
        <v>1</v>
      </c>
      <c r="H5844" s="61">
        <v>15</v>
      </c>
      <c r="I5844" s="61">
        <v>42.12773</v>
      </c>
    </row>
    <row r="5845" spans="1:9" s="71" customFormat="1" ht="24" hidden="1" customHeight="1" outlineLevel="1" x14ac:dyDescent="0.25">
      <c r="A5845" s="74">
        <v>4080</v>
      </c>
      <c r="B5845" s="45" t="s">
        <v>664</v>
      </c>
      <c r="C5845" s="60" t="s">
        <v>5420</v>
      </c>
      <c r="D5845" s="60"/>
      <c r="E5845" s="74">
        <v>2023</v>
      </c>
      <c r="F5845" s="74" t="s">
        <v>489</v>
      </c>
      <c r="G5845" s="61">
        <v>1</v>
      </c>
      <c r="H5845" s="61">
        <v>72</v>
      </c>
      <c r="I5845" s="61">
        <v>49.226689999999998</v>
      </c>
    </row>
    <row r="5846" spans="1:9" s="71" customFormat="1" ht="24" hidden="1" customHeight="1" outlineLevel="1" x14ac:dyDescent="0.25">
      <c r="A5846" s="74">
        <v>2759</v>
      </c>
      <c r="B5846" s="45" t="s">
        <v>664</v>
      </c>
      <c r="C5846" s="60" t="s">
        <v>5421</v>
      </c>
      <c r="D5846" s="60"/>
      <c r="E5846" s="74">
        <v>2023</v>
      </c>
      <c r="F5846" s="74" t="s">
        <v>489</v>
      </c>
      <c r="G5846" s="61">
        <v>1</v>
      </c>
      <c r="H5846" s="61">
        <v>7</v>
      </c>
      <c r="I5846" s="61">
        <v>38.980229999999999</v>
      </c>
    </row>
    <row r="5847" spans="1:9" s="71" customFormat="1" ht="24" hidden="1" customHeight="1" outlineLevel="1" x14ac:dyDescent="0.25">
      <c r="A5847" s="74">
        <v>2762</v>
      </c>
      <c r="B5847" s="45" t="s">
        <v>664</v>
      </c>
      <c r="C5847" s="60" t="s">
        <v>5422</v>
      </c>
      <c r="D5847" s="60"/>
      <c r="E5847" s="74">
        <v>2023</v>
      </c>
      <c r="F5847" s="74" t="s">
        <v>489</v>
      </c>
      <c r="G5847" s="61">
        <v>1</v>
      </c>
      <c r="H5847" s="61">
        <v>15</v>
      </c>
      <c r="I5847" s="61">
        <v>40.455329999999996</v>
      </c>
    </row>
    <row r="5848" spans="1:9" s="71" customFormat="1" ht="24" hidden="1" customHeight="1" outlineLevel="1" x14ac:dyDescent="0.25">
      <c r="A5848" s="74">
        <v>4203</v>
      </c>
      <c r="B5848" s="45" t="s">
        <v>664</v>
      </c>
      <c r="C5848" s="60" t="s">
        <v>5423</v>
      </c>
      <c r="D5848" s="60"/>
      <c r="E5848" s="74">
        <v>2023</v>
      </c>
      <c r="F5848" s="74" t="s">
        <v>489</v>
      </c>
      <c r="G5848" s="61">
        <v>1</v>
      </c>
      <c r="H5848" s="61">
        <v>15</v>
      </c>
      <c r="I5848" s="61">
        <v>42.425409999999999</v>
      </c>
    </row>
    <row r="5849" spans="1:9" s="71" customFormat="1" ht="24" hidden="1" customHeight="1" outlineLevel="1" x14ac:dyDescent="0.25">
      <c r="A5849" s="74">
        <v>4213</v>
      </c>
      <c r="B5849" s="45" t="s">
        <v>664</v>
      </c>
      <c r="C5849" s="60" t="s">
        <v>5424</v>
      </c>
      <c r="D5849" s="60"/>
      <c r="E5849" s="74">
        <v>2023</v>
      </c>
      <c r="F5849" s="74" t="s">
        <v>489</v>
      </c>
      <c r="G5849" s="61">
        <v>1</v>
      </c>
      <c r="H5849" s="61">
        <v>15</v>
      </c>
      <c r="I5849" s="61">
        <v>41.021479999999997</v>
      </c>
    </row>
    <row r="5850" spans="1:9" s="71" customFormat="1" ht="24" hidden="1" customHeight="1" outlineLevel="1" x14ac:dyDescent="0.25">
      <c r="A5850" s="74">
        <v>4211</v>
      </c>
      <c r="B5850" s="45" t="s">
        <v>664</v>
      </c>
      <c r="C5850" s="60" t="s">
        <v>5425</v>
      </c>
      <c r="D5850" s="60"/>
      <c r="E5850" s="74">
        <v>2023</v>
      </c>
      <c r="F5850" s="74" t="s">
        <v>489</v>
      </c>
      <c r="G5850" s="61">
        <v>1</v>
      </c>
      <c r="H5850" s="61">
        <v>15</v>
      </c>
      <c r="I5850" s="61">
        <v>40.406709999999997</v>
      </c>
    </row>
    <row r="5851" spans="1:9" s="71" customFormat="1" ht="24" hidden="1" customHeight="1" outlineLevel="1" x14ac:dyDescent="0.25">
      <c r="A5851" s="74">
        <v>4212</v>
      </c>
      <c r="B5851" s="45" t="s">
        <v>664</v>
      </c>
      <c r="C5851" s="60" t="s">
        <v>5426</v>
      </c>
      <c r="D5851" s="60"/>
      <c r="E5851" s="74">
        <v>2023</v>
      </c>
      <c r="F5851" s="74" t="s">
        <v>489</v>
      </c>
      <c r="G5851" s="61">
        <v>1</v>
      </c>
      <c r="H5851" s="61">
        <v>25</v>
      </c>
      <c r="I5851" s="61">
        <v>41.046800000000005</v>
      </c>
    </row>
    <row r="5852" spans="1:9" s="71" customFormat="1" ht="24" hidden="1" customHeight="1" outlineLevel="1" x14ac:dyDescent="0.25">
      <c r="A5852" s="74">
        <v>4215</v>
      </c>
      <c r="B5852" s="45" t="s">
        <v>664</v>
      </c>
      <c r="C5852" s="60" t="s">
        <v>5427</v>
      </c>
      <c r="D5852" s="60"/>
      <c r="E5852" s="74">
        <v>2023</v>
      </c>
      <c r="F5852" s="74" t="s">
        <v>489</v>
      </c>
      <c r="G5852" s="61">
        <v>1</v>
      </c>
      <c r="H5852" s="61">
        <v>15</v>
      </c>
      <c r="I5852" s="61">
        <v>41.474029999999999</v>
      </c>
    </row>
    <row r="5853" spans="1:9" s="71" customFormat="1" ht="24" hidden="1" customHeight="1" outlineLevel="1" x14ac:dyDescent="0.25">
      <c r="A5853" s="74">
        <v>2766</v>
      </c>
      <c r="B5853" s="45" t="s">
        <v>664</v>
      </c>
      <c r="C5853" s="60" t="s">
        <v>5428</v>
      </c>
      <c r="D5853" s="60"/>
      <c r="E5853" s="74">
        <v>2023</v>
      </c>
      <c r="F5853" s="74" t="s">
        <v>489</v>
      </c>
      <c r="G5853" s="61">
        <v>1</v>
      </c>
      <c r="H5853" s="61">
        <v>9</v>
      </c>
      <c r="I5853" s="61">
        <v>40.716679999999997</v>
      </c>
    </row>
    <row r="5854" spans="1:9" s="71" customFormat="1" ht="24" hidden="1" customHeight="1" outlineLevel="1" x14ac:dyDescent="0.25">
      <c r="A5854" s="74">
        <v>4216</v>
      </c>
      <c r="B5854" s="45" t="s">
        <v>664</v>
      </c>
      <c r="C5854" s="60" t="s">
        <v>5429</v>
      </c>
      <c r="D5854" s="60"/>
      <c r="E5854" s="74">
        <v>2023</v>
      </c>
      <c r="F5854" s="74" t="s">
        <v>489</v>
      </c>
      <c r="G5854" s="61">
        <v>1</v>
      </c>
      <c r="H5854" s="61">
        <v>15</v>
      </c>
      <c r="I5854" s="61">
        <v>41.210969999999996</v>
      </c>
    </row>
    <row r="5855" spans="1:9" s="71" customFormat="1" ht="24" hidden="1" customHeight="1" outlineLevel="1" x14ac:dyDescent="0.25">
      <c r="A5855" s="74">
        <v>4095</v>
      </c>
      <c r="B5855" s="45" t="s">
        <v>664</v>
      </c>
      <c r="C5855" s="60" t="s">
        <v>5430</v>
      </c>
      <c r="D5855" s="60"/>
      <c r="E5855" s="74">
        <v>2023</v>
      </c>
      <c r="F5855" s="74" t="s">
        <v>489</v>
      </c>
      <c r="G5855" s="61">
        <v>1</v>
      </c>
      <c r="H5855" s="61">
        <v>6</v>
      </c>
      <c r="I5855" s="61">
        <v>48.212049999999998</v>
      </c>
    </row>
    <row r="5856" spans="1:9" s="71" customFormat="1" ht="24" hidden="1" customHeight="1" outlineLevel="1" x14ac:dyDescent="0.25">
      <c r="A5856" s="74">
        <v>4086</v>
      </c>
      <c r="B5856" s="45" t="s">
        <v>664</v>
      </c>
      <c r="C5856" s="60" t="s">
        <v>5431</v>
      </c>
      <c r="D5856" s="60"/>
      <c r="E5856" s="74">
        <v>2023</v>
      </c>
      <c r="F5856" s="74" t="s">
        <v>489</v>
      </c>
      <c r="G5856" s="61">
        <v>1</v>
      </c>
      <c r="H5856" s="61">
        <v>15</v>
      </c>
      <c r="I5856" s="61">
        <v>46.988160000000001</v>
      </c>
    </row>
    <row r="5857" spans="1:9" s="71" customFormat="1" ht="24" hidden="1" customHeight="1" outlineLevel="1" x14ac:dyDescent="0.25">
      <c r="A5857" s="74">
        <v>4214</v>
      </c>
      <c r="B5857" s="45" t="s">
        <v>664</v>
      </c>
      <c r="C5857" s="60" t="s">
        <v>5432</v>
      </c>
      <c r="D5857" s="60"/>
      <c r="E5857" s="74">
        <v>2023</v>
      </c>
      <c r="F5857" s="74" t="s">
        <v>489</v>
      </c>
      <c r="G5857" s="61">
        <v>1</v>
      </c>
      <c r="H5857" s="61">
        <v>15</v>
      </c>
      <c r="I5857" s="61">
        <v>35.837309999999995</v>
      </c>
    </row>
    <row r="5858" spans="1:9" s="71" customFormat="1" ht="24" hidden="1" customHeight="1" outlineLevel="1" x14ac:dyDescent="0.25">
      <c r="A5858" s="74">
        <v>4223</v>
      </c>
      <c r="B5858" s="45" t="s">
        <v>664</v>
      </c>
      <c r="C5858" s="60" t="s">
        <v>5433</v>
      </c>
      <c r="D5858" s="60"/>
      <c r="E5858" s="74">
        <v>2023</v>
      </c>
      <c r="F5858" s="74" t="s">
        <v>489</v>
      </c>
      <c r="G5858" s="61">
        <v>1</v>
      </c>
      <c r="H5858" s="61">
        <v>10</v>
      </c>
      <c r="I5858" s="61">
        <v>39.552680000000002</v>
      </c>
    </row>
    <row r="5859" spans="1:9" s="71" customFormat="1" ht="24" hidden="1" customHeight="1" outlineLevel="1" x14ac:dyDescent="0.25">
      <c r="A5859" s="74">
        <v>4221</v>
      </c>
      <c r="B5859" s="45" t="s">
        <v>664</v>
      </c>
      <c r="C5859" s="60" t="s">
        <v>5434</v>
      </c>
      <c r="D5859" s="60"/>
      <c r="E5859" s="74">
        <v>2023</v>
      </c>
      <c r="F5859" s="74" t="s">
        <v>489</v>
      </c>
      <c r="G5859" s="61">
        <v>1</v>
      </c>
      <c r="H5859" s="61">
        <v>15</v>
      </c>
      <c r="I5859" s="61">
        <v>40.198889999999999</v>
      </c>
    </row>
    <row r="5860" spans="1:9" s="71" customFormat="1" ht="24" hidden="1" customHeight="1" outlineLevel="1" x14ac:dyDescent="0.25">
      <c r="A5860" s="74">
        <v>4217</v>
      </c>
      <c r="B5860" s="45" t="s">
        <v>664</v>
      </c>
      <c r="C5860" s="60" t="s">
        <v>5435</v>
      </c>
      <c r="D5860" s="60"/>
      <c r="E5860" s="74">
        <v>2023</v>
      </c>
      <c r="F5860" s="74" t="s">
        <v>489</v>
      </c>
      <c r="G5860" s="61">
        <v>1</v>
      </c>
      <c r="H5860" s="61">
        <v>15</v>
      </c>
      <c r="I5860" s="61">
        <v>41.154769999999999</v>
      </c>
    </row>
    <row r="5861" spans="1:9" s="71" customFormat="1" ht="24" hidden="1" customHeight="1" outlineLevel="1" x14ac:dyDescent="0.25">
      <c r="A5861" s="74">
        <v>4219</v>
      </c>
      <c r="B5861" s="45" t="s">
        <v>664</v>
      </c>
      <c r="C5861" s="60" t="s">
        <v>5436</v>
      </c>
      <c r="D5861" s="60"/>
      <c r="E5861" s="74">
        <v>2023</v>
      </c>
      <c r="F5861" s="74" t="s">
        <v>489</v>
      </c>
      <c r="G5861" s="61">
        <v>1</v>
      </c>
      <c r="H5861" s="61">
        <v>15</v>
      </c>
      <c r="I5861" s="61">
        <v>40.198889999999999</v>
      </c>
    </row>
    <row r="5862" spans="1:9" s="71" customFormat="1" ht="24" hidden="1" customHeight="1" outlineLevel="1" x14ac:dyDescent="0.25">
      <c r="A5862" s="74">
        <v>4224</v>
      </c>
      <c r="B5862" s="45" t="s">
        <v>664</v>
      </c>
      <c r="C5862" s="60" t="s">
        <v>5437</v>
      </c>
      <c r="D5862" s="60"/>
      <c r="E5862" s="74">
        <v>2023</v>
      </c>
      <c r="F5862" s="74" t="s">
        <v>489</v>
      </c>
      <c r="G5862" s="61">
        <v>1</v>
      </c>
      <c r="H5862" s="61">
        <v>15</v>
      </c>
      <c r="I5862" s="61">
        <v>41.245509999999996</v>
      </c>
    </row>
    <row r="5863" spans="1:9" s="71" customFormat="1" ht="24" hidden="1" customHeight="1" outlineLevel="1" x14ac:dyDescent="0.25">
      <c r="A5863" s="74">
        <v>4230</v>
      </c>
      <c r="B5863" s="45" t="s">
        <v>664</v>
      </c>
      <c r="C5863" s="60" t="s">
        <v>5438</v>
      </c>
      <c r="D5863" s="60"/>
      <c r="E5863" s="74">
        <v>2023</v>
      </c>
      <c r="F5863" s="74" t="s">
        <v>489</v>
      </c>
      <c r="G5863" s="61">
        <v>1</v>
      </c>
      <c r="H5863" s="61">
        <v>10</v>
      </c>
      <c r="I5863" s="61">
        <v>41.526260000000001</v>
      </c>
    </row>
    <row r="5864" spans="1:9" s="71" customFormat="1" ht="24" hidden="1" customHeight="1" outlineLevel="1" x14ac:dyDescent="0.25">
      <c r="A5864" s="74">
        <v>4231</v>
      </c>
      <c r="B5864" s="45" t="s">
        <v>664</v>
      </c>
      <c r="C5864" s="60" t="s">
        <v>5439</v>
      </c>
      <c r="D5864" s="60"/>
      <c r="E5864" s="74">
        <v>2023</v>
      </c>
      <c r="F5864" s="74" t="s">
        <v>489</v>
      </c>
      <c r="G5864" s="61">
        <v>1</v>
      </c>
      <c r="H5864" s="61">
        <v>6</v>
      </c>
      <c r="I5864" s="61">
        <v>41.528469999999999</v>
      </c>
    </row>
    <row r="5865" spans="1:9" s="71" customFormat="1" ht="24" hidden="1" customHeight="1" outlineLevel="1" x14ac:dyDescent="0.25">
      <c r="A5865" s="74">
        <v>2778</v>
      </c>
      <c r="B5865" s="45" t="s">
        <v>664</v>
      </c>
      <c r="C5865" s="60" t="s">
        <v>5440</v>
      </c>
      <c r="D5865" s="60"/>
      <c r="E5865" s="74">
        <v>2023</v>
      </c>
      <c r="F5865" s="74" t="s">
        <v>489</v>
      </c>
      <c r="G5865" s="61">
        <v>1</v>
      </c>
      <c r="H5865" s="61">
        <v>15</v>
      </c>
      <c r="I5865" s="61">
        <v>41.418320000000001</v>
      </c>
    </row>
    <row r="5866" spans="1:9" s="71" customFormat="1" ht="24" hidden="1" customHeight="1" outlineLevel="1" x14ac:dyDescent="0.25">
      <c r="A5866" s="74">
        <v>4232</v>
      </c>
      <c r="B5866" s="45" t="s">
        <v>664</v>
      </c>
      <c r="C5866" s="60" t="s">
        <v>5441</v>
      </c>
      <c r="D5866" s="60"/>
      <c r="E5866" s="74">
        <v>2023</v>
      </c>
      <c r="F5866" s="74" t="s">
        <v>489</v>
      </c>
      <c r="G5866" s="61">
        <v>1</v>
      </c>
      <c r="H5866" s="61">
        <v>15</v>
      </c>
      <c r="I5866" s="61">
        <v>42.758829999999996</v>
      </c>
    </row>
    <row r="5867" spans="1:9" s="71" customFormat="1" ht="24" hidden="1" customHeight="1" outlineLevel="1" x14ac:dyDescent="0.25">
      <c r="A5867" s="74">
        <v>2793</v>
      </c>
      <c r="B5867" s="45" t="s">
        <v>664</v>
      </c>
      <c r="C5867" s="60" t="s">
        <v>5442</v>
      </c>
      <c r="D5867" s="60"/>
      <c r="E5867" s="74">
        <v>2023</v>
      </c>
      <c r="F5867" s="74" t="s">
        <v>489</v>
      </c>
      <c r="G5867" s="61">
        <v>1</v>
      </c>
      <c r="H5867" s="61">
        <v>5</v>
      </c>
      <c r="I5867" s="61">
        <v>40.314579999999999</v>
      </c>
    </row>
    <row r="5868" spans="1:9" s="71" customFormat="1" ht="24" hidden="1" customHeight="1" outlineLevel="1" x14ac:dyDescent="0.25">
      <c r="A5868" s="74">
        <v>4226</v>
      </c>
      <c r="B5868" s="45" t="s">
        <v>664</v>
      </c>
      <c r="C5868" s="60" t="s">
        <v>5443</v>
      </c>
      <c r="D5868" s="60"/>
      <c r="E5868" s="74">
        <v>2023</v>
      </c>
      <c r="F5868" s="74" t="s">
        <v>489</v>
      </c>
      <c r="G5868" s="61">
        <v>1</v>
      </c>
      <c r="H5868" s="61">
        <v>15</v>
      </c>
      <c r="I5868" s="61">
        <v>40.196330000000003</v>
      </c>
    </row>
    <row r="5869" spans="1:9" s="71" customFormat="1" ht="24" hidden="1" customHeight="1" outlineLevel="1" x14ac:dyDescent="0.25">
      <c r="A5869" s="74">
        <v>2810</v>
      </c>
      <c r="B5869" s="45" t="s">
        <v>664</v>
      </c>
      <c r="C5869" s="60" t="s">
        <v>5444</v>
      </c>
      <c r="D5869" s="60"/>
      <c r="E5869" s="74">
        <v>2023</v>
      </c>
      <c r="F5869" s="74" t="s">
        <v>489</v>
      </c>
      <c r="G5869" s="61">
        <v>1</v>
      </c>
      <c r="H5869" s="61">
        <v>9</v>
      </c>
      <c r="I5869" s="61">
        <v>38.771169999999998</v>
      </c>
    </row>
    <row r="5870" spans="1:9" s="71" customFormat="1" ht="24" hidden="1" customHeight="1" outlineLevel="1" x14ac:dyDescent="0.25">
      <c r="A5870" s="74">
        <v>2792</v>
      </c>
      <c r="B5870" s="45" t="s">
        <v>664</v>
      </c>
      <c r="C5870" s="60" t="s">
        <v>5445</v>
      </c>
      <c r="D5870" s="60"/>
      <c r="E5870" s="74">
        <v>2023</v>
      </c>
      <c r="F5870" s="74" t="s">
        <v>489</v>
      </c>
      <c r="G5870" s="61">
        <v>1</v>
      </c>
      <c r="H5870" s="61">
        <v>7</v>
      </c>
      <c r="I5870" s="61">
        <v>38.771149999999999</v>
      </c>
    </row>
    <row r="5871" spans="1:9" s="71" customFormat="1" ht="24" hidden="1" customHeight="1" outlineLevel="1" x14ac:dyDescent="0.25">
      <c r="A5871" s="74">
        <v>4235</v>
      </c>
      <c r="B5871" s="45" t="s">
        <v>664</v>
      </c>
      <c r="C5871" s="60" t="s">
        <v>5446</v>
      </c>
      <c r="D5871" s="60"/>
      <c r="E5871" s="74">
        <v>2023</v>
      </c>
      <c r="F5871" s="74" t="s">
        <v>489</v>
      </c>
      <c r="G5871" s="61">
        <v>1</v>
      </c>
      <c r="H5871" s="61">
        <v>15</v>
      </c>
      <c r="I5871" s="61">
        <v>43.28519</v>
      </c>
    </row>
    <row r="5872" spans="1:9" s="71" customFormat="1" ht="24" hidden="1" customHeight="1" outlineLevel="1" x14ac:dyDescent="0.25">
      <c r="A5872" s="74">
        <v>4229</v>
      </c>
      <c r="B5872" s="45" t="s">
        <v>664</v>
      </c>
      <c r="C5872" s="60" t="s">
        <v>5447</v>
      </c>
      <c r="D5872" s="60"/>
      <c r="E5872" s="74">
        <v>2023</v>
      </c>
      <c r="F5872" s="74" t="s">
        <v>489</v>
      </c>
      <c r="G5872" s="61">
        <v>1</v>
      </c>
      <c r="H5872" s="61">
        <v>15</v>
      </c>
      <c r="I5872" s="61">
        <v>38.949269999999999</v>
      </c>
    </row>
    <row r="5873" spans="1:9" s="71" customFormat="1" ht="24" hidden="1" customHeight="1" outlineLevel="1" x14ac:dyDescent="0.25">
      <c r="A5873" s="74">
        <v>2809</v>
      </c>
      <c r="B5873" s="45" t="s">
        <v>664</v>
      </c>
      <c r="C5873" s="60" t="s">
        <v>5448</v>
      </c>
      <c r="D5873" s="60"/>
      <c r="E5873" s="74">
        <v>2023</v>
      </c>
      <c r="F5873" s="74" t="s">
        <v>489</v>
      </c>
      <c r="G5873" s="61">
        <v>1</v>
      </c>
      <c r="H5873" s="61">
        <v>10</v>
      </c>
      <c r="I5873" s="61">
        <v>39.045769999999997</v>
      </c>
    </row>
    <row r="5874" spans="1:9" s="71" customFormat="1" ht="24" hidden="1" customHeight="1" outlineLevel="1" x14ac:dyDescent="0.25">
      <c r="A5874" s="74">
        <v>327</v>
      </c>
      <c r="B5874" s="45" t="s">
        <v>664</v>
      </c>
      <c r="C5874" s="60" t="s">
        <v>5449</v>
      </c>
      <c r="D5874" s="60"/>
      <c r="E5874" s="74">
        <v>2023</v>
      </c>
      <c r="F5874" s="74" t="s">
        <v>489</v>
      </c>
      <c r="G5874" s="61">
        <v>1</v>
      </c>
      <c r="H5874" s="61">
        <v>10</v>
      </c>
      <c r="I5874" s="61">
        <v>43.953180000000003</v>
      </c>
    </row>
    <row r="5875" spans="1:9" s="71" customFormat="1" ht="24" hidden="1" customHeight="1" outlineLevel="1" x14ac:dyDescent="0.25">
      <c r="A5875" s="74">
        <v>4227</v>
      </c>
      <c r="B5875" s="45" t="s">
        <v>664</v>
      </c>
      <c r="C5875" s="60" t="s">
        <v>5450</v>
      </c>
      <c r="D5875" s="60"/>
      <c r="E5875" s="74">
        <v>2023</v>
      </c>
      <c r="F5875" s="74" t="s">
        <v>489</v>
      </c>
      <c r="G5875" s="61">
        <v>1</v>
      </c>
      <c r="H5875" s="61">
        <v>10</v>
      </c>
      <c r="I5875" s="61">
        <v>38.348390000000002</v>
      </c>
    </row>
    <row r="5876" spans="1:9" s="71" customFormat="1" ht="24" hidden="1" customHeight="1" outlineLevel="1" x14ac:dyDescent="0.25">
      <c r="A5876" s="74">
        <v>3623</v>
      </c>
      <c r="B5876" s="45" t="s">
        <v>664</v>
      </c>
      <c r="C5876" s="60" t="s">
        <v>5451</v>
      </c>
      <c r="D5876" s="60"/>
      <c r="E5876" s="74">
        <v>2023</v>
      </c>
      <c r="F5876" s="74" t="s">
        <v>489</v>
      </c>
      <c r="G5876" s="61">
        <v>1</v>
      </c>
      <c r="H5876" s="61">
        <v>15</v>
      </c>
      <c r="I5876" s="61">
        <v>45</v>
      </c>
    </row>
    <row r="5877" spans="1:9" s="71" customFormat="1" ht="24" hidden="1" customHeight="1" outlineLevel="1" x14ac:dyDescent="0.25">
      <c r="A5877" s="74">
        <v>4020</v>
      </c>
      <c r="B5877" s="45" t="s">
        <v>664</v>
      </c>
      <c r="C5877" s="60" t="s">
        <v>5452</v>
      </c>
      <c r="D5877" s="60"/>
      <c r="E5877" s="74">
        <v>2023</v>
      </c>
      <c r="F5877" s="74" t="s">
        <v>489</v>
      </c>
      <c r="G5877" s="61">
        <v>1</v>
      </c>
      <c r="H5877" s="61">
        <v>13.5</v>
      </c>
      <c r="I5877" s="61">
        <v>55.625800000000005</v>
      </c>
    </row>
    <row r="5878" spans="1:9" s="71" customFormat="1" ht="24" hidden="1" customHeight="1" outlineLevel="1" x14ac:dyDescent="0.25">
      <c r="A5878" s="74">
        <v>3990</v>
      </c>
      <c r="B5878" s="45" t="s">
        <v>664</v>
      </c>
      <c r="C5878" s="60" t="s">
        <v>5453</v>
      </c>
      <c r="D5878" s="60"/>
      <c r="E5878" s="74">
        <v>2023</v>
      </c>
      <c r="F5878" s="74" t="s">
        <v>489</v>
      </c>
      <c r="G5878" s="61">
        <v>1</v>
      </c>
      <c r="H5878" s="61">
        <v>10</v>
      </c>
      <c r="I5878" s="61">
        <v>36.722430000000003</v>
      </c>
    </row>
    <row r="5879" spans="1:9" s="71" customFormat="1" ht="24" hidden="1" customHeight="1" outlineLevel="1" x14ac:dyDescent="0.25">
      <c r="A5879" s="74">
        <v>3992</v>
      </c>
      <c r="B5879" s="45" t="s">
        <v>664</v>
      </c>
      <c r="C5879" s="60" t="s">
        <v>5454</v>
      </c>
      <c r="D5879" s="60"/>
      <c r="E5879" s="74">
        <v>2023</v>
      </c>
      <c r="F5879" s="74" t="s">
        <v>489</v>
      </c>
      <c r="G5879" s="61">
        <v>1</v>
      </c>
      <c r="H5879" s="61">
        <v>15</v>
      </c>
      <c r="I5879" s="61">
        <v>30.714310000000001</v>
      </c>
    </row>
    <row r="5880" spans="1:9" s="71" customFormat="1" ht="24" hidden="1" customHeight="1" outlineLevel="1" x14ac:dyDescent="0.25">
      <c r="A5880" s="74">
        <v>3996</v>
      </c>
      <c r="B5880" s="45" t="s">
        <v>664</v>
      </c>
      <c r="C5880" s="60" t="s">
        <v>5455</v>
      </c>
      <c r="D5880" s="60"/>
      <c r="E5880" s="74">
        <v>2023</v>
      </c>
      <c r="F5880" s="74" t="s">
        <v>489</v>
      </c>
      <c r="G5880" s="61">
        <v>1</v>
      </c>
      <c r="H5880" s="61">
        <v>15</v>
      </c>
      <c r="I5880" s="61">
        <v>43.536380000000001</v>
      </c>
    </row>
    <row r="5881" spans="1:9" s="71" customFormat="1" ht="24" hidden="1" customHeight="1" outlineLevel="1" x14ac:dyDescent="0.25">
      <c r="A5881" s="74">
        <v>4014</v>
      </c>
      <c r="B5881" s="45" t="s">
        <v>664</v>
      </c>
      <c r="C5881" s="60" t="s">
        <v>5456</v>
      </c>
      <c r="D5881" s="60"/>
      <c r="E5881" s="74">
        <v>2023</v>
      </c>
      <c r="F5881" s="74" t="s">
        <v>489</v>
      </c>
      <c r="G5881" s="61">
        <v>1</v>
      </c>
      <c r="H5881" s="61">
        <v>15</v>
      </c>
      <c r="I5881" s="61">
        <v>56.26961</v>
      </c>
    </row>
    <row r="5882" spans="1:9" s="71" customFormat="1" ht="24" hidden="1" customHeight="1" outlineLevel="1" x14ac:dyDescent="0.25">
      <c r="A5882" s="74">
        <v>3902</v>
      </c>
      <c r="B5882" s="45" t="s">
        <v>664</v>
      </c>
      <c r="C5882" s="60" t="s">
        <v>5457</v>
      </c>
      <c r="D5882" s="60"/>
      <c r="E5882" s="74">
        <v>2023</v>
      </c>
      <c r="F5882" s="74" t="s">
        <v>489</v>
      </c>
      <c r="G5882" s="61">
        <v>1</v>
      </c>
      <c r="H5882" s="61">
        <v>10</v>
      </c>
      <c r="I5882" s="61">
        <v>32.691310000000001</v>
      </c>
    </row>
    <row r="5883" spans="1:9" s="71" customFormat="1" ht="24" hidden="1" customHeight="1" outlineLevel="1" x14ac:dyDescent="0.25">
      <c r="A5883" s="74">
        <v>561</v>
      </c>
      <c r="B5883" s="45" t="s">
        <v>664</v>
      </c>
      <c r="C5883" s="60" t="s">
        <v>5458</v>
      </c>
      <c r="D5883" s="60"/>
      <c r="E5883" s="74">
        <v>2023</v>
      </c>
      <c r="F5883" s="74" t="s">
        <v>489</v>
      </c>
      <c r="G5883" s="61">
        <v>1</v>
      </c>
      <c r="H5883" s="61">
        <v>5</v>
      </c>
      <c r="I5883" s="61">
        <v>41.004289999999997</v>
      </c>
    </row>
    <row r="5884" spans="1:9" s="71" customFormat="1" ht="24" hidden="1" customHeight="1" outlineLevel="1" x14ac:dyDescent="0.25">
      <c r="A5884" s="74">
        <v>3812</v>
      </c>
      <c r="B5884" s="45" t="s">
        <v>664</v>
      </c>
      <c r="C5884" s="60" t="s">
        <v>5459</v>
      </c>
      <c r="D5884" s="60"/>
      <c r="E5884" s="74">
        <v>2023</v>
      </c>
      <c r="F5884" s="74" t="s">
        <v>489</v>
      </c>
      <c r="G5884" s="61">
        <v>1</v>
      </c>
      <c r="H5884" s="61">
        <v>15</v>
      </c>
      <c r="I5884" s="61">
        <v>54.524370000000005</v>
      </c>
    </row>
    <row r="5885" spans="1:9" s="71" customFormat="1" ht="24" hidden="1" customHeight="1" outlineLevel="1" x14ac:dyDescent="0.25">
      <c r="A5885" s="74">
        <v>3942</v>
      </c>
      <c r="B5885" s="45" t="s">
        <v>664</v>
      </c>
      <c r="C5885" s="60" t="s">
        <v>5460</v>
      </c>
      <c r="D5885" s="60"/>
      <c r="E5885" s="74">
        <v>2023</v>
      </c>
      <c r="F5885" s="74" t="s">
        <v>489</v>
      </c>
      <c r="G5885" s="61">
        <v>1</v>
      </c>
      <c r="H5885" s="61">
        <v>10</v>
      </c>
      <c r="I5885" s="61">
        <v>50.647190000000002</v>
      </c>
    </row>
    <row r="5886" spans="1:9" s="71" customFormat="1" ht="24" hidden="1" customHeight="1" outlineLevel="1" x14ac:dyDescent="0.25">
      <c r="A5886" s="74">
        <v>3950</v>
      </c>
      <c r="B5886" s="45" t="s">
        <v>664</v>
      </c>
      <c r="C5886" s="60" t="s">
        <v>5461</v>
      </c>
      <c r="D5886" s="60"/>
      <c r="E5886" s="74">
        <v>2023</v>
      </c>
      <c r="F5886" s="74" t="s">
        <v>489</v>
      </c>
      <c r="G5886" s="61">
        <v>1</v>
      </c>
      <c r="H5886" s="61">
        <v>15</v>
      </c>
      <c r="I5886" s="61">
        <v>36.552660000000003</v>
      </c>
    </row>
    <row r="5887" spans="1:9" s="71" customFormat="1" ht="24" hidden="1" customHeight="1" outlineLevel="1" x14ac:dyDescent="0.25">
      <c r="A5887" s="74">
        <v>608</v>
      </c>
      <c r="B5887" s="45" t="s">
        <v>664</v>
      </c>
      <c r="C5887" s="60" t="s">
        <v>5462</v>
      </c>
      <c r="D5887" s="60"/>
      <c r="E5887" s="74">
        <v>2023</v>
      </c>
      <c r="F5887" s="74" t="s">
        <v>489</v>
      </c>
      <c r="G5887" s="61">
        <v>1</v>
      </c>
      <c r="H5887" s="61">
        <v>15</v>
      </c>
      <c r="I5887" s="61">
        <v>45.659739999999999</v>
      </c>
    </row>
    <row r="5888" spans="1:9" s="71" customFormat="1" ht="24" hidden="1" customHeight="1" outlineLevel="1" x14ac:dyDescent="0.25">
      <c r="A5888" s="74">
        <v>3963</v>
      </c>
      <c r="B5888" s="45" t="s">
        <v>664</v>
      </c>
      <c r="C5888" s="60" t="s">
        <v>5463</v>
      </c>
      <c r="D5888" s="60"/>
      <c r="E5888" s="74">
        <v>2023</v>
      </c>
      <c r="F5888" s="74" t="s">
        <v>489</v>
      </c>
      <c r="G5888" s="61">
        <v>1</v>
      </c>
      <c r="H5888" s="61">
        <v>15</v>
      </c>
      <c r="I5888" s="61">
        <v>67.920540000000003</v>
      </c>
    </row>
    <row r="5889" spans="1:9" s="71" customFormat="1" ht="24" hidden="1" customHeight="1" outlineLevel="1" x14ac:dyDescent="0.25">
      <c r="A5889" s="74">
        <v>3924</v>
      </c>
      <c r="B5889" s="45" t="s">
        <v>664</v>
      </c>
      <c r="C5889" s="60" t="s">
        <v>5464</v>
      </c>
      <c r="D5889" s="60"/>
      <c r="E5889" s="74">
        <v>2023</v>
      </c>
      <c r="F5889" s="74" t="s">
        <v>489</v>
      </c>
      <c r="G5889" s="61">
        <v>1</v>
      </c>
      <c r="H5889" s="61">
        <v>15</v>
      </c>
      <c r="I5889" s="61">
        <v>39.237369999999999</v>
      </c>
    </row>
    <row r="5890" spans="1:9" s="71" customFormat="1" ht="24" hidden="1" customHeight="1" outlineLevel="1" x14ac:dyDescent="0.25">
      <c r="A5890" s="74">
        <v>3811</v>
      </c>
      <c r="B5890" s="45" t="s">
        <v>664</v>
      </c>
      <c r="C5890" s="60" t="s">
        <v>5465</v>
      </c>
      <c r="D5890" s="60"/>
      <c r="E5890" s="74">
        <v>2023</v>
      </c>
      <c r="F5890" s="74" t="s">
        <v>489</v>
      </c>
      <c r="G5890" s="61">
        <v>1</v>
      </c>
      <c r="H5890" s="61">
        <v>15</v>
      </c>
      <c r="I5890" s="61">
        <v>77.941299999999998</v>
      </c>
    </row>
    <row r="5891" spans="1:9" s="71" customFormat="1" ht="24" hidden="1" customHeight="1" outlineLevel="1" x14ac:dyDescent="0.25">
      <c r="A5891" s="74">
        <v>3527</v>
      </c>
      <c r="B5891" s="45" t="s">
        <v>664</v>
      </c>
      <c r="C5891" s="60" t="s">
        <v>5466</v>
      </c>
      <c r="D5891" s="60"/>
      <c r="E5891" s="74">
        <v>2023</v>
      </c>
      <c r="F5891" s="74" t="s">
        <v>489</v>
      </c>
      <c r="G5891" s="61">
        <v>1</v>
      </c>
      <c r="H5891" s="61">
        <v>15</v>
      </c>
      <c r="I5891" s="61">
        <v>31.770239999999998</v>
      </c>
    </row>
    <row r="5892" spans="1:9" s="71" customFormat="1" ht="24" hidden="1" customHeight="1" outlineLevel="1" x14ac:dyDescent="0.25">
      <c r="A5892" s="74">
        <v>3622</v>
      </c>
      <c r="B5892" s="45" t="s">
        <v>664</v>
      </c>
      <c r="C5892" s="60" t="s">
        <v>5467</v>
      </c>
      <c r="D5892" s="60"/>
      <c r="E5892" s="74">
        <v>2023</v>
      </c>
      <c r="F5892" s="74" t="s">
        <v>489</v>
      </c>
      <c r="G5892" s="61">
        <v>1</v>
      </c>
      <c r="H5892" s="61">
        <v>15</v>
      </c>
      <c r="I5892" s="61">
        <v>46.8506</v>
      </c>
    </row>
    <row r="5893" spans="1:9" s="71" customFormat="1" ht="24" hidden="1" customHeight="1" outlineLevel="1" x14ac:dyDescent="0.25">
      <c r="A5893" s="74">
        <v>3533</v>
      </c>
      <c r="B5893" s="45" t="s">
        <v>664</v>
      </c>
      <c r="C5893" s="60" t="s">
        <v>5468</v>
      </c>
      <c r="D5893" s="60"/>
      <c r="E5893" s="74">
        <v>2023</v>
      </c>
      <c r="F5893" s="74" t="s">
        <v>489</v>
      </c>
      <c r="G5893" s="61">
        <v>1</v>
      </c>
      <c r="H5893" s="61">
        <v>15</v>
      </c>
      <c r="I5893" s="61">
        <v>48.84395</v>
      </c>
    </row>
    <row r="5894" spans="1:9" s="71" customFormat="1" ht="24" hidden="1" customHeight="1" outlineLevel="1" x14ac:dyDescent="0.25">
      <c r="A5894" s="74">
        <v>3713</v>
      </c>
      <c r="B5894" s="45" t="s">
        <v>664</v>
      </c>
      <c r="C5894" s="60" t="s">
        <v>5469</v>
      </c>
      <c r="D5894" s="60"/>
      <c r="E5894" s="74">
        <v>2023</v>
      </c>
      <c r="F5894" s="74" t="s">
        <v>489</v>
      </c>
      <c r="G5894" s="61">
        <v>1</v>
      </c>
      <c r="H5894" s="61">
        <v>15</v>
      </c>
      <c r="I5894" s="61">
        <v>53.546889999999998</v>
      </c>
    </row>
    <row r="5895" spans="1:9" s="71" customFormat="1" ht="24" hidden="1" customHeight="1" outlineLevel="1" x14ac:dyDescent="0.25">
      <c r="A5895" s="74">
        <v>3532</v>
      </c>
      <c r="B5895" s="45" t="s">
        <v>664</v>
      </c>
      <c r="C5895" s="60" t="s">
        <v>5470</v>
      </c>
      <c r="D5895" s="60"/>
      <c r="E5895" s="74">
        <v>2023</v>
      </c>
      <c r="F5895" s="74" t="s">
        <v>489</v>
      </c>
      <c r="G5895" s="61">
        <v>1</v>
      </c>
      <c r="H5895" s="61">
        <v>15</v>
      </c>
      <c r="I5895" s="61">
        <v>51.522840000000002</v>
      </c>
    </row>
    <row r="5896" spans="1:9" s="71" customFormat="1" ht="24" hidden="1" customHeight="1" outlineLevel="1" x14ac:dyDescent="0.25">
      <c r="A5896" s="74">
        <v>3721</v>
      </c>
      <c r="B5896" s="45" t="s">
        <v>664</v>
      </c>
      <c r="C5896" s="60" t="s">
        <v>5471</v>
      </c>
      <c r="D5896" s="60"/>
      <c r="E5896" s="74">
        <v>2023</v>
      </c>
      <c r="F5896" s="74" t="s">
        <v>489</v>
      </c>
      <c r="G5896" s="61">
        <v>1</v>
      </c>
      <c r="H5896" s="61">
        <v>15</v>
      </c>
      <c r="I5896" s="61">
        <v>55.129989999999999</v>
      </c>
    </row>
    <row r="5897" spans="1:9" s="71" customFormat="1" ht="24" hidden="1" customHeight="1" outlineLevel="1" x14ac:dyDescent="0.25">
      <c r="A5897" s="74">
        <v>1079</v>
      </c>
      <c r="B5897" s="45" t="s">
        <v>664</v>
      </c>
      <c r="C5897" s="60" t="s">
        <v>5472</v>
      </c>
      <c r="D5897" s="60"/>
      <c r="E5897" s="74">
        <v>2023</v>
      </c>
      <c r="F5897" s="74" t="s">
        <v>489</v>
      </c>
      <c r="G5897" s="61">
        <v>1</v>
      </c>
      <c r="H5897" s="61">
        <v>15</v>
      </c>
      <c r="I5897" s="61">
        <v>50.933</v>
      </c>
    </row>
    <row r="5898" spans="1:9" s="71" customFormat="1" ht="24" hidden="1" customHeight="1" outlineLevel="1" x14ac:dyDescent="0.25">
      <c r="A5898" s="74">
        <v>1109</v>
      </c>
      <c r="B5898" s="45" t="s">
        <v>664</v>
      </c>
      <c r="C5898" s="60" t="s">
        <v>5473</v>
      </c>
      <c r="D5898" s="60"/>
      <c r="E5898" s="74">
        <v>2023</v>
      </c>
      <c r="F5898" s="74" t="s">
        <v>489</v>
      </c>
      <c r="G5898" s="61">
        <v>1</v>
      </c>
      <c r="H5898" s="61">
        <v>15</v>
      </c>
      <c r="I5898" s="61">
        <v>47.066099999999999</v>
      </c>
    </row>
    <row r="5899" spans="1:9" s="71" customFormat="1" ht="24" hidden="1" customHeight="1" outlineLevel="1" x14ac:dyDescent="0.25">
      <c r="A5899" s="74">
        <v>3554</v>
      </c>
      <c r="B5899" s="45" t="s">
        <v>664</v>
      </c>
      <c r="C5899" s="60" t="s">
        <v>5474</v>
      </c>
      <c r="D5899" s="60"/>
      <c r="E5899" s="74">
        <v>2023</v>
      </c>
      <c r="F5899" s="74" t="s">
        <v>489</v>
      </c>
      <c r="G5899" s="61">
        <v>1</v>
      </c>
      <c r="H5899" s="61">
        <v>15</v>
      </c>
      <c r="I5899" s="61">
        <v>29.582899999999999</v>
      </c>
    </row>
    <row r="5900" spans="1:9" s="71" customFormat="1" ht="24" hidden="1" customHeight="1" outlineLevel="1" x14ac:dyDescent="0.25">
      <c r="A5900" s="74">
        <v>1157</v>
      </c>
      <c r="B5900" s="45" t="s">
        <v>664</v>
      </c>
      <c r="C5900" s="60" t="s">
        <v>5475</v>
      </c>
      <c r="D5900" s="60"/>
      <c r="E5900" s="74">
        <v>2023</v>
      </c>
      <c r="F5900" s="74" t="s">
        <v>489</v>
      </c>
      <c r="G5900" s="61">
        <v>1</v>
      </c>
      <c r="H5900" s="61">
        <v>15</v>
      </c>
      <c r="I5900" s="61">
        <v>51.159459999999996</v>
      </c>
    </row>
    <row r="5901" spans="1:9" s="71" customFormat="1" ht="24" hidden="1" customHeight="1" outlineLevel="1" x14ac:dyDescent="0.25">
      <c r="A5901" s="74">
        <v>965</v>
      </c>
      <c r="B5901" s="45" t="s">
        <v>664</v>
      </c>
      <c r="C5901" s="60" t="s">
        <v>5476</v>
      </c>
      <c r="D5901" s="60"/>
      <c r="E5901" s="74">
        <v>2023</v>
      </c>
      <c r="F5901" s="74" t="s">
        <v>489</v>
      </c>
      <c r="G5901" s="61">
        <v>1</v>
      </c>
      <c r="H5901" s="61">
        <v>15</v>
      </c>
      <c r="I5901" s="61">
        <v>47.357689999999998</v>
      </c>
    </row>
    <row r="5902" spans="1:9" s="71" customFormat="1" ht="24" hidden="1" customHeight="1" outlineLevel="1" x14ac:dyDescent="0.25">
      <c r="A5902" s="74">
        <v>1110</v>
      </c>
      <c r="B5902" s="45" t="s">
        <v>664</v>
      </c>
      <c r="C5902" s="60" t="s">
        <v>5477</v>
      </c>
      <c r="D5902" s="60"/>
      <c r="E5902" s="74">
        <v>2023</v>
      </c>
      <c r="F5902" s="74" t="s">
        <v>489</v>
      </c>
      <c r="G5902" s="61">
        <v>1</v>
      </c>
      <c r="H5902" s="61">
        <v>15</v>
      </c>
      <c r="I5902" s="61">
        <v>51.95758</v>
      </c>
    </row>
    <row r="5903" spans="1:9" s="71" customFormat="1" ht="24" hidden="1" customHeight="1" outlineLevel="1" x14ac:dyDescent="0.25">
      <c r="A5903" s="74">
        <v>3260</v>
      </c>
      <c r="B5903" s="45" t="s">
        <v>664</v>
      </c>
      <c r="C5903" s="60" t="s">
        <v>5478</v>
      </c>
      <c r="D5903" s="60"/>
      <c r="E5903" s="74">
        <v>2023</v>
      </c>
      <c r="F5903" s="74" t="s">
        <v>489</v>
      </c>
      <c r="G5903" s="61">
        <v>1</v>
      </c>
      <c r="H5903" s="61">
        <v>15</v>
      </c>
      <c r="I5903" s="61">
        <v>45.589169999999996</v>
      </c>
    </row>
    <row r="5904" spans="1:9" s="71" customFormat="1" ht="24" hidden="1" customHeight="1" outlineLevel="1" x14ac:dyDescent="0.25">
      <c r="A5904" s="74">
        <v>3257</v>
      </c>
      <c r="B5904" s="45" t="s">
        <v>664</v>
      </c>
      <c r="C5904" s="60" t="s">
        <v>5479</v>
      </c>
      <c r="D5904" s="60"/>
      <c r="E5904" s="74">
        <v>2023</v>
      </c>
      <c r="F5904" s="74" t="s">
        <v>489</v>
      </c>
      <c r="G5904" s="61">
        <v>1</v>
      </c>
      <c r="H5904" s="61">
        <v>15</v>
      </c>
      <c r="I5904" s="61">
        <v>50.118179999999995</v>
      </c>
    </row>
    <row r="5905" spans="1:9" s="71" customFormat="1" ht="24" hidden="1" customHeight="1" outlineLevel="1" x14ac:dyDescent="0.25">
      <c r="A5905" s="74">
        <v>591</v>
      </c>
      <c r="B5905" s="45" t="s">
        <v>664</v>
      </c>
      <c r="C5905" s="60" t="s">
        <v>5480</v>
      </c>
      <c r="D5905" s="60"/>
      <c r="E5905" s="74">
        <v>2023</v>
      </c>
      <c r="F5905" s="74" t="s">
        <v>489</v>
      </c>
      <c r="G5905" s="61">
        <v>1</v>
      </c>
      <c r="H5905" s="61">
        <v>10</v>
      </c>
      <c r="I5905" s="61">
        <v>61.001080000000002</v>
      </c>
    </row>
    <row r="5906" spans="1:9" s="71" customFormat="1" ht="24" hidden="1" customHeight="1" outlineLevel="1" x14ac:dyDescent="0.25">
      <c r="A5906" s="74">
        <v>1188</v>
      </c>
      <c r="B5906" s="45" t="s">
        <v>664</v>
      </c>
      <c r="C5906" s="60" t="s">
        <v>5481</v>
      </c>
      <c r="D5906" s="60"/>
      <c r="E5906" s="74">
        <v>2023</v>
      </c>
      <c r="F5906" s="74" t="s">
        <v>489</v>
      </c>
      <c r="G5906" s="61">
        <v>1</v>
      </c>
      <c r="H5906" s="61">
        <v>10</v>
      </c>
      <c r="I5906" s="61">
        <v>65.140199999999993</v>
      </c>
    </row>
    <row r="5907" spans="1:9" s="71" customFormat="1" ht="24" hidden="1" customHeight="1" outlineLevel="1" x14ac:dyDescent="0.25">
      <c r="A5907" s="74">
        <v>3271</v>
      </c>
      <c r="B5907" s="45" t="s">
        <v>664</v>
      </c>
      <c r="C5907" s="60" t="s">
        <v>5482</v>
      </c>
      <c r="D5907" s="60"/>
      <c r="E5907" s="74">
        <v>2023</v>
      </c>
      <c r="F5907" s="74" t="s">
        <v>489</v>
      </c>
      <c r="G5907" s="61">
        <v>1</v>
      </c>
      <c r="H5907" s="61">
        <v>15</v>
      </c>
      <c r="I5907" s="61">
        <v>59.952959999999997</v>
      </c>
    </row>
    <row r="5908" spans="1:9" s="71" customFormat="1" ht="24" hidden="1" customHeight="1" outlineLevel="1" x14ac:dyDescent="0.25">
      <c r="A5908" s="74">
        <v>1172</v>
      </c>
      <c r="B5908" s="45" t="s">
        <v>664</v>
      </c>
      <c r="C5908" s="60" t="s">
        <v>5483</v>
      </c>
      <c r="D5908" s="60"/>
      <c r="E5908" s="74">
        <v>2023</v>
      </c>
      <c r="F5908" s="74" t="s">
        <v>489</v>
      </c>
      <c r="G5908" s="61">
        <v>1</v>
      </c>
      <c r="H5908" s="61">
        <v>15</v>
      </c>
      <c r="I5908" s="61">
        <v>57.29101</v>
      </c>
    </row>
    <row r="5909" spans="1:9" s="71" customFormat="1" ht="24" hidden="1" customHeight="1" outlineLevel="1" x14ac:dyDescent="0.25">
      <c r="A5909" s="74">
        <v>922</v>
      </c>
      <c r="B5909" s="45" t="s">
        <v>664</v>
      </c>
      <c r="C5909" s="60" t="s">
        <v>5484</v>
      </c>
      <c r="D5909" s="60"/>
      <c r="E5909" s="74">
        <v>2023</v>
      </c>
      <c r="F5909" s="74" t="s">
        <v>489</v>
      </c>
      <c r="G5909" s="61">
        <v>1</v>
      </c>
      <c r="H5909" s="61">
        <v>10</v>
      </c>
      <c r="I5909" s="61">
        <v>61.794269999999997</v>
      </c>
    </row>
    <row r="5910" spans="1:9" s="71" customFormat="1" ht="24" hidden="1" customHeight="1" outlineLevel="1" x14ac:dyDescent="0.25">
      <c r="A5910" s="74">
        <v>3537</v>
      </c>
      <c r="B5910" s="45" t="s">
        <v>664</v>
      </c>
      <c r="C5910" s="60" t="s">
        <v>5485</v>
      </c>
      <c r="D5910" s="60"/>
      <c r="E5910" s="74">
        <v>2023</v>
      </c>
      <c r="F5910" s="74" t="s">
        <v>489</v>
      </c>
      <c r="G5910" s="61">
        <v>1</v>
      </c>
      <c r="H5910" s="61">
        <v>15</v>
      </c>
      <c r="I5910" s="61">
        <v>52.650269999999999</v>
      </c>
    </row>
    <row r="5911" spans="1:9" s="71" customFormat="1" ht="24" hidden="1" customHeight="1" outlineLevel="1" x14ac:dyDescent="0.25">
      <c r="A5911" s="74">
        <v>3918</v>
      </c>
      <c r="B5911" s="45" t="s">
        <v>664</v>
      </c>
      <c r="C5911" s="60" t="s">
        <v>5486</v>
      </c>
      <c r="D5911" s="60"/>
      <c r="E5911" s="74">
        <v>2023</v>
      </c>
      <c r="F5911" s="74" t="s">
        <v>489</v>
      </c>
      <c r="G5911" s="61">
        <v>1</v>
      </c>
      <c r="H5911" s="61">
        <v>10</v>
      </c>
      <c r="I5911" s="61">
        <v>59.879549999999995</v>
      </c>
    </row>
    <row r="5912" spans="1:9" s="71" customFormat="1" ht="24" hidden="1" customHeight="1" outlineLevel="1" x14ac:dyDescent="0.25">
      <c r="A5912" s="74">
        <v>4022</v>
      </c>
      <c r="B5912" s="45" t="s">
        <v>664</v>
      </c>
      <c r="C5912" s="60" t="s">
        <v>5487</v>
      </c>
      <c r="D5912" s="60"/>
      <c r="E5912" s="74">
        <v>2023</v>
      </c>
      <c r="F5912" s="74" t="s">
        <v>489</v>
      </c>
      <c r="G5912" s="61">
        <v>1</v>
      </c>
      <c r="H5912" s="61">
        <v>14.8</v>
      </c>
      <c r="I5912" s="61">
        <v>32.227560000000004</v>
      </c>
    </row>
    <row r="5913" spans="1:9" s="71" customFormat="1" ht="24" hidden="1" customHeight="1" outlineLevel="1" x14ac:dyDescent="0.25">
      <c r="A5913" s="74">
        <v>4017</v>
      </c>
      <c r="B5913" s="45" t="s">
        <v>664</v>
      </c>
      <c r="C5913" s="60" t="s">
        <v>5488</v>
      </c>
      <c r="D5913" s="60"/>
      <c r="E5913" s="74">
        <v>2023</v>
      </c>
      <c r="F5913" s="74" t="s">
        <v>489</v>
      </c>
      <c r="G5913" s="61">
        <v>1</v>
      </c>
      <c r="H5913" s="61">
        <v>14.7</v>
      </c>
      <c r="I5913" s="61">
        <v>61.52534</v>
      </c>
    </row>
    <row r="5914" spans="1:9" s="71" customFormat="1" ht="24" hidden="1" customHeight="1" outlineLevel="1" x14ac:dyDescent="0.25">
      <c r="A5914" s="74">
        <v>3205</v>
      </c>
      <c r="B5914" s="45" t="s">
        <v>664</v>
      </c>
      <c r="C5914" s="60" t="s">
        <v>5489</v>
      </c>
      <c r="D5914" s="60"/>
      <c r="E5914" s="74">
        <v>2023</v>
      </c>
      <c r="F5914" s="74" t="s">
        <v>489</v>
      </c>
      <c r="G5914" s="61">
        <v>1</v>
      </c>
      <c r="H5914" s="61">
        <v>15</v>
      </c>
      <c r="I5914" s="61">
        <v>84.362170000000006</v>
      </c>
    </row>
    <row r="5915" spans="1:9" s="71" customFormat="1" ht="24" hidden="1" customHeight="1" outlineLevel="1" x14ac:dyDescent="0.25">
      <c r="A5915" s="74">
        <v>1226</v>
      </c>
      <c r="B5915" s="45" t="s">
        <v>664</v>
      </c>
      <c r="C5915" s="60" t="s">
        <v>5490</v>
      </c>
      <c r="D5915" s="60"/>
      <c r="E5915" s="74">
        <v>2023</v>
      </c>
      <c r="F5915" s="74" t="s">
        <v>489</v>
      </c>
      <c r="G5915" s="61">
        <v>1</v>
      </c>
      <c r="H5915" s="61">
        <v>5</v>
      </c>
      <c r="I5915" s="61">
        <v>22.218170000000001</v>
      </c>
    </row>
    <row r="5916" spans="1:9" s="71" customFormat="1" ht="24" hidden="1" customHeight="1" outlineLevel="1" x14ac:dyDescent="0.25">
      <c r="A5916" s="74">
        <v>3749</v>
      </c>
      <c r="B5916" s="45" t="s">
        <v>664</v>
      </c>
      <c r="C5916" s="60" t="s">
        <v>5491</v>
      </c>
      <c r="D5916" s="60"/>
      <c r="E5916" s="74">
        <v>2023</v>
      </c>
      <c r="F5916" s="74" t="s">
        <v>489</v>
      </c>
      <c r="G5916" s="61">
        <v>1</v>
      </c>
      <c r="H5916" s="61">
        <v>15</v>
      </c>
      <c r="I5916" s="61">
        <v>51.800159999999998</v>
      </c>
    </row>
    <row r="5917" spans="1:9" s="71" customFormat="1" ht="24" hidden="1" customHeight="1" outlineLevel="1" x14ac:dyDescent="0.25">
      <c r="A5917" s="74">
        <v>3266</v>
      </c>
      <c r="B5917" s="45" t="s">
        <v>664</v>
      </c>
      <c r="C5917" s="60" t="s">
        <v>5492</v>
      </c>
      <c r="D5917" s="60"/>
      <c r="E5917" s="74">
        <v>2023</v>
      </c>
      <c r="F5917" s="74" t="s">
        <v>489</v>
      </c>
      <c r="G5917" s="61">
        <v>1</v>
      </c>
      <c r="H5917" s="61">
        <v>15</v>
      </c>
      <c r="I5917" s="61">
        <v>54.037969999999994</v>
      </c>
    </row>
    <row r="5918" spans="1:9" s="71" customFormat="1" ht="24" hidden="1" customHeight="1" outlineLevel="1" x14ac:dyDescent="0.25">
      <c r="A5918" s="74">
        <v>3256</v>
      </c>
      <c r="B5918" s="45" t="s">
        <v>664</v>
      </c>
      <c r="C5918" s="60" t="s">
        <v>5493</v>
      </c>
      <c r="D5918" s="60"/>
      <c r="E5918" s="74">
        <v>2023</v>
      </c>
      <c r="F5918" s="74" t="s">
        <v>489</v>
      </c>
      <c r="G5918" s="61">
        <v>1</v>
      </c>
      <c r="H5918" s="61">
        <v>15</v>
      </c>
      <c r="I5918" s="61">
        <v>53.505289999999995</v>
      </c>
    </row>
    <row r="5919" spans="1:9" s="71" customFormat="1" ht="24" hidden="1" customHeight="1" outlineLevel="1" x14ac:dyDescent="0.25">
      <c r="A5919" s="74">
        <v>455</v>
      </c>
      <c r="B5919" s="45" t="s">
        <v>664</v>
      </c>
      <c r="C5919" s="60" t="s">
        <v>5494</v>
      </c>
      <c r="D5919" s="60"/>
      <c r="E5919" s="74">
        <v>2023</v>
      </c>
      <c r="F5919" s="74" t="s">
        <v>489</v>
      </c>
      <c r="G5919" s="61">
        <v>1</v>
      </c>
      <c r="H5919" s="61">
        <v>11.5</v>
      </c>
      <c r="I5919" s="61">
        <v>51.145179999999996</v>
      </c>
    </row>
    <row r="5920" spans="1:9" s="71" customFormat="1" ht="24" hidden="1" customHeight="1" outlineLevel="1" x14ac:dyDescent="0.25">
      <c r="A5920" s="74">
        <v>711</v>
      </c>
      <c r="B5920" s="45" t="s">
        <v>664</v>
      </c>
      <c r="C5920" s="60" t="s">
        <v>5495</v>
      </c>
      <c r="D5920" s="60"/>
      <c r="E5920" s="74">
        <v>2023</v>
      </c>
      <c r="F5920" s="74" t="s">
        <v>489</v>
      </c>
      <c r="G5920" s="61">
        <v>1</v>
      </c>
      <c r="H5920" s="61">
        <v>10</v>
      </c>
      <c r="I5920" s="61">
        <v>104.22786000000001</v>
      </c>
    </row>
    <row r="5921" spans="1:9" s="71" customFormat="1" ht="24" hidden="1" customHeight="1" outlineLevel="1" x14ac:dyDescent="0.25">
      <c r="A5921" s="74">
        <v>3203</v>
      </c>
      <c r="B5921" s="45" t="s">
        <v>664</v>
      </c>
      <c r="C5921" s="60" t="s">
        <v>5496</v>
      </c>
      <c r="D5921" s="60"/>
      <c r="E5921" s="74">
        <v>2023</v>
      </c>
      <c r="F5921" s="74" t="s">
        <v>489</v>
      </c>
      <c r="G5921" s="61">
        <v>1</v>
      </c>
      <c r="H5921" s="61">
        <v>7.5</v>
      </c>
      <c r="I5921" s="61">
        <v>55.363</v>
      </c>
    </row>
    <row r="5922" spans="1:9" s="71" customFormat="1" ht="24" hidden="1" customHeight="1" outlineLevel="1" x14ac:dyDescent="0.25">
      <c r="A5922" s="74">
        <v>4030</v>
      </c>
      <c r="B5922" s="45" t="s">
        <v>664</v>
      </c>
      <c r="C5922" s="60" t="s">
        <v>5497</v>
      </c>
      <c r="D5922" s="60"/>
      <c r="E5922" s="74">
        <v>2023</v>
      </c>
      <c r="F5922" s="74" t="s">
        <v>489</v>
      </c>
      <c r="G5922" s="61">
        <v>1</v>
      </c>
      <c r="H5922" s="61">
        <v>30</v>
      </c>
      <c r="I5922" s="61">
        <v>53.08502</v>
      </c>
    </row>
    <row r="5923" spans="1:9" s="71" customFormat="1" ht="24" hidden="1" customHeight="1" outlineLevel="1" x14ac:dyDescent="0.25">
      <c r="A5923" s="74">
        <v>3275</v>
      </c>
      <c r="B5923" s="45" t="s">
        <v>664</v>
      </c>
      <c r="C5923" s="60" t="s">
        <v>5498</v>
      </c>
      <c r="D5923" s="60"/>
      <c r="E5923" s="74">
        <v>2023</v>
      </c>
      <c r="F5923" s="74" t="s">
        <v>489</v>
      </c>
      <c r="G5923" s="61">
        <v>1</v>
      </c>
      <c r="H5923" s="61">
        <v>15</v>
      </c>
      <c r="I5923" s="61">
        <v>48.268039999999999</v>
      </c>
    </row>
    <row r="5924" spans="1:9" s="71" customFormat="1" ht="24" hidden="1" customHeight="1" outlineLevel="1" x14ac:dyDescent="0.25">
      <c r="A5924" s="74">
        <v>3279</v>
      </c>
      <c r="B5924" s="45" t="s">
        <v>664</v>
      </c>
      <c r="C5924" s="60" t="s">
        <v>5499</v>
      </c>
      <c r="D5924" s="60"/>
      <c r="E5924" s="74">
        <v>2023</v>
      </c>
      <c r="F5924" s="74" t="s">
        <v>489</v>
      </c>
      <c r="G5924" s="61">
        <v>1</v>
      </c>
      <c r="H5924" s="61">
        <v>15</v>
      </c>
      <c r="I5924" s="61">
        <v>63.828350000000007</v>
      </c>
    </row>
    <row r="5925" spans="1:9" s="71" customFormat="1" ht="24" hidden="1" customHeight="1" outlineLevel="1" x14ac:dyDescent="0.25">
      <c r="A5925" s="74">
        <v>336</v>
      </c>
      <c r="B5925" s="45" t="s">
        <v>664</v>
      </c>
      <c r="C5925" s="60" t="s">
        <v>5500</v>
      </c>
      <c r="D5925" s="60"/>
      <c r="E5925" s="74">
        <v>2023</v>
      </c>
      <c r="F5925" s="74" t="s">
        <v>489</v>
      </c>
      <c r="G5925" s="61">
        <v>1</v>
      </c>
      <c r="H5925" s="61">
        <v>15</v>
      </c>
      <c r="I5925" s="61">
        <v>47.794049999999999</v>
      </c>
    </row>
    <row r="5926" spans="1:9" s="71" customFormat="1" ht="24" hidden="1" customHeight="1" outlineLevel="1" x14ac:dyDescent="0.25">
      <c r="A5926" s="74">
        <v>932</v>
      </c>
      <c r="B5926" s="45" t="s">
        <v>664</v>
      </c>
      <c r="C5926" s="60" t="s">
        <v>5501</v>
      </c>
      <c r="D5926" s="60"/>
      <c r="E5926" s="74">
        <v>2023</v>
      </c>
      <c r="F5926" s="74" t="s">
        <v>489</v>
      </c>
      <c r="G5926" s="61">
        <v>1</v>
      </c>
      <c r="H5926" s="61">
        <v>10</v>
      </c>
      <c r="I5926" s="61">
        <v>63.960890000000006</v>
      </c>
    </row>
    <row r="5927" spans="1:9" s="71" customFormat="1" ht="24" hidden="1" customHeight="1" outlineLevel="1" x14ac:dyDescent="0.25">
      <c r="A5927" s="74">
        <v>597</v>
      </c>
      <c r="B5927" s="45" t="s">
        <v>664</v>
      </c>
      <c r="C5927" s="60" t="s">
        <v>5502</v>
      </c>
      <c r="D5927" s="60"/>
      <c r="E5927" s="74">
        <v>2023</v>
      </c>
      <c r="F5927" s="74" t="s">
        <v>489</v>
      </c>
      <c r="G5927" s="61">
        <v>1</v>
      </c>
      <c r="H5927" s="61">
        <v>15</v>
      </c>
      <c r="I5927" s="61">
        <v>58.227880000000006</v>
      </c>
    </row>
    <row r="5928" spans="1:9" s="71" customFormat="1" ht="24" hidden="1" customHeight="1" outlineLevel="1" x14ac:dyDescent="0.25">
      <c r="A5928" s="74">
        <v>1120</v>
      </c>
      <c r="B5928" s="45" t="s">
        <v>664</v>
      </c>
      <c r="C5928" s="60" t="s">
        <v>5503</v>
      </c>
      <c r="D5928" s="60"/>
      <c r="E5928" s="74">
        <v>2023</v>
      </c>
      <c r="F5928" s="74" t="s">
        <v>489</v>
      </c>
      <c r="G5928" s="61">
        <v>1</v>
      </c>
      <c r="H5928" s="61">
        <v>15</v>
      </c>
      <c r="I5928" s="61">
        <v>58.881860000000003</v>
      </c>
    </row>
    <row r="5929" spans="1:9" s="71" customFormat="1" ht="24" hidden="1" customHeight="1" outlineLevel="1" x14ac:dyDescent="0.25">
      <c r="A5929" s="74">
        <v>4053</v>
      </c>
      <c r="B5929" s="45" t="s">
        <v>664</v>
      </c>
      <c r="C5929" s="60" t="s">
        <v>5504</v>
      </c>
      <c r="D5929" s="60"/>
      <c r="E5929" s="74">
        <v>2023</v>
      </c>
      <c r="F5929" s="74" t="s">
        <v>489</v>
      </c>
      <c r="G5929" s="61">
        <v>1</v>
      </c>
      <c r="H5929" s="61">
        <v>15</v>
      </c>
      <c r="I5929" s="61">
        <v>52.849309999999996</v>
      </c>
    </row>
    <row r="5930" spans="1:9" s="71" customFormat="1" ht="24" hidden="1" customHeight="1" outlineLevel="1" x14ac:dyDescent="0.25">
      <c r="A5930" s="74">
        <v>592</v>
      </c>
      <c r="B5930" s="45" t="s">
        <v>664</v>
      </c>
      <c r="C5930" s="60" t="s">
        <v>5505</v>
      </c>
      <c r="D5930" s="60"/>
      <c r="E5930" s="74">
        <v>2023</v>
      </c>
      <c r="F5930" s="74" t="s">
        <v>489</v>
      </c>
      <c r="G5930" s="61">
        <v>1</v>
      </c>
      <c r="H5930" s="61">
        <v>10</v>
      </c>
      <c r="I5930" s="61">
        <v>105.99287</v>
      </c>
    </row>
    <row r="5931" spans="1:9" s="71" customFormat="1" ht="24" hidden="1" customHeight="1" outlineLevel="1" x14ac:dyDescent="0.25">
      <c r="A5931" s="74">
        <v>3227</v>
      </c>
      <c r="B5931" s="45" t="s">
        <v>664</v>
      </c>
      <c r="C5931" s="60" t="s">
        <v>5506</v>
      </c>
      <c r="D5931" s="60"/>
      <c r="E5931" s="74">
        <v>2023</v>
      </c>
      <c r="F5931" s="74" t="s">
        <v>489</v>
      </c>
      <c r="G5931" s="61">
        <v>1</v>
      </c>
      <c r="H5931" s="61">
        <v>15</v>
      </c>
      <c r="I5931" s="61">
        <v>42.108199999999997</v>
      </c>
    </row>
    <row r="5932" spans="1:9" s="71" customFormat="1" ht="24" hidden="1" customHeight="1" outlineLevel="1" x14ac:dyDescent="0.25">
      <c r="A5932" s="74">
        <v>944</v>
      </c>
      <c r="B5932" s="45" t="s">
        <v>664</v>
      </c>
      <c r="C5932" s="60" t="s">
        <v>5507</v>
      </c>
      <c r="D5932" s="60"/>
      <c r="E5932" s="74">
        <v>2023</v>
      </c>
      <c r="F5932" s="74" t="s">
        <v>489</v>
      </c>
      <c r="G5932" s="61">
        <v>1</v>
      </c>
      <c r="H5932" s="61">
        <v>10</v>
      </c>
      <c r="I5932" s="61">
        <v>94.834580000000003</v>
      </c>
    </row>
    <row r="5933" spans="1:9" s="71" customFormat="1" ht="24" hidden="1" customHeight="1" outlineLevel="1" x14ac:dyDescent="0.25">
      <c r="A5933" s="74">
        <v>570</v>
      </c>
      <c r="B5933" s="45" t="s">
        <v>664</v>
      </c>
      <c r="C5933" s="60" t="s">
        <v>5508</v>
      </c>
      <c r="D5933" s="60"/>
      <c r="E5933" s="74">
        <v>2023</v>
      </c>
      <c r="F5933" s="74" t="s">
        <v>489</v>
      </c>
      <c r="G5933" s="61">
        <v>1</v>
      </c>
      <c r="H5933" s="61">
        <v>11.5</v>
      </c>
      <c r="I5933" s="61">
        <v>104.55237000000001</v>
      </c>
    </row>
    <row r="5934" spans="1:9" s="71" customFormat="1" ht="24" hidden="1" customHeight="1" outlineLevel="1" x14ac:dyDescent="0.25">
      <c r="A5934" s="74">
        <v>469</v>
      </c>
      <c r="B5934" s="45" t="s">
        <v>664</v>
      </c>
      <c r="C5934" s="60" t="s">
        <v>5509</v>
      </c>
      <c r="D5934" s="60"/>
      <c r="E5934" s="74">
        <v>2023</v>
      </c>
      <c r="F5934" s="74" t="s">
        <v>489</v>
      </c>
      <c r="G5934" s="61">
        <v>1</v>
      </c>
      <c r="H5934" s="61">
        <v>11.5</v>
      </c>
      <c r="I5934" s="61">
        <v>56.008670000000002</v>
      </c>
    </row>
    <row r="5935" spans="1:9" s="71" customFormat="1" ht="24" hidden="1" customHeight="1" outlineLevel="1" x14ac:dyDescent="0.25">
      <c r="A5935" s="74">
        <v>3289</v>
      </c>
      <c r="B5935" s="45" t="s">
        <v>664</v>
      </c>
      <c r="C5935" s="60" t="s">
        <v>5510</v>
      </c>
      <c r="D5935" s="60"/>
      <c r="E5935" s="74">
        <v>2023</v>
      </c>
      <c r="F5935" s="74" t="s">
        <v>489</v>
      </c>
      <c r="G5935" s="61">
        <v>1</v>
      </c>
      <c r="H5935" s="61">
        <v>15</v>
      </c>
      <c r="I5935" s="61">
        <v>52.053540000000005</v>
      </c>
    </row>
    <row r="5936" spans="1:9" s="71" customFormat="1" ht="24" hidden="1" customHeight="1" outlineLevel="1" x14ac:dyDescent="0.25">
      <c r="A5936" s="74">
        <v>4037</v>
      </c>
      <c r="B5936" s="45" t="s">
        <v>664</v>
      </c>
      <c r="C5936" s="60" t="s">
        <v>5511</v>
      </c>
      <c r="D5936" s="60"/>
      <c r="E5936" s="74">
        <v>2023</v>
      </c>
      <c r="F5936" s="74" t="s">
        <v>489</v>
      </c>
      <c r="G5936" s="61">
        <v>1</v>
      </c>
      <c r="H5936" s="61">
        <v>15</v>
      </c>
      <c r="I5936" s="61">
        <v>52.02272</v>
      </c>
    </row>
    <row r="5937" spans="1:9" s="71" customFormat="1" ht="24" hidden="1" customHeight="1" outlineLevel="1" x14ac:dyDescent="0.25">
      <c r="A5937" s="74">
        <v>2830</v>
      </c>
      <c r="B5937" s="45" t="s">
        <v>664</v>
      </c>
      <c r="C5937" s="60" t="s">
        <v>5512</v>
      </c>
      <c r="D5937" s="60"/>
      <c r="E5937" s="74">
        <v>2023</v>
      </c>
      <c r="F5937" s="74" t="s">
        <v>489</v>
      </c>
      <c r="G5937" s="61">
        <v>1</v>
      </c>
      <c r="H5937" s="61">
        <v>15</v>
      </c>
      <c r="I5937" s="61">
        <v>102.60774000000001</v>
      </c>
    </row>
    <row r="5938" spans="1:9" s="71" customFormat="1" ht="24" hidden="1" customHeight="1" outlineLevel="1" x14ac:dyDescent="0.25">
      <c r="A5938" s="74">
        <v>775</v>
      </c>
      <c r="B5938" s="45" t="s">
        <v>664</v>
      </c>
      <c r="C5938" s="60" t="s">
        <v>5513</v>
      </c>
      <c r="D5938" s="60"/>
      <c r="E5938" s="74">
        <v>2023</v>
      </c>
      <c r="F5938" s="74" t="s">
        <v>489</v>
      </c>
      <c r="G5938" s="61">
        <v>1</v>
      </c>
      <c r="H5938" s="61">
        <v>4</v>
      </c>
      <c r="I5938" s="61">
        <v>115.85638</v>
      </c>
    </row>
    <row r="5939" spans="1:9" s="71" customFormat="1" ht="24" hidden="1" customHeight="1" outlineLevel="1" x14ac:dyDescent="0.25">
      <c r="A5939" s="74">
        <v>699</v>
      </c>
      <c r="B5939" s="45" t="s">
        <v>664</v>
      </c>
      <c r="C5939" s="60" t="s">
        <v>5514</v>
      </c>
      <c r="D5939" s="60"/>
      <c r="E5939" s="74">
        <v>2023</v>
      </c>
      <c r="F5939" s="74" t="s">
        <v>489</v>
      </c>
      <c r="G5939" s="61">
        <v>1</v>
      </c>
      <c r="H5939" s="61">
        <v>15</v>
      </c>
      <c r="I5939" s="61">
        <v>49.493139999999997</v>
      </c>
    </row>
    <row r="5940" spans="1:9" s="71" customFormat="1" ht="24" hidden="1" customHeight="1" outlineLevel="1" x14ac:dyDescent="0.25">
      <c r="A5940" s="74">
        <v>1162</v>
      </c>
      <c r="B5940" s="45" t="s">
        <v>664</v>
      </c>
      <c r="C5940" s="60" t="s">
        <v>5515</v>
      </c>
      <c r="D5940" s="60"/>
      <c r="E5940" s="74">
        <v>2023</v>
      </c>
      <c r="F5940" s="74" t="s">
        <v>489</v>
      </c>
      <c r="G5940" s="61">
        <v>1</v>
      </c>
      <c r="H5940" s="61">
        <v>15</v>
      </c>
      <c r="I5940" s="61">
        <v>49.675190000000001</v>
      </c>
    </row>
    <row r="5941" spans="1:9" s="71" customFormat="1" ht="24" hidden="1" customHeight="1" outlineLevel="1" x14ac:dyDescent="0.25">
      <c r="A5941" s="74">
        <v>1091</v>
      </c>
      <c r="B5941" s="45" t="s">
        <v>664</v>
      </c>
      <c r="C5941" s="60" t="s">
        <v>5516</v>
      </c>
      <c r="D5941" s="60"/>
      <c r="E5941" s="74">
        <v>2023</v>
      </c>
      <c r="F5941" s="74" t="s">
        <v>489</v>
      </c>
      <c r="G5941" s="61">
        <v>1</v>
      </c>
      <c r="H5941" s="61">
        <v>15</v>
      </c>
      <c r="I5941" s="61">
        <v>71.157640000000001</v>
      </c>
    </row>
    <row r="5942" spans="1:9" s="71" customFormat="1" ht="24" hidden="1" customHeight="1" outlineLevel="1" x14ac:dyDescent="0.25">
      <c r="A5942" s="74">
        <v>794</v>
      </c>
      <c r="B5942" s="45" t="s">
        <v>664</v>
      </c>
      <c r="C5942" s="60" t="s">
        <v>5517</v>
      </c>
      <c r="D5942" s="60"/>
      <c r="E5942" s="74">
        <v>2023</v>
      </c>
      <c r="F5942" s="74" t="s">
        <v>489</v>
      </c>
      <c r="G5942" s="61">
        <v>1</v>
      </c>
      <c r="H5942" s="61">
        <v>15</v>
      </c>
      <c r="I5942" s="61">
        <v>50.639220000000002</v>
      </c>
    </row>
    <row r="5943" spans="1:9" s="71" customFormat="1" ht="24" hidden="1" customHeight="1" outlineLevel="1" x14ac:dyDescent="0.25">
      <c r="A5943" s="74">
        <v>4018</v>
      </c>
      <c r="B5943" s="45" t="s">
        <v>664</v>
      </c>
      <c r="C5943" s="60" t="s">
        <v>5518</v>
      </c>
      <c r="D5943" s="60"/>
      <c r="E5943" s="74">
        <v>2023</v>
      </c>
      <c r="F5943" s="74" t="s">
        <v>489</v>
      </c>
      <c r="G5943" s="61">
        <v>1</v>
      </c>
      <c r="H5943" s="61">
        <v>10</v>
      </c>
      <c r="I5943" s="61">
        <v>26.873370000000001</v>
      </c>
    </row>
    <row r="5944" spans="1:9" s="71" customFormat="1" ht="24" hidden="1" customHeight="1" outlineLevel="1" x14ac:dyDescent="0.25">
      <c r="A5944" s="74">
        <v>432</v>
      </c>
      <c r="B5944" s="45" t="s">
        <v>664</v>
      </c>
      <c r="C5944" s="60" t="s">
        <v>5519</v>
      </c>
      <c r="D5944" s="60"/>
      <c r="E5944" s="74">
        <v>2023</v>
      </c>
      <c r="F5944" s="74" t="s">
        <v>489</v>
      </c>
      <c r="G5944" s="61">
        <v>1</v>
      </c>
      <c r="H5944" s="61">
        <v>10</v>
      </c>
      <c r="I5944" s="61">
        <v>47.179899999999996</v>
      </c>
    </row>
    <row r="5945" spans="1:9" s="71" customFormat="1" ht="24" hidden="1" customHeight="1" outlineLevel="1" x14ac:dyDescent="0.25">
      <c r="A5945" s="74">
        <v>1311</v>
      </c>
      <c r="B5945" s="45" t="s">
        <v>664</v>
      </c>
      <c r="C5945" s="60" t="s">
        <v>5520</v>
      </c>
      <c r="D5945" s="60"/>
      <c r="E5945" s="74">
        <v>2023</v>
      </c>
      <c r="F5945" s="74" t="s">
        <v>489</v>
      </c>
      <c r="G5945" s="61">
        <v>1</v>
      </c>
      <c r="H5945" s="61">
        <v>5</v>
      </c>
      <c r="I5945" s="61">
        <v>47.570059999999998</v>
      </c>
    </row>
    <row r="5946" spans="1:9" s="71" customFormat="1" ht="24" hidden="1" customHeight="1" outlineLevel="1" x14ac:dyDescent="0.25">
      <c r="A5946" s="74">
        <v>1372</v>
      </c>
      <c r="B5946" s="45" t="s">
        <v>664</v>
      </c>
      <c r="C5946" s="60" t="s">
        <v>5521</v>
      </c>
      <c r="D5946" s="60"/>
      <c r="E5946" s="74">
        <v>2023</v>
      </c>
      <c r="F5946" s="74" t="s">
        <v>489</v>
      </c>
      <c r="G5946" s="61">
        <v>1</v>
      </c>
      <c r="H5946" s="61">
        <v>5</v>
      </c>
      <c r="I5946" s="61">
        <v>48.770510000000002</v>
      </c>
    </row>
    <row r="5947" spans="1:9" s="71" customFormat="1" ht="24" hidden="1" customHeight="1" outlineLevel="1" x14ac:dyDescent="0.25">
      <c r="A5947" s="74">
        <v>3290</v>
      </c>
      <c r="B5947" s="45" t="s">
        <v>664</v>
      </c>
      <c r="C5947" s="60" t="s">
        <v>5522</v>
      </c>
      <c r="D5947" s="60"/>
      <c r="E5947" s="74">
        <v>2023</v>
      </c>
      <c r="F5947" s="74" t="s">
        <v>489</v>
      </c>
      <c r="G5947" s="61">
        <v>1</v>
      </c>
      <c r="H5947" s="61">
        <v>15</v>
      </c>
      <c r="I5947" s="61">
        <v>58.880830000000003</v>
      </c>
    </row>
    <row r="5948" spans="1:9" s="71" customFormat="1" ht="24" hidden="1" customHeight="1" outlineLevel="1" x14ac:dyDescent="0.25">
      <c r="A5948" s="74">
        <v>4038</v>
      </c>
      <c r="B5948" s="45" t="s">
        <v>664</v>
      </c>
      <c r="C5948" s="60" t="s">
        <v>5523</v>
      </c>
      <c r="D5948" s="60"/>
      <c r="E5948" s="74">
        <v>2023</v>
      </c>
      <c r="F5948" s="74" t="s">
        <v>489</v>
      </c>
      <c r="G5948" s="61">
        <v>1</v>
      </c>
      <c r="H5948" s="61">
        <v>15</v>
      </c>
      <c r="I5948" s="61">
        <v>51.080130000000004</v>
      </c>
    </row>
    <row r="5949" spans="1:9" s="71" customFormat="1" ht="24" hidden="1" customHeight="1" outlineLevel="1" x14ac:dyDescent="0.25">
      <c r="A5949" s="74">
        <v>3292</v>
      </c>
      <c r="B5949" s="45" t="s">
        <v>664</v>
      </c>
      <c r="C5949" s="60" t="s">
        <v>5524</v>
      </c>
      <c r="D5949" s="60"/>
      <c r="E5949" s="74">
        <v>2023</v>
      </c>
      <c r="F5949" s="74" t="s">
        <v>489</v>
      </c>
      <c r="G5949" s="61">
        <v>1</v>
      </c>
      <c r="H5949" s="61">
        <v>15</v>
      </c>
      <c r="I5949" s="61">
        <v>67.146600000000007</v>
      </c>
    </row>
    <row r="5950" spans="1:9" s="71" customFormat="1" ht="24" hidden="1" customHeight="1" outlineLevel="1" x14ac:dyDescent="0.25">
      <c r="A5950" s="74">
        <v>4031</v>
      </c>
      <c r="B5950" s="45" t="s">
        <v>664</v>
      </c>
      <c r="C5950" s="60" t="s">
        <v>5525</v>
      </c>
      <c r="D5950" s="60"/>
      <c r="E5950" s="74">
        <v>2023</v>
      </c>
      <c r="F5950" s="74" t="s">
        <v>489</v>
      </c>
      <c r="G5950" s="61">
        <v>1</v>
      </c>
      <c r="H5950" s="61">
        <v>20</v>
      </c>
      <c r="I5950" s="61">
        <v>53.691719999999997</v>
      </c>
    </row>
    <row r="5951" spans="1:9" s="71" customFormat="1" ht="24" hidden="1" customHeight="1" outlineLevel="1" x14ac:dyDescent="0.25">
      <c r="A5951" s="74">
        <v>2844</v>
      </c>
      <c r="B5951" s="45" t="s">
        <v>664</v>
      </c>
      <c r="C5951" s="60" t="s">
        <v>5526</v>
      </c>
      <c r="D5951" s="60"/>
      <c r="E5951" s="74">
        <v>2023</v>
      </c>
      <c r="F5951" s="74" t="s">
        <v>489</v>
      </c>
      <c r="G5951" s="61">
        <v>1</v>
      </c>
      <c r="H5951" s="61">
        <v>15</v>
      </c>
      <c r="I5951" s="61">
        <v>60.517880000000005</v>
      </c>
    </row>
    <row r="5952" spans="1:9" s="71" customFormat="1" ht="24" hidden="1" customHeight="1" outlineLevel="1" x14ac:dyDescent="0.25">
      <c r="A5952" s="74">
        <v>1601</v>
      </c>
      <c r="B5952" s="45" t="s">
        <v>664</v>
      </c>
      <c r="C5952" s="60" t="s">
        <v>5527</v>
      </c>
      <c r="D5952" s="60"/>
      <c r="E5952" s="74">
        <v>2023</v>
      </c>
      <c r="F5952" s="74" t="s">
        <v>489</v>
      </c>
      <c r="G5952" s="61">
        <v>1</v>
      </c>
      <c r="H5952" s="61">
        <v>15</v>
      </c>
      <c r="I5952" s="61">
        <v>69.962050000000005</v>
      </c>
    </row>
    <row r="5953" spans="1:9" s="71" customFormat="1" ht="24" hidden="1" customHeight="1" outlineLevel="1" x14ac:dyDescent="0.25">
      <c r="A5953" s="74">
        <v>3105</v>
      </c>
      <c r="B5953" s="45" t="s">
        <v>664</v>
      </c>
      <c r="C5953" s="60" t="s">
        <v>5528</v>
      </c>
      <c r="D5953" s="60"/>
      <c r="E5953" s="74">
        <v>2023</v>
      </c>
      <c r="F5953" s="74" t="s">
        <v>489</v>
      </c>
      <c r="G5953" s="61">
        <v>1</v>
      </c>
      <c r="H5953" s="61">
        <v>35</v>
      </c>
      <c r="I5953" s="61">
        <v>48.019170000000003</v>
      </c>
    </row>
    <row r="5954" spans="1:9" s="71" customFormat="1" ht="24" hidden="1" customHeight="1" outlineLevel="1" x14ac:dyDescent="0.25">
      <c r="A5954" s="74">
        <v>3193</v>
      </c>
      <c r="B5954" s="45" t="s">
        <v>664</v>
      </c>
      <c r="C5954" s="60" t="s">
        <v>5529</v>
      </c>
      <c r="D5954" s="60"/>
      <c r="E5954" s="74">
        <v>2023</v>
      </c>
      <c r="F5954" s="74" t="s">
        <v>489</v>
      </c>
      <c r="G5954" s="61">
        <v>1</v>
      </c>
      <c r="H5954" s="61">
        <v>15</v>
      </c>
      <c r="I5954" s="61">
        <v>93.012510000000006</v>
      </c>
    </row>
    <row r="5955" spans="1:9" s="71" customFormat="1" ht="24" hidden="1" customHeight="1" outlineLevel="1" x14ac:dyDescent="0.25">
      <c r="A5955" s="74">
        <v>3251</v>
      </c>
      <c r="B5955" s="45" t="s">
        <v>664</v>
      </c>
      <c r="C5955" s="60" t="s">
        <v>5530</v>
      </c>
      <c r="D5955" s="60"/>
      <c r="E5955" s="74">
        <v>2023</v>
      </c>
      <c r="F5955" s="74" t="s">
        <v>489</v>
      </c>
      <c r="G5955" s="61">
        <v>1</v>
      </c>
      <c r="H5955" s="61">
        <v>15</v>
      </c>
      <c r="I5955" s="61">
        <v>51.07208</v>
      </c>
    </row>
    <row r="5956" spans="1:9" s="71" customFormat="1" ht="24" hidden="1" customHeight="1" outlineLevel="1" x14ac:dyDescent="0.25">
      <c r="A5956" s="74">
        <v>990</v>
      </c>
      <c r="B5956" s="45" t="s">
        <v>664</v>
      </c>
      <c r="C5956" s="60" t="s">
        <v>5531</v>
      </c>
      <c r="D5956" s="60"/>
      <c r="E5956" s="74">
        <v>2023</v>
      </c>
      <c r="F5956" s="74" t="s">
        <v>489</v>
      </c>
      <c r="G5956" s="61">
        <v>1</v>
      </c>
      <c r="H5956" s="61">
        <v>10</v>
      </c>
      <c r="I5956" s="61">
        <v>97.319450000000003</v>
      </c>
    </row>
    <row r="5957" spans="1:9" s="71" customFormat="1" ht="24" hidden="1" customHeight="1" outlineLevel="1" x14ac:dyDescent="0.25">
      <c r="A5957" s="74">
        <v>726</v>
      </c>
      <c r="B5957" s="45" t="s">
        <v>664</v>
      </c>
      <c r="C5957" s="60" t="s">
        <v>5532</v>
      </c>
      <c r="D5957" s="60"/>
      <c r="E5957" s="74">
        <v>2023</v>
      </c>
      <c r="F5957" s="74" t="s">
        <v>489</v>
      </c>
      <c r="G5957" s="61">
        <v>1</v>
      </c>
      <c r="H5957" s="61">
        <v>10</v>
      </c>
      <c r="I5957" s="61">
        <v>105.66169000000001</v>
      </c>
    </row>
    <row r="5958" spans="1:9" s="71" customFormat="1" ht="24" hidden="1" customHeight="1" outlineLevel="1" x14ac:dyDescent="0.25">
      <c r="A5958" s="74">
        <v>2863</v>
      </c>
      <c r="B5958" s="45" t="s">
        <v>664</v>
      </c>
      <c r="C5958" s="60" t="s">
        <v>5533</v>
      </c>
      <c r="D5958" s="60"/>
      <c r="E5958" s="74">
        <v>2023</v>
      </c>
      <c r="F5958" s="74" t="s">
        <v>489</v>
      </c>
      <c r="G5958" s="61">
        <v>1</v>
      </c>
      <c r="H5958" s="61">
        <v>15</v>
      </c>
      <c r="I5958" s="61">
        <v>51.865859999999998</v>
      </c>
    </row>
    <row r="5959" spans="1:9" s="71" customFormat="1" ht="24" hidden="1" customHeight="1" outlineLevel="1" x14ac:dyDescent="0.25">
      <c r="A5959" s="74">
        <v>3303</v>
      </c>
      <c r="B5959" s="45" t="s">
        <v>664</v>
      </c>
      <c r="C5959" s="60" t="s">
        <v>5534</v>
      </c>
      <c r="D5959" s="60"/>
      <c r="E5959" s="74">
        <v>2023</v>
      </c>
      <c r="F5959" s="74" t="s">
        <v>489</v>
      </c>
      <c r="G5959" s="61">
        <v>1</v>
      </c>
      <c r="H5959" s="61">
        <v>15</v>
      </c>
      <c r="I5959" s="61">
        <v>47.919509999999995</v>
      </c>
    </row>
    <row r="5960" spans="1:9" s="71" customFormat="1" ht="24" hidden="1" customHeight="1" outlineLevel="1" x14ac:dyDescent="0.25">
      <c r="A5960" s="74">
        <v>2846</v>
      </c>
      <c r="B5960" s="45" t="s">
        <v>664</v>
      </c>
      <c r="C5960" s="60" t="s">
        <v>5535</v>
      </c>
      <c r="D5960" s="60"/>
      <c r="E5960" s="74">
        <v>2023</v>
      </c>
      <c r="F5960" s="74" t="s">
        <v>489</v>
      </c>
      <c r="G5960" s="61">
        <v>1</v>
      </c>
      <c r="H5960" s="61">
        <v>15</v>
      </c>
      <c r="I5960" s="61">
        <v>49.782020000000003</v>
      </c>
    </row>
    <row r="5961" spans="1:9" s="71" customFormat="1" ht="24" hidden="1" customHeight="1" outlineLevel="1" x14ac:dyDescent="0.25">
      <c r="A5961" s="74">
        <v>1722</v>
      </c>
      <c r="B5961" s="45" t="s">
        <v>664</v>
      </c>
      <c r="C5961" s="60" t="s">
        <v>5536</v>
      </c>
      <c r="D5961" s="60"/>
      <c r="E5961" s="74">
        <v>2023</v>
      </c>
      <c r="F5961" s="74" t="s">
        <v>489</v>
      </c>
      <c r="G5961" s="61">
        <v>1</v>
      </c>
      <c r="H5961" s="61">
        <v>3</v>
      </c>
      <c r="I5961" s="61">
        <v>50.356989999999996</v>
      </c>
    </row>
    <row r="5962" spans="1:9" s="71" customFormat="1" ht="24" hidden="1" customHeight="1" outlineLevel="1" x14ac:dyDescent="0.25">
      <c r="A5962" s="74">
        <v>3306</v>
      </c>
      <c r="B5962" s="45" t="s">
        <v>664</v>
      </c>
      <c r="C5962" s="60" t="s">
        <v>5537</v>
      </c>
      <c r="D5962" s="60"/>
      <c r="E5962" s="74">
        <v>2023</v>
      </c>
      <c r="F5962" s="74" t="s">
        <v>489</v>
      </c>
      <c r="G5962" s="61">
        <v>1</v>
      </c>
      <c r="H5962" s="61">
        <v>15</v>
      </c>
      <c r="I5962" s="61">
        <v>49.916309999999996</v>
      </c>
    </row>
    <row r="5963" spans="1:9" s="71" customFormat="1" ht="24" hidden="1" customHeight="1" outlineLevel="1" x14ac:dyDescent="0.25">
      <c r="A5963" s="74">
        <v>1933</v>
      </c>
      <c r="B5963" s="45" t="s">
        <v>664</v>
      </c>
      <c r="C5963" s="60" t="s">
        <v>5538</v>
      </c>
      <c r="D5963" s="60"/>
      <c r="E5963" s="74">
        <v>2023</v>
      </c>
      <c r="F5963" s="74" t="s">
        <v>489</v>
      </c>
      <c r="G5963" s="61">
        <v>1</v>
      </c>
      <c r="H5963" s="61">
        <v>15</v>
      </c>
      <c r="I5963" s="61">
        <v>47.029000000000003</v>
      </c>
    </row>
    <row r="5964" spans="1:9" s="71" customFormat="1" ht="24" hidden="1" customHeight="1" outlineLevel="1" x14ac:dyDescent="0.25">
      <c r="A5964" s="74">
        <v>1711</v>
      </c>
      <c r="B5964" s="45" t="s">
        <v>664</v>
      </c>
      <c r="C5964" s="60" t="s">
        <v>5539</v>
      </c>
      <c r="D5964" s="60"/>
      <c r="E5964" s="74">
        <v>2023</v>
      </c>
      <c r="F5964" s="74" t="s">
        <v>489</v>
      </c>
      <c r="G5964" s="61">
        <v>1</v>
      </c>
      <c r="H5964" s="61">
        <v>15</v>
      </c>
      <c r="I5964" s="61">
        <v>46.376390000000001</v>
      </c>
    </row>
    <row r="5965" spans="1:9" s="71" customFormat="1" ht="24" hidden="1" customHeight="1" outlineLevel="1" x14ac:dyDescent="0.25">
      <c r="A5965" s="74">
        <v>1123</v>
      </c>
      <c r="B5965" s="45" t="s">
        <v>664</v>
      </c>
      <c r="C5965" s="60" t="s">
        <v>5540</v>
      </c>
      <c r="D5965" s="60"/>
      <c r="E5965" s="74">
        <v>2023</v>
      </c>
      <c r="F5965" s="74" t="s">
        <v>489</v>
      </c>
      <c r="G5965" s="61">
        <v>1</v>
      </c>
      <c r="H5965" s="61">
        <v>15</v>
      </c>
      <c r="I5965" s="61">
        <v>56.64284</v>
      </c>
    </row>
    <row r="5966" spans="1:9" s="71" customFormat="1" ht="24" hidden="1" customHeight="1" outlineLevel="1" x14ac:dyDescent="0.25">
      <c r="A5966" s="74">
        <v>814</v>
      </c>
      <c r="B5966" s="45" t="s">
        <v>664</v>
      </c>
      <c r="C5966" s="60" t="s">
        <v>5541</v>
      </c>
      <c r="D5966" s="60"/>
      <c r="E5966" s="74">
        <v>2023</v>
      </c>
      <c r="F5966" s="74" t="s">
        <v>489</v>
      </c>
      <c r="G5966" s="61">
        <v>1</v>
      </c>
      <c r="H5966" s="61">
        <v>15</v>
      </c>
      <c r="I5966" s="61">
        <v>53.18938</v>
      </c>
    </row>
    <row r="5967" spans="1:9" s="71" customFormat="1" ht="24" hidden="1" customHeight="1" outlineLevel="1" x14ac:dyDescent="0.25">
      <c r="A5967" s="74">
        <v>392</v>
      </c>
      <c r="B5967" s="45" t="s">
        <v>664</v>
      </c>
      <c r="C5967" s="60" t="s">
        <v>5542</v>
      </c>
      <c r="D5967" s="60"/>
      <c r="E5967" s="74">
        <v>2023</v>
      </c>
      <c r="F5967" s="74" t="s">
        <v>489</v>
      </c>
      <c r="G5967" s="61">
        <v>1</v>
      </c>
      <c r="H5967" s="61">
        <v>15</v>
      </c>
      <c r="I5967" s="61">
        <v>52.9681</v>
      </c>
    </row>
    <row r="5968" spans="1:9" s="71" customFormat="1" ht="24" hidden="1" customHeight="1" outlineLevel="1" x14ac:dyDescent="0.25">
      <c r="A5968" s="74">
        <v>442</v>
      </c>
      <c r="B5968" s="45" t="s">
        <v>664</v>
      </c>
      <c r="C5968" s="60" t="s">
        <v>5543</v>
      </c>
      <c r="D5968" s="60"/>
      <c r="E5968" s="74">
        <v>2023</v>
      </c>
      <c r="F5968" s="74" t="s">
        <v>489</v>
      </c>
      <c r="G5968" s="61">
        <v>1</v>
      </c>
      <c r="H5968" s="61">
        <v>15</v>
      </c>
      <c r="I5968" s="61">
        <v>66.414500000000004</v>
      </c>
    </row>
    <row r="5969" spans="1:9" s="71" customFormat="1" ht="24" hidden="1" customHeight="1" outlineLevel="1" x14ac:dyDescent="0.25">
      <c r="A5969" s="74">
        <v>698</v>
      </c>
      <c r="B5969" s="45" t="s">
        <v>664</v>
      </c>
      <c r="C5969" s="60" t="s">
        <v>5544</v>
      </c>
      <c r="D5969" s="60"/>
      <c r="E5969" s="74">
        <v>2023</v>
      </c>
      <c r="F5969" s="74" t="s">
        <v>489</v>
      </c>
      <c r="G5969" s="61">
        <v>1</v>
      </c>
      <c r="H5969" s="61">
        <v>12</v>
      </c>
      <c r="I5969" s="61">
        <v>43.418590000000002</v>
      </c>
    </row>
    <row r="5970" spans="1:9" s="71" customFormat="1" ht="24" hidden="1" customHeight="1" outlineLevel="1" x14ac:dyDescent="0.25">
      <c r="A5970" s="74">
        <v>2229</v>
      </c>
      <c r="B5970" s="45" t="s">
        <v>664</v>
      </c>
      <c r="C5970" s="60" t="s">
        <v>5545</v>
      </c>
      <c r="D5970" s="60"/>
      <c r="E5970" s="74">
        <v>2023</v>
      </c>
      <c r="F5970" s="74" t="s">
        <v>489</v>
      </c>
      <c r="G5970" s="61">
        <v>1</v>
      </c>
      <c r="H5970" s="61">
        <v>10</v>
      </c>
      <c r="I5970" s="61">
        <v>55.16057</v>
      </c>
    </row>
    <row r="5971" spans="1:9" s="71" customFormat="1" ht="24" hidden="1" customHeight="1" outlineLevel="1" x14ac:dyDescent="0.25">
      <c r="A5971" s="74">
        <v>2170</v>
      </c>
      <c r="B5971" s="45" t="s">
        <v>664</v>
      </c>
      <c r="C5971" s="60" t="s">
        <v>5546</v>
      </c>
      <c r="D5971" s="60"/>
      <c r="E5971" s="74">
        <v>2023</v>
      </c>
      <c r="F5971" s="74" t="s">
        <v>489</v>
      </c>
      <c r="G5971" s="61">
        <v>1</v>
      </c>
      <c r="H5971" s="61">
        <v>11</v>
      </c>
      <c r="I5971" s="61">
        <v>54.612279999999998</v>
      </c>
    </row>
    <row r="5972" spans="1:9" s="71" customFormat="1" ht="24" hidden="1" customHeight="1" outlineLevel="1" x14ac:dyDescent="0.25">
      <c r="A5972" s="74">
        <v>4093</v>
      </c>
      <c r="B5972" s="45" t="s">
        <v>664</v>
      </c>
      <c r="C5972" s="60" t="s">
        <v>5547</v>
      </c>
      <c r="D5972" s="60"/>
      <c r="E5972" s="74">
        <v>2023</v>
      </c>
      <c r="F5972" s="74" t="s">
        <v>489</v>
      </c>
      <c r="G5972" s="61">
        <v>1</v>
      </c>
      <c r="H5972" s="61">
        <v>45</v>
      </c>
      <c r="I5972" s="61">
        <v>68.426659999999998</v>
      </c>
    </row>
    <row r="5973" spans="1:9" s="71" customFormat="1" ht="24" hidden="1" customHeight="1" outlineLevel="1" x14ac:dyDescent="0.25">
      <c r="A5973" s="74">
        <v>4112</v>
      </c>
      <c r="B5973" s="45" t="s">
        <v>664</v>
      </c>
      <c r="C5973" s="60" t="s">
        <v>5548</v>
      </c>
      <c r="D5973" s="60"/>
      <c r="E5973" s="74">
        <v>2023</v>
      </c>
      <c r="F5973" s="74" t="s">
        <v>489</v>
      </c>
      <c r="G5973" s="61">
        <v>1</v>
      </c>
      <c r="H5973" s="61">
        <v>7.5</v>
      </c>
      <c r="I5973" s="61">
        <v>62.276850000000003</v>
      </c>
    </row>
    <row r="5974" spans="1:9" s="71" customFormat="1" ht="24" hidden="1" customHeight="1" outlineLevel="1" x14ac:dyDescent="0.25">
      <c r="A5974" s="74">
        <v>1004</v>
      </c>
      <c r="B5974" s="45" t="s">
        <v>664</v>
      </c>
      <c r="C5974" s="60" t="s">
        <v>5549</v>
      </c>
      <c r="D5974" s="60"/>
      <c r="E5974" s="74">
        <v>2023</v>
      </c>
      <c r="F5974" s="74" t="s">
        <v>489</v>
      </c>
      <c r="G5974" s="61">
        <v>1</v>
      </c>
      <c r="H5974" s="61">
        <v>15</v>
      </c>
      <c r="I5974" s="61">
        <v>71.64443</v>
      </c>
    </row>
    <row r="5975" spans="1:9" s="71" customFormat="1" ht="24" hidden="1" customHeight="1" outlineLevel="1" x14ac:dyDescent="0.25">
      <c r="A5975" s="74">
        <v>447</v>
      </c>
      <c r="B5975" s="45" t="s">
        <v>664</v>
      </c>
      <c r="C5975" s="60" t="s">
        <v>5550</v>
      </c>
      <c r="D5975" s="60"/>
      <c r="E5975" s="74">
        <v>2023</v>
      </c>
      <c r="F5975" s="74" t="s">
        <v>489</v>
      </c>
      <c r="G5975" s="61">
        <v>3</v>
      </c>
      <c r="H5975" s="61">
        <v>30</v>
      </c>
      <c r="I5975" s="61">
        <v>228.92594</v>
      </c>
    </row>
    <row r="5976" spans="1:9" s="71" customFormat="1" ht="24" hidden="1" customHeight="1" outlineLevel="1" x14ac:dyDescent="0.25">
      <c r="A5976" s="74">
        <v>2602</v>
      </c>
      <c r="B5976" s="45" t="s">
        <v>664</v>
      </c>
      <c r="C5976" s="60" t="s">
        <v>5551</v>
      </c>
      <c r="D5976" s="60"/>
      <c r="E5976" s="74">
        <v>2023</v>
      </c>
      <c r="F5976" s="74" t="s">
        <v>489</v>
      </c>
      <c r="G5976" s="61">
        <v>1</v>
      </c>
      <c r="H5976" s="61">
        <v>10</v>
      </c>
      <c r="I5976" s="61">
        <v>49.579680000000003</v>
      </c>
    </row>
    <row r="5977" spans="1:9" s="71" customFormat="1" ht="24" hidden="1" customHeight="1" outlineLevel="1" x14ac:dyDescent="0.25">
      <c r="A5977" s="74">
        <v>4136</v>
      </c>
      <c r="B5977" s="45" t="s">
        <v>664</v>
      </c>
      <c r="C5977" s="60" t="s">
        <v>5552</v>
      </c>
      <c r="D5977" s="60"/>
      <c r="E5977" s="74">
        <v>2023</v>
      </c>
      <c r="F5977" s="74" t="s">
        <v>489</v>
      </c>
      <c r="G5977" s="61">
        <v>1</v>
      </c>
      <c r="H5977" s="61">
        <v>15</v>
      </c>
      <c r="I5977" s="61">
        <v>53.401579999999996</v>
      </c>
    </row>
    <row r="5978" spans="1:9" s="71" customFormat="1" ht="24" hidden="1" customHeight="1" outlineLevel="1" x14ac:dyDescent="0.25">
      <c r="A5978" s="74">
        <v>2888</v>
      </c>
      <c r="B5978" s="45" t="s">
        <v>664</v>
      </c>
      <c r="C5978" s="60" t="s">
        <v>5553</v>
      </c>
      <c r="D5978" s="60"/>
      <c r="E5978" s="74">
        <v>2023</v>
      </c>
      <c r="F5978" s="74" t="s">
        <v>489</v>
      </c>
      <c r="G5978" s="61">
        <v>1</v>
      </c>
      <c r="H5978" s="61">
        <v>15</v>
      </c>
      <c r="I5978" s="61">
        <v>54.31344</v>
      </c>
    </row>
    <row r="5979" spans="1:9" s="71" customFormat="1" ht="24" hidden="1" customHeight="1" outlineLevel="1" x14ac:dyDescent="0.25">
      <c r="A5979" s="74">
        <v>1509</v>
      </c>
      <c r="B5979" s="45" t="s">
        <v>664</v>
      </c>
      <c r="C5979" s="60" t="s">
        <v>5554</v>
      </c>
      <c r="D5979" s="60"/>
      <c r="E5979" s="74">
        <v>2023</v>
      </c>
      <c r="F5979" s="74" t="s">
        <v>489</v>
      </c>
      <c r="G5979" s="61">
        <v>1</v>
      </c>
      <c r="H5979" s="61">
        <v>10</v>
      </c>
      <c r="I5979" s="61">
        <v>64.670529999999999</v>
      </c>
    </row>
    <row r="5980" spans="1:9" s="71" customFormat="1" ht="24" hidden="1" customHeight="1" outlineLevel="1" x14ac:dyDescent="0.25">
      <c r="A5980" s="74">
        <v>4177</v>
      </c>
      <c r="B5980" s="45" t="s">
        <v>664</v>
      </c>
      <c r="C5980" s="60" t="s">
        <v>5555</v>
      </c>
      <c r="D5980" s="60"/>
      <c r="E5980" s="74">
        <v>2023</v>
      </c>
      <c r="F5980" s="74" t="s">
        <v>489</v>
      </c>
      <c r="G5980" s="61">
        <v>1</v>
      </c>
      <c r="H5980" s="61">
        <v>7.5</v>
      </c>
      <c r="I5980" s="61">
        <v>50.110250000000001</v>
      </c>
    </row>
    <row r="5981" spans="1:9" s="71" customFormat="1" ht="24" hidden="1" customHeight="1" outlineLevel="1" x14ac:dyDescent="0.25">
      <c r="A5981" s="74">
        <v>418</v>
      </c>
      <c r="B5981" s="45" t="s">
        <v>664</v>
      </c>
      <c r="C5981" s="60" t="s">
        <v>5556</v>
      </c>
      <c r="D5981" s="60"/>
      <c r="E5981" s="74">
        <v>2023</v>
      </c>
      <c r="F5981" s="74" t="s">
        <v>489</v>
      </c>
      <c r="G5981" s="61">
        <v>1</v>
      </c>
      <c r="H5981" s="61">
        <v>15</v>
      </c>
      <c r="I5981" s="61">
        <v>82.579319999999996</v>
      </c>
    </row>
    <row r="5982" spans="1:9" s="71" customFormat="1" ht="24" hidden="1" customHeight="1" outlineLevel="1" x14ac:dyDescent="0.25">
      <c r="A5982" s="74">
        <v>3995</v>
      </c>
      <c r="B5982" s="45" t="s">
        <v>664</v>
      </c>
      <c r="C5982" s="60" t="s">
        <v>5557</v>
      </c>
      <c r="D5982" s="60"/>
      <c r="E5982" s="74">
        <v>2023</v>
      </c>
      <c r="F5982" s="74" t="s">
        <v>489</v>
      </c>
      <c r="G5982" s="61">
        <v>1</v>
      </c>
      <c r="H5982" s="61">
        <v>15</v>
      </c>
      <c r="I5982" s="61">
        <v>47.188559999999995</v>
      </c>
    </row>
    <row r="5983" spans="1:9" s="71" customFormat="1" ht="24" hidden="1" customHeight="1" outlineLevel="1" x14ac:dyDescent="0.25">
      <c r="A5983" s="74">
        <v>4032</v>
      </c>
      <c r="B5983" s="45" t="s">
        <v>664</v>
      </c>
      <c r="C5983" s="60" t="s">
        <v>520</v>
      </c>
      <c r="D5983" s="60"/>
      <c r="E5983" s="74">
        <v>2023</v>
      </c>
      <c r="F5983" s="74" t="s">
        <v>489</v>
      </c>
      <c r="G5983" s="61">
        <v>1</v>
      </c>
      <c r="H5983" s="61">
        <v>15</v>
      </c>
      <c r="I5983" s="61">
        <v>75.060299999999998</v>
      </c>
    </row>
    <row r="5984" spans="1:9" s="71" customFormat="1" ht="24" hidden="1" customHeight="1" outlineLevel="1" x14ac:dyDescent="0.25">
      <c r="A5984" s="74">
        <v>3042</v>
      </c>
      <c r="B5984" s="45" t="s">
        <v>664</v>
      </c>
      <c r="C5984" s="60" t="s">
        <v>625</v>
      </c>
      <c r="D5984" s="60"/>
      <c r="E5984" s="74">
        <v>2023</v>
      </c>
      <c r="F5984" s="74" t="s">
        <v>489</v>
      </c>
      <c r="G5984" s="61">
        <v>1</v>
      </c>
      <c r="H5984" s="61">
        <v>27</v>
      </c>
      <c r="I5984" s="61">
        <v>94.438659999999999</v>
      </c>
    </row>
    <row r="5985" spans="1:9" s="71" customFormat="1" ht="24" hidden="1" customHeight="1" outlineLevel="1" x14ac:dyDescent="0.25">
      <c r="A5985" s="74">
        <v>484</v>
      </c>
      <c r="B5985" s="45" t="s">
        <v>664</v>
      </c>
      <c r="C5985" s="60" t="s">
        <v>521</v>
      </c>
      <c r="D5985" s="60"/>
      <c r="E5985" s="74">
        <v>2023</v>
      </c>
      <c r="F5985" s="74" t="s">
        <v>489</v>
      </c>
      <c r="G5985" s="61">
        <v>1</v>
      </c>
      <c r="H5985" s="61">
        <v>15</v>
      </c>
      <c r="I5985" s="61">
        <v>86.377650000000003</v>
      </c>
    </row>
    <row r="5986" spans="1:9" s="71" customFormat="1" ht="24" hidden="1" customHeight="1" outlineLevel="1" x14ac:dyDescent="0.25">
      <c r="A5986" s="74">
        <v>4025</v>
      </c>
      <c r="B5986" s="45" t="s">
        <v>664</v>
      </c>
      <c r="C5986" s="60" t="s">
        <v>568</v>
      </c>
      <c r="D5986" s="60"/>
      <c r="E5986" s="74">
        <v>2023</v>
      </c>
      <c r="F5986" s="74" t="s">
        <v>489</v>
      </c>
      <c r="G5986" s="61">
        <v>5</v>
      </c>
      <c r="H5986" s="61">
        <v>50</v>
      </c>
      <c r="I5986" s="61">
        <v>434.10494</v>
      </c>
    </row>
    <row r="5987" spans="1:9" s="71" customFormat="1" ht="24" hidden="1" customHeight="1" outlineLevel="1" x14ac:dyDescent="0.25">
      <c r="A5987" s="74">
        <v>2825</v>
      </c>
      <c r="B5987" s="45" t="s">
        <v>664</v>
      </c>
      <c r="C5987" s="60" t="s">
        <v>5558</v>
      </c>
      <c r="D5987" s="60"/>
      <c r="E5987" s="74">
        <v>2023</v>
      </c>
      <c r="F5987" s="74" t="s">
        <v>489</v>
      </c>
      <c r="G5987" s="61">
        <v>1</v>
      </c>
      <c r="H5987" s="61">
        <v>15</v>
      </c>
      <c r="I5987" s="61">
        <v>48.060560000000002</v>
      </c>
    </row>
    <row r="5988" spans="1:9" s="71" customFormat="1" ht="24" hidden="1" customHeight="1" outlineLevel="1" x14ac:dyDescent="0.25">
      <c r="A5988" s="74">
        <v>3210</v>
      </c>
      <c r="B5988" s="45" t="s">
        <v>664</v>
      </c>
      <c r="C5988" s="60" t="s">
        <v>5559</v>
      </c>
      <c r="D5988" s="60"/>
      <c r="E5988" s="74">
        <v>2023</v>
      </c>
      <c r="F5988" s="74" t="s">
        <v>489</v>
      </c>
      <c r="G5988" s="61">
        <v>1</v>
      </c>
      <c r="H5988" s="61">
        <v>15</v>
      </c>
      <c r="I5988" s="61">
        <v>50.7791</v>
      </c>
    </row>
    <row r="5989" spans="1:9" s="71" customFormat="1" ht="24" hidden="1" customHeight="1" outlineLevel="1" x14ac:dyDescent="0.25">
      <c r="A5989" s="74">
        <v>274</v>
      </c>
      <c r="B5989" s="45" t="s">
        <v>664</v>
      </c>
      <c r="C5989" s="60" t="s">
        <v>5560</v>
      </c>
      <c r="D5989" s="60"/>
      <c r="E5989" s="74">
        <v>2023</v>
      </c>
      <c r="F5989" s="74" t="s">
        <v>489</v>
      </c>
      <c r="G5989" s="61">
        <v>1</v>
      </c>
      <c r="H5989" s="61">
        <v>85</v>
      </c>
      <c r="I5989" s="61">
        <v>35.928150000000002</v>
      </c>
    </row>
    <row r="5990" spans="1:9" s="71" customFormat="1" ht="24" hidden="1" customHeight="1" outlineLevel="1" x14ac:dyDescent="0.25">
      <c r="A5990" s="74">
        <v>901</v>
      </c>
      <c r="B5990" s="45" t="s">
        <v>664</v>
      </c>
      <c r="C5990" s="60" t="s">
        <v>5561</v>
      </c>
      <c r="D5990" s="60"/>
      <c r="E5990" s="74">
        <v>2023</v>
      </c>
      <c r="F5990" s="74" t="s">
        <v>489</v>
      </c>
      <c r="G5990" s="61">
        <v>1</v>
      </c>
      <c r="H5990" s="61">
        <v>15</v>
      </c>
      <c r="I5990" s="61">
        <v>47.555430000000001</v>
      </c>
    </row>
    <row r="5991" spans="1:9" s="71" customFormat="1" ht="24" hidden="1" customHeight="1" outlineLevel="1" x14ac:dyDescent="0.25">
      <c r="A5991" s="74">
        <v>4034</v>
      </c>
      <c r="B5991" s="45" t="s">
        <v>664</v>
      </c>
      <c r="C5991" s="60" t="s">
        <v>613</v>
      </c>
      <c r="D5991" s="60"/>
      <c r="E5991" s="74">
        <v>2023</v>
      </c>
      <c r="F5991" s="74" t="s">
        <v>489</v>
      </c>
      <c r="G5991" s="61">
        <v>1</v>
      </c>
      <c r="H5991" s="61">
        <v>90</v>
      </c>
      <c r="I5991" s="61">
        <v>62.01538</v>
      </c>
    </row>
    <row r="5992" spans="1:9" s="71" customFormat="1" ht="24" hidden="1" customHeight="1" outlineLevel="1" x14ac:dyDescent="0.25">
      <c r="A5992" s="74">
        <v>376</v>
      </c>
      <c r="B5992" s="45" t="s">
        <v>664</v>
      </c>
      <c r="C5992" s="60" t="s">
        <v>522</v>
      </c>
      <c r="D5992" s="60"/>
      <c r="E5992" s="74">
        <v>2023</v>
      </c>
      <c r="F5992" s="74" t="s">
        <v>489</v>
      </c>
      <c r="G5992" s="61">
        <v>1</v>
      </c>
      <c r="H5992" s="61">
        <v>15</v>
      </c>
      <c r="I5992" s="61">
        <v>59.115169999999999</v>
      </c>
    </row>
    <row r="5993" spans="1:9" s="71" customFormat="1" ht="24" hidden="1" customHeight="1" outlineLevel="1" x14ac:dyDescent="0.25">
      <c r="A5993" s="74">
        <v>3243</v>
      </c>
      <c r="B5993" s="45" t="s">
        <v>664</v>
      </c>
      <c r="C5993" s="60" t="s">
        <v>5562</v>
      </c>
      <c r="D5993" s="60"/>
      <c r="E5993" s="74">
        <v>2023</v>
      </c>
      <c r="F5993" s="74" t="s">
        <v>489</v>
      </c>
      <c r="G5993" s="61">
        <v>1</v>
      </c>
      <c r="H5993" s="61">
        <v>15</v>
      </c>
      <c r="I5993" s="61">
        <v>45.130290000000002</v>
      </c>
    </row>
    <row r="5994" spans="1:9" s="71" customFormat="1" ht="24" hidden="1" customHeight="1" outlineLevel="1" x14ac:dyDescent="0.25">
      <c r="A5994" s="74">
        <v>2818</v>
      </c>
      <c r="B5994" s="45" t="s">
        <v>664</v>
      </c>
      <c r="C5994" s="60" t="s">
        <v>181</v>
      </c>
      <c r="D5994" s="60"/>
      <c r="E5994" s="74">
        <v>2023</v>
      </c>
      <c r="F5994" s="74" t="s">
        <v>489</v>
      </c>
      <c r="G5994" s="61">
        <v>29</v>
      </c>
      <c r="H5994" s="61">
        <v>240</v>
      </c>
      <c r="I5994" s="61">
        <v>1969.91571</v>
      </c>
    </row>
    <row r="5995" spans="1:9" s="71" customFormat="1" ht="24" hidden="1" customHeight="1" outlineLevel="1" x14ac:dyDescent="0.25">
      <c r="A5995" s="74">
        <v>4074</v>
      </c>
      <c r="B5995" s="45" t="s">
        <v>664</v>
      </c>
      <c r="C5995" s="60" t="s">
        <v>5563</v>
      </c>
      <c r="D5995" s="60"/>
      <c r="E5995" s="74">
        <v>2023</v>
      </c>
      <c r="F5995" s="74" t="s">
        <v>489</v>
      </c>
      <c r="G5995" s="61">
        <v>1</v>
      </c>
      <c r="H5995" s="61">
        <v>15</v>
      </c>
      <c r="I5995" s="61">
        <v>44.194860000000006</v>
      </c>
    </row>
    <row r="5996" spans="1:9" s="71" customFormat="1" ht="24" hidden="1" customHeight="1" outlineLevel="1" x14ac:dyDescent="0.25">
      <c r="A5996" s="74">
        <v>3230</v>
      </c>
      <c r="B5996" s="45" t="s">
        <v>664</v>
      </c>
      <c r="C5996" s="60" t="s">
        <v>5564</v>
      </c>
      <c r="D5996" s="60"/>
      <c r="E5996" s="74">
        <v>2023</v>
      </c>
      <c r="F5996" s="74" t="s">
        <v>489</v>
      </c>
      <c r="G5996" s="61">
        <v>1</v>
      </c>
      <c r="H5996" s="61">
        <v>15</v>
      </c>
      <c r="I5996" s="61">
        <v>45.071510000000004</v>
      </c>
    </row>
    <row r="5997" spans="1:9" s="71" customFormat="1" ht="24" hidden="1" customHeight="1" outlineLevel="1" x14ac:dyDescent="0.25">
      <c r="A5997" s="74">
        <v>3334</v>
      </c>
      <c r="B5997" s="45" t="s">
        <v>664</v>
      </c>
      <c r="C5997" s="60" t="s">
        <v>5565</v>
      </c>
      <c r="D5997" s="60"/>
      <c r="E5997" s="74">
        <v>2023</v>
      </c>
      <c r="F5997" s="74" t="s">
        <v>489</v>
      </c>
      <c r="G5997" s="61">
        <v>1</v>
      </c>
      <c r="H5997" s="61">
        <v>15</v>
      </c>
      <c r="I5997" s="61">
        <v>102.53717</v>
      </c>
    </row>
    <row r="5998" spans="1:9" s="71" customFormat="1" ht="24" hidden="1" customHeight="1" outlineLevel="1" x14ac:dyDescent="0.25">
      <c r="A5998" s="74">
        <v>3229</v>
      </c>
      <c r="B5998" s="45" t="s">
        <v>664</v>
      </c>
      <c r="C5998" s="60" t="s">
        <v>5566</v>
      </c>
      <c r="D5998" s="60"/>
      <c r="E5998" s="74">
        <v>2023</v>
      </c>
      <c r="F5998" s="74" t="s">
        <v>489</v>
      </c>
      <c r="G5998" s="61">
        <v>1</v>
      </c>
      <c r="H5998" s="122">
        <v>11.5</v>
      </c>
      <c r="I5998" s="61">
        <v>97.696130000000011</v>
      </c>
    </row>
    <row r="5999" spans="1:9" s="71" customFormat="1" ht="24" hidden="1" customHeight="1" outlineLevel="1" x14ac:dyDescent="0.25">
      <c r="A5999" s="74">
        <v>4189</v>
      </c>
      <c r="B5999" s="45" t="s">
        <v>664</v>
      </c>
      <c r="C5999" s="60" t="s">
        <v>5567</v>
      </c>
      <c r="D5999" s="60"/>
      <c r="E5999" s="74">
        <v>2023</v>
      </c>
      <c r="F5999" s="74" t="s">
        <v>489</v>
      </c>
      <c r="G5999" s="61">
        <v>1</v>
      </c>
      <c r="H5999" s="61">
        <v>15</v>
      </c>
      <c r="I5999" s="61">
        <v>67.708399999999997</v>
      </c>
    </row>
    <row r="6000" spans="1:9" s="71" customFormat="1" ht="24" hidden="1" customHeight="1" outlineLevel="1" x14ac:dyDescent="0.25">
      <c r="A6000" s="74">
        <v>3242</v>
      </c>
      <c r="B6000" s="45" t="s">
        <v>664</v>
      </c>
      <c r="C6000" s="60" t="s">
        <v>523</v>
      </c>
      <c r="D6000" s="60"/>
      <c r="E6000" s="74">
        <v>2023</v>
      </c>
      <c r="F6000" s="74" t="s">
        <v>489</v>
      </c>
      <c r="G6000" s="61">
        <v>1</v>
      </c>
      <c r="H6000" s="61">
        <v>15</v>
      </c>
      <c r="I6000" s="61">
        <v>59.853810000000003</v>
      </c>
    </row>
    <row r="6001" spans="1:9" s="71" customFormat="1" ht="24" hidden="1" customHeight="1" outlineLevel="1" x14ac:dyDescent="0.25">
      <c r="A6001" s="74">
        <v>324</v>
      </c>
      <c r="B6001" s="45" t="s">
        <v>664</v>
      </c>
      <c r="C6001" s="60" t="s">
        <v>5568</v>
      </c>
      <c r="D6001" s="60"/>
      <c r="E6001" s="74">
        <v>2023</v>
      </c>
      <c r="F6001" s="74" t="s">
        <v>489</v>
      </c>
      <c r="G6001" s="61">
        <v>1</v>
      </c>
      <c r="H6001" s="61">
        <v>10</v>
      </c>
      <c r="I6001" s="61">
        <v>68.071200000000005</v>
      </c>
    </row>
    <row r="6002" spans="1:9" s="71" customFormat="1" ht="24" hidden="1" customHeight="1" outlineLevel="1" x14ac:dyDescent="0.25">
      <c r="A6002" s="74">
        <v>3195</v>
      </c>
      <c r="B6002" s="45" t="s">
        <v>664</v>
      </c>
      <c r="C6002" s="60" t="s">
        <v>186</v>
      </c>
      <c r="D6002" s="60"/>
      <c r="E6002" s="74">
        <v>2023</v>
      </c>
      <c r="F6002" s="74" t="s">
        <v>489</v>
      </c>
      <c r="G6002" s="61">
        <v>1</v>
      </c>
      <c r="H6002" s="61">
        <v>15</v>
      </c>
      <c r="I6002" s="61">
        <v>129.96</v>
      </c>
    </row>
    <row r="6003" spans="1:9" s="71" customFormat="1" ht="24" hidden="1" customHeight="1" outlineLevel="1" x14ac:dyDescent="0.25">
      <c r="A6003" s="74">
        <v>453</v>
      </c>
      <c r="B6003" s="45" t="s">
        <v>664</v>
      </c>
      <c r="C6003" s="60" t="s">
        <v>5569</v>
      </c>
      <c r="D6003" s="60"/>
      <c r="E6003" s="74">
        <v>2023</v>
      </c>
      <c r="F6003" s="74" t="s">
        <v>489</v>
      </c>
      <c r="G6003" s="61">
        <v>1</v>
      </c>
      <c r="H6003" s="61">
        <v>15</v>
      </c>
      <c r="I6003" s="61">
        <v>46.908000000000001</v>
      </c>
    </row>
    <row r="6004" spans="1:9" s="71" customFormat="1" ht="24" hidden="1" customHeight="1" outlineLevel="1" x14ac:dyDescent="0.25">
      <c r="A6004" s="74">
        <v>1149</v>
      </c>
      <c r="B6004" s="45" t="s">
        <v>664</v>
      </c>
      <c r="C6004" s="60" t="s">
        <v>5570</v>
      </c>
      <c r="D6004" s="60"/>
      <c r="E6004" s="74">
        <v>2023</v>
      </c>
      <c r="F6004" s="74" t="s">
        <v>489</v>
      </c>
      <c r="G6004" s="61">
        <v>1</v>
      </c>
      <c r="H6004" s="61">
        <v>15</v>
      </c>
      <c r="I6004" s="61">
        <v>101.69199999999999</v>
      </c>
    </row>
    <row r="6005" spans="1:9" s="71" customFormat="1" ht="24" hidden="1" customHeight="1" outlineLevel="1" x14ac:dyDescent="0.25">
      <c r="A6005" s="74">
        <v>673</v>
      </c>
      <c r="B6005" s="45" t="s">
        <v>664</v>
      </c>
      <c r="C6005" s="60" t="s">
        <v>5571</v>
      </c>
      <c r="D6005" s="60"/>
      <c r="E6005" s="74">
        <v>2023</v>
      </c>
      <c r="F6005" s="74" t="s">
        <v>489</v>
      </c>
      <c r="G6005" s="61">
        <v>1</v>
      </c>
      <c r="H6005" s="61">
        <v>10</v>
      </c>
      <c r="I6005" s="61">
        <v>57.850999999999999</v>
      </c>
    </row>
    <row r="6006" spans="1:9" s="71" customFormat="1" ht="24" hidden="1" customHeight="1" outlineLevel="1" x14ac:dyDescent="0.25">
      <c r="A6006" s="74">
        <v>622</v>
      </c>
      <c r="B6006" s="45" t="s">
        <v>664</v>
      </c>
      <c r="C6006" s="60" t="s">
        <v>5572</v>
      </c>
      <c r="D6006" s="60"/>
      <c r="E6006" s="74">
        <v>2023</v>
      </c>
      <c r="F6006" s="74" t="s">
        <v>489</v>
      </c>
      <c r="G6006" s="61">
        <v>1</v>
      </c>
      <c r="H6006" s="61">
        <v>15</v>
      </c>
      <c r="I6006" s="61">
        <v>50.634</v>
      </c>
    </row>
    <row r="6007" spans="1:9" s="71" customFormat="1" ht="24" hidden="1" customHeight="1" outlineLevel="1" x14ac:dyDescent="0.25">
      <c r="A6007" s="74">
        <v>659</v>
      </c>
      <c r="B6007" s="45" t="s">
        <v>664</v>
      </c>
      <c r="C6007" s="60" t="s">
        <v>5573</v>
      </c>
      <c r="D6007" s="60"/>
      <c r="E6007" s="74">
        <v>2023</v>
      </c>
      <c r="F6007" s="74" t="s">
        <v>489</v>
      </c>
      <c r="G6007" s="61">
        <v>1</v>
      </c>
      <c r="H6007" s="61">
        <v>15</v>
      </c>
      <c r="I6007" s="61">
        <v>49.58</v>
      </c>
    </row>
    <row r="6008" spans="1:9" s="71" customFormat="1" ht="24" hidden="1" customHeight="1" outlineLevel="1" x14ac:dyDescent="0.25">
      <c r="A6008" s="74">
        <v>675</v>
      </c>
      <c r="B6008" s="45" t="s">
        <v>664</v>
      </c>
      <c r="C6008" s="60" t="s">
        <v>188</v>
      </c>
      <c r="D6008" s="60"/>
      <c r="E6008" s="74">
        <v>2023</v>
      </c>
      <c r="F6008" s="74" t="s">
        <v>489</v>
      </c>
      <c r="G6008" s="61">
        <v>3</v>
      </c>
      <c r="H6008" s="61">
        <v>45</v>
      </c>
      <c r="I6008" s="61">
        <v>168.185</v>
      </c>
    </row>
    <row r="6009" spans="1:9" s="71" customFormat="1" ht="24" hidden="1" customHeight="1" outlineLevel="1" x14ac:dyDescent="0.25">
      <c r="A6009" s="74">
        <v>744</v>
      </c>
      <c r="B6009" s="45" t="s">
        <v>664</v>
      </c>
      <c r="C6009" s="60" t="s">
        <v>5574</v>
      </c>
      <c r="D6009" s="60"/>
      <c r="E6009" s="74">
        <v>2023</v>
      </c>
      <c r="F6009" s="74" t="s">
        <v>489</v>
      </c>
      <c r="G6009" s="61">
        <v>2</v>
      </c>
      <c r="H6009" s="61">
        <v>12</v>
      </c>
      <c r="I6009" s="61">
        <v>127.98099999999999</v>
      </c>
    </row>
    <row r="6010" spans="1:9" s="71" customFormat="1" ht="24" hidden="1" customHeight="1" outlineLevel="1" x14ac:dyDescent="0.25">
      <c r="A6010" s="74">
        <v>783</v>
      </c>
      <c r="B6010" s="45" t="s">
        <v>664</v>
      </c>
      <c r="C6010" s="60" t="s">
        <v>189</v>
      </c>
      <c r="D6010" s="60"/>
      <c r="E6010" s="74">
        <v>2023</v>
      </c>
      <c r="F6010" s="74" t="s">
        <v>489</v>
      </c>
      <c r="G6010" s="61">
        <v>2</v>
      </c>
      <c r="H6010" s="61">
        <v>20</v>
      </c>
      <c r="I6010" s="61">
        <v>107.175</v>
      </c>
    </row>
    <row r="6011" spans="1:9" s="71" customFormat="1" ht="24" hidden="1" customHeight="1" outlineLevel="1" x14ac:dyDescent="0.25">
      <c r="A6011" s="74">
        <v>1037</v>
      </c>
      <c r="B6011" s="45" t="s">
        <v>664</v>
      </c>
      <c r="C6011" s="60" t="s">
        <v>5575</v>
      </c>
      <c r="D6011" s="60"/>
      <c r="E6011" s="74">
        <v>2023</v>
      </c>
      <c r="F6011" s="74" t="s">
        <v>489</v>
      </c>
      <c r="G6011" s="61">
        <v>1</v>
      </c>
      <c r="H6011" s="61">
        <v>15</v>
      </c>
      <c r="I6011" s="61">
        <v>59.936</v>
      </c>
    </row>
    <row r="6012" spans="1:9" s="71" customFormat="1" ht="24" hidden="1" customHeight="1" outlineLevel="1" x14ac:dyDescent="0.25">
      <c r="A6012" s="74">
        <v>1253</v>
      </c>
      <c r="B6012" s="45" t="s">
        <v>664</v>
      </c>
      <c r="C6012" s="60" t="s">
        <v>5576</v>
      </c>
      <c r="D6012" s="60"/>
      <c r="E6012" s="74">
        <v>2023</v>
      </c>
      <c r="F6012" s="74" t="s">
        <v>489</v>
      </c>
      <c r="G6012" s="61">
        <v>1</v>
      </c>
      <c r="H6012" s="61">
        <v>15</v>
      </c>
      <c r="I6012" s="61">
        <v>67.447999999999993</v>
      </c>
    </row>
    <row r="6013" spans="1:9" s="71" customFormat="1" ht="24" hidden="1" customHeight="1" outlineLevel="1" x14ac:dyDescent="0.25">
      <c r="A6013" s="74">
        <v>1381</v>
      </c>
      <c r="B6013" s="45" t="s">
        <v>664</v>
      </c>
      <c r="C6013" s="60" t="s">
        <v>5577</v>
      </c>
      <c r="D6013" s="60"/>
      <c r="E6013" s="74">
        <v>2023</v>
      </c>
      <c r="F6013" s="74" t="s">
        <v>489</v>
      </c>
      <c r="G6013" s="61">
        <v>1</v>
      </c>
      <c r="H6013" s="61">
        <v>6</v>
      </c>
      <c r="I6013" s="61">
        <v>61.192999999999998</v>
      </c>
    </row>
    <row r="6014" spans="1:9" s="71" customFormat="1" ht="24" hidden="1" customHeight="1" outlineLevel="1" x14ac:dyDescent="0.25">
      <c r="A6014" s="74">
        <v>1386</v>
      </c>
      <c r="B6014" s="45" t="s">
        <v>664</v>
      </c>
      <c r="C6014" s="60" t="s">
        <v>5578</v>
      </c>
      <c r="D6014" s="60"/>
      <c r="E6014" s="74">
        <v>2023</v>
      </c>
      <c r="F6014" s="74" t="s">
        <v>489</v>
      </c>
      <c r="G6014" s="61">
        <v>1</v>
      </c>
      <c r="H6014" s="61">
        <v>15</v>
      </c>
      <c r="I6014" s="61">
        <v>102.117</v>
      </c>
    </row>
    <row r="6015" spans="1:9" s="71" customFormat="1" ht="24" hidden="1" customHeight="1" outlineLevel="1" x14ac:dyDescent="0.25">
      <c r="A6015" s="74">
        <v>3283</v>
      </c>
      <c r="B6015" s="45" t="s">
        <v>664</v>
      </c>
      <c r="C6015" s="60" t="s">
        <v>5579</v>
      </c>
      <c r="D6015" s="60"/>
      <c r="E6015" s="74">
        <v>2023</v>
      </c>
      <c r="F6015" s="74" t="s">
        <v>489</v>
      </c>
      <c r="G6015" s="61">
        <v>1</v>
      </c>
      <c r="H6015" s="61">
        <v>9</v>
      </c>
      <c r="I6015" s="61">
        <v>74.864000000000004</v>
      </c>
    </row>
    <row r="6016" spans="1:9" s="71" customFormat="1" ht="24" hidden="1" customHeight="1" outlineLevel="1" x14ac:dyDescent="0.25">
      <c r="A6016" s="74">
        <v>4812</v>
      </c>
      <c r="B6016" s="45" t="s">
        <v>664</v>
      </c>
      <c r="C6016" s="60" t="s">
        <v>5580</v>
      </c>
      <c r="D6016" s="60"/>
      <c r="E6016" s="74">
        <v>2023</v>
      </c>
      <c r="F6016" s="74" t="s">
        <v>489</v>
      </c>
      <c r="G6016" s="61">
        <v>1</v>
      </c>
      <c r="H6016" s="61">
        <v>70</v>
      </c>
      <c r="I6016" s="61">
        <v>65.272000000000006</v>
      </c>
    </row>
    <row r="6017" spans="1:9" s="71" customFormat="1" ht="24" hidden="1" customHeight="1" outlineLevel="1" x14ac:dyDescent="0.25">
      <c r="A6017" s="74">
        <v>4813</v>
      </c>
      <c r="B6017" s="45" t="s">
        <v>664</v>
      </c>
      <c r="C6017" s="60" t="s">
        <v>5581</v>
      </c>
      <c r="D6017" s="60"/>
      <c r="E6017" s="74">
        <v>2023</v>
      </c>
      <c r="F6017" s="74" t="s">
        <v>489</v>
      </c>
      <c r="G6017" s="61">
        <v>1</v>
      </c>
      <c r="H6017" s="61">
        <v>15</v>
      </c>
      <c r="I6017" s="61">
        <v>38.255000000000003</v>
      </c>
    </row>
    <row r="6018" spans="1:9" s="71" customFormat="1" ht="24" hidden="1" customHeight="1" outlineLevel="1" x14ac:dyDescent="0.25">
      <c r="A6018" s="74">
        <v>4816</v>
      </c>
      <c r="B6018" s="45" t="s">
        <v>664</v>
      </c>
      <c r="C6018" s="60" t="s">
        <v>5582</v>
      </c>
      <c r="D6018" s="60"/>
      <c r="E6018" s="74">
        <v>2023</v>
      </c>
      <c r="F6018" s="74" t="s">
        <v>489</v>
      </c>
      <c r="G6018" s="61">
        <v>1</v>
      </c>
      <c r="H6018" s="61">
        <v>10</v>
      </c>
      <c r="I6018" s="61">
        <v>36.82</v>
      </c>
    </row>
    <row r="6019" spans="1:9" s="71" customFormat="1" ht="24" hidden="1" customHeight="1" outlineLevel="1" x14ac:dyDescent="0.25">
      <c r="A6019" s="74">
        <v>4817</v>
      </c>
      <c r="B6019" s="45" t="s">
        <v>664</v>
      </c>
      <c r="C6019" s="60" t="s">
        <v>5583</v>
      </c>
      <c r="D6019" s="60"/>
      <c r="E6019" s="74">
        <v>2023</v>
      </c>
      <c r="F6019" s="74" t="s">
        <v>489</v>
      </c>
      <c r="G6019" s="61">
        <v>1</v>
      </c>
      <c r="H6019" s="61">
        <v>15</v>
      </c>
      <c r="I6019" s="61">
        <v>40.115000000000002</v>
      </c>
    </row>
    <row r="6020" spans="1:9" s="71" customFormat="1" ht="24" hidden="1" customHeight="1" outlineLevel="1" x14ac:dyDescent="0.25">
      <c r="A6020" s="74">
        <v>4819</v>
      </c>
      <c r="B6020" s="45" t="s">
        <v>664</v>
      </c>
      <c r="C6020" s="60" t="s">
        <v>5584</v>
      </c>
      <c r="D6020" s="60"/>
      <c r="E6020" s="74">
        <v>2023</v>
      </c>
      <c r="F6020" s="74" t="s">
        <v>489</v>
      </c>
      <c r="G6020" s="61">
        <v>1</v>
      </c>
      <c r="H6020" s="61">
        <v>15</v>
      </c>
      <c r="I6020" s="61">
        <v>39.621000000000002</v>
      </c>
    </row>
    <row r="6021" spans="1:9" s="71" customFormat="1" ht="24" hidden="1" customHeight="1" outlineLevel="1" x14ac:dyDescent="0.25">
      <c r="A6021" s="74">
        <v>1630</v>
      </c>
      <c r="B6021" s="45" t="s">
        <v>664</v>
      </c>
      <c r="C6021" s="60" t="s">
        <v>5585</v>
      </c>
      <c r="D6021" s="60"/>
      <c r="E6021" s="74">
        <v>2023</v>
      </c>
      <c r="F6021" s="74" t="s">
        <v>489</v>
      </c>
      <c r="G6021" s="61">
        <v>1</v>
      </c>
      <c r="H6021" s="61">
        <v>15</v>
      </c>
      <c r="I6021" s="61">
        <v>49.673000000000002</v>
      </c>
    </row>
    <row r="6022" spans="1:9" s="71" customFormat="1" ht="24" hidden="1" customHeight="1" outlineLevel="1" x14ac:dyDescent="0.25">
      <c r="A6022" s="74">
        <v>4827</v>
      </c>
      <c r="B6022" s="45" t="s">
        <v>664</v>
      </c>
      <c r="C6022" s="60" t="s">
        <v>5586</v>
      </c>
      <c r="D6022" s="60"/>
      <c r="E6022" s="74">
        <v>2023</v>
      </c>
      <c r="F6022" s="74" t="s">
        <v>489</v>
      </c>
      <c r="G6022" s="61">
        <v>1</v>
      </c>
      <c r="H6022" s="61">
        <v>15</v>
      </c>
      <c r="I6022" s="61">
        <v>45.174999999999997</v>
      </c>
    </row>
    <row r="6023" spans="1:9" s="71" customFormat="1" ht="24" hidden="1" customHeight="1" outlineLevel="1" x14ac:dyDescent="0.25">
      <c r="A6023" s="74">
        <v>4825</v>
      </c>
      <c r="B6023" s="45" t="s">
        <v>664</v>
      </c>
      <c r="C6023" s="60" t="s">
        <v>5587</v>
      </c>
      <c r="D6023" s="60"/>
      <c r="E6023" s="74">
        <v>2023</v>
      </c>
      <c r="F6023" s="74" t="s">
        <v>489</v>
      </c>
      <c r="G6023" s="61">
        <v>1</v>
      </c>
      <c r="H6023" s="61">
        <v>7.5</v>
      </c>
      <c r="I6023" s="61">
        <v>83.584000000000003</v>
      </c>
    </row>
    <row r="6024" spans="1:9" s="71" customFormat="1" ht="24" hidden="1" customHeight="1" outlineLevel="1" x14ac:dyDescent="0.25">
      <c r="A6024" s="74">
        <v>2015</v>
      </c>
      <c r="B6024" s="45" t="s">
        <v>664</v>
      </c>
      <c r="C6024" s="60" t="s">
        <v>5588</v>
      </c>
      <c r="D6024" s="60"/>
      <c r="E6024" s="74">
        <v>2023</v>
      </c>
      <c r="F6024" s="74" t="s">
        <v>489</v>
      </c>
      <c r="G6024" s="61">
        <v>1</v>
      </c>
      <c r="H6024" s="61">
        <v>10</v>
      </c>
      <c r="I6024" s="61">
        <v>46.084000000000003</v>
      </c>
    </row>
    <row r="6025" spans="1:9" s="71" customFormat="1" ht="24" hidden="1" customHeight="1" outlineLevel="1" x14ac:dyDescent="0.25">
      <c r="A6025" s="74">
        <v>4829</v>
      </c>
      <c r="B6025" s="45" t="s">
        <v>664</v>
      </c>
      <c r="C6025" s="60" t="s">
        <v>5589</v>
      </c>
      <c r="D6025" s="60"/>
      <c r="E6025" s="74">
        <v>2023</v>
      </c>
      <c r="F6025" s="74" t="s">
        <v>489</v>
      </c>
      <c r="G6025" s="61">
        <v>1</v>
      </c>
      <c r="H6025" s="61">
        <v>15</v>
      </c>
      <c r="I6025" s="61">
        <v>46.084000000000003</v>
      </c>
    </row>
    <row r="6026" spans="1:9" s="71" customFormat="1" ht="24" hidden="1" customHeight="1" outlineLevel="1" x14ac:dyDescent="0.25">
      <c r="A6026" s="74">
        <v>4832</v>
      </c>
      <c r="B6026" s="45" t="s">
        <v>664</v>
      </c>
      <c r="C6026" s="60" t="s">
        <v>5590</v>
      </c>
      <c r="D6026" s="60"/>
      <c r="E6026" s="74">
        <v>2023</v>
      </c>
      <c r="F6026" s="74" t="s">
        <v>489</v>
      </c>
      <c r="G6026" s="61">
        <v>1</v>
      </c>
      <c r="H6026" s="61">
        <v>15</v>
      </c>
      <c r="I6026" s="61">
        <v>39.972000000000001</v>
      </c>
    </row>
    <row r="6027" spans="1:9" s="71" customFormat="1" ht="24" hidden="1" customHeight="1" outlineLevel="1" x14ac:dyDescent="0.25">
      <c r="A6027" s="74">
        <v>2862</v>
      </c>
      <c r="B6027" s="45" t="s">
        <v>664</v>
      </c>
      <c r="C6027" s="60" t="s">
        <v>5591</v>
      </c>
      <c r="D6027" s="60"/>
      <c r="E6027" s="74">
        <v>2023</v>
      </c>
      <c r="F6027" s="74" t="s">
        <v>489</v>
      </c>
      <c r="G6027" s="61">
        <v>1</v>
      </c>
      <c r="H6027" s="61">
        <v>15</v>
      </c>
      <c r="I6027" s="61">
        <v>54.685000000000002</v>
      </c>
    </row>
    <row r="6028" spans="1:9" s="71" customFormat="1" ht="24" hidden="1" customHeight="1" outlineLevel="1" x14ac:dyDescent="0.25">
      <c r="A6028" s="74">
        <v>4834</v>
      </c>
      <c r="B6028" s="45" t="s">
        <v>664</v>
      </c>
      <c r="C6028" s="60" t="s">
        <v>5592</v>
      </c>
      <c r="D6028" s="60"/>
      <c r="E6028" s="74">
        <v>2023</v>
      </c>
      <c r="F6028" s="74" t="s">
        <v>489</v>
      </c>
      <c r="G6028" s="61">
        <v>1</v>
      </c>
      <c r="H6028" s="61">
        <v>11.5</v>
      </c>
      <c r="I6028" s="61">
        <v>39.975999999999999</v>
      </c>
    </row>
    <row r="6029" spans="1:9" s="71" customFormat="1" ht="24" hidden="1" customHeight="1" outlineLevel="1" x14ac:dyDescent="0.25">
      <c r="A6029" s="74">
        <v>4835</v>
      </c>
      <c r="B6029" s="45" t="s">
        <v>664</v>
      </c>
      <c r="C6029" s="60" t="s">
        <v>5593</v>
      </c>
      <c r="D6029" s="60"/>
      <c r="E6029" s="74">
        <v>2023</v>
      </c>
      <c r="F6029" s="74" t="s">
        <v>489</v>
      </c>
      <c r="G6029" s="61">
        <v>1</v>
      </c>
      <c r="H6029" s="61">
        <v>15</v>
      </c>
      <c r="I6029" s="61">
        <v>36.936</v>
      </c>
    </row>
    <row r="6030" spans="1:9" s="71" customFormat="1" ht="24" hidden="1" customHeight="1" outlineLevel="1" x14ac:dyDescent="0.25">
      <c r="A6030" s="74">
        <v>4839</v>
      </c>
      <c r="B6030" s="45" t="s">
        <v>664</v>
      </c>
      <c r="C6030" s="60" t="s">
        <v>5594</v>
      </c>
      <c r="D6030" s="60"/>
      <c r="E6030" s="74">
        <v>2023</v>
      </c>
      <c r="F6030" s="74" t="s">
        <v>489</v>
      </c>
      <c r="G6030" s="61">
        <v>1</v>
      </c>
      <c r="H6030" s="61">
        <v>7.5</v>
      </c>
      <c r="I6030" s="61">
        <v>38.052</v>
      </c>
    </row>
    <row r="6031" spans="1:9" s="71" customFormat="1" ht="24" hidden="1" customHeight="1" outlineLevel="1" x14ac:dyDescent="0.25">
      <c r="A6031" s="74">
        <v>4840</v>
      </c>
      <c r="B6031" s="45" t="s">
        <v>664</v>
      </c>
      <c r="C6031" s="60" t="s">
        <v>5595</v>
      </c>
      <c r="D6031" s="60"/>
      <c r="E6031" s="74">
        <v>2023</v>
      </c>
      <c r="F6031" s="74" t="s">
        <v>489</v>
      </c>
      <c r="G6031" s="61">
        <v>1</v>
      </c>
      <c r="H6031" s="61">
        <v>15</v>
      </c>
      <c r="I6031" s="61">
        <v>36.584000000000003</v>
      </c>
    </row>
    <row r="6032" spans="1:9" s="71" customFormat="1" ht="24" hidden="1" customHeight="1" outlineLevel="1" x14ac:dyDescent="0.25">
      <c r="A6032" s="74">
        <v>3148</v>
      </c>
      <c r="B6032" s="45" t="s">
        <v>664</v>
      </c>
      <c r="C6032" s="60" t="s">
        <v>5596</v>
      </c>
      <c r="D6032" s="60"/>
      <c r="E6032" s="74">
        <v>2023</v>
      </c>
      <c r="F6032" s="74" t="s">
        <v>489</v>
      </c>
      <c r="G6032" s="61">
        <v>1</v>
      </c>
      <c r="H6032" s="61">
        <v>30</v>
      </c>
      <c r="I6032" s="61">
        <v>81.537999999999997</v>
      </c>
    </row>
    <row r="6033" spans="1:9" s="71" customFormat="1" ht="24" hidden="1" customHeight="1" outlineLevel="1" x14ac:dyDescent="0.25">
      <c r="A6033" s="74">
        <v>4841</v>
      </c>
      <c r="B6033" s="45" t="s">
        <v>664</v>
      </c>
      <c r="C6033" s="60" t="s">
        <v>5597</v>
      </c>
      <c r="D6033" s="60"/>
      <c r="E6033" s="74">
        <v>2023</v>
      </c>
      <c r="F6033" s="74" t="s">
        <v>489</v>
      </c>
      <c r="G6033" s="61">
        <v>1</v>
      </c>
      <c r="H6033" s="61">
        <v>45</v>
      </c>
      <c r="I6033" s="61">
        <v>36.210999999999999</v>
      </c>
    </row>
    <row r="6034" spans="1:9" s="71" customFormat="1" ht="24" hidden="1" customHeight="1" outlineLevel="1" x14ac:dyDescent="0.25">
      <c r="A6034" s="74">
        <v>4844</v>
      </c>
      <c r="B6034" s="45" t="s">
        <v>664</v>
      </c>
      <c r="C6034" s="60" t="s">
        <v>5598</v>
      </c>
      <c r="D6034" s="60"/>
      <c r="E6034" s="74">
        <v>2023</v>
      </c>
      <c r="F6034" s="74" t="s">
        <v>489</v>
      </c>
      <c r="G6034" s="61">
        <v>1</v>
      </c>
      <c r="H6034" s="61">
        <v>15</v>
      </c>
      <c r="I6034" s="61">
        <v>39.329000000000001</v>
      </c>
    </row>
    <row r="6035" spans="1:9" s="71" customFormat="1" ht="24" hidden="1" customHeight="1" outlineLevel="1" x14ac:dyDescent="0.25">
      <c r="A6035" s="74">
        <v>4846</v>
      </c>
      <c r="B6035" s="45" t="s">
        <v>664</v>
      </c>
      <c r="C6035" s="60" t="s">
        <v>5599</v>
      </c>
      <c r="D6035" s="60"/>
      <c r="E6035" s="74">
        <v>2023</v>
      </c>
      <c r="F6035" s="74" t="s">
        <v>489</v>
      </c>
      <c r="G6035" s="61">
        <v>1</v>
      </c>
      <c r="H6035" s="61">
        <v>15</v>
      </c>
      <c r="I6035" s="61">
        <v>83.727000000000004</v>
      </c>
    </row>
    <row r="6036" spans="1:9" s="71" customFormat="1" ht="24" hidden="1" customHeight="1" outlineLevel="1" x14ac:dyDescent="0.25">
      <c r="A6036" s="74">
        <v>2878</v>
      </c>
      <c r="B6036" s="45" t="s">
        <v>664</v>
      </c>
      <c r="C6036" s="60" t="s">
        <v>5600</v>
      </c>
      <c r="D6036" s="60"/>
      <c r="E6036" s="74">
        <v>2023</v>
      </c>
      <c r="F6036" s="74" t="s">
        <v>489</v>
      </c>
      <c r="G6036" s="61">
        <v>1</v>
      </c>
      <c r="H6036" s="61">
        <v>15</v>
      </c>
      <c r="I6036" s="61">
        <v>56.481999999999999</v>
      </c>
    </row>
    <row r="6037" spans="1:9" s="71" customFormat="1" ht="24" hidden="1" customHeight="1" outlineLevel="1" x14ac:dyDescent="0.25">
      <c r="A6037" s="74">
        <v>4848</v>
      </c>
      <c r="B6037" s="45" t="s">
        <v>664</v>
      </c>
      <c r="C6037" s="60" t="s">
        <v>5601</v>
      </c>
      <c r="D6037" s="60"/>
      <c r="E6037" s="74">
        <v>2023</v>
      </c>
      <c r="F6037" s="74" t="s">
        <v>489</v>
      </c>
      <c r="G6037" s="61">
        <v>1</v>
      </c>
      <c r="H6037" s="61">
        <v>15</v>
      </c>
      <c r="I6037" s="61">
        <v>47.320999999999998</v>
      </c>
    </row>
    <row r="6038" spans="1:9" s="71" customFormat="1" ht="24" hidden="1" customHeight="1" outlineLevel="1" x14ac:dyDescent="0.25">
      <c r="A6038" s="74">
        <v>4849</v>
      </c>
      <c r="B6038" s="45" t="s">
        <v>664</v>
      </c>
      <c r="C6038" s="60" t="s">
        <v>5602</v>
      </c>
      <c r="D6038" s="60"/>
      <c r="E6038" s="74">
        <v>2023</v>
      </c>
      <c r="F6038" s="74" t="s">
        <v>489</v>
      </c>
      <c r="G6038" s="61">
        <v>1</v>
      </c>
      <c r="H6038" s="61">
        <v>15</v>
      </c>
      <c r="I6038" s="61">
        <v>36.584000000000003</v>
      </c>
    </row>
    <row r="6039" spans="1:9" s="71" customFormat="1" ht="24" hidden="1" customHeight="1" outlineLevel="1" x14ac:dyDescent="0.25">
      <c r="A6039" s="74">
        <v>4852</v>
      </c>
      <c r="B6039" s="45" t="s">
        <v>664</v>
      </c>
      <c r="C6039" s="60" t="s">
        <v>5603</v>
      </c>
      <c r="D6039" s="60"/>
      <c r="E6039" s="74">
        <v>2023</v>
      </c>
      <c r="F6039" s="74" t="s">
        <v>489</v>
      </c>
      <c r="G6039" s="61">
        <v>1</v>
      </c>
      <c r="H6039" s="61">
        <v>15</v>
      </c>
      <c r="I6039" s="61">
        <v>35.223999999999997</v>
      </c>
    </row>
    <row r="6040" spans="1:9" s="71" customFormat="1" ht="24" hidden="1" customHeight="1" outlineLevel="1" x14ac:dyDescent="0.25">
      <c r="A6040" s="74">
        <v>4854</v>
      </c>
      <c r="B6040" s="45" t="s">
        <v>664</v>
      </c>
      <c r="C6040" s="60" t="s">
        <v>5604</v>
      </c>
      <c r="D6040" s="60"/>
      <c r="E6040" s="74">
        <v>2023</v>
      </c>
      <c r="F6040" s="74" t="s">
        <v>489</v>
      </c>
      <c r="G6040" s="61">
        <v>1</v>
      </c>
      <c r="H6040" s="61">
        <v>15</v>
      </c>
      <c r="I6040" s="61">
        <v>38.359000000000002</v>
      </c>
    </row>
    <row r="6041" spans="1:9" s="71" customFormat="1" ht="24" hidden="1" customHeight="1" outlineLevel="1" x14ac:dyDescent="0.25">
      <c r="A6041" s="74">
        <v>4855</v>
      </c>
      <c r="B6041" s="45" t="s">
        <v>664</v>
      </c>
      <c r="C6041" s="60" t="s">
        <v>5605</v>
      </c>
      <c r="D6041" s="60"/>
      <c r="E6041" s="74">
        <v>2023</v>
      </c>
      <c r="F6041" s="74" t="s">
        <v>489</v>
      </c>
      <c r="G6041" s="61">
        <v>1</v>
      </c>
      <c r="H6041" s="61">
        <v>7.5</v>
      </c>
      <c r="I6041" s="61">
        <v>36.174999999999997</v>
      </c>
    </row>
    <row r="6042" spans="1:9" s="71" customFormat="1" ht="24" hidden="1" customHeight="1" outlineLevel="1" x14ac:dyDescent="0.25">
      <c r="A6042" s="74">
        <v>4856</v>
      </c>
      <c r="B6042" s="45" t="s">
        <v>664</v>
      </c>
      <c r="C6042" s="60" t="s">
        <v>5606</v>
      </c>
      <c r="D6042" s="60"/>
      <c r="E6042" s="74">
        <v>2023</v>
      </c>
      <c r="F6042" s="74" t="s">
        <v>489</v>
      </c>
      <c r="G6042" s="61">
        <v>1</v>
      </c>
      <c r="H6042" s="61">
        <v>7.5</v>
      </c>
      <c r="I6042" s="61">
        <v>36.174999999999997</v>
      </c>
    </row>
    <row r="6043" spans="1:9" s="71" customFormat="1" ht="24" hidden="1" customHeight="1" outlineLevel="1" x14ac:dyDescent="0.25">
      <c r="A6043" s="74">
        <v>4857</v>
      </c>
      <c r="B6043" s="45" t="s">
        <v>664</v>
      </c>
      <c r="C6043" s="60" t="s">
        <v>5607</v>
      </c>
      <c r="D6043" s="60"/>
      <c r="E6043" s="74">
        <v>2023</v>
      </c>
      <c r="F6043" s="74" t="s">
        <v>489</v>
      </c>
      <c r="G6043" s="61">
        <v>1</v>
      </c>
      <c r="H6043" s="61">
        <v>7.5</v>
      </c>
      <c r="I6043" s="61">
        <v>36.174999999999997</v>
      </c>
    </row>
    <row r="6044" spans="1:9" s="71" customFormat="1" ht="24" hidden="1" customHeight="1" outlineLevel="1" x14ac:dyDescent="0.25">
      <c r="A6044" s="74">
        <v>4859</v>
      </c>
      <c r="B6044" s="45" t="s">
        <v>664</v>
      </c>
      <c r="C6044" s="60" t="s">
        <v>5608</v>
      </c>
      <c r="D6044" s="60"/>
      <c r="E6044" s="74">
        <v>2023</v>
      </c>
      <c r="F6044" s="74" t="s">
        <v>489</v>
      </c>
      <c r="G6044" s="61">
        <v>1</v>
      </c>
      <c r="H6044" s="61">
        <v>7.5</v>
      </c>
      <c r="I6044" s="61">
        <v>76.787000000000006</v>
      </c>
    </row>
    <row r="6045" spans="1:9" s="71" customFormat="1" ht="24" hidden="1" customHeight="1" outlineLevel="1" x14ac:dyDescent="0.25">
      <c r="A6045" s="74">
        <v>4860</v>
      </c>
      <c r="B6045" s="45" t="s">
        <v>664</v>
      </c>
      <c r="C6045" s="60" t="s">
        <v>5609</v>
      </c>
      <c r="D6045" s="60"/>
      <c r="E6045" s="74">
        <v>2023</v>
      </c>
      <c r="F6045" s="74" t="s">
        <v>489</v>
      </c>
      <c r="G6045" s="61">
        <v>1</v>
      </c>
      <c r="H6045" s="61">
        <v>7.5</v>
      </c>
      <c r="I6045" s="61">
        <v>73.534999999999997</v>
      </c>
    </row>
    <row r="6046" spans="1:9" s="71" customFormat="1" ht="24" hidden="1" customHeight="1" outlineLevel="1" x14ac:dyDescent="0.25">
      <c r="A6046" s="74">
        <v>2339</v>
      </c>
      <c r="B6046" s="45" t="s">
        <v>664</v>
      </c>
      <c r="C6046" s="60" t="s">
        <v>5610</v>
      </c>
      <c r="D6046" s="60"/>
      <c r="E6046" s="74">
        <v>2023</v>
      </c>
      <c r="F6046" s="74" t="s">
        <v>489</v>
      </c>
      <c r="G6046" s="61">
        <v>1</v>
      </c>
      <c r="H6046" s="61">
        <v>3</v>
      </c>
      <c r="I6046" s="61">
        <v>47.258000000000003</v>
      </c>
    </row>
    <row r="6047" spans="1:9" s="71" customFormat="1" ht="24" hidden="1" customHeight="1" outlineLevel="1" x14ac:dyDescent="0.25">
      <c r="A6047" s="74">
        <v>4863</v>
      </c>
      <c r="B6047" s="45" t="s">
        <v>664</v>
      </c>
      <c r="C6047" s="60" t="s">
        <v>5611</v>
      </c>
      <c r="D6047" s="60"/>
      <c r="E6047" s="74">
        <v>2023</v>
      </c>
      <c r="F6047" s="74" t="s">
        <v>489</v>
      </c>
      <c r="G6047" s="61">
        <v>1</v>
      </c>
      <c r="H6047" s="61">
        <v>15</v>
      </c>
      <c r="I6047" s="61">
        <v>36.207000000000001</v>
      </c>
    </row>
    <row r="6048" spans="1:9" s="71" customFormat="1" ht="24" hidden="1" customHeight="1" outlineLevel="1" x14ac:dyDescent="0.25">
      <c r="A6048" s="74">
        <v>4864</v>
      </c>
      <c r="B6048" s="45" t="s">
        <v>664</v>
      </c>
      <c r="C6048" s="60" t="s">
        <v>5612</v>
      </c>
      <c r="D6048" s="60"/>
      <c r="E6048" s="74">
        <v>2023</v>
      </c>
      <c r="F6048" s="74" t="s">
        <v>489</v>
      </c>
      <c r="G6048" s="61">
        <v>1</v>
      </c>
      <c r="H6048" s="61">
        <v>15</v>
      </c>
      <c r="I6048" s="61">
        <v>35.430999999999997</v>
      </c>
    </row>
    <row r="6049" spans="1:9" s="71" customFormat="1" ht="24" hidden="1" customHeight="1" outlineLevel="1" x14ac:dyDescent="0.25">
      <c r="A6049" s="74">
        <v>4865</v>
      </c>
      <c r="B6049" s="45" t="s">
        <v>664</v>
      </c>
      <c r="C6049" s="60" t="s">
        <v>5613</v>
      </c>
      <c r="D6049" s="60"/>
      <c r="E6049" s="74">
        <v>2023</v>
      </c>
      <c r="F6049" s="74" t="s">
        <v>489</v>
      </c>
      <c r="G6049" s="61">
        <v>1</v>
      </c>
      <c r="H6049" s="61">
        <v>10</v>
      </c>
      <c r="I6049" s="61">
        <v>51.31</v>
      </c>
    </row>
    <row r="6050" spans="1:9" s="71" customFormat="1" ht="24" hidden="1" customHeight="1" outlineLevel="1" x14ac:dyDescent="0.25">
      <c r="A6050" s="74">
        <v>4866</v>
      </c>
      <c r="B6050" s="45" t="s">
        <v>664</v>
      </c>
      <c r="C6050" s="60" t="s">
        <v>5614</v>
      </c>
      <c r="D6050" s="60"/>
      <c r="E6050" s="74">
        <v>2023</v>
      </c>
      <c r="F6050" s="74" t="s">
        <v>489</v>
      </c>
      <c r="G6050" s="61">
        <v>1</v>
      </c>
      <c r="H6050" s="61">
        <v>15</v>
      </c>
      <c r="I6050" s="61">
        <v>37.661000000000001</v>
      </c>
    </row>
    <row r="6051" spans="1:9" s="71" customFormat="1" ht="24" hidden="1" customHeight="1" outlineLevel="1" x14ac:dyDescent="0.25">
      <c r="A6051" s="74">
        <v>4867</v>
      </c>
      <c r="B6051" s="45" t="s">
        <v>664</v>
      </c>
      <c r="C6051" s="60" t="s">
        <v>5615</v>
      </c>
      <c r="D6051" s="60"/>
      <c r="E6051" s="74">
        <v>2023</v>
      </c>
      <c r="F6051" s="74" t="s">
        <v>489</v>
      </c>
      <c r="G6051" s="61">
        <v>1</v>
      </c>
      <c r="H6051" s="61">
        <v>15</v>
      </c>
      <c r="I6051" s="61">
        <v>20.946999999999999</v>
      </c>
    </row>
    <row r="6052" spans="1:9" s="71" customFormat="1" ht="24" hidden="1" customHeight="1" outlineLevel="1" x14ac:dyDescent="0.25">
      <c r="A6052" s="74">
        <v>2399</v>
      </c>
      <c r="B6052" s="45" t="s">
        <v>664</v>
      </c>
      <c r="C6052" s="60" t="s">
        <v>5616</v>
      </c>
      <c r="D6052" s="60"/>
      <c r="E6052" s="74">
        <v>2023</v>
      </c>
      <c r="F6052" s="74" t="s">
        <v>489</v>
      </c>
      <c r="G6052" s="61">
        <v>1</v>
      </c>
      <c r="H6052" s="61">
        <v>15</v>
      </c>
      <c r="I6052" s="61">
        <v>74.427999999999997</v>
      </c>
    </row>
    <row r="6053" spans="1:9" s="71" customFormat="1" ht="24" hidden="1" customHeight="1" outlineLevel="1" x14ac:dyDescent="0.25">
      <c r="A6053" s="74">
        <v>4870</v>
      </c>
      <c r="B6053" s="45" t="s">
        <v>664</v>
      </c>
      <c r="C6053" s="60" t="s">
        <v>5617</v>
      </c>
      <c r="D6053" s="60"/>
      <c r="E6053" s="74">
        <v>2023</v>
      </c>
      <c r="F6053" s="74" t="s">
        <v>489</v>
      </c>
      <c r="G6053" s="61">
        <v>1</v>
      </c>
      <c r="H6053" s="61">
        <v>15</v>
      </c>
      <c r="I6053" s="61">
        <v>37.53</v>
      </c>
    </row>
    <row r="6054" spans="1:9" s="71" customFormat="1" ht="24" hidden="1" customHeight="1" outlineLevel="1" x14ac:dyDescent="0.25">
      <c r="A6054" s="74">
        <v>4872</v>
      </c>
      <c r="B6054" s="45" t="s">
        <v>664</v>
      </c>
      <c r="C6054" s="60" t="s">
        <v>5618</v>
      </c>
      <c r="D6054" s="60"/>
      <c r="E6054" s="74">
        <v>2023</v>
      </c>
      <c r="F6054" s="74" t="s">
        <v>489</v>
      </c>
      <c r="G6054" s="61">
        <v>1</v>
      </c>
      <c r="H6054" s="61">
        <v>15</v>
      </c>
      <c r="I6054" s="61">
        <v>48.061</v>
      </c>
    </row>
    <row r="6055" spans="1:9" s="71" customFormat="1" ht="24" hidden="1" customHeight="1" outlineLevel="1" x14ac:dyDescent="0.25">
      <c r="A6055" s="74">
        <v>4874</v>
      </c>
      <c r="B6055" s="45" t="s">
        <v>664</v>
      </c>
      <c r="C6055" s="60" t="s">
        <v>5619</v>
      </c>
      <c r="D6055" s="60"/>
      <c r="E6055" s="74">
        <v>2023</v>
      </c>
      <c r="F6055" s="74" t="s">
        <v>489</v>
      </c>
      <c r="G6055" s="61">
        <v>1</v>
      </c>
      <c r="H6055" s="61">
        <v>15</v>
      </c>
      <c r="I6055" s="61">
        <v>42.213000000000001</v>
      </c>
    </row>
    <row r="6056" spans="1:9" s="71" customFormat="1" ht="24" hidden="1" customHeight="1" outlineLevel="1" x14ac:dyDescent="0.25">
      <c r="A6056" s="74">
        <v>4875</v>
      </c>
      <c r="B6056" s="45" t="s">
        <v>664</v>
      </c>
      <c r="C6056" s="60" t="s">
        <v>5620</v>
      </c>
      <c r="D6056" s="60"/>
      <c r="E6056" s="74">
        <v>2023</v>
      </c>
      <c r="F6056" s="74" t="s">
        <v>489</v>
      </c>
      <c r="G6056" s="61">
        <v>1</v>
      </c>
      <c r="H6056" s="61">
        <v>15</v>
      </c>
      <c r="I6056" s="61">
        <v>41.005000000000003</v>
      </c>
    </row>
    <row r="6057" spans="1:9" s="71" customFormat="1" ht="24" hidden="1" customHeight="1" outlineLevel="1" x14ac:dyDescent="0.25">
      <c r="A6057" s="74">
        <v>4877</v>
      </c>
      <c r="B6057" s="45" t="s">
        <v>664</v>
      </c>
      <c r="C6057" s="60" t="s">
        <v>5621</v>
      </c>
      <c r="D6057" s="60"/>
      <c r="E6057" s="74">
        <v>2023</v>
      </c>
      <c r="F6057" s="74" t="s">
        <v>489</v>
      </c>
      <c r="G6057" s="61">
        <v>1</v>
      </c>
      <c r="H6057" s="61">
        <v>15</v>
      </c>
      <c r="I6057" s="61">
        <v>40.799999999999997</v>
      </c>
    </row>
    <row r="6058" spans="1:9" s="71" customFormat="1" ht="24" hidden="1" customHeight="1" outlineLevel="1" x14ac:dyDescent="0.25">
      <c r="A6058" s="74">
        <v>4878</v>
      </c>
      <c r="B6058" s="45" t="s">
        <v>664</v>
      </c>
      <c r="C6058" s="60" t="s">
        <v>5622</v>
      </c>
      <c r="D6058" s="60"/>
      <c r="E6058" s="74">
        <v>2023</v>
      </c>
      <c r="F6058" s="74" t="s">
        <v>489</v>
      </c>
      <c r="G6058" s="61">
        <v>1</v>
      </c>
      <c r="H6058" s="61">
        <v>13</v>
      </c>
      <c r="I6058" s="61">
        <v>45.978999999999999</v>
      </c>
    </row>
    <row r="6059" spans="1:9" s="71" customFormat="1" ht="24" hidden="1" customHeight="1" outlineLevel="1" x14ac:dyDescent="0.25">
      <c r="A6059" s="74">
        <v>4879</v>
      </c>
      <c r="B6059" s="45" t="s">
        <v>664</v>
      </c>
      <c r="C6059" s="60" t="s">
        <v>5623</v>
      </c>
      <c r="D6059" s="60"/>
      <c r="E6059" s="74">
        <v>2023</v>
      </c>
      <c r="F6059" s="74" t="s">
        <v>489</v>
      </c>
      <c r="G6059" s="61">
        <v>1</v>
      </c>
      <c r="H6059" s="61">
        <v>15</v>
      </c>
      <c r="I6059" s="61">
        <v>40.799999999999997</v>
      </c>
    </row>
    <row r="6060" spans="1:9" s="71" customFormat="1" ht="24" hidden="1" customHeight="1" outlineLevel="1" x14ac:dyDescent="0.25">
      <c r="A6060" s="74">
        <v>4880</v>
      </c>
      <c r="B6060" s="45" t="s">
        <v>664</v>
      </c>
      <c r="C6060" s="60" t="s">
        <v>5624</v>
      </c>
      <c r="D6060" s="60"/>
      <c r="E6060" s="74">
        <v>2023</v>
      </c>
      <c r="F6060" s="74" t="s">
        <v>489</v>
      </c>
      <c r="G6060" s="61">
        <v>1</v>
      </c>
      <c r="H6060" s="61">
        <v>7.5</v>
      </c>
      <c r="I6060" s="61">
        <v>101.56100000000001</v>
      </c>
    </row>
    <row r="6061" spans="1:9" s="71" customFormat="1" ht="24" hidden="1" customHeight="1" outlineLevel="1" x14ac:dyDescent="0.25">
      <c r="A6061" s="74">
        <v>4881</v>
      </c>
      <c r="B6061" s="45" t="s">
        <v>664</v>
      </c>
      <c r="C6061" s="60" t="s">
        <v>5625</v>
      </c>
      <c r="D6061" s="60"/>
      <c r="E6061" s="74">
        <v>2023</v>
      </c>
      <c r="F6061" s="74" t="s">
        <v>489</v>
      </c>
      <c r="G6061" s="61">
        <v>1</v>
      </c>
      <c r="H6061" s="61">
        <v>7.5</v>
      </c>
      <c r="I6061" s="61">
        <v>50.404000000000003</v>
      </c>
    </row>
    <row r="6062" spans="1:9" s="71" customFormat="1" ht="24" hidden="1" customHeight="1" outlineLevel="1" x14ac:dyDescent="0.25">
      <c r="A6062" s="74">
        <v>4882</v>
      </c>
      <c r="B6062" s="45" t="s">
        <v>664</v>
      </c>
      <c r="C6062" s="60" t="s">
        <v>5626</v>
      </c>
      <c r="D6062" s="60"/>
      <c r="E6062" s="74">
        <v>2023</v>
      </c>
      <c r="F6062" s="74" t="s">
        <v>489</v>
      </c>
      <c r="G6062" s="61">
        <v>1</v>
      </c>
      <c r="H6062" s="61">
        <v>8.8000000000000007</v>
      </c>
      <c r="I6062" s="61">
        <v>39.058999999999997</v>
      </c>
    </row>
    <row r="6063" spans="1:9" s="71" customFormat="1" ht="24" hidden="1" customHeight="1" outlineLevel="1" x14ac:dyDescent="0.25">
      <c r="A6063" s="74">
        <v>4883</v>
      </c>
      <c r="B6063" s="45" t="s">
        <v>664</v>
      </c>
      <c r="C6063" s="60" t="s">
        <v>5627</v>
      </c>
      <c r="D6063" s="60"/>
      <c r="E6063" s="74">
        <v>2023</v>
      </c>
      <c r="F6063" s="74" t="s">
        <v>489</v>
      </c>
      <c r="G6063" s="61">
        <v>1</v>
      </c>
      <c r="H6063" s="61">
        <v>7</v>
      </c>
      <c r="I6063" s="61">
        <v>39.058999999999997</v>
      </c>
    </row>
    <row r="6064" spans="1:9" s="71" customFormat="1" ht="24" hidden="1" customHeight="1" outlineLevel="1" x14ac:dyDescent="0.25">
      <c r="A6064" s="74">
        <v>2652</v>
      </c>
      <c r="B6064" s="45" t="s">
        <v>664</v>
      </c>
      <c r="C6064" s="60" t="s">
        <v>5628</v>
      </c>
      <c r="D6064" s="60"/>
      <c r="E6064" s="74">
        <v>2023</v>
      </c>
      <c r="F6064" s="74" t="s">
        <v>489</v>
      </c>
      <c r="G6064" s="61">
        <v>1</v>
      </c>
      <c r="H6064" s="61">
        <v>15</v>
      </c>
      <c r="I6064" s="61">
        <v>41.917999999999999</v>
      </c>
    </row>
    <row r="6065" spans="1:9" s="71" customFormat="1" ht="24" hidden="1" customHeight="1" outlineLevel="1" x14ac:dyDescent="0.25">
      <c r="A6065" s="74">
        <v>4884</v>
      </c>
      <c r="B6065" s="45" t="s">
        <v>664</v>
      </c>
      <c r="C6065" s="60" t="s">
        <v>5629</v>
      </c>
      <c r="D6065" s="60"/>
      <c r="E6065" s="74">
        <v>2023</v>
      </c>
      <c r="F6065" s="74" t="s">
        <v>489</v>
      </c>
      <c r="G6065" s="61">
        <v>1</v>
      </c>
      <c r="H6065" s="61">
        <v>15</v>
      </c>
      <c r="I6065" s="61">
        <v>38.017000000000003</v>
      </c>
    </row>
    <row r="6066" spans="1:9" s="71" customFormat="1" ht="24" hidden="1" customHeight="1" outlineLevel="1" x14ac:dyDescent="0.25">
      <c r="A6066" s="74">
        <v>4887</v>
      </c>
      <c r="B6066" s="45" t="s">
        <v>664</v>
      </c>
      <c r="C6066" s="60" t="s">
        <v>5630</v>
      </c>
      <c r="D6066" s="60"/>
      <c r="E6066" s="74">
        <v>2023</v>
      </c>
      <c r="F6066" s="74" t="s">
        <v>489</v>
      </c>
      <c r="G6066" s="61">
        <v>1</v>
      </c>
      <c r="H6066" s="61">
        <v>15</v>
      </c>
      <c r="I6066" s="61">
        <v>38.42</v>
      </c>
    </row>
    <row r="6067" spans="1:9" s="71" customFormat="1" ht="24" hidden="1" customHeight="1" outlineLevel="1" x14ac:dyDescent="0.25">
      <c r="A6067" s="74">
        <v>4888</v>
      </c>
      <c r="B6067" s="45" t="s">
        <v>664</v>
      </c>
      <c r="C6067" s="60" t="s">
        <v>5631</v>
      </c>
      <c r="D6067" s="60"/>
      <c r="E6067" s="74">
        <v>2023</v>
      </c>
      <c r="F6067" s="74" t="s">
        <v>489</v>
      </c>
      <c r="G6067" s="61">
        <v>1</v>
      </c>
      <c r="H6067" s="61">
        <v>10</v>
      </c>
      <c r="I6067" s="61">
        <v>82.721000000000004</v>
      </c>
    </row>
    <row r="6068" spans="1:9" s="71" customFormat="1" ht="24" hidden="1" customHeight="1" outlineLevel="1" x14ac:dyDescent="0.25">
      <c r="A6068" s="74">
        <v>2675</v>
      </c>
      <c r="B6068" s="45" t="s">
        <v>664</v>
      </c>
      <c r="C6068" s="60" t="s">
        <v>5632</v>
      </c>
      <c r="D6068" s="60"/>
      <c r="E6068" s="74">
        <v>2023</v>
      </c>
      <c r="F6068" s="74" t="s">
        <v>489</v>
      </c>
      <c r="G6068" s="61">
        <v>1</v>
      </c>
      <c r="H6068" s="61">
        <v>8</v>
      </c>
      <c r="I6068" s="61">
        <v>44.789000000000001</v>
      </c>
    </row>
    <row r="6069" spans="1:9" s="71" customFormat="1" ht="24" hidden="1" customHeight="1" outlineLevel="1" x14ac:dyDescent="0.25">
      <c r="A6069" s="74">
        <v>4889</v>
      </c>
      <c r="B6069" s="45" t="s">
        <v>664</v>
      </c>
      <c r="C6069" s="60" t="s">
        <v>5633</v>
      </c>
      <c r="D6069" s="60"/>
      <c r="E6069" s="74">
        <v>2023</v>
      </c>
      <c r="F6069" s="74" t="s">
        <v>489</v>
      </c>
      <c r="G6069" s="61">
        <v>1</v>
      </c>
      <c r="H6069" s="61">
        <v>15</v>
      </c>
      <c r="I6069" s="61">
        <v>42.627000000000002</v>
      </c>
    </row>
    <row r="6070" spans="1:9" s="71" customFormat="1" ht="24" hidden="1" customHeight="1" outlineLevel="1" x14ac:dyDescent="0.25">
      <c r="A6070" s="74">
        <v>4890</v>
      </c>
      <c r="B6070" s="45" t="s">
        <v>664</v>
      </c>
      <c r="C6070" s="60" t="s">
        <v>5634</v>
      </c>
      <c r="D6070" s="60"/>
      <c r="E6070" s="74">
        <v>2023</v>
      </c>
      <c r="F6070" s="74" t="s">
        <v>489</v>
      </c>
      <c r="G6070" s="61">
        <v>1</v>
      </c>
      <c r="H6070" s="61">
        <v>31</v>
      </c>
      <c r="I6070" s="61">
        <v>39.307000000000002</v>
      </c>
    </row>
    <row r="6071" spans="1:9" s="71" customFormat="1" ht="24" hidden="1" customHeight="1" outlineLevel="1" x14ac:dyDescent="0.25">
      <c r="A6071" s="74">
        <v>4891</v>
      </c>
      <c r="B6071" s="45" t="s">
        <v>664</v>
      </c>
      <c r="C6071" s="60" t="s">
        <v>5635</v>
      </c>
      <c r="D6071" s="60"/>
      <c r="E6071" s="74">
        <v>2023</v>
      </c>
      <c r="F6071" s="74" t="s">
        <v>489</v>
      </c>
      <c r="G6071" s="61">
        <v>1</v>
      </c>
      <c r="H6071" s="61">
        <v>7.5</v>
      </c>
      <c r="I6071" s="61">
        <v>39.353999999999999</v>
      </c>
    </row>
    <row r="6072" spans="1:9" s="71" customFormat="1" ht="24" hidden="1" customHeight="1" outlineLevel="1" x14ac:dyDescent="0.25">
      <c r="A6072" s="74">
        <v>3333</v>
      </c>
      <c r="B6072" s="45" t="s">
        <v>664</v>
      </c>
      <c r="C6072" s="60" t="s">
        <v>5636</v>
      </c>
      <c r="D6072" s="60"/>
      <c r="E6072" s="74">
        <v>2023</v>
      </c>
      <c r="F6072" s="74" t="s">
        <v>489</v>
      </c>
      <c r="G6072" s="61">
        <v>1</v>
      </c>
      <c r="H6072" s="61">
        <v>15</v>
      </c>
      <c r="I6072" s="61">
        <v>90.56</v>
      </c>
    </row>
    <row r="6073" spans="1:9" s="71" customFormat="1" ht="24" hidden="1" customHeight="1" outlineLevel="1" x14ac:dyDescent="0.25">
      <c r="A6073" s="74">
        <v>4896</v>
      </c>
      <c r="B6073" s="45" t="s">
        <v>664</v>
      </c>
      <c r="C6073" s="60" t="s">
        <v>5637</v>
      </c>
      <c r="D6073" s="60"/>
      <c r="E6073" s="74">
        <v>2023</v>
      </c>
      <c r="F6073" s="74" t="s">
        <v>489</v>
      </c>
      <c r="G6073" s="61">
        <v>1</v>
      </c>
      <c r="H6073" s="61">
        <v>80</v>
      </c>
      <c r="I6073" s="61">
        <v>25.547000000000001</v>
      </c>
    </row>
    <row r="6074" spans="1:9" s="71" customFormat="1" ht="24" hidden="1" customHeight="1" outlineLevel="1" x14ac:dyDescent="0.25">
      <c r="A6074" s="74">
        <v>4902</v>
      </c>
      <c r="B6074" s="45" t="s">
        <v>664</v>
      </c>
      <c r="C6074" s="60" t="s">
        <v>5638</v>
      </c>
      <c r="D6074" s="60"/>
      <c r="E6074" s="74">
        <v>2023</v>
      </c>
      <c r="F6074" s="74" t="s">
        <v>489</v>
      </c>
      <c r="G6074" s="61">
        <v>1</v>
      </c>
      <c r="H6074" s="61">
        <v>7.5</v>
      </c>
      <c r="I6074" s="61">
        <v>41.192999999999998</v>
      </c>
    </row>
    <row r="6075" spans="1:9" s="71" customFormat="1" ht="24" hidden="1" customHeight="1" outlineLevel="1" x14ac:dyDescent="0.25">
      <c r="A6075" s="74">
        <v>4904</v>
      </c>
      <c r="B6075" s="45" t="s">
        <v>664</v>
      </c>
      <c r="C6075" s="60" t="s">
        <v>5639</v>
      </c>
      <c r="D6075" s="60"/>
      <c r="E6075" s="74">
        <v>2023</v>
      </c>
      <c r="F6075" s="74" t="s">
        <v>489</v>
      </c>
      <c r="G6075" s="61">
        <v>1</v>
      </c>
      <c r="H6075" s="61">
        <v>15</v>
      </c>
      <c r="I6075" s="61">
        <v>121.619</v>
      </c>
    </row>
    <row r="6076" spans="1:9" s="71" customFormat="1" ht="24" hidden="1" customHeight="1" outlineLevel="1" x14ac:dyDescent="0.25">
      <c r="A6076" s="74">
        <v>4909</v>
      </c>
      <c r="B6076" s="45" t="s">
        <v>664</v>
      </c>
      <c r="C6076" s="60" t="s">
        <v>5640</v>
      </c>
      <c r="D6076" s="60"/>
      <c r="E6076" s="74">
        <v>2023</v>
      </c>
      <c r="F6076" s="74" t="s">
        <v>489</v>
      </c>
      <c r="G6076" s="61">
        <v>1</v>
      </c>
      <c r="H6076" s="61">
        <v>15</v>
      </c>
      <c r="I6076" s="61">
        <v>42.628999999999998</v>
      </c>
    </row>
    <row r="6077" spans="1:9" s="71" customFormat="1" ht="24" hidden="1" customHeight="1" outlineLevel="1" x14ac:dyDescent="0.25">
      <c r="A6077" s="74">
        <v>4910</v>
      </c>
      <c r="B6077" s="45" t="s">
        <v>664</v>
      </c>
      <c r="C6077" s="60" t="s">
        <v>5641</v>
      </c>
      <c r="D6077" s="60"/>
      <c r="E6077" s="74">
        <v>2023</v>
      </c>
      <c r="F6077" s="74" t="s">
        <v>489</v>
      </c>
      <c r="G6077" s="61">
        <v>1</v>
      </c>
      <c r="H6077" s="61">
        <v>7.5</v>
      </c>
      <c r="I6077" s="61">
        <v>22.263000000000002</v>
      </c>
    </row>
    <row r="6078" spans="1:9" s="71" customFormat="1" ht="24" hidden="1" customHeight="1" outlineLevel="1" x14ac:dyDescent="0.25">
      <c r="A6078" s="74">
        <v>4912</v>
      </c>
      <c r="B6078" s="45" t="s">
        <v>664</v>
      </c>
      <c r="C6078" s="60" t="s">
        <v>5642</v>
      </c>
      <c r="D6078" s="60"/>
      <c r="E6078" s="74">
        <v>2023</v>
      </c>
      <c r="F6078" s="74" t="s">
        <v>489</v>
      </c>
      <c r="G6078" s="61">
        <v>1</v>
      </c>
      <c r="H6078" s="61">
        <v>10</v>
      </c>
      <c r="I6078" s="61">
        <v>43.554000000000002</v>
      </c>
    </row>
    <row r="6079" spans="1:9" s="71" customFormat="1" ht="24" hidden="1" customHeight="1" outlineLevel="1" x14ac:dyDescent="0.25">
      <c r="A6079" s="74">
        <v>2790</v>
      </c>
      <c r="B6079" s="45" t="s">
        <v>664</v>
      </c>
      <c r="C6079" s="60" t="s">
        <v>5643</v>
      </c>
      <c r="D6079" s="60"/>
      <c r="E6079" s="74">
        <v>2023</v>
      </c>
      <c r="F6079" s="74" t="s">
        <v>489</v>
      </c>
      <c r="G6079" s="61">
        <v>1</v>
      </c>
      <c r="H6079" s="61">
        <v>15</v>
      </c>
      <c r="I6079" s="61">
        <v>38.462000000000003</v>
      </c>
    </row>
    <row r="6080" spans="1:9" s="71" customFormat="1" ht="24" hidden="1" customHeight="1" outlineLevel="1" x14ac:dyDescent="0.25">
      <c r="A6080" s="74">
        <v>2802</v>
      </c>
      <c r="B6080" s="45" t="s">
        <v>664</v>
      </c>
      <c r="C6080" s="60" t="s">
        <v>5644</v>
      </c>
      <c r="D6080" s="60"/>
      <c r="E6080" s="74">
        <v>2023</v>
      </c>
      <c r="F6080" s="74" t="s">
        <v>489</v>
      </c>
      <c r="G6080" s="61">
        <v>1</v>
      </c>
      <c r="H6080" s="61">
        <v>10</v>
      </c>
      <c r="I6080" s="61">
        <v>40.399000000000001</v>
      </c>
    </row>
    <row r="6081" spans="1:9" s="71" customFormat="1" ht="24" hidden="1" customHeight="1" outlineLevel="1" x14ac:dyDescent="0.25">
      <c r="A6081" s="74">
        <v>4914</v>
      </c>
      <c r="B6081" s="45" t="s">
        <v>664</v>
      </c>
      <c r="C6081" s="60" t="s">
        <v>5645</v>
      </c>
      <c r="D6081" s="60"/>
      <c r="E6081" s="74">
        <v>2023</v>
      </c>
      <c r="F6081" s="74" t="s">
        <v>489</v>
      </c>
      <c r="G6081" s="61">
        <v>1</v>
      </c>
      <c r="H6081" s="61">
        <v>15</v>
      </c>
      <c r="I6081" s="61">
        <v>45.273000000000003</v>
      </c>
    </row>
    <row r="6082" spans="1:9" s="71" customFormat="1" ht="24" hidden="1" customHeight="1" outlineLevel="1" x14ac:dyDescent="0.25">
      <c r="A6082" s="74">
        <v>4915</v>
      </c>
      <c r="B6082" s="45" t="s">
        <v>664</v>
      </c>
      <c r="C6082" s="60" t="s">
        <v>5646</v>
      </c>
      <c r="D6082" s="60"/>
      <c r="E6082" s="74">
        <v>2023</v>
      </c>
      <c r="F6082" s="74" t="s">
        <v>489</v>
      </c>
      <c r="G6082" s="61">
        <v>1</v>
      </c>
      <c r="H6082" s="61">
        <v>10</v>
      </c>
      <c r="I6082" s="61">
        <v>45.274000000000001</v>
      </c>
    </row>
    <row r="6083" spans="1:9" s="71" customFormat="1" ht="24" hidden="1" customHeight="1" outlineLevel="1" x14ac:dyDescent="0.25">
      <c r="A6083" s="74">
        <v>4922</v>
      </c>
      <c r="B6083" s="45" t="s">
        <v>664</v>
      </c>
      <c r="C6083" s="60" t="s">
        <v>5647</v>
      </c>
      <c r="D6083" s="60"/>
      <c r="E6083" s="74">
        <v>2023</v>
      </c>
      <c r="F6083" s="74" t="s">
        <v>489</v>
      </c>
      <c r="G6083" s="61">
        <v>1</v>
      </c>
      <c r="H6083" s="61">
        <v>15</v>
      </c>
      <c r="I6083" s="61">
        <v>44.344000000000001</v>
      </c>
    </row>
    <row r="6084" spans="1:9" s="71" customFormat="1" ht="24" hidden="1" customHeight="1" outlineLevel="1" x14ac:dyDescent="0.25">
      <c r="A6084" s="74">
        <v>280</v>
      </c>
      <c r="B6084" s="45" t="s">
        <v>664</v>
      </c>
      <c r="C6084" s="60" t="s">
        <v>5648</v>
      </c>
      <c r="D6084" s="60"/>
      <c r="E6084" s="74">
        <v>2023</v>
      </c>
      <c r="F6084" s="74" t="s">
        <v>489</v>
      </c>
      <c r="G6084" s="61">
        <v>1</v>
      </c>
      <c r="H6084" s="61">
        <v>15</v>
      </c>
      <c r="I6084" s="61">
        <v>30.437799999999999</v>
      </c>
    </row>
    <row r="6085" spans="1:9" s="71" customFormat="1" ht="24" hidden="1" customHeight="1" outlineLevel="1" x14ac:dyDescent="0.25">
      <c r="A6085" s="74">
        <v>4277</v>
      </c>
      <c r="B6085" s="45" t="s">
        <v>664</v>
      </c>
      <c r="C6085" s="60" t="s">
        <v>5649</v>
      </c>
      <c r="D6085" s="60"/>
      <c r="E6085" s="74">
        <v>2023</v>
      </c>
      <c r="F6085" s="74" t="s">
        <v>489</v>
      </c>
      <c r="G6085" s="61">
        <v>1</v>
      </c>
      <c r="H6085" s="61">
        <v>9</v>
      </c>
      <c r="I6085" s="61">
        <v>35.631820000000005</v>
      </c>
    </row>
    <row r="6086" spans="1:9" s="71" customFormat="1" ht="24" hidden="1" customHeight="1" outlineLevel="1" x14ac:dyDescent="0.25">
      <c r="A6086" s="74">
        <v>4273</v>
      </c>
      <c r="B6086" s="45" t="s">
        <v>664</v>
      </c>
      <c r="C6086" s="60" t="s">
        <v>5650</v>
      </c>
      <c r="D6086" s="60"/>
      <c r="E6086" s="74">
        <v>2023</v>
      </c>
      <c r="F6086" s="74" t="s">
        <v>489</v>
      </c>
      <c r="G6086" s="61">
        <v>1</v>
      </c>
      <c r="H6086" s="61">
        <v>5</v>
      </c>
      <c r="I6086" s="61">
        <v>35.631770000000003</v>
      </c>
    </row>
    <row r="6087" spans="1:9" s="71" customFormat="1" ht="24" hidden="1" customHeight="1" outlineLevel="1" x14ac:dyDescent="0.25">
      <c r="A6087" s="74">
        <v>4272</v>
      </c>
      <c r="B6087" s="45" t="s">
        <v>664</v>
      </c>
      <c r="C6087" s="60" t="s">
        <v>5651</v>
      </c>
      <c r="D6087" s="60"/>
      <c r="E6087" s="74">
        <v>2023</v>
      </c>
      <c r="F6087" s="74" t="s">
        <v>489</v>
      </c>
      <c r="G6087" s="61">
        <v>1</v>
      </c>
      <c r="H6087" s="61">
        <v>4.9000000000000004</v>
      </c>
      <c r="I6087" s="61">
        <v>35.631790000000002</v>
      </c>
    </row>
    <row r="6088" spans="1:9" s="71" customFormat="1" ht="24" hidden="1" customHeight="1" outlineLevel="1" x14ac:dyDescent="0.25">
      <c r="A6088" s="74">
        <v>4273</v>
      </c>
      <c r="B6088" s="45" t="s">
        <v>664</v>
      </c>
      <c r="C6088" s="60" t="s">
        <v>5652</v>
      </c>
      <c r="D6088" s="60"/>
      <c r="E6088" s="74">
        <v>2023</v>
      </c>
      <c r="F6088" s="74" t="s">
        <v>489</v>
      </c>
      <c r="G6088" s="61">
        <v>1</v>
      </c>
      <c r="H6088" s="61">
        <v>2.4</v>
      </c>
      <c r="I6088" s="61">
        <v>35.631770000000003</v>
      </c>
    </row>
    <row r="6089" spans="1:9" s="71" customFormat="1" ht="24" hidden="1" customHeight="1" outlineLevel="1" x14ac:dyDescent="0.25">
      <c r="A6089" s="74">
        <v>4276</v>
      </c>
      <c r="B6089" s="45" t="s">
        <v>664</v>
      </c>
      <c r="C6089" s="60" t="s">
        <v>5653</v>
      </c>
      <c r="D6089" s="60"/>
      <c r="E6089" s="74">
        <v>2023</v>
      </c>
      <c r="F6089" s="74" t="s">
        <v>489</v>
      </c>
      <c r="G6089" s="61">
        <v>1</v>
      </c>
      <c r="H6089" s="61">
        <v>15</v>
      </c>
      <c r="I6089" s="61">
        <v>35.887220000000006</v>
      </c>
    </row>
    <row r="6090" spans="1:9" s="71" customFormat="1" ht="24" hidden="1" customHeight="1" outlineLevel="1" x14ac:dyDescent="0.25">
      <c r="A6090" s="74">
        <v>4276</v>
      </c>
      <c r="B6090" s="45" t="s">
        <v>664</v>
      </c>
      <c r="C6090" s="60" t="s">
        <v>5654</v>
      </c>
      <c r="D6090" s="60"/>
      <c r="E6090" s="74">
        <v>2023</v>
      </c>
      <c r="F6090" s="74" t="s">
        <v>489</v>
      </c>
      <c r="G6090" s="61">
        <v>1</v>
      </c>
      <c r="H6090" s="61">
        <v>15</v>
      </c>
      <c r="I6090" s="61">
        <v>35.887220000000006</v>
      </c>
    </row>
    <row r="6091" spans="1:9" s="71" customFormat="1" ht="24" hidden="1" customHeight="1" outlineLevel="1" x14ac:dyDescent="0.25">
      <c r="A6091" s="74">
        <v>4276</v>
      </c>
      <c r="B6091" s="45" t="s">
        <v>664</v>
      </c>
      <c r="C6091" s="60" t="s">
        <v>5655</v>
      </c>
      <c r="D6091" s="60"/>
      <c r="E6091" s="74">
        <v>2023</v>
      </c>
      <c r="F6091" s="74" t="s">
        <v>489</v>
      </c>
      <c r="G6091" s="61">
        <v>1</v>
      </c>
      <c r="H6091" s="61">
        <v>15</v>
      </c>
      <c r="I6091" s="61">
        <v>35.887220000000006</v>
      </c>
    </row>
    <row r="6092" spans="1:9" s="71" customFormat="1" ht="24" hidden="1" customHeight="1" outlineLevel="1" x14ac:dyDescent="0.25">
      <c r="A6092" s="74">
        <v>4271</v>
      </c>
      <c r="B6092" s="45" t="s">
        <v>664</v>
      </c>
      <c r="C6092" s="60" t="s">
        <v>5656</v>
      </c>
      <c r="D6092" s="60"/>
      <c r="E6092" s="74">
        <v>2023</v>
      </c>
      <c r="F6092" s="74" t="s">
        <v>489</v>
      </c>
      <c r="G6092" s="61">
        <v>1</v>
      </c>
      <c r="H6092" s="61">
        <v>9</v>
      </c>
      <c r="I6092" s="61">
        <v>41.752809999999997</v>
      </c>
    </row>
    <row r="6093" spans="1:9" s="71" customFormat="1" ht="24" hidden="1" customHeight="1" outlineLevel="1" x14ac:dyDescent="0.25">
      <c r="A6093" s="74">
        <v>412</v>
      </c>
      <c r="B6093" s="45" t="s">
        <v>664</v>
      </c>
      <c r="C6093" s="60" t="s">
        <v>5657</v>
      </c>
      <c r="D6093" s="60"/>
      <c r="E6093" s="74">
        <v>2023</v>
      </c>
      <c r="F6093" s="74" t="s">
        <v>489</v>
      </c>
      <c r="G6093" s="61">
        <v>1</v>
      </c>
      <c r="H6093" s="61">
        <v>15</v>
      </c>
      <c r="I6093" s="61">
        <v>50.940869999999997</v>
      </c>
    </row>
    <row r="6094" spans="1:9" s="71" customFormat="1" ht="24" hidden="1" customHeight="1" outlineLevel="1" x14ac:dyDescent="0.25">
      <c r="A6094" s="74">
        <v>1095</v>
      </c>
      <c r="B6094" s="45" t="s">
        <v>664</v>
      </c>
      <c r="C6094" s="60" t="s">
        <v>5658</v>
      </c>
      <c r="D6094" s="60"/>
      <c r="E6094" s="74">
        <v>2023</v>
      </c>
      <c r="F6094" s="74" t="s">
        <v>489</v>
      </c>
      <c r="G6094" s="61">
        <v>1</v>
      </c>
      <c r="H6094" s="61">
        <v>9</v>
      </c>
      <c r="I6094" s="61">
        <v>36.944929999999999</v>
      </c>
    </row>
    <row r="6095" spans="1:9" s="71" customFormat="1" ht="24" hidden="1" customHeight="1" outlineLevel="1" x14ac:dyDescent="0.25">
      <c r="A6095" s="74">
        <v>4279</v>
      </c>
      <c r="B6095" s="45" t="s">
        <v>664</v>
      </c>
      <c r="C6095" s="60" t="s">
        <v>5659</v>
      </c>
      <c r="D6095" s="60"/>
      <c r="E6095" s="74">
        <v>2023</v>
      </c>
      <c r="F6095" s="74" t="s">
        <v>489</v>
      </c>
      <c r="G6095" s="61">
        <v>1</v>
      </c>
      <c r="H6095" s="61">
        <v>15</v>
      </c>
      <c r="I6095" s="61">
        <v>36.666019999999996</v>
      </c>
    </row>
    <row r="6096" spans="1:9" s="71" customFormat="1" ht="24" hidden="1" customHeight="1" outlineLevel="1" x14ac:dyDescent="0.25">
      <c r="A6096" s="74">
        <v>930</v>
      </c>
      <c r="B6096" s="45" t="s">
        <v>664</v>
      </c>
      <c r="C6096" s="60" t="s">
        <v>5660</v>
      </c>
      <c r="D6096" s="60"/>
      <c r="E6096" s="74">
        <v>2023</v>
      </c>
      <c r="F6096" s="74" t="s">
        <v>489</v>
      </c>
      <c r="G6096" s="61">
        <v>1</v>
      </c>
      <c r="H6096" s="61">
        <v>15</v>
      </c>
      <c r="I6096" s="61">
        <v>46.296209999999995</v>
      </c>
    </row>
    <row r="6097" spans="1:9" s="71" customFormat="1" ht="24" hidden="1" customHeight="1" outlineLevel="1" x14ac:dyDescent="0.25">
      <c r="A6097" s="74">
        <v>402</v>
      </c>
      <c r="B6097" s="45" t="s">
        <v>664</v>
      </c>
      <c r="C6097" s="60" t="s">
        <v>5661</v>
      </c>
      <c r="D6097" s="60"/>
      <c r="E6097" s="74">
        <v>2023</v>
      </c>
      <c r="F6097" s="74" t="s">
        <v>489</v>
      </c>
      <c r="G6097" s="61">
        <v>1</v>
      </c>
      <c r="H6097" s="61">
        <v>15</v>
      </c>
      <c r="I6097" s="61">
        <v>48.210790000000003</v>
      </c>
    </row>
    <row r="6098" spans="1:9" s="71" customFormat="1" ht="24" hidden="1" customHeight="1" outlineLevel="1" x14ac:dyDescent="0.25">
      <c r="A6098" s="74">
        <v>3234</v>
      </c>
      <c r="B6098" s="45" t="s">
        <v>664</v>
      </c>
      <c r="C6098" s="60" t="s">
        <v>5662</v>
      </c>
      <c r="D6098" s="60"/>
      <c r="E6098" s="74">
        <v>2023</v>
      </c>
      <c r="F6098" s="74" t="s">
        <v>489</v>
      </c>
      <c r="G6098" s="61">
        <v>1</v>
      </c>
      <c r="H6098" s="61">
        <v>15</v>
      </c>
      <c r="I6098" s="61">
        <v>45.075450000000004</v>
      </c>
    </row>
    <row r="6099" spans="1:9" s="71" customFormat="1" ht="24" hidden="1" customHeight="1" outlineLevel="1" x14ac:dyDescent="0.25">
      <c r="A6099" s="74">
        <v>3343</v>
      </c>
      <c r="B6099" s="45" t="s">
        <v>664</v>
      </c>
      <c r="C6099" s="60" t="s">
        <v>197</v>
      </c>
      <c r="D6099" s="60"/>
      <c r="E6099" s="74">
        <v>2023</v>
      </c>
      <c r="F6099" s="74" t="s">
        <v>489</v>
      </c>
      <c r="G6099" s="61">
        <v>2</v>
      </c>
      <c r="H6099" s="61">
        <v>150</v>
      </c>
      <c r="I6099" s="61">
        <v>122.36856999999999</v>
      </c>
    </row>
    <row r="6100" spans="1:9" s="71" customFormat="1" ht="24" hidden="1" customHeight="1" outlineLevel="1" x14ac:dyDescent="0.25">
      <c r="A6100" s="74">
        <v>821</v>
      </c>
      <c r="B6100" s="45" t="s">
        <v>664</v>
      </c>
      <c r="C6100" s="60" t="s">
        <v>5663</v>
      </c>
      <c r="D6100" s="60"/>
      <c r="E6100" s="74">
        <v>2023</v>
      </c>
      <c r="F6100" s="74" t="s">
        <v>489</v>
      </c>
      <c r="G6100" s="61">
        <v>1</v>
      </c>
      <c r="H6100" s="61">
        <v>15</v>
      </c>
      <c r="I6100" s="61">
        <v>54.930510000000005</v>
      </c>
    </row>
    <row r="6101" spans="1:9" s="71" customFormat="1" ht="24" hidden="1" customHeight="1" outlineLevel="1" x14ac:dyDescent="0.25">
      <c r="A6101" s="74">
        <v>809</v>
      </c>
      <c r="B6101" s="45" t="s">
        <v>664</v>
      </c>
      <c r="C6101" s="60" t="s">
        <v>5664</v>
      </c>
      <c r="D6101" s="60"/>
      <c r="E6101" s="74">
        <v>2023</v>
      </c>
      <c r="F6101" s="74" t="s">
        <v>489</v>
      </c>
      <c r="G6101" s="61">
        <v>1</v>
      </c>
      <c r="H6101" s="61">
        <v>15</v>
      </c>
      <c r="I6101" s="61">
        <v>55.780030000000004</v>
      </c>
    </row>
    <row r="6102" spans="1:9" s="71" customFormat="1" ht="24" hidden="1" customHeight="1" outlineLevel="1" x14ac:dyDescent="0.25">
      <c r="A6102" s="74">
        <v>3267</v>
      </c>
      <c r="B6102" s="45" t="s">
        <v>664</v>
      </c>
      <c r="C6102" s="60" t="s">
        <v>5665</v>
      </c>
      <c r="D6102" s="60"/>
      <c r="E6102" s="74">
        <v>2023</v>
      </c>
      <c r="F6102" s="74" t="s">
        <v>489</v>
      </c>
      <c r="G6102" s="61">
        <v>1</v>
      </c>
      <c r="H6102" s="122">
        <v>10.5</v>
      </c>
      <c r="I6102" s="61">
        <v>47.764490000000002</v>
      </c>
    </row>
    <row r="6103" spans="1:9" s="71" customFormat="1" ht="24" hidden="1" customHeight="1" outlineLevel="1" x14ac:dyDescent="0.25">
      <c r="A6103" s="74">
        <v>3035</v>
      </c>
      <c r="B6103" s="45" t="s">
        <v>664</v>
      </c>
      <c r="C6103" s="60" t="s">
        <v>198</v>
      </c>
      <c r="D6103" s="60"/>
      <c r="E6103" s="74">
        <v>2023</v>
      </c>
      <c r="F6103" s="74" t="s">
        <v>489</v>
      </c>
      <c r="G6103" s="61">
        <v>2</v>
      </c>
      <c r="H6103" s="61">
        <v>120</v>
      </c>
      <c r="I6103" s="61">
        <v>159.23203000000001</v>
      </c>
    </row>
    <row r="6104" spans="1:9" s="71" customFormat="1" ht="24" hidden="1" customHeight="1" outlineLevel="1" x14ac:dyDescent="0.25">
      <c r="A6104" s="74">
        <v>3029</v>
      </c>
      <c r="B6104" s="45" t="s">
        <v>664</v>
      </c>
      <c r="C6104" s="60" t="s">
        <v>5666</v>
      </c>
      <c r="D6104" s="60"/>
      <c r="E6104" s="74">
        <v>2023</v>
      </c>
      <c r="F6104" s="74" t="s">
        <v>489</v>
      </c>
      <c r="G6104" s="61">
        <v>2</v>
      </c>
      <c r="H6104" s="61">
        <v>150</v>
      </c>
      <c r="I6104" s="61">
        <v>240.47942</v>
      </c>
    </row>
    <row r="6105" spans="1:9" s="71" customFormat="1" ht="24" hidden="1" customHeight="1" outlineLevel="1" x14ac:dyDescent="0.25">
      <c r="A6105" s="74">
        <v>3347</v>
      </c>
      <c r="B6105" s="45" t="s">
        <v>664</v>
      </c>
      <c r="C6105" s="60" t="s">
        <v>199</v>
      </c>
      <c r="D6105" s="60"/>
      <c r="E6105" s="74">
        <v>2023</v>
      </c>
      <c r="F6105" s="74" t="s">
        <v>489</v>
      </c>
      <c r="G6105" s="61">
        <v>2</v>
      </c>
      <c r="H6105" s="61">
        <v>150</v>
      </c>
      <c r="I6105" s="61">
        <v>129.03137000000001</v>
      </c>
    </row>
    <row r="6106" spans="1:9" s="71" customFormat="1" ht="24" hidden="1" customHeight="1" outlineLevel="1" x14ac:dyDescent="0.25">
      <c r="A6106" s="74">
        <v>4287</v>
      </c>
      <c r="B6106" s="45" t="s">
        <v>664</v>
      </c>
      <c r="C6106" s="60" t="s">
        <v>5667</v>
      </c>
      <c r="D6106" s="60"/>
      <c r="E6106" s="74">
        <v>2023</v>
      </c>
      <c r="F6106" s="74" t="s">
        <v>489</v>
      </c>
      <c r="G6106" s="61">
        <v>1</v>
      </c>
      <c r="H6106" s="61">
        <v>15</v>
      </c>
      <c r="I6106" s="61">
        <v>38.055219999999998</v>
      </c>
    </row>
    <row r="6107" spans="1:9" s="71" customFormat="1" ht="24" hidden="1" customHeight="1" outlineLevel="1" x14ac:dyDescent="0.25">
      <c r="A6107" s="74">
        <v>539</v>
      </c>
      <c r="B6107" s="45" t="s">
        <v>664</v>
      </c>
      <c r="C6107" s="60" t="s">
        <v>5668</v>
      </c>
      <c r="D6107" s="60"/>
      <c r="E6107" s="74">
        <v>2023</v>
      </c>
      <c r="F6107" s="74" t="s">
        <v>489</v>
      </c>
      <c r="G6107" s="61">
        <v>1</v>
      </c>
      <c r="H6107" s="61">
        <v>15</v>
      </c>
      <c r="I6107" s="61">
        <v>54.132479999999994</v>
      </c>
    </row>
    <row r="6108" spans="1:9" s="71" customFormat="1" ht="24" hidden="1" customHeight="1" outlineLevel="1" x14ac:dyDescent="0.25">
      <c r="A6108" s="74">
        <v>4299</v>
      </c>
      <c r="B6108" s="45" t="s">
        <v>664</v>
      </c>
      <c r="C6108" s="60" t="s">
        <v>5669</v>
      </c>
      <c r="D6108" s="60"/>
      <c r="E6108" s="74">
        <v>2023</v>
      </c>
      <c r="F6108" s="74" t="s">
        <v>489</v>
      </c>
      <c r="G6108" s="61">
        <v>1</v>
      </c>
      <c r="H6108" s="61">
        <v>15</v>
      </c>
      <c r="I6108" s="61">
        <v>35.669919999999998</v>
      </c>
    </row>
    <row r="6109" spans="1:9" s="71" customFormat="1" ht="24" hidden="1" customHeight="1" outlineLevel="1" x14ac:dyDescent="0.25">
      <c r="A6109" s="74">
        <v>4301</v>
      </c>
      <c r="B6109" s="45" t="s">
        <v>664</v>
      </c>
      <c r="C6109" s="60" t="s">
        <v>5670</v>
      </c>
      <c r="D6109" s="60"/>
      <c r="E6109" s="74">
        <v>2023</v>
      </c>
      <c r="F6109" s="74" t="s">
        <v>489</v>
      </c>
      <c r="G6109" s="61">
        <v>1</v>
      </c>
      <c r="H6109" s="61">
        <v>9</v>
      </c>
      <c r="I6109" s="61">
        <v>35.178330000000003</v>
      </c>
    </row>
    <row r="6110" spans="1:9" s="71" customFormat="1" ht="24" hidden="1" customHeight="1" outlineLevel="1" x14ac:dyDescent="0.25">
      <c r="A6110" s="74">
        <v>3067</v>
      </c>
      <c r="B6110" s="45" t="s">
        <v>664</v>
      </c>
      <c r="C6110" s="60" t="s">
        <v>5671</v>
      </c>
      <c r="D6110" s="60"/>
      <c r="E6110" s="74">
        <v>2023</v>
      </c>
      <c r="F6110" s="74" t="s">
        <v>489</v>
      </c>
      <c r="G6110" s="61">
        <v>2</v>
      </c>
      <c r="H6110" s="61">
        <v>45</v>
      </c>
      <c r="I6110" s="61">
        <v>117.43787999999999</v>
      </c>
    </row>
    <row r="6111" spans="1:9" s="71" customFormat="1" ht="24" hidden="1" customHeight="1" outlineLevel="1" x14ac:dyDescent="0.25">
      <c r="A6111" s="74">
        <v>3050</v>
      </c>
      <c r="B6111" s="45" t="s">
        <v>664</v>
      </c>
      <c r="C6111" s="60" t="s">
        <v>200</v>
      </c>
      <c r="D6111" s="60"/>
      <c r="E6111" s="74">
        <v>2023</v>
      </c>
      <c r="F6111" s="74" t="s">
        <v>489</v>
      </c>
      <c r="G6111" s="61">
        <v>2</v>
      </c>
      <c r="H6111" s="61">
        <v>150</v>
      </c>
      <c r="I6111" s="61">
        <v>305.72977000000003</v>
      </c>
    </row>
    <row r="6112" spans="1:9" s="71" customFormat="1" ht="24" hidden="1" customHeight="1" outlineLevel="1" x14ac:dyDescent="0.25">
      <c r="A6112" s="74">
        <v>985</v>
      </c>
      <c r="B6112" s="45" t="s">
        <v>664</v>
      </c>
      <c r="C6112" s="60" t="s">
        <v>5672</v>
      </c>
      <c r="D6112" s="60"/>
      <c r="E6112" s="74">
        <v>2023</v>
      </c>
      <c r="F6112" s="74" t="s">
        <v>489</v>
      </c>
      <c r="G6112" s="61">
        <v>1</v>
      </c>
      <c r="H6112" s="61">
        <v>9</v>
      </c>
      <c r="I6112" s="61">
        <v>41.740259999999999</v>
      </c>
    </row>
    <row r="6113" spans="1:9" s="71" customFormat="1" ht="24" hidden="1" customHeight="1" outlineLevel="1" x14ac:dyDescent="0.25">
      <c r="A6113" s="74">
        <v>1225</v>
      </c>
      <c r="B6113" s="45" t="s">
        <v>664</v>
      </c>
      <c r="C6113" s="60" t="s">
        <v>5673</v>
      </c>
      <c r="D6113" s="60"/>
      <c r="E6113" s="74">
        <v>2023</v>
      </c>
      <c r="F6113" s="74" t="s">
        <v>489</v>
      </c>
      <c r="G6113" s="61">
        <v>1</v>
      </c>
      <c r="H6113" s="61">
        <v>9</v>
      </c>
      <c r="I6113" s="61">
        <v>52.19032</v>
      </c>
    </row>
    <row r="6114" spans="1:9" s="71" customFormat="1" ht="24" hidden="1" customHeight="1" outlineLevel="1" x14ac:dyDescent="0.25">
      <c r="A6114" s="74">
        <v>1184</v>
      </c>
      <c r="B6114" s="45" t="s">
        <v>664</v>
      </c>
      <c r="C6114" s="60" t="s">
        <v>5674</v>
      </c>
      <c r="D6114" s="60"/>
      <c r="E6114" s="74">
        <v>2023</v>
      </c>
      <c r="F6114" s="74" t="s">
        <v>489</v>
      </c>
      <c r="G6114" s="61">
        <v>1</v>
      </c>
      <c r="H6114" s="61">
        <v>6</v>
      </c>
      <c r="I6114" s="61">
        <v>17.56399</v>
      </c>
    </row>
    <row r="6115" spans="1:9" s="71" customFormat="1" ht="24" hidden="1" customHeight="1" outlineLevel="1" x14ac:dyDescent="0.25">
      <c r="A6115" s="74">
        <v>3080</v>
      </c>
      <c r="B6115" s="45" t="s">
        <v>664</v>
      </c>
      <c r="C6115" s="60" t="s">
        <v>201</v>
      </c>
      <c r="D6115" s="60"/>
      <c r="E6115" s="74">
        <v>2023</v>
      </c>
      <c r="F6115" s="74" t="s">
        <v>489</v>
      </c>
      <c r="G6115" s="61">
        <v>2</v>
      </c>
      <c r="H6115" s="61">
        <v>130</v>
      </c>
      <c r="I6115" s="61">
        <v>156.02789999999999</v>
      </c>
    </row>
    <row r="6116" spans="1:9" s="71" customFormat="1" ht="24" hidden="1" customHeight="1" outlineLevel="1" x14ac:dyDescent="0.25">
      <c r="A6116" s="74">
        <v>1014</v>
      </c>
      <c r="B6116" s="45" t="s">
        <v>664</v>
      </c>
      <c r="C6116" s="60" t="s">
        <v>5675</v>
      </c>
      <c r="D6116" s="60"/>
      <c r="E6116" s="74">
        <v>2023</v>
      </c>
      <c r="F6116" s="74" t="s">
        <v>489</v>
      </c>
      <c r="G6116" s="61">
        <v>1</v>
      </c>
      <c r="H6116" s="61">
        <v>15</v>
      </c>
      <c r="I6116" s="61">
        <v>41.849119999999999</v>
      </c>
    </row>
    <row r="6117" spans="1:9" s="71" customFormat="1" ht="24" hidden="1" customHeight="1" outlineLevel="1" x14ac:dyDescent="0.25">
      <c r="A6117" s="74">
        <v>4238</v>
      </c>
      <c r="B6117" s="45" t="s">
        <v>664</v>
      </c>
      <c r="C6117" s="60" t="s">
        <v>5676</v>
      </c>
      <c r="D6117" s="60"/>
      <c r="E6117" s="74">
        <v>2023</v>
      </c>
      <c r="F6117" s="74" t="s">
        <v>489</v>
      </c>
      <c r="G6117" s="61">
        <v>2</v>
      </c>
      <c r="H6117" s="61">
        <v>15</v>
      </c>
      <c r="I6117" s="61">
        <v>99.518169999999998</v>
      </c>
    </row>
    <row r="6118" spans="1:9" s="71" customFormat="1" ht="24" hidden="1" customHeight="1" outlineLevel="1" x14ac:dyDescent="0.25">
      <c r="A6118" s="74">
        <v>989</v>
      </c>
      <c r="B6118" s="45" t="s">
        <v>664</v>
      </c>
      <c r="C6118" s="60" t="s">
        <v>5677</v>
      </c>
      <c r="D6118" s="60"/>
      <c r="E6118" s="74">
        <v>2023</v>
      </c>
      <c r="F6118" s="74" t="s">
        <v>489</v>
      </c>
      <c r="G6118" s="61">
        <v>1</v>
      </c>
      <c r="H6118" s="61">
        <v>15</v>
      </c>
      <c r="I6118" s="61">
        <v>51.045079999999999</v>
      </c>
    </row>
    <row r="6119" spans="1:9" s="71" customFormat="1" ht="24" hidden="1" customHeight="1" outlineLevel="1" x14ac:dyDescent="0.25">
      <c r="A6119" s="74">
        <v>4255</v>
      </c>
      <c r="B6119" s="45" t="s">
        <v>664</v>
      </c>
      <c r="C6119" s="60" t="s">
        <v>5678</v>
      </c>
      <c r="D6119" s="60"/>
      <c r="E6119" s="74">
        <v>2023</v>
      </c>
      <c r="F6119" s="74" t="s">
        <v>489</v>
      </c>
      <c r="G6119" s="61">
        <v>1</v>
      </c>
      <c r="H6119" s="61">
        <v>7.5</v>
      </c>
      <c r="I6119" s="61">
        <v>51.396860000000004</v>
      </c>
    </row>
    <row r="6120" spans="1:9" s="71" customFormat="1" ht="24" hidden="1" customHeight="1" outlineLevel="1" x14ac:dyDescent="0.25">
      <c r="A6120" s="74">
        <v>4239</v>
      </c>
      <c r="B6120" s="45" t="s">
        <v>664</v>
      </c>
      <c r="C6120" s="60" t="s">
        <v>202</v>
      </c>
      <c r="D6120" s="60"/>
      <c r="E6120" s="74">
        <v>2023</v>
      </c>
      <c r="F6120" s="74" t="s">
        <v>489</v>
      </c>
      <c r="G6120" s="61">
        <v>2</v>
      </c>
      <c r="H6120" s="61">
        <v>150</v>
      </c>
      <c r="I6120" s="61">
        <v>298.68649000000005</v>
      </c>
    </row>
    <row r="6121" spans="1:9" s="71" customFormat="1" ht="24" hidden="1" customHeight="1" outlineLevel="1" x14ac:dyDescent="0.25">
      <c r="A6121" s="74">
        <v>1524</v>
      </c>
      <c r="B6121" s="45" t="s">
        <v>664</v>
      </c>
      <c r="C6121" s="60" t="s">
        <v>5679</v>
      </c>
      <c r="D6121" s="60"/>
      <c r="E6121" s="74">
        <v>2023</v>
      </c>
      <c r="F6121" s="74" t="s">
        <v>489</v>
      </c>
      <c r="G6121" s="61">
        <v>1</v>
      </c>
      <c r="H6121" s="61">
        <v>2</v>
      </c>
      <c r="I6121" s="61">
        <v>35.127779999999994</v>
      </c>
    </row>
    <row r="6122" spans="1:9" s="71" customFormat="1" ht="24" hidden="1" customHeight="1" outlineLevel="1" x14ac:dyDescent="0.25">
      <c r="A6122" s="74">
        <v>1505</v>
      </c>
      <c r="B6122" s="45" t="s">
        <v>664</v>
      </c>
      <c r="C6122" s="60" t="s">
        <v>5680</v>
      </c>
      <c r="D6122" s="60"/>
      <c r="E6122" s="74">
        <v>2023</v>
      </c>
      <c r="F6122" s="74" t="s">
        <v>489</v>
      </c>
      <c r="G6122" s="61">
        <v>1</v>
      </c>
      <c r="H6122" s="61">
        <v>6</v>
      </c>
      <c r="I6122" s="61">
        <v>35.127769999999998</v>
      </c>
    </row>
    <row r="6123" spans="1:9" s="71" customFormat="1" ht="24" hidden="1" customHeight="1" outlineLevel="1" x14ac:dyDescent="0.25">
      <c r="A6123" s="74">
        <v>1524</v>
      </c>
      <c r="B6123" s="45" t="s">
        <v>664</v>
      </c>
      <c r="C6123" s="60" t="s">
        <v>5681</v>
      </c>
      <c r="D6123" s="60"/>
      <c r="E6123" s="74">
        <v>2023</v>
      </c>
      <c r="F6123" s="74" t="s">
        <v>489</v>
      </c>
      <c r="G6123" s="61">
        <v>1</v>
      </c>
      <c r="H6123" s="61">
        <v>2</v>
      </c>
      <c r="I6123" s="61">
        <v>35.127779999999994</v>
      </c>
    </row>
    <row r="6124" spans="1:9" s="71" customFormat="1" ht="24" hidden="1" customHeight="1" outlineLevel="1" x14ac:dyDescent="0.25">
      <c r="A6124" s="74">
        <v>4310</v>
      </c>
      <c r="B6124" s="45" t="s">
        <v>664</v>
      </c>
      <c r="C6124" s="60" t="s">
        <v>5682</v>
      </c>
      <c r="D6124" s="60"/>
      <c r="E6124" s="74">
        <v>2023</v>
      </c>
      <c r="F6124" s="74" t="s">
        <v>489</v>
      </c>
      <c r="G6124" s="61">
        <v>1</v>
      </c>
      <c r="H6124" s="61">
        <v>15</v>
      </c>
      <c r="I6124" s="61">
        <v>35.302070000000001</v>
      </c>
    </row>
    <row r="6125" spans="1:9" s="71" customFormat="1" ht="24" hidden="1" customHeight="1" outlineLevel="1" x14ac:dyDescent="0.25">
      <c r="A6125" s="74">
        <v>1637</v>
      </c>
      <c r="B6125" s="45" t="s">
        <v>664</v>
      </c>
      <c r="C6125" s="60" t="s">
        <v>5683</v>
      </c>
      <c r="D6125" s="60"/>
      <c r="E6125" s="74">
        <v>2023</v>
      </c>
      <c r="F6125" s="74" t="s">
        <v>489</v>
      </c>
      <c r="G6125" s="61">
        <v>1</v>
      </c>
      <c r="H6125" s="61">
        <v>4</v>
      </c>
      <c r="I6125" s="61">
        <v>35.12753</v>
      </c>
    </row>
    <row r="6126" spans="1:9" s="71" customFormat="1" ht="24" hidden="1" customHeight="1" outlineLevel="1" x14ac:dyDescent="0.25">
      <c r="A6126" s="74">
        <v>4253</v>
      </c>
      <c r="B6126" s="45" t="s">
        <v>664</v>
      </c>
      <c r="C6126" s="60" t="s">
        <v>5684</v>
      </c>
      <c r="D6126" s="60"/>
      <c r="E6126" s="74">
        <v>2023</v>
      </c>
      <c r="F6126" s="74" t="s">
        <v>489</v>
      </c>
      <c r="G6126" s="61">
        <v>1</v>
      </c>
      <c r="H6126" s="61">
        <v>7.5</v>
      </c>
      <c r="I6126" s="61">
        <v>48.747400000000006</v>
      </c>
    </row>
    <row r="6127" spans="1:9" s="71" customFormat="1" ht="24" hidden="1" customHeight="1" outlineLevel="1" x14ac:dyDescent="0.25">
      <c r="A6127" s="74">
        <v>878</v>
      </c>
      <c r="B6127" s="45" t="s">
        <v>664</v>
      </c>
      <c r="C6127" s="60" t="s">
        <v>5685</v>
      </c>
      <c r="D6127" s="60"/>
      <c r="E6127" s="74">
        <v>2023</v>
      </c>
      <c r="F6127" s="74" t="s">
        <v>489</v>
      </c>
      <c r="G6127" s="61">
        <v>1</v>
      </c>
      <c r="H6127" s="61">
        <v>9</v>
      </c>
      <c r="I6127" s="61">
        <v>46.044370000000001</v>
      </c>
    </row>
    <row r="6128" spans="1:9" s="71" customFormat="1" ht="24" hidden="1" customHeight="1" outlineLevel="1" x14ac:dyDescent="0.25">
      <c r="A6128" s="74">
        <v>4316</v>
      </c>
      <c r="B6128" s="45" t="s">
        <v>664</v>
      </c>
      <c r="C6128" s="60" t="s">
        <v>5686</v>
      </c>
      <c r="D6128" s="60"/>
      <c r="E6128" s="74">
        <v>2023</v>
      </c>
      <c r="F6128" s="74" t="s">
        <v>489</v>
      </c>
      <c r="G6128" s="61">
        <v>1</v>
      </c>
      <c r="H6128" s="61">
        <v>9</v>
      </c>
      <c r="I6128" s="61">
        <v>34.868259999999999</v>
      </c>
    </row>
    <row r="6129" spans="1:9" s="71" customFormat="1" ht="24" hidden="1" customHeight="1" outlineLevel="1" x14ac:dyDescent="0.25">
      <c r="A6129" s="74">
        <v>4319</v>
      </c>
      <c r="B6129" s="45" t="s">
        <v>664</v>
      </c>
      <c r="C6129" s="60" t="s">
        <v>5687</v>
      </c>
      <c r="D6129" s="60"/>
      <c r="E6129" s="74">
        <v>2023</v>
      </c>
      <c r="F6129" s="74" t="s">
        <v>489</v>
      </c>
      <c r="G6129" s="61">
        <v>1</v>
      </c>
      <c r="H6129" s="61">
        <v>35</v>
      </c>
      <c r="I6129" s="61">
        <v>36.965699999999998</v>
      </c>
    </row>
    <row r="6130" spans="1:9" s="71" customFormat="1" ht="24" hidden="1" customHeight="1" outlineLevel="1" x14ac:dyDescent="0.25">
      <c r="A6130" s="74">
        <v>4320</v>
      </c>
      <c r="B6130" s="45" t="s">
        <v>664</v>
      </c>
      <c r="C6130" s="60" t="s">
        <v>5688</v>
      </c>
      <c r="D6130" s="60"/>
      <c r="E6130" s="74">
        <v>2023</v>
      </c>
      <c r="F6130" s="74" t="s">
        <v>489</v>
      </c>
      <c r="G6130" s="61">
        <v>1</v>
      </c>
      <c r="H6130" s="61">
        <v>15</v>
      </c>
      <c r="I6130" s="61">
        <v>36.965739999999997</v>
      </c>
    </row>
    <row r="6131" spans="1:9" s="71" customFormat="1" ht="24" hidden="1" customHeight="1" outlineLevel="1" x14ac:dyDescent="0.25">
      <c r="A6131" s="74">
        <v>4321</v>
      </c>
      <c r="B6131" s="45" t="s">
        <v>664</v>
      </c>
      <c r="C6131" s="60" t="s">
        <v>5689</v>
      </c>
      <c r="D6131" s="60"/>
      <c r="E6131" s="74">
        <v>2023</v>
      </c>
      <c r="F6131" s="74" t="s">
        <v>489</v>
      </c>
      <c r="G6131" s="61">
        <v>1</v>
      </c>
      <c r="H6131" s="61">
        <v>9</v>
      </c>
      <c r="I6131" s="61">
        <v>36.965760000000003</v>
      </c>
    </row>
    <row r="6132" spans="1:9" s="71" customFormat="1" ht="24" hidden="1" customHeight="1" outlineLevel="1" x14ac:dyDescent="0.25">
      <c r="A6132" s="74">
        <v>982</v>
      </c>
      <c r="B6132" s="45" t="s">
        <v>664</v>
      </c>
      <c r="C6132" s="60" t="s">
        <v>5690</v>
      </c>
      <c r="D6132" s="60"/>
      <c r="E6132" s="74">
        <v>2023</v>
      </c>
      <c r="F6132" s="74" t="s">
        <v>489</v>
      </c>
      <c r="G6132" s="61">
        <v>1</v>
      </c>
      <c r="H6132" s="61">
        <v>15</v>
      </c>
      <c r="I6132" s="61">
        <v>69.48639</v>
      </c>
    </row>
    <row r="6133" spans="1:9" s="71" customFormat="1" ht="24" hidden="1" customHeight="1" outlineLevel="1" x14ac:dyDescent="0.25">
      <c r="A6133" s="74">
        <v>3093</v>
      </c>
      <c r="B6133" s="45" t="s">
        <v>664</v>
      </c>
      <c r="C6133" s="60" t="s">
        <v>5691</v>
      </c>
      <c r="D6133" s="60"/>
      <c r="E6133" s="74">
        <v>2023</v>
      </c>
      <c r="F6133" s="74" t="s">
        <v>489</v>
      </c>
      <c r="G6133" s="61">
        <v>2</v>
      </c>
      <c r="H6133" s="61">
        <v>150</v>
      </c>
      <c r="I6133" s="61">
        <v>169.15860999999998</v>
      </c>
    </row>
    <row r="6134" spans="1:9" s="71" customFormat="1" ht="24" hidden="1" customHeight="1" outlineLevel="1" x14ac:dyDescent="0.25">
      <c r="A6134" s="74">
        <v>3087</v>
      </c>
      <c r="B6134" s="45" t="s">
        <v>664</v>
      </c>
      <c r="C6134" s="60" t="s">
        <v>203</v>
      </c>
      <c r="D6134" s="60"/>
      <c r="E6134" s="74">
        <v>2023</v>
      </c>
      <c r="F6134" s="74" t="s">
        <v>489</v>
      </c>
      <c r="G6134" s="61">
        <v>2</v>
      </c>
      <c r="H6134" s="61">
        <v>150</v>
      </c>
      <c r="I6134" s="61">
        <v>330.30939000000001</v>
      </c>
    </row>
    <row r="6135" spans="1:9" s="71" customFormat="1" ht="24" hidden="1" customHeight="1" outlineLevel="1" x14ac:dyDescent="0.25">
      <c r="A6135" s="74">
        <v>411</v>
      </c>
      <c r="B6135" s="45" t="s">
        <v>664</v>
      </c>
      <c r="C6135" s="60" t="s">
        <v>5692</v>
      </c>
      <c r="D6135" s="60"/>
      <c r="E6135" s="74">
        <v>2023</v>
      </c>
      <c r="F6135" s="74" t="s">
        <v>489</v>
      </c>
      <c r="G6135" s="61">
        <v>1</v>
      </c>
      <c r="H6135" s="61">
        <v>15</v>
      </c>
      <c r="I6135" s="61">
        <v>50.528399999999998</v>
      </c>
    </row>
    <row r="6136" spans="1:9" s="71" customFormat="1" ht="24" hidden="1" customHeight="1" outlineLevel="1" x14ac:dyDescent="0.25">
      <c r="A6136" s="74">
        <v>4248</v>
      </c>
      <c r="B6136" s="45" t="s">
        <v>664</v>
      </c>
      <c r="C6136" s="60" t="s">
        <v>5693</v>
      </c>
      <c r="D6136" s="60"/>
      <c r="E6136" s="74">
        <v>2023</v>
      </c>
      <c r="F6136" s="74" t="s">
        <v>489</v>
      </c>
      <c r="G6136" s="61">
        <v>1</v>
      </c>
      <c r="H6136" s="61">
        <v>30</v>
      </c>
      <c r="I6136" s="61">
        <v>60.533610000000003</v>
      </c>
    </row>
    <row r="6137" spans="1:9" s="71" customFormat="1" ht="24" hidden="1" customHeight="1" outlineLevel="1" x14ac:dyDescent="0.25">
      <c r="A6137" s="74">
        <v>351</v>
      </c>
      <c r="B6137" s="45" t="s">
        <v>664</v>
      </c>
      <c r="C6137" s="60" t="s">
        <v>5694</v>
      </c>
      <c r="D6137" s="60"/>
      <c r="E6137" s="74">
        <v>2023</v>
      </c>
      <c r="F6137" s="74" t="s">
        <v>489</v>
      </c>
      <c r="G6137" s="61">
        <v>1</v>
      </c>
      <c r="H6137" s="61">
        <v>15</v>
      </c>
      <c r="I6137" s="61">
        <v>58.181100000000001</v>
      </c>
    </row>
    <row r="6138" spans="1:9" s="71" customFormat="1" ht="24" hidden="1" customHeight="1" outlineLevel="1" x14ac:dyDescent="0.25">
      <c r="A6138" s="74">
        <v>415</v>
      </c>
      <c r="B6138" s="45" t="s">
        <v>664</v>
      </c>
      <c r="C6138" s="60" t="s">
        <v>5695</v>
      </c>
      <c r="D6138" s="60"/>
      <c r="E6138" s="74">
        <v>2023</v>
      </c>
      <c r="F6138" s="74" t="s">
        <v>489</v>
      </c>
      <c r="G6138" s="61">
        <v>1</v>
      </c>
      <c r="H6138" s="61">
        <v>15</v>
      </c>
      <c r="I6138" s="61">
        <v>63.354410000000001</v>
      </c>
    </row>
    <row r="6139" spans="1:9" s="71" customFormat="1" ht="24" hidden="1" customHeight="1" outlineLevel="1" x14ac:dyDescent="0.25">
      <c r="A6139" s="74">
        <v>4250</v>
      </c>
      <c r="B6139" s="45" t="s">
        <v>664</v>
      </c>
      <c r="C6139" s="60" t="s">
        <v>5696</v>
      </c>
      <c r="D6139" s="60"/>
      <c r="E6139" s="74">
        <v>2023</v>
      </c>
      <c r="F6139" s="74" t="s">
        <v>489</v>
      </c>
      <c r="G6139" s="61">
        <v>1</v>
      </c>
      <c r="H6139" s="61">
        <v>15</v>
      </c>
      <c r="I6139" s="61">
        <v>48.064389999999996</v>
      </c>
    </row>
    <row r="6140" spans="1:9" s="71" customFormat="1" ht="24" hidden="1" customHeight="1" outlineLevel="1" x14ac:dyDescent="0.25">
      <c r="A6140" s="74">
        <v>4249</v>
      </c>
      <c r="B6140" s="45" t="s">
        <v>664</v>
      </c>
      <c r="C6140" s="60" t="s">
        <v>5697</v>
      </c>
      <c r="D6140" s="60"/>
      <c r="E6140" s="74">
        <v>2023</v>
      </c>
      <c r="F6140" s="74" t="s">
        <v>489</v>
      </c>
      <c r="G6140" s="61">
        <v>1</v>
      </c>
      <c r="H6140" s="61">
        <v>15</v>
      </c>
      <c r="I6140" s="61">
        <v>50.984750000000005</v>
      </c>
    </row>
    <row r="6141" spans="1:9" s="71" customFormat="1" ht="24" hidden="1" customHeight="1" outlineLevel="1" x14ac:dyDescent="0.25">
      <c r="A6141" s="74">
        <v>4322</v>
      </c>
      <c r="B6141" s="45" t="s">
        <v>664</v>
      </c>
      <c r="C6141" s="60" t="s">
        <v>5698</v>
      </c>
      <c r="D6141" s="60"/>
      <c r="E6141" s="74">
        <v>2023</v>
      </c>
      <c r="F6141" s="74" t="s">
        <v>489</v>
      </c>
      <c r="G6141" s="61">
        <v>1</v>
      </c>
      <c r="H6141" s="61">
        <v>5</v>
      </c>
      <c r="I6141" s="61">
        <v>34.459029999999998</v>
      </c>
    </row>
    <row r="6142" spans="1:9" s="71" customFormat="1" ht="24" hidden="1" customHeight="1" outlineLevel="1" x14ac:dyDescent="0.25">
      <c r="A6142" s="74">
        <v>4323</v>
      </c>
      <c r="B6142" s="45" t="s">
        <v>664</v>
      </c>
      <c r="C6142" s="60" t="s">
        <v>5699</v>
      </c>
      <c r="D6142" s="60"/>
      <c r="E6142" s="74">
        <v>2023</v>
      </c>
      <c r="F6142" s="74" t="s">
        <v>489</v>
      </c>
      <c r="G6142" s="61">
        <v>1</v>
      </c>
      <c r="H6142" s="122">
        <v>7.5</v>
      </c>
      <c r="I6142" s="61">
        <v>34.56324</v>
      </c>
    </row>
    <row r="6143" spans="1:9" s="71" customFormat="1" ht="24" hidden="1" customHeight="1" outlineLevel="1" x14ac:dyDescent="0.25">
      <c r="A6143" s="74">
        <v>4323</v>
      </c>
      <c r="B6143" s="45" t="s">
        <v>664</v>
      </c>
      <c r="C6143" s="60" t="s">
        <v>5700</v>
      </c>
      <c r="D6143" s="60"/>
      <c r="E6143" s="74">
        <v>2023</v>
      </c>
      <c r="F6143" s="74" t="s">
        <v>489</v>
      </c>
      <c r="G6143" s="61">
        <v>1</v>
      </c>
      <c r="H6143" s="122">
        <v>7.5</v>
      </c>
      <c r="I6143" s="61">
        <v>34.56324</v>
      </c>
    </row>
    <row r="6144" spans="1:9" s="71" customFormat="1" ht="24" hidden="1" customHeight="1" outlineLevel="1" x14ac:dyDescent="0.25">
      <c r="A6144" s="74">
        <v>1985</v>
      </c>
      <c r="B6144" s="45" t="s">
        <v>664</v>
      </c>
      <c r="C6144" s="60" t="s">
        <v>5701</v>
      </c>
      <c r="D6144" s="60"/>
      <c r="E6144" s="74">
        <v>2023</v>
      </c>
      <c r="F6144" s="74" t="s">
        <v>489</v>
      </c>
      <c r="G6144" s="61">
        <v>1</v>
      </c>
      <c r="H6144" s="61">
        <v>9</v>
      </c>
      <c r="I6144" s="61">
        <v>34.991139999999994</v>
      </c>
    </row>
    <row r="6145" spans="1:9" s="71" customFormat="1" ht="24" hidden="1" customHeight="1" outlineLevel="1" x14ac:dyDescent="0.25">
      <c r="A6145" s="74">
        <v>2110</v>
      </c>
      <c r="B6145" s="45" t="s">
        <v>664</v>
      </c>
      <c r="C6145" s="60" t="s">
        <v>5702</v>
      </c>
      <c r="D6145" s="60"/>
      <c r="E6145" s="74">
        <v>2023</v>
      </c>
      <c r="F6145" s="74" t="s">
        <v>489</v>
      </c>
      <c r="G6145" s="61">
        <v>1</v>
      </c>
      <c r="H6145" s="61">
        <v>9</v>
      </c>
      <c r="I6145" s="61">
        <v>34.991170000000004</v>
      </c>
    </row>
    <row r="6146" spans="1:9" s="71" customFormat="1" ht="24" hidden="1" customHeight="1" outlineLevel="1" x14ac:dyDescent="0.25">
      <c r="A6146" s="74">
        <v>4331</v>
      </c>
      <c r="B6146" s="45" t="s">
        <v>664</v>
      </c>
      <c r="C6146" s="60" t="s">
        <v>5703</v>
      </c>
      <c r="D6146" s="60"/>
      <c r="E6146" s="74">
        <v>2023</v>
      </c>
      <c r="F6146" s="74" t="s">
        <v>489</v>
      </c>
      <c r="G6146" s="61">
        <v>1</v>
      </c>
      <c r="H6146" s="61">
        <v>30</v>
      </c>
      <c r="I6146" s="61">
        <v>34.991160000000001</v>
      </c>
    </row>
    <row r="6147" spans="1:9" s="71" customFormat="1" ht="24" hidden="1" customHeight="1" outlineLevel="1" x14ac:dyDescent="0.25">
      <c r="A6147" s="74">
        <v>4332</v>
      </c>
      <c r="B6147" s="45" t="s">
        <v>664</v>
      </c>
      <c r="C6147" s="60" t="s">
        <v>5704</v>
      </c>
      <c r="D6147" s="60"/>
      <c r="E6147" s="74">
        <v>2023</v>
      </c>
      <c r="F6147" s="74" t="s">
        <v>489</v>
      </c>
      <c r="G6147" s="61">
        <v>1</v>
      </c>
      <c r="H6147" s="61">
        <v>144</v>
      </c>
      <c r="I6147" s="61">
        <v>97.577059999999989</v>
      </c>
    </row>
    <row r="6148" spans="1:9" s="71" customFormat="1" ht="24" hidden="1" customHeight="1" outlineLevel="1" x14ac:dyDescent="0.25">
      <c r="A6148" s="74">
        <v>4252</v>
      </c>
      <c r="B6148" s="45" t="s">
        <v>664</v>
      </c>
      <c r="C6148" s="60" t="s">
        <v>5705</v>
      </c>
      <c r="D6148" s="60"/>
      <c r="E6148" s="74">
        <v>2023</v>
      </c>
      <c r="F6148" s="74" t="s">
        <v>489</v>
      </c>
      <c r="G6148" s="61">
        <v>1</v>
      </c>
      <c r="H6148" s="61">
        <v>15</v>
      </c>
      <c r="I6148" s="61">
        <v>48.555569999999996</v>
      </c>
    </row>
    <row r="6149" spans="1:9" s="71" customFormat="1" ht="24" hidden="1" customHeight="1" outlineLevel="1" x14ac:dyDescent="0.25">
      <c r="A6149" s="74">
        <v>4333</v>
      </c>
      <c r="B6149" s="45" t="s">
        <v>664</v>
      </c>
      <c r="C6149" s="60" t="s">
        <v>5706</v>
      </c>
      <c r="D6149" s="60"/>
      <c r="E6149" s="74">
        <v>2023</v>
      </c>
      <c r="F6149" s="74" t="s">
        <v>489</v>
      </c>
      <c r="G6149" s="61">
        <v>1</v>
      </c>
      <c r="H6149" s="122">
        <v>14.5</v>
      </c>
      <c r="I6149" s="61">
        <v>35.59046</v>
      </c>
    </row>
    <row r="6150" spans="1:9" s="71" customFormat="1" ht="24" hidden="1" customHeight="1" outlineLevel="1" x14ac:dyDescent="0.25">
      <c r="A6150" s="74">
        <v>4334</v>
      </c>
      <c r="B6150" s="45" t="s">
        <v>664</v>
      </c>
      <c r="C6150" s="60" t="s">
        <v>5707</v>
      </c>
      <c r="D6150" s="60"/>
      <c r="E6150" s="74">
        <v>2023</v>
      </c>
      <c r="F6150" s="74" t="s">
        <v>489</v>
      </c>
      <c r="G6150" s="61">
        <v>1</v>
      </c>
      <c r="H6150" s="61">
        <v>7</v>
      </c>
      <c r="I6150" s="61">
        <v>38.204429999999995</v>
      </c>
    </row>
    <row r="6151" spans="1:9" s="71" customFormat="1" ht="24" hidden="1" customHeight="1" outlineLevel="1" x14ac:dyDescent="0.25">
      <c r="A6151" s="74">
        <v>4335</v>
      </c>
      <c r="B6151" s="45" t="s">
        <v>664</v>
      </c>
      <c r="C6151" s="60" t="s">
        <v>5708</v>
      </c>
      <c r="D6151" s="60"/>
      <c r="E6151" s="74">
        <v>2023</v>
      </c>
      <c r="F6151" s="74" t="s">
        <v>489</v>
      </c>
      <c r="G6151" s="61">
        <v>1</v>
      </c>
      <c r="H6151" s="61">
        <v>100</v>
      </c>
      <c r="I6151" s="61">
        <v>38.162739999999999</v>
      </c>
    </row>
    <row r="6152" spans="1:9" s="71" customFormat="1" ht="24" hidden="1" customHeight="1" outlineLevel="1" x14ac:dyDescent="0.25">
      <c r="A6152" s="74">
        <v>585</v>
      </c>
      <c r="B6152" s="45" t="s">
        <v>664</v>
      </c>
      <c r="C6152" s="60" t="s">
        <v>5709</v>
      </c>
      <c r="D6152" s="60"/>
      <c r="E6152" s="74">
        <v>2023</v>
      </c>
      <c r="F6152" s="74" t="s">
        <v>489</v>
      </c>
      <c r="G6152" s="61">
        <v>1</v>
      </c>
      <c r="H6152" s="61">
        <v>15</v>
      </c>
      <c r="I6152" s="61">
        <v>48.949189999999994</v>
      </c>
    </row>
    <row r="6153" spans="1:9" s="71" customFormat="1" ht="24" hidden="1" customHeight="1" outlineLevel="1" x14ac:dyDescent="0.25">
      <c r="A6153" s="74">
        <v>3206</v>
      </c>
      <c r="B6153" s="45" t="s">
        <v>664</v>
      </c>
      <c r="C6153" s="60" t="s">
        <v>5710</v>
      </c>
      <c r="D6153" s="60"/>
      <c r="E6153" s="74">
        <v>2023</v>
      </c>
      <c r="F6153" s="74" t="s">
        <v>489</v>
      </c>
      <c r="G6153" s="61">
        <v>1</v>
      </c>
      <c r="H6153" s="61">
        <v>15</v>
      </c>
      <c r="I6153" s="61">
        <v>49.003489999999999</v>
      </c>
    </row>
    <row r="6154" spans="1:9" s="71" customFormat="1" ht="24" hidden="1" customHeight="1" outlineLevel="1" x14ac:dyDescent="0.25">
      <c r="A6154" s="74">
        <v>1452</v>
      </c>
      <c r="B6154" s="45" t="s">
        <v>664</v>
      </c>
      <c r="C6154" s="60" t="s">
        <v>5711</v>
      </c>
      <c r="D6154" s="60"/>
      <c r="E6154" s="74">
        <v>2023</v>
      </c>
      <c r="F6154" s="74" t="s">
        <v>489</v>
      </c>
      <c r="G6154" s="61">
        <v>1</v>
      </c>
      <c r="H6154" s="61">
        <v>15</v>
      </c>
      <c r="I6154" s="61">
        <v>53.674279999999996</v>
      </c>
    </row>
    <row r="6155" spans="1:9" s="71" customFormat="1" ht="24" hidden="1" customHeight="1" outlineLevel="1" x14ac:dyDescent="0.25">
      <c r="A6155" s="74">
        <v>1785</v>
      </c>
      <c r="B6155" s="45" t="s">
        <v>664</v>
      </c>
      <c r="C6155" s="60" t="s">
        <v>5712</v>
      </c>
      <c r="D6155" s="60"/>
      <c r="E6155" s="74">
        <v>2023</v>
      </c>
      <c r="F6155" s="74" t="s">
        <v>489</v>
      </c>
      <c r="G6155" s="61">
        <v>1</v>
      </c>
      <c r="H6155" s="61">
        <v>15</v>
      </c>
      <c r="I6155" s="61">
        <v>55.758240000000001</v>
      </c>
    </row>
    <row r="6156" spans="1:9" s="71" customFormat="1" ht="24" hidden="1" customHeight="1" outlineLevel="1" x14ac:dyDescent="0.25">
      <c r="A6156" s="74">
        <v>438</v>
      </c>
      <c r="B6156" s="45" t="s">
        <v>664</v>
      </c>
      <c r="C6156" s="60" t="s">
        <v>5713</v>
      </c>
      <c r="D6156" s="60"/>
      <c r="E6156" s="74">
        <v>2023</v>
      </c>
      <c r="F6156" s="74" t="s">
        <v>489</v>
      </c>
      <c r="G6156" s="61">
        <v>1</v>
      </c>
      <c r="H6156" s="61">
        <v>15</v>
      </c>
      <c r="I6156" s="61">
        <v>48.262230000000002</v>
      </c>
    </row>
    <row r="6157" spans="1:9" s="71" customFormat="1" ht="24" hidden="1" customHeight="1" outlineLevel="1" x14ac:dyDescent="0.25">
      <c r="A6157" s="74">
        <v>4336</v>
      </c>
      <c r="B6157" s="45" t="s">
        <v>664</v>
      </c>
      <c r="C6157" s="60" t="s">
        <v>5714</v>
      </c>
      <c r="D6157" s="60"/>
      <c r="E6157" s="74">
        <v>2023</v>
      </c>
      <c r="F6157" s="74" t="s">
        <v>489</v>
      </c>
      <c r="G6157" s="61">
        <v>1</v>
      </c>
      <c r="H6157" s="61">
        <v>15</v>
      </c>
      <c r="I6157" s="61">
        <v>35.208770000000001</v>
      </c>
    </row>
    <row r="6158" spans="1:9" s="71" customFormat="1" ht="24" hidden="1" customHeight="1" outlineLevel="1" x14ac:dyDescent="0.25">
      <c r="A6158" s="74">
        <v>1657</v>
      </c>
      <c r="B6158" s="45" t="s">
        <v>664</v>
      </c>
      <c r="C6158" s="60" t="s">
        <v>5715</v>
      </c>
      <c r="D6158" s="60"/>
      <c r="E6158" s="74">
        <v>2023</v>
      </c>
      <c r="F6158" s="74" t="s">
        <v>489</v>
      </c>
      <c r="G6158" s="61">
        <v>1</v>
      </c>
      <c r="H6158" s="61">
        <v>9</v>
      </c>
      <c r="I6158" s="61">
        <v>39.219670000000001</v>
      </c>
    </row>
    <row r="6159" spans="1:9" s="71" customFormat="1" ht="24" hidden="1" customHeight="1" outlineLevel="1" x14ac:dyDescent="0.25">
      <c r="A6159" s="74">
        <v>1623</v>
      </c>
      <c r="B6159" s="45" t="s">
        <v>664</v>
      </c>
      <c r="C6159" s="60" t="s">
        <v>5716</v>
      </c>
      <c r="D6159" s="60"/>
      <c r="E6159" s="74">
        <v>2023</v>
      </c>
      <c r="F6159" s="74" t="s">
        <v>489</v>
      </c>
      <c r="G6159" s="61">
        <v>1</v>
      </c>
      <c r="H6159" s="61">
        <v>9</v>
      </c>
      <c r="I6159" s="61">
        <v>35.86909</v>
      </c>
    </row>
    <row r="6160" spans="1:9" s="71" customFormat="1" ht="24" hidden="1" customHeight="1" outlineLevel="1" x14ac:dyDescent="0.25">
      <c r="A6160" s="74">
        <v>4338</v>
      </c>
      <c r="B6160" s="45" t="s">
        <v>664</v>
      </c>
      <c r="C6160" s="60" t="s">
        <v>5717</v>
      </c>
      <c r="D6160" s="60"/>
      <c r="E6160" s="74">
        <v>2023</v>
      </c>
      <c r="F6160" s="74" t="s">
        <v>489</v>
      </c>
      <c r="G6160" s="61">
        <v>1</v>
      </c>
      <c r="H6160" s="61">
        <v>13</v>
      </c>
      <c r="I6160" s="61">
        <v>35.649340000000002</v>
      </c>
    </row>
    <row r="6161" spans="1:9" s="71" customFormat="1" ht="24" hidden="1" customHeight="1" outlineLevel="1" x14ac:dyDescent="0.25">
      <c r="A6161" s="74">
        <v>4339</v>
      </c>
      <c r="B6161" s="45" t="s">
        <v>664</v>
      </c>
      <c r="C6161" s="60" t="s">
        <v>5718</v>
      </c>
      <c r="D6161" s="60"/>
      <c r="E6161" s="74">
        <v>2023</v>
      </c>
      <c r="F6161" s="74" t="s">
        <v>489</v>
      </c>
      <c r="G6161" s="61">
        <v>1</v>
      </c>
      <c r="H6161" s="61">
        <v>13.5</v>
      </c>
      <c r="I6161" s="61">
        <v>35.649329999999999</v>
      </c>
    </row>
    <row r="6162" spans="1:9" s="71" customFormat="1" ht="24" hidden="1" customHeight="1" outlineLevel="1" x14ac:dyDescent="0.25">
      <c r="A6162" s="74">
        <v>4244</v>
      </c>
      <c r="B6162" s="45" t="s">
        <v>664</v>
      </c>
      <c r="C6162" s="60" t="s">
        <v>5719</v>
      </c>
      <c r="D6162" s="60"/>
      <c r="E6162" s="74">
        <v>2023</v>
      </c>
      <c r="F6162" s="74" t="s">
        <v>489</v>
      </c>
      <c r="G6162" s="61">
        <v>1</v>
      </c>
      <c r="H6162" s="61">
        <v>15</v>
      </c>
      <c r="I6162" s="61">
        <v>53.679230000000004</v>
      </c>
    </row>
    <row r="6163" spans="1:9" s="71" customFormat="1" ht="24" hidden="1" customHeight="1" outlineLevel="1" x14ac:dyDescent="0.25">
      <c r="A6163" s="74">
        <v>4349</v>
      </c>
      <c r="B6163" s="45" t="s">
        <v>664</v>
      </c>
      <c r="C6163" s="60" t="s">
        <v>5720</v>
      </c>
      <c r="D6163" s="60"/>
      <c r="E6163" s="74">
        <v>2023</v>
      </c>
      <c r="F6163" s="74" t="s">
        <v>489</v>
      </c>
      <c r="G6163" s="61">
        <v>1</v>
      </c>
      <c r="H6163" s="61">
        <v>15</v>
      </c>
      <c r="I6163" s="61">
        <v>37.06785</v>
      </c>
    </row>
    <row r="6164" spans="1:9" s="71" customFormat="1" ht="24" hidden="1" customHeight="1" outlineLevel="1" x14ac:dyDescent="0.25">
      <c r="A6164" s="74">
        <v>4350</v>
      </c>
      <c r="B6164" s="45" t="s">
        <v>664</v>
      </c>
      <c r="C6164" s="60" t="s">
        <v>5721</v>
      </c>
      <c r="D6164" s="60"/>
      <c r="E6164" s="74">
        <v>2023</v>
      </c>
      <c r="F6164" s="74" t="s">
        <v>489</v>
      </c>
      <c r="G6164" s="61">
        <v>1</v>
      </c>
      <c r="H6164" s="61">
        <v>15</v>
      </c>
      <c r="I6164" s="61">
        <v>36.832049999999995</v>
      </c>
    </row>
    <row r="6165" spans="1:9" s="71" customFormat="1" ht="24" hidden="1" customHeight="1" outlineLevel="1" x14ac:dyDescent="0.25">
      <c r="A6165" s="74">
        <v>4351</v>
      </c>
      <c r="B6165" s="45" t="s">
        <v>664</v>
      </c>
      <c r="C6165" s="60" t="s">
        <v>5722</v>
      </c>
      <c r="D6165" s="60"/>
      <c r="E6165" s="74">
        <v>2023</v>
      </c>
      <c r="F6165" s="74" t="s">
        <v>489</v>
      </c>
      <c r="G6165" s="61">
        <v>1</v>
      </c>
      <c r="H6165" s="61">
        <v>15</v>
      </c>
      <c r="I6165" s="61">
        <v>37.067839999999997</v>
      </c>
    </row>
    <row r="6166" spans="1:9" s="71" customFormat="1" ht="24" hidden="1" customHeight="1" outlineLevel="1" x14ac:dyDescent="0.25">
      <c r="A6166" s="74">
        <v>4352</v>
      </c>
      <c r="B6166" s="45" t="s">
        <v>664</v>
      </c>
      <c r="C6166" s="60" t="s">
        <v>5723</v>
      </c>
      <c r="D6166" s="60"/>
      <c r="E6166" s="74">
        <v>2023</v>
      </c>
      <c r="F6166" s="74" t="s">
        <v>489</v>
      </c>
      <c r="G6166" s="61">
        <v>1</v>
      </c>
      <c r="H6166" s="61">
        <v>651</v>
      </c>
      <c r="I6166" s="61">
        <v>468.85242999999997</v>
      </c>
    </row>
    <row r="6167" spans="1:9" s="71" customFormat="1" ht="24" hidden="1" customHeight="1" outlineLevel="1" x14ac:dyDescent="0.25">
      <c r="A6167" s="74">
        <v>4353</v>
      </c>
      <c r="B6167" s="45" t="s">
        <v>664</v>
      </c>
      <c r="C6167" s="60" t="s">
        <v>5724</v>
      </c>
      <c r="D6167" s="60"/>
      <c r="E6167" s="74">
        <v>2023</v>
      </c>
      <c r="F6167" s="74" t="s">
        <v>489</v>
      </c>
      <c r="G6167" s="61">
        <v>1</v>
      </c>
      <c r="H6167" s="61">
        <v>500</v>
      </c>
      <c r="I6167" s="61">
        <v>468.85239000000001</v>
      </c>
    </row>
    <row r="6168" spans="1:9" s="71" customFormat="1" ht="24" hidden="1" customHeight="1" outlineLevel="1" x14ac:dyDescent="0.25">
      <c r="A6168" s="74">
        <v>4354</v>
      </c>
      <c r="B6168" s="45" t="s">
        <v>664</v>
      </c>
      <c r="C6168" s="60" t="s">
        <v>5725</v>
      </c>
      <c r="D6168" s="60"/>
      <c r="E6168" s="74">
        <v>2023</v>
      </c>
      <c r="F6168" s="74" t="s">
        <v>489</v>
      </c>
      <c r="G6168" s="61">
        <v>1</v>
      </c>
      <c r="H6168" s="61">
        <v>15</v>
      </c>
      <c r="I6168" s="61">
        <v>36.832149999999999</v>
      </c>
    </row>
    <row r="6169" spans="1:9" s="71" customFormat="1" ht="24" hidden="1" customHeight="1" outlineLevel="1" x14ac:dyDescent="0.25">
      <c r="A6169" s="74">
        <v>4355</v>
      </c>
      <c r="B6169" s="45" t="s">
        <v>664</v>
      </c>
      <c r="C6169" s="60" t="s">
        <v>5726</v>
      </c>
      <c r="D6169" s="60"/>
      <c r="E6169" s="74">
        <v>2023</v>
      </c>
      <c r="F6169" s="74" t="s">
        <v>489</v>
      </c>
      <c r="G6169" s="61">
        <v>1</v>
      </c>
      <c r="H6169" s="61">
        <v>15</v>
      </c>
      <c r="I6169" s="61">
        <v>37.067979999999999</v>
      </c>
    </row>
    <row r="6170" spans="1:9" s="71" customFormat="1" ht="24" hidden="1" customHeight="1" outlineLevel="1" x14ac:dyDescent="0.25">
      <c r="A6170" s="74">
        <v>4355</v>
      </c>
      <c r="B6170" s="45" t="s">
        <v>664</v>
      </c>
      <c r="C6170" s="60" t="s">
        <v>5727</v>
      </c>
      <c r="D6170" s="60"/>
      <c r="E6170" s="74">
        <v>2023</v>
      </c>
      <c r="F6170" s="74" t="s">
        <v>489</v>
      </c>
      <c r="G6170" s="61">
        <v>1</v>
      </c>
      <c r="H6170" s="61">
        <v>15</v>
      </c>
      <c r="I6170" s="61">
        <v>37.067979999999999</v>
      </c>
    </row>
    <row r="6171" spans="1:9" s="71" customFormat="1" ht="24" hidden="1" customHeight="1" outlineLevel="1" x14ac:dyDescent="0.25">
      <c r="A6171" s="74">
        <v>3341</v>
      </c>
      <c r="B6171" s="45" t="s">
        <v>664</v>
      </c>
      <c r="C6171" s="60" t="s">
        <v>204</v>
      </c>
      <c r="D6171" s="60"/>
      <c r="E6171" s="74">
        <v>2023</v>
      </c>
      <c r="F6171" s="74" t="s">
        <v>489</v>
      </c>
      <c r="G6171" s="61">
        <v>2</v>
      </c>
      <c r="H6171" s="61">
        <v>100</v>
      </c>
      <c r="I6171" s="61">
        <v>345.87326999999999</v>
      </c>
    </row>
    <row r="6172" spans="1:9" s="71" customFormat="1" ht="24" hidden="1" customHeight="1" outlineLevel="1" x14ac:dyDescent="0.25">
      <c r="A6172" s="74">
        <v>980</v>
      </c>
      <c r="B6172" s="45" t="s">
        <v>664</v>
      </c>
      <c r="C6172" s="60" t="s">
        <v>5728</v>
      </c>
      <c r="D6172" s="60"/>
      <c r="E6172" s="74">
        <v>2023</v>
      </c>
      <c r="F6172" s="74" t="s">
        <v>489</v>
      </c>
      <c r="G6172" s="61">
        <v>1</v>
      </c>
      <c r="H6172" s="61">
        <v>15</v>
      </c>
      <c r="I6172" s="61">
        <v>53.174810000000001</v>
      </c>
    </row>
    <row r="6173" spans="1:9" s="71" customFormat="1" ht="24" hidden="1" customHeight="1" outlineLevel="1" x14ac:dyDescent="0.25">
      <c r="A6173" s="74">
        <v>1786</v>
      </c>
      <c r="B6173" s="45" t="s">
        <v>664</v>
      </c>
      <c r="C6173" s="60" t="s">
        <v>5729</v>
      </c>
      <c r="D6173" s="60"/>
      <c r="E6173" s="74">
        <v>2023</v>
      </c>
      <c r="F6173" s="74" t="s">
        <v>489</v>
      </c>
      <c r="G6173" s="61">
        <v>1</v>
      </c>
      <c r="H6173" s="61">
        <v>15</v>
      </c>
      <c r="I6173" s="61">
        <v>51.408819999999999</v>
      </c>
    </row>
    <row r="6174" spans="1:9" s="71" customFormat="1" ht="24" hidden="1" customHeight="1" outlineLevel="1" x14ac:dyDescent="0.25">
      <c r="A6174" s="74">
        <v>2852</v>
      </c>
      <c r="B6174" s="45" t="s">
        <v>664</v>
      </c>
      <c r="C6174" s="60" t="s">
        <v>5730</v>
      </c>
      <c r="D6174" s="60"/>
      <c r="E6174" s="74">
        <v>2023</v>
      </c>
      <c r="F6174" s="74" t="s">
        <v>489</v>
      </c>
      <c r="G6174" s="61">
        <v>1</v>
      </c>
      <c r="H6174" s="61">
        <v>15</v>
      </c>
      <c r="I6174" s="61">
        <v>47.177249999999994</v>
      </c>
    </row>
    <row r="6175" spans="1:9" s="71" customFormat="1" ht="24" hidden="1" customHeight="1" outlineLevel="1" x14ac:dyDescent="0.25">
      <c r="A6175" s="74">
        <v>590</v>
      </c>
      <c r="B6175" s="45" t="s">
        <v>664</v>
      </c>
      <c r="C6175" s="60" t="s">
        <v>5731</v>
      </c>
      <c r="D6175" s="60"/>
      <c r="E6175" s="74">
        <v>2023</v>
      </c>
      <c r="F6175" s="74" t="s">
        <v>489</v>
      </c>
      <c r="G6175" s="61">
        <v>1</v>
      </c>
      <c r="H6175" s="61">
        <v>15</v>
      </c>
      <c r="I6175" s="61">
        <v>54.730910000000002</v>
      </c>
    </row>
    <row r="6176" spans="1:9" s="71" customFormat="1" ht="24" hidden="1" customHeight="1" outlineLevel="1" x14ac:dyDescent="0.25">
      <c r="A6176" s="74">
        <v>4361</v>
      </c>
      <c r="B6176" s="45" t="s">
        <v>664</v>
      </c>
      <c r="C6176" s="60" t="s">
        <v>5732</v>
      </c>
      <c r="D6176" s="60"/>
      <c r="E6176" s="74">
        <v>2023</v>
      </c>
      <c r="F6176" s="74" t="s">
        <v>489</v>
      </c>
      <c r="G6176" s="61">
        <v>1</v>
      </c>
      <c r="H6176" s="61">
        <v>15</v>
      </c>
      <c r="I6176" s="61">
        <v>36.458539999999999</v>
      </c>
    </row>
    <row r="6177" spans="1:9" s="71" customFormat="1" ht="24" hidden="1" customHeight="1" outlineLevel="1" x14ac:dyDescent="0.25">
      <c r="A6177" s="74">
        <v>4362</v>
      </c>
      <c r="B6177" s="45" t="s">
        <v>664</v>
      </c>
      <c r="C6177" s="60" t="s">
        <v>5733</v>
      </c>
      <c r="D6177" s="60"/>
      <c r="E6177" s="74">
        <v>2023</v>
      </c>
      <c r="F6177" s="74" t="s">
        <v>489</v>
      </c>
      <c r="G6177" s="61">
        <v>1</v>
      </c>
      <c r="H6177" s="61">
        <v>80</v>
      </c>
      <c r="I6177" s="61">
        <v>41.917870000000001</v>
      </c>
    </row>
    <row r="6178" spans="1:9" s="71" customFormat="1" ht="24" hidden="1" customHeight="1" outlineLevel="1" x14ac:dyDescent="0.25">
      <c r="A6178" s="74">
        <v>1912</v>
      </c>
      <c r="B6178" s="45" t="s">
        <v>664</v>
      </c>
      <c r="C6178" s="60" t="s">
        <v>5734</v>
      </c>
      <c r="D6178" s="60"/>
      <c r="E6178" s="74">
        <v>2023</v>
      </c>
      <c r="F6178" s="74" t="s">
        <v>489</v>
      </c>
      <c r="G6178" s="61">
        <v>1</v>
      </c>
      <c r="H6178" s="61">
        <v>9</v>
      </c>
      <c r="I6178" s="61">
        <v>36.675270000000005</v>
      </c>
    </row>
    <row r="6179" spans="1:9" s="71" customFormat="1" ht="24" hidden="1" customHeight="1" outlineLevel="1" x14ac:dyDescent="0.25">
      <c r="A6179" s="74">
        <v>4364</v>
      </c>
      <c r="B6179" s="45" t="s">
        <v>664</v>
      </c>
      <c r="C6179" s="60" t="s">
        <v>5735</v>
      </c>
      <c r="D6179" s="60"/>
      <c r="E6179" s="74">
        <v>2023</v>
      </c>
      <c r="F6179" s="74" t="s">
        <v>489</v>
      </c>
      <c r="G6179" s="61">
        <v>1</v>
      </c>
      <c r="H6179" s="61">
        <v>15</v>
      </c>
      <c r="I6179" s="61">
        <v>40.233840000000001</v>
      </c>
    </row>
    <row r="6180" spans="1:9" s="71" customFormat="1" ht="24" hidden="1" customHeight="1" outlineLevel="1" x14ac:dyDescent="0.25">
      <c r="A6180" s="74">
        <v>4365</v>
      </c>
      <c r="B6180" s="45" t="s">
        <v>664</v>
      </c>
      <c r="C6180" s="60" t="s">
        <v>5736</v>
      </c>
      <c r="D6180" s="60"/>
      <c r="E6180" s="74">
        <v>2023</v>
      </c>
      <c r="F6180" s="74" t="s">
        <v>489</v>
      </c>
      <c r="G6180" s="61">
        <v>1</v>
      </c>
      <c r="H6180" s="61">
        <v>15</v>
      </c>
      <c r="I6180" s="61">
        <v>38.598229999999994</v>
      </c>
    </row>
    <row r="6181" spans="1:9" s="71" customFormat="1" ht="24" hidden="1" customHeight="1" outlineLevel="1" x14ac:dyDescent="0.25">
      <c r="A6181" s="74">
        <v>4366</v>
      </c>
      <c r="B6181" s="45" t="s">
        <v>664</v>
      </c>
      <c r="C6181" s="60" t="s">
        <v>5737</v>
      </c>
      <c r="D6181" s="60"/>
      <c r="E6181" s="74">
        <v>2023</v>
      </c>
      <c r="F6181" s="74" t="s">
        <v>489</v>
      </c>
      <c r="G6181" s="61">
        <v>1</v>
      </c>
      <c r="H6181" s="61">
        <v>15</v>
      </c>
      <c r="I6181" s="61">
        <v>38.416539999999998</v>
      </c>
    </row>
    <row r="6182" spans="1:9" s="71" customFormat="1" ht="24" hidden="1" customHeight="1" outlineLevel="1" x14ac:dyDescent="0.25">
      <c r="A6182" s="74">
        <v>2453</v>
      </c>
      <c r="B6182" s="45" t="s">
        <v>664</v>
      </c>
      <c r="C6182" s="60" t="s">
        <v>5738</v>
      </c>
      <c r="D6182" s="60"/>
      <c r="E6182" s="74">
        <v>2023</v>
      </c>
      <c r="F6182" s="74" t="s">
        <v>489</v>
      </c>
      <c r="G6182" s="61">
        <v>1</v>
      </c>
      <c r="H6182" s="61">
        <v>9</v>
      </c>
      <c r="I6182" s="61">
        <v>36.469429999999996</v>
      </c>
    </row>
    <row r="6183" spans="1:9" s="71" customFormat="1" ht="24" hidden="1" customHeight="1" outlineLevel="1" x14ac:dyDescent="0.25">
      <c r="A6183" s="74">
        <v>4368</v>
      </c>
      <c r="B6183" s="45" t="s">
        <v>664</v>
      </c>
      <c r="C6183" s="60" t="s">
        <v>5739</v>
      </c>
      <c r="D6183" s="60"/>
      <c r="E6183" s="74">
        <v>2023</v>
      </c>
      <c r="F6183" s="74" t="s">
        <v>489</v>
      </c>
      <c r="G6183" s="61">
        <v>1</v>
      </c>
      <c r="H6183" s="61">
        <v>15</v>
      </c>
      <c r="I6183" s="61">
        <v>36.470179999999999</v>
      </c>
    </row>
    <row r="6184" spans="1:9" s="71" customFormat="1" ht="24" hidden="1" customHeight="1" outlineLevel="1" x14ac:dyDescent="0.25">
      <c r="A6184" s="74">
        <v>4369</v>
      </c>
      <c r="B6184" s="45" t="s">
        <v>664</v>
      </c>
      <c r="C6184" s="60" t="s">
        <v>5740</v>
      </c>
      <c r="D6184" s="60"/>
      <c r="E6184" s="74">
        <v>2023</v>
      </c>
      <c r="F6184" s="74" t="s">
        <v>489</v>
      </c>
      <c r="G6184" s="61">
        <v>1</v>
      </c>
      <c r="H6184" s="61">
        <v>5</v>
      </c>
      <c r="I6184" s="61">
        <v>36.470190000000002</v>
      </c>
    </row>
    <row r="6185" spans="1:9" s="71" customFormat="1" ht="24" hidden="1" customHeight="1" outlineLevel="1" x14ac:dyDescent="0.25">
      <c r="A6185" s="74">
        <v>4256</v>
      </c>
      <c r="B6185" s="45" t="s">
        <v>664</v>
      </c>
      <c r="C6185" s="60" t="s">
        <v>5741</v>
      </c>
      <c r="D6185" s="60"/>
      <c r="E6185" s="74">
        <v>2023</v>
      </c>
      <c r="F6185" s="74" t="s">
        <v>489</v>
      </c>
      <c r="G6185" s="61">
        <v>1</v>
      </c>
      <c r="H6185" s="61">
        <v>15</v>
      </c>
      <c r="I6185" s="61">
        <v>46.714569999999995</v>
      </c>
    </row>
    <row r="6186" spans="1:9" s="71" customFormat="1" ht="24" hidden="1" customHeight="1" outlineLevel="1" x14ac:dyDescent="0.25">
      <c r="A6186" s="74">
        <v>2035</v>
      </c>
      <c r="B6186" s="45" t="s">
        <v>664</v>
      </c>
      <c r="C6186" s="60" t="s">
        <v>5742</v>
      </c>
      <c r="D6186" s="60"/>
      <c r="E6186" s="74">
        <v>2023</v>
      </c>
      <c r="F6186" s="74" t="s">
        <v>489</v>
      </c>
      <c r="G6186" s="61">
        <v>1</v>
      </c>
      <c r="H6186" s="61">
        <v>15</v>
      </c>
      <c r="I6186" s="61">
        <v>36.909799999999997</v>
      </c>
    </row>
    <row r="6187" spans="1:9" s="71" customFormat="1" ht="24" hidden="1" customHeight="1" outlineLevel="1" x14ac:dyDescent="0.25">
      <c r="A6187" s="74">
        <v>4370</v>
      </c>
      <c r="B6187" s="45" t="s">
        <v>664</v>
      </c>
      <c r="C6187" s="60" t="s">
        <v>5743</v>
      </c>
      <c r="D6187" s="60"/>
      <c r="E6187" s="74">
        <v>2023</v>
      </c>
      <c r="F6187" s="74" t="s">
        <v>489</v>
      </c>
      <c r="G6187" s="61">
        <v>1</v>
      </c>
      <c r="H6187" s="61">
        <v>7.5</v>
      </c>
      <c r="I6187" s="61">
        <v>35.957259999999998</v>
      </c>
    </row>
    <row r="6188" spans="1:9" s="71" customFormat="1" ht="24" hidden="1" customHeight="1" outlineLevel="1" x14ac:dyDescent="0.25">
      <c r="A6188" s="74">
        <v>4371</v>
      </c>
      <c r="B6188" s="45" t="s">
        <v>664</v>
      </c>
      <c r="C6188" s="60" t="s">
        <v>5744</v>
      </c>
      <c r="D6188" s="60"/>
      <c r="E6188" s="74">
        <v>2023</v>
      </c>
      <c r="F6188" s="74" t="s">
        <v>489</v>
      </c>
      <c r="G6188" s="61">
        <v>1</v>
      </c>
      <c r="H6188" s="61">
        <v>10</v>
      </c>
      <c r="I6188" s="61">
        <v>36.908200000000001</v>
      </c>
    </row>
    <row r="6189" spans="1:9" s="71" customFormat="1" ht="24" hidden="1" customHeight="1" outlineLevel="1" x14ac:dyDescent="0.25">
      <c r="A6189" s="74">
        <v>4258</v>
      </c>
      <c r="B6189" s="45" t="s">
        <v>664</v>
      </c>
      <c r="C6189" s="60" t="s">
        <v>5745</v>
      </c>
      <c r="D6189" s="60"/>
      <c r="E6189" s="74">
        <v>2023</v>
      </c>
      <c r="F6189" s="74" t="s">
        <v>489</v>
      </c>
      <c r="G6189" s="61">
        <v>1</v>
      </c>
      <c r="H6189" s="61">
        <v>7.5</v>
      </c>
      <c r="I6189" s="61">
        <v>44.953399999999995</v>
      </c>
    </row>
    <row r="6190" spans="1:9" s="71" customFormat="1" ht="24" hidden="1" customHeight="1" outlineLevel="1" x14ac:dyDescent="0.25">
      <c r="A6190" s="74">
        <v>1718</v>
      </c>
      <c r="B6190" s="45" t="s">
        <v>664</v>
      </c>
      <c r="C6190" s="60" t="s">
        <v>5746</v>
      </c>
      <c r="D6190" s="60"/>
      <c r="E6190" s="74">
        <v>2023</v>
      </c>
      <c r="F6190" s="74" t="s">
        <v>489</v>
      </c>
      <c r="G6190" s="61">
        <v>1</v>
      </c>
      <c r="H6190" s="61">
        <v>15</v>
      </c>
      <c r="I6190" s="61">
        <v>81.98039</v>
      </c>
    </row>
    <row r="6191" spans="1:9" s="71" customFormat="1" ht="24" hidden="1" customHeight="1" outlineLevel="1" x14ac:dyDescent="0.25">
      <c r="A6191" s="74">
        <v>3141</v>
      </c>
      <c r="B6191" s="45" t="s">
        <v>664</v>
      </c>
      <c r="C6191" s="60" t="s">
        <v>635</v>
      </c>
      <c r="D6191" s="60"/>
      <c r="E6191" s="74">
        <v>2023</v>
      </c>
      <c r="F6191" s="74" t="s">
        <v>489</v>
      </c>
      <c r="G6191" s="61">
        <v>2</v>
      </c>
      <c r="H6191" s="61">
        <v>100</v>
      </c>
      <c r="I6191" s="61">
        <v>176.60434999999998</v>
      </c>
    </row>
    <row r="6192" spans="1:9" s="71" customFormat="1" ht="24" hidden="1" customHeight="1" outlineLevel="1" x14ac:dyDescent="0.25">
      <c r="A6192" s="74">
        <v>4240</v>
      </c>
      <c r="B6192" s="45" t="s">
        <v>664</v>
      </c>
      <c r="C6192" s="60" t="s">
        <v>205</v>
      </c>
      <c r="D6192" s="60"/>
      <c r="E6192" s="74">
        <v>2023</v>
      </c>
      <c r="F6192" s="74" t="s">
        <v>489</v>
      </c>
      <c r="G6192" s="61">
        <v>2</v>
      </c>
      <c r="H6192" s="61">
        <v>150</v>
      </c>
      <c r="I6192" s="61">
        <v>344.13527999999997</v>
      </c>
    </row>
    <row r="6193" spans="1:9" s="71" customFormat="1" ht="24" hidden="1" customHeight="1" outlineLevel="1" x14ac:dyDescent="0.25">
      <c r="A6193" s="74">
        <v>4260</v>
      </c>
      <c r="B6193" s="45" t="s">
        <v>664</v>
      </c>
      <c r="C6193" s="60" t="s">
        <v>5747</v>
      </c>
      <c r="D6193" s="60"/>
      <c r="E6193" s="74">
        <v>2023</v>
      </c>
      <c r="F6193" s="74" t="s">
        <v>489</v>
      </c>
      <c r="G6193" s="61">
        <v>1</v>
      </c>
      <c r="H6193" s="61">
        <v>15</v>
      </c>
      <c r="I6193" s="61">
        <v>52.694110000000002</v>
      </c>
    </row>
    <row r="6194" spans="1:9" s="71" customFormat="1" ht="24" hidden="1" customHeight="1" outlineLevel="1" x14ac:dyDescent="0.25">
      <c r="A6194" s="74">
        <v>2827</v>
      </c>
      <c r="B6194" s="45" t="s">
        <v>664</v>
      </c>
      <c r="C6194" s="60" t="s">
        <v>5748</v>
      </c>
      <c r="D6194" s="60"/>
      <c r="E6194" s="74">
        <v>2023</v>
      </c>
      <c r="F6194" s="74" t="s">
        <v>489</v>
      </c>
      <c r="G6194" s="61">
        <v>1</v>
      </c>
      <c r="H6194" s="61">
        <v>15</v>
      </c>
      <c r="I6194" s="61">
        <v>44.609479999999998</v>
      </c>
    </row>
    <row r="6195" spans="1:9" s="71" customFormat="1" ht="24" hidden="1" customHeight="1" outlineLevel="1" x14ac:dyDescent="0.25">
      <c r="A6195" s="74">
        <v>4243</v>
      </c>
      <c r="B6195" s="45" t="s">
        <v>664</v>
      </c>
      <c r="C6195" s="60" t="s">
        <v>5749</v>
      </c>
      <c r="D6195" s="60"/>
      <c r="E6195" s="74">
        <v>2023</v>
      </c>
      <c r="F6195" s="74" t="s">
        <v>489</v>
      </c>
      <c r="G6195" s="61">
        <v>1</v>
      </c>
      <c r="H6195" s="61">
        <v>15</v>
      </c>
      <c r="I6195" s="61">
        <v>53.883649999999996</v>
      </c>
    </row>
    <row r="6196" spans="1:9" s="71" customFormat="1" ht="24" hidden="1" customHeight="1" outlineLevel="1" x14ac:dyDescent="0.25">
      <c r="A6196" s="74">
        <v>2314</v>
      </c>
      <c r="B6196" s="45" t="s">
        <v>664</v>
      </c>
      <c r="C6196" s="60" t="s">
        <v>5750</v>
      </c>
      <c r="D6196" s="60"/>
      <c r="E6196" s="74">
        <v>2023</v>
      </c>
      <c r="F6196" s="74" t="s">
        <v>489</v>
      </c>
      <c r="G6196" s="61">
        <v>1</v>
      </c>
      <c r="H6196" s="61">
        <v>9</v>
      </c>
      <c r="I6196" s="61">
        <v>35.411580000000001</v>
      </c>
    </row>
    <row r="6197" spans="1:9" s="71" customFormat="1" ht="24" hidden="1" customHeight="1" outlineLevel="1" x14ac:dyDescent="0.25">
      <c r="A6197" s="74">
        <v>2140</v>
      </c>
      <c r="B6197" s="45" t="s">
        <v>664</v>
      </c>
      <c r="C6197" s="60" t="s">
        <v>5751</v>
      </c>
      <c r="D6197" s="60"/>
      <c r="E6197" s="74">
        <v>2023</v>
      </c>
      <c r="F6197" s="74" t="s">
        <v>489</v>
      </c>
      <c r="G6197" s="61">
        <v>1</v>
      </c>
      <c r="H6197" s="61">
        <v>10</v>
      </c>
      <c r="I6197" s="61">
        <v>35.411589999999997</v>
      </c>
    </row>
    <row r="6198" spans="1:9" s="71" customFormat="1" ht="24" hidden="1" customHeight="1" outlineLevel="1" x14ac:dyDescent="0.25">
      <c r="A6198" s="74">
        <v>4372</v>
      </c>
      <c r="B6198" s="45" t="s">
        <v>664</v>
      </c>
      <c r="C6198" s="60" t="s">
        <v>5752</v>
      </c>
      <c r="D6198" s="60"/>
      <c r="E6198" s="74">
        <v>2023</v>
      </c>
      <c r="F6198" s="74" t="s">
        <v>489</v>
      </c>
      <c r="G6198" s="61">
        <v>1</v>
      </c>
      <c r="H6198" s="61">
        <v>15</v>
      </c>
      <c r="I6198" s="61">
        <v>35.411570000000005</v>
      </c>
    </row>
    <row r="6199" spans="1:9" s="71" customFormat="1" ht="24" hidden="1" customHeight="1" outlineLevel="1" x14ac:dyDescent="0.25">
      <c r="A6199" s="74">
        <v>2104</v>
      </c>
      <c r="B6199" s="45" t="s">
        <v>664</v>
      </c>
      <c r="C6199" s="60" t="s">
        <v>5753</v>
      </c>
      <c r="D6199" s="60"/>
      <c r="E6199" s="74">
        <v>2023</v>
      </c>
      <c r="F6199" s="74" t="s">
        <v>489</v>
      </c>
      <c r="G6199" s="61">
        <v>1</v>
      </c>
      <c r="H6199" s="61">
        <v>4</v>
      </c>
      <c r="I6199" s="61">
        <v>35.068480000000001</v>
      </c>
    </row>
    <row r="6200" spans="1:9" s="71" customFormat="1" ht="24" hidden="1" customHeight="1" outlineLevel="1" x14ac:dyDescent="0.25">
      <c r="A6200" s="74">
        <v>4376</v>
      </c>
      <c r="B6200" s="45" t="s">
        <v>664</v>
      </c>
      <c r="C6200" s="60" t="s">
        <v>5754</v>
      </c>
      <c r="D6200" s="60"/>
      <c r="E6200" s="74">
        <v>2023</v>
      </c>
      <c r="F6200" s="74" t="s">
        <v>489</v>
      </c>
      <c r="G6200" s="61">
        <v>1</v>
      </c>
      <c r="H6200" s="61">
        <v>15</v>
      </c>
      <c r="I6200" s="61">
        <v>36.040089999999999</v>
      </c>
    </row>
    <row r="6201" spans="1:9" s="71" customFormat="1" ht="24" hidden="1" customHeight="1" outlineLevel="1" x14ac:dyDescent="0.25">
      <c r="A6201" s="74">
        <v>4379</v>
      </c>
      <c r="B6201" s="45" t="s">
        <v>664</v>
      </c>
      <c r="C6201" s="60" t="s">
        <v>5755</v>
      </c>
      <c r="D6201" s="60"/>
      <c r="E6201" s="74">
        <v>2023</v>
      </c>
      <c r="F6201" s="74" t="s">
        <v>489</v>
      </c>
      <c r="G6201" s="61">
        <v>1</v>
      </c>
      <c r="H6201" s="61">
        <v>5</v>
      </c>
      <c r="I6201" s="61">
        <v>43.329970000000003</v>
      </c>
    </row>
    <row r="6202" spans="1:9" s="71" customFormat="1" ht="24" hidden="1" customHeight="1" outlineLevel="1" x14ac:dyDescent="0.25">
      <c r="A6202" s="74">
        <v>4383</v>
      </c>
      <c r="B6202" s="45" t="s">
        <v>664</v>
      </c>
      <c r="C6202" s="60" t="s">
        <v>5756</v>
      </c>
      <c r="D6202" s="60"/>
      <c r="E6202" s="74">
        <v>2023</v>
      </c>
      <c r="F6202" s="74" t="s">
        <v>489</v>
      </c>
      <c r="G6202" s="61">
        <v>1</v>
      </c>
      <c r="H6202" s="61">
        <v>15</v>
      </c>
      <c r="I6202" s="61">
        <v>37.934330000000003</v>
      </c>
    </row>
    <row r="6203" spans="1:9" s="71" customFormat="1" ht="24" hidden="1" customHeight="1" outlineLevel="1" x14ac:dyDescent="0.25">
      <c r="A6203" s="74">
        <v>2090</v>
      </c>
      <c r="B6203" s="45" t="s">
        <v>664</v>
      </c>
      <c r="C6203" s="60" t="s">
        <v>5757</v>
      </c>
      <c r="D6203" s="60"/>
      <c r="E6203" s="74">
        <v>2023</v>
      </c>
      <c r="F6203" s="74" t="s">
        <v>489</v>
      </c>
      <c r="G6203" s="61">
        <v>1</v>
      </c>
      <c r="H6203" s="61">
        <v>5</v>
      </c>
      <c r="I6203" s="61">
        <v>36.000989999999994</v>
      </c>
    </row>
    <row r="6204" spans="1:9" s="71" customFormat="1" ht="24" hidden="1" customHeight="1" outlineLevel="1" x14ac:dyDescent="0.25">
      <c r="A6204" s="74">
        <v>4261</v>
      </c>
      <c r="B6204" s="45" t="s">
        <v>664</v>
      </c>
      <c r="C6204" s="60" t="s">
        <v>5758</v>
      </c>
      <c r="D6204" s="60"/>
      <c r="E6204" s="74">
        <v>2023</v>
      </c>
      <c r="F6204" s="74" t="s">
        <v>489</v>
      </c>
      <c r="G6204" s="61">
        <v>1</v>
      </c>
      <c r="H6204" s="61">
        <v>14</v>
      </c>
      <c r="I6204" s="61">
        <v>52.750900000000001</v>
      </c>
    </row>
    <row r="6205" spans="1:9" s="71" customFormat="1" ht="24" hidden="1" customHeight="1" outlineLevel="1" x14ac:dyDescent="0.25">
      <c r="A6205" s="74">
        <v>4241</v>
      </c>
      <c r="B6205" s="45" t="s">
        <v>664</v>
      </c>
      <c r="C6205" s="60" t="s">
        <v>206</v>
      </c>
      <c r="D6205" s="60"/>
      <c r="E6205" s="74">
        <v>2023</v>
      </c>
      <c r="F6205" s="74" t="s">
        <v>489</v>
      </c>
      <c r="G6205" s="61">
        <v>2</v>
      </c>
      <c r="H6205" s="61">
        <v>150</v>
      </c>
      <c r="I6205" s="61">
        <v>169.99359000000001</v>
      </c>
    </row>
    <row r="6206" spans="1:9" s="71" customFormat="1" ht="24" hidden="1" customHeight="1" outlineLevel="1" x14ac:dyDescent="0.25">
      <c r="A6206" s="74">
        <v>3319</v>
      </c>
      <c r="B6206" s="45" t="s">
        <v>664</v>
      </c>
      <c r="C6206" s="60" t="s">
        <v>5759</v>
      </c>
      <c r="D6206" s="60"/>
      <c r="E6206" s="74">
        <v>2023</v>
      </c>
      <c r="F6206" s="74" t="s">
        <v>489</v>
      </c>
      <c r="G6206" s="61">
        <v>1</v>
      </c>
      <c r="H6206" s="61">
        <v>15</v>
      </c>
      <c r="I6206" s="61">
        <v>51.083999999999996</v>
      </c>
    </row>
    <row r="6207" spans="1:9" s="71" customFormat="1" ht="24" hidden="1" customHeight="1" outlineLevel="1" x14ac:dyDescent="0.25">
      <c r="A6207" s="74">
        <v>3135</v>
      </c>
      <c r="B6207" s="45" t="s">
        <v>664</v>
      </c>
      <c r="C6207" s="60" t="s">
        <v>627</v>
      </c>
      <c r="D6207" s="60"/>
      <c r="E6207" s="74">
        <v>2023</v>
      </c>
      <c r="F6207" s="74" t="s">
        <v>489</v>
      </c>
      <c r="G6207" s="61">
        <v>2</v>
      </c>
      <c r="H6207" s="61">
        <v>50</v>
      </c>
      <c r="I6207" s="61">
        <v>95.117450000000005</v>
      </c>
    </row>
    <row r="6208" spans="1:9" s="71" customFormat="1" ht="24" hidden="1" customHeight="1" outlineLevel="1" x14ac:dyDescent="0.25">
      <c r="A6208" s="74">
        <v>2133</v>
      </c>
      <c r="B6208" s="45" t="s">
        <v>664</v>
      </c>
      <c r="C6208" s="60" t="s">
        <v>5760</v>
      </c>
      <c r="D6208" s="60"/>
      <c r="E6208" s="74">
        <v>2023</v>
      </c>
      <c r="F6208" s="74" t="s">
        <v>489</v>
      </c>
      <c r="G6208" s="61">
        <v>2</v>
      </c>
      <c r="H6208" s="61">
        <v>18</v>
      </c>
      <c r="I6208" s="61">
        <v>94.406229999999994</v>
      </c>
    </row>
    <row r="6209" spans="1:9" s="71" customFormat="1" ht="24" hidden="1" customHeight="1" outlineLevel="1" x14ac:dyDescent="0.25">
      <c r="A6209" s="74">
        <v>3231</v>
      </c>
      <c r="B6209" s="45" t="s">
        <v>664</v>
      </c>
      <c r="C6209" s="60" t="s">
        <v>524</v>
      </c>
      <c r="D6209" s="60"/>
      <c r="E6209" s="74">
        <v>2023</v>
      </c>
      <c r="F6209" s="74" t="s">
        <v>489</v>
      </c>
      <c r="G6209" s="61">
        <v>2</v>
      </c>
      <c r="H6209" s="61">
        <v>13</v>
      </c>
      <c r="I6209" s="61">
        <v>78.476299999999995</v>
      </c>
    </row>
    <row r="6210" spans="1:9" s="71" customFormat="1" ht="24" hidden="1" customHeight="1" outlineLevel="1" x14ac:dyDescent="0.25">
      <c r="A6210" s="74">
        <v>409</v>
      </c>
      <c r="B6210" s="45" t="s">
        <v>664</v>
      </c>
      <c r="C6210" s="60" t="s">
        <v>5761</v>
      </c>
      <c r="D6210" s="60"/>
      <c r="E6210" s="74">
        <v>2023</v>
      </c>
      <c r="F6210" s="74" t="s">
        <v>489</v>
      </c>
      <c r="G6210" s="61">
        <v>1</v>
      </c>
      <c r="H6210" s="61">
        <v>15</v>
      </c>
      <c r="I6210" s="61">
        <v>50.570039999999999</v>
      </c>
    </row>
    <row r="6211" spans="1:9" s="71" customFormat="1" ht="24" hidden="1" customHeight="1" outlineLevel="1" x14ac:dyDescent="0.25">
      <c r="A6211" s="74">
        <v>2144</v>
      </c>
      <c r="B6211" s="45" t="s">
        <v>664</v>
      </c>
      <c r="C6211" s="60" t="s">
        <v>5762</v>
      </c>
      <c r="D6211" s="60"/>
      <c r="E6211" s="74">
        <v>2023</v>
      </c>
      <c r="F6211" s="74" t="s">
        <v>489</v>
      </c>
      <c r="G6211" s="61">
        <v>1</v>
      </c>
      <c r="H6211" s="61">
        <v>15</v>
      </c>
      <c r="I6211" s="61">
        <v>36.148520000000005</v>
      </c>
    </row>
    <row r="6212" spans="1:9" s="71" customFormat="1" ht="24" hidden="1" customHeight="1" outlineLevel="1" x14ac:dyDescent="0.25">
      <c r="A6212" s="74">
        <v>2291</v>
      </c>
      <c r="B6212" s="45" t="s">
        <v>664</v>
      </c>
      <c r="C6212" s="60" t="s">
        <v>5763</v>
      </c>
      <c r="D6212" s="60"/>
      <c r="E6212" s="74">
        <v>2023</v>
      </c>
      <c r="F6212" s="74" t="s">
        <v>489</v>
      </c>
      <c r="G6212" s="61">
        <v>1</v>
      </c>
      <c r="H6212" s="61">
        <v>10</v>
      </c>
      <c r="I6212" s="61">
        <v>48.11748</v>
      </c>
    </row>
    <row r="6213" spans="1:9" s="71" customFormat="1" ht="24" hidden="1" customHeight="1" outlineLevel="1" x14ac:dyDescent="0.25">
      <c r="A6213" s="74">
        <v>2673</v>
      </c>
      <c r="B6213" s="45" t="s">
        <v>664</v>
      </c>
      <c r="C6213" s="60" t="s">
        <v>5764</v>
      </c>
      <c r="D6213" s="60"/>
      <c r="E6213" s="74">
        <v>2023</v>
      </c>
      <c r="F6213" s="74" t="s">
        <v>489</v>
      </c>
      <c r="G6213" s="61">
        <v>1</v>
      </c>
      <c r="H6213" s="61">
        <v>6</v>
      </c>
      <c r="I6213" s="61">
        <v>35.729559999999999</v>
      </c>
    </row>
    <row r="6214" spans="1:9" s="71" customFormat="1" ht="24" hidden="1" customHeight="1" outlineLevel="1" x14ac:dyDescent="0.25">
      <c r="A6214" s="74">
        <v>2600</v>
      </c>
      <c r="B6214" s="45" t="s">
        <v>664</v>
      </c>
      <c r="C6214" s="60" t="s">
        <v>5765</v>
      </c>
      <c r="D6214" s="60"/>
      <c r="E6214" s="74">
        <v>2023</v>
      </c>
      <c r="F6214" s="74" t="s">
        <v>489</v>
      </c>
      <c r="G6214" s="61">
        <v>1</v>
      </c>
      <c r="H6214" s="61">
        <v>5</v>
      </c>
      <c r="I6214" s="61">
        <v>36.31973</v>
      </c>
    </row>
    <row r="6215" spans="1:9" s="71" customFormat="1" ht="24" hidden="1" customHeight="1" outlineLevel="1" x14ac:dyDescent="0.25">
      <c r="A6215" s="74">
        <v>2600</v>
      </c>
      <c r="B6215" s="45" t="s">
        <v>664</v>
      </c>
      <c r="C6215" s="60" t="s">
        <v>5766</v>
      </c>
      <c r="D6215" s="60"/>
      <c r="E6215" s="74">
        <v>2023</v>
      </c>
      <c r="F6215" s="74" t="s">
        <v>489</v>
      </c>
      <c r="G6215" s="61">
        <v>1</v>
      </c>
      <c r="H6215" s="61">
        <v>5</v>
      </c>
      <c r="I6215" s="61">
        <v>36.31973</v>
      </c>
    </row>
    <row r="6216" spans="1:9" s="71" customFormat="1" ht="24" hidden="1" customHeight="1" outlineLevel="1" x14ac:dyDescent="0.25">
      <c r="A6216" s="74">
        <v>4251</v>
      </c>
      <c r="B6216" s="45" t="s">
        <v>664</v>
      </c>
      <c r="C6216" s="60" t="s">
        <v>5767</v>
      </c>
      <c r="D6216" s="60"/>
      <c r="E6216" s="74">
        <v>2023</v>
      </c>
      <c r="F6216" s="74" t="s">
        <v>489</v>
      </c>
      <c r="G6216" s="61">
        <v>1</v>
      </c>
      <c r="H6216" s="61">
        <v>15</v>
      </c>
      <c r="I6216" s="61">
        <v>50.483269999999997</v>
      </c>
    </row>
    <row r="6217" spans="1:9" s="71" customFormat="1" ht="24" hidden="1" customHeight="1" outlineLevel="1" x14ac:dyDescent="0.25">
      <c r="A6217" s="74">
        <v>2441</v>
      </c>
      <c r="B6217" s="45" t="s">
        <v>664</v>
      </c>
      <c r="C6217" s="60" t="s">
        <v>5768</v>
      </c>
      <c r="D6217" s="60"/>
      <c r="E6217" s="74">
        <v>2023</v>
      </c>
      <c r="F6217" s="74" t="s">
        <v>489</v>
      </c>
      <c r="G6217" s="61">
        <v>1</v>
      </c>
      <c r="H6217" s="61">
        <v>10</v>
      </c>
      <c r="I6217" s="61">
        <v>49.014400000000002</v>
      </c>
    </row>
    <row r="6218" spans="1:9" s="71" customFormat="1" ht="24" hidden="1" customHeight="1" outlineLevel="1" x14ac:dyDescent="0.25">
      <c r="A6218" s="74">
        <v>4388</v>
      </c>
      <c r="B6218" s="45" t="s">
        <v>664</v>
      </c>
      <c r="C6218" s="60" t="s">
        <v>5769</v>
      </c>
      <c r="D6218" s="60"/>
      <c r="E6218" s="74">
        <v>2023</v>
      </c>
      <c r="F6218" s="74" t="s">
        <v>489</v>
      </c>
      <c r="G6218" s="61">
        <v>1</v>
      </c>
      <c r="H6218" s="61">
        <v>15</v>
      </c>
      <c r="I6218" s="61">
        <v>36.100100000000005</v>
      </c>
    </row>
    <row r="6219" spans="1:9" s="71" customFormat="1" ht="24" hidden="1" customHeight="1" outlineLevel="1" x14ac:dyDescent="0.25">
      <c r="A6219" s="74">
        <v>2716</v>
      </c>
      <c r="B6219" s="45" t="s">
        <v>664</v>
      </c>
      <c r="C6219" s="60" t="s">
        <v>5770</v>
      </c>
      <c r="D6219" s="60"/>
      <c r="E6219" s="74">
        <v>2023</v>
      </c>
      <c r="F6219" s="74" t="s">
        <v>489</v>
      </c>
      <c r="G6219" s="61">
        <v>1</v>
      </c>
      <c r="H6219" s="61">
        <v>9</v>
      </c>
      <c r="I6219" s="61">
        <v>36.098590000000002</v>
      </c>
    </row>
    <row r="6220" spans="1:9" s="71" customFormat="1" ht="24" hidden="1" customHeight="1" outlineLevel="1" x14ac:dyDescent="0.25">
      <c r="A6220" s="74">
        <v>4388</v>
      </c>
      <c r="B6220" s="45" t="s">
        <v>664</v>
      </c>
      <c r="C6220" s="60" t="s">
        <v>5771</v>
      </c>
      <c r="D6220" s="60"/>
      <c r="E6220" s="74">
        <v>2023</v>
      </c>
      <c r="F6220" s="74" t="s">
        <v>489</v>
      </c>
      <c r="G6220" s="61">
        <v>1</v>
      </c>
      <c r="H6220" s="61">
        <v>5.74</v>
      </c>
      <c r="I6220" s="61">
        <v>36.100100000000005</v>
      </c>
    </row>
    <row r="6221" spans="1:9" s="71" customFormat="1" ht="24" hidden="1" customHeight="1" outlineLevel="1" x14ac:dyDescent="0.25">
      <c r="A6221" s="74">
        <v>4392</v>
      </c>
      <c r="B6221" s="45" t="s">
        <v>664</v>
      </c>
      <c r="C6221" s="60" t="s">
        <v>5772</v>
      </c>
      <c r="D6221" s="60"/>
      <c r="E6221" s="74">
        <v>2023</v>
      </c>
      <c r="F6221" s="74" t="s">
        <v>489</v>
      </c>
      <c r="G6221" s="61">
        <v>1</v>
      </c>
      <c r="H6221" s="61">
        <v>15</v>
      </c>
      <c r="I6221" s="61">
        <v>36.031860000000002</v>
      </c>
    </row>
    <row r="6222" spans="1:9" s="71" customFormat="1" ht="24" hidden="1" customHeight="1" outlineLevel="1" x14ac:dyDescent="0.25">
      <c r="A6222" s="74">
        <v>3149</v>
      </c>
      <c r="B6222" s="45" t="s">
        <v>664</v>
      </c>
      <c r="C6222" s="60" t="s">
        <v>208</v>
      </c>
      <c r="D6222" s="60"/>
      <c r="E6222" s="74">
        <v>2023</v>
      </c>
      <c r="F6222" s="74" t="s">
        <v>489</v>
      </c>
      <c r="G6222" s="61">
        <v>2</v>
      </c>
      <c r="H6222" s="61">
        <v>100</v>
      </c>
      <c r="I6222" s="61">
        <v>342.28992000000005</v>
      </c>
    </row>
    <row r="6223" spans="1:9" s="71" customFormat="1" ht="24" hidden="1" customHeight="1" outlineLevel="1" x14ac:dyDescent="0.25">
      <c r="A6223" s="74">
        <v>2894</v>
      </c>
      <c r="B6223" s="45" t="s">
        <v>664</v>
      </c>
      <c r="C6223" s="60" t="s">
        <v>5773</v>
      </c>
      <c r="D6223" s="60"/>
      <c r="E6223" s="74">
        <v>2023</v>
      </c>
      <c r="F6223" s="74" t="s">
        <v>489</v>
      </c>
      <c r="G6223" s="61">
        <v>1</v>
      </c>
      <c r="H6223" s="61">
        <v>15</v>
      </c>
      <c r="I6223" s="61">
        <v>55.036920000000002</v>
      </c>
    </row>
    <row r="6224" spans="1:9" s="71" customFormat="1" ht="24" hidden="1" customHeight="1" outlineLevel="1" x14ac:dyDescent="0.25">
      <c r="A6224" s="74">
        <v>2298</v>
      </c>
      <c r="B6224" s="45" t="s">
        <v>664</v>
      </c>
      <c r="C6224" s="60" t="s">
        <v>5774</v>
      </c>
      <c r="D6224" s="60"/>
      <c r="E6224" s="74">
        <v>2023</v>
      </c>
      <c r="F6224" s="74" t="s">
        <v>489</v>
      </c>
      <c r="G6224" s="61">
        <v>1</v>
      </c>
      <c r="H6224" s="61">
        <v>3</v>
      </c>
      <c r="I6224" s="61">
        <v>43.633099999999999</v>
      </c>
    </row>
    <row r="6225" spans="1:9" s="71" customFormat="1" ht="24" hidden="1" customHeight="1" outlineLevel="1" x14ac:dyDescent="0.25">
      <c r="A6225" s="74">
        <v>2283</v>
      </c>
      <c r="B6225" s="45" t="s">
        <v>664</v>
      </c>
      <c r="C6225" s="60" t="s">
        <v>5775</v>
      </c>
      <c r="D6225" s="60"/>
      <c r="E6225" s="74">
        <v>2023</v>
      </c>
      <c r="F6225" s="74" t="s">
        <v>489</v>
      </c>
      <c r="G6225" s="61">
        <v>2</v>
      </c>
      <c r="H6225" s="61">
        <v>6</v>
      </c>
      <c r="I6225" s="61">
        <v>87.944640000000007</v>
      </c>
    </row>
    <row r="6226" spans="1:9" s="71" customFormat="1" ht="24" hidden="1" customHeight="1" outlineLevel="1" x14ac:dyDescent="0.25">
      <c r="A6226" s="74">
        <v>4393</v>
      </c>
      <c r="B6226" s="45" t="s">
        <v>664</v>
      </c>
      <c r="C6226" s="60" t="s">
        <v>5776</v>
      </c>
      <c r="D6226" s="60"/>
      <c r="E6226" s="74">
        <v>2023</v>
      </c>
      <c r="F6226" s="74" t="s">
        <v>489</v>
      </c>
      <c r="G6226" s="61">
        <v>1</v>
      </c>
      <c r="H6226" s="61">
        <v>5</v>
      </c>
      <c r="I6226" s="61">
        <v>484.54424</v>
      </c>
    </row>
    <row r="6227" spans="1:9" s="71" customFormat="1" ht="24" hidden="1" customHeight="1" outlineLevel="1" x14ac:dyDescent="0.25">
      <c r="A6227" s="74">
        <v>4394</v>
      </c>
      <c r="B6227" s="45" t="s">
        <v>664</v>
      </c>
      <c r="C6227" s="60" t="s">
        <v>5777</v>
      </c>
      <c r="D6227" s="60"/>
      <c r="E6227" s="74">
        <v>2023</v>
      </c>
      <c r="F6227" s="74" t="s">
        <v>489</v>
      </c>
      <c r="G6227" s="61">
        <v>1</v>
      </c>
      <c r="H6227" s="61">
        <v>15</v>
      </c>
      <c r="I6227" s="61">
        <v>37.79674</v>
      </c>
    </row>
    <row r="6228" spans="1:9" s="71" customFormat="1" ht="24" hidden="1" customHeight="1" outlineLevel="1" x14ac:dyDescent="0.25">
      <c r="A6228" s="74">
        <v>4395</v>
      </c>
      <c r="B6228" s="45" t="s">
        <v>664</v>
      </c>
      <c r="C6228" s="60" t="s">
        <v>5778</v>
      </c>
      <c r="D6228" s="60"/>
      <c r="E6228" s="74">
        <v>2023</v>
      </c>
      <c r="F6228" s="74" t="s">
        <v>489</v>
      </c>
      <c r="G6228" s="61">
        <v>1</v>
      </c>
      <c r="H6228" s="61">
        <v>134</v>
      </c>
      <c r="I6228" s="61">
        <v>459.88087000000002</v>
      </c>
    </row>
    <row r="6229" spans="1:9" s="71" customFormat="1" ht="24" hidden="1" customHeight="1" outlineLevel="1" x14ac:dyDescent="0.25">
      <c r="A6229" s="74">
        <v>4236</v>
      </c>
      <c r="B6229" s="45" t="s">
        <v>664</v>
      </c>
      <c r="C6229" s="60" t="s">
        <v>209</v>
      </c>
      <c r="D6229" s="60"/>
      <c r="E6229" s="74">
        <v>2023</v>
      </c>
      <c r="F6229" s="74" t="s">
        <v>489</v>
      </c>
      <c r="G6229" s="61">
        <v>1</v>
      </c>
      <c r="H6229" s="61">
        <v>135</v>
      </c>
      <c r="I6229" s="61">
        <v>72.358400000000003</v>
      </c>
    </row>
    <row r="6230" spans="1:9" s="71" customFormat="1" ht="24" hidden="1" customHeight="1" outlineLevel="1" x14ac:dyDescent="0.25">
      <c r="A6230" s="74">
        <v>4400</v>
      </c>
      <c r="B6230" s="45" t="s">
        <v>664</v>
      </c>
      <c r="C6230" s="60" t="s">
        <v>5779</v>
      </c>
      <c r="D6230" s="60"/>
      <c r="E6230" s="74">
        <v>2023</v>
      </c>
      <c r="F6230" s="74" t="s">
        <v>489</v>
      </c>
      <c r="G6230" s="61">
        <v>1</v>
      </c>
      <c r="H6230" s="61">
        <v>15</v>
      </c>
      <c r="I6230" s="61">
        <v>44.141470000000005</v>
      </c>
    </row>
    <row r="6231" spans="1:9" s="71" customFormat="1" ht="24" hidden="1" customHeight="1" outlineLevel="1" x14ac:dyDescent="0.25">
      <c r="A6231" s="74">
        <v>4404</v>
      </c>
      <c r="B6231" s="45" t="s">
        <v>664</v>
      </c>
      <c r="C6231" s="60" t="s">
        <v>5780</v>
      </c>
      <c r="D6231" s="60"/>
      <c r="E6231" s="74">
        <v>2023</v>
      </c>
      <c r="F6231" s="74" t="s">
        <v>489</v>
      </c>
      <c r="G6231" s="61">
        <v>1</v>
      </c>
      <c r="H6231" s="61">
        <v>15</v>
      </c>
      <c r="I6231" s="61">
        <v>38.100120000000004</v>
      </c>
    </row>
    <row r="6232" spans="1:9" s="71" customFormat="1" ht="24" hidden="1" customHeight="1" outlineLevel="1" x14ac:dyDescent="0.25">
      <c r="A6232" s="74">
        <v>3320</v>
      </c>
      <c r="B6232" s="45" t="s">
        <v>664</v>
      </c>
      <c r="C6232" s="60" t="s">
        <v>5781</v>
      </c>
      <c r="D6232" s="60"/>
      <c r="E6232" s="74">
        <v>2023</v>
      </c>
      <c r="F6232" s="74" t="s">
        <v>489</v>
      </c>
      <c r="G6232" s="61">
        <v>1</v>
      </c>
      <c r="H6232" s="61">
        <v>8</v>
      </c>
      <c r="I6232" s="61">
        <v>39.049819999999997</v>
      </c>
    </row>
    <row r="6233" spans="1:9" s="71" customFormat="1" ht="24" hidden="1" customHeight="1" outlineLevel="1" x14ac:dyDescent="0.25">
      <c r="A6233" s="74">
        <v>2900</v>
      </c>
      <c r="B6233" s="45" t="s">
        <v>664</v>
      </c>
      <c r="C6233" s="60" t="s">
        <v>5782</v>
      </c>
      <c r="D6233" s="60"/>
      <c r="E6233" s="74">
        <v>2023</v>
      </c>
      <c r="F6233" s="74" t="s">
        <v>489</v>
      </c>
      <c r="G6233" s="61">
        <v>1</v>
      </c>
      <c r="H6233" s="61">
        <v>15</v>
      </c>
      <c r="I6233" s="61">
        <v>85.248630000000006</v>
      </c>
    </row>
    <row r="6234" spans="1:9" s="71" customFormat="1" ht="24" hidden="1" customHeight="1" outlineLevel="1" x14ac:dyDescent="0.25">
      <c r="A6234" s="74">
        <v>4262</v>
      </c>
      <c r="B6234" s="45" t="s">
        <v>664</v>
      </c>
      <c r="C6234" s="60" t="s">
        <v>5783</v>
      </c>
      <c r="D6234" s="60"/>
      <c r="E6234" s="74">
        <v>2023</v>
      </c>
      <c r="F6234" s="74" t="s">
        <v>489</v>
      </c>
      <c r="G6234" s="61">
        <v>1</v>
      </c>
      <c r="H6234" s="61">
        <v>15</v>
      </c>
      <c r="I6234" s="61">
        <v>72.615210000000005</v>
      </c>
    </row>
    <row r="6235" spans="1:9" s="71" customFormat="1" ht="24" hidden="1" customHeight="1" outlineLevel="1" x14ac:dyDescent="0.25">
      <c r="A6235" s="74">
        <v>4263</v>
      </c>
      <c r="B6235" s="45" t="s">
        <v>664</v>
      </c>
      <c r="C6235" s="60" t="s">
        <v>5784</v>
      </c>
      <c r="D6235" s="60"/>
      <c r="E6235" s="74">
        <v>2023</v>
      </c>
      <c r="F6235" s="74" t="s">
        <v>489</v>
      </c>
      <c r="G6235" s="61">
        <v>1</v>
      </c>
      <c r="H6235" s="61">
        <v>7.5</v>
      </c>
      <c r="I6235" s="61">
        <v>59.118499999999997</v>
      </c>
    </row>
    <row r="6236" spans="1:9" s="71" customFormat="1" ht="24" hidden="1" customHeight="1" outlineLevel="1" x14ac:dyDescent="0.25">
      <c r="A6236" s="74">
        <v>4242</v>
      </c>
      <c r="B6236" s="45" t="s">
        <v>664</v>
      </c>
      <c r="C6236" s="60" t="s">
        <v>5785</v>
      </c>
      <c r="D6236" s="60"/>
      <c r="E6236" s="74">
        <v>2023</v>
      </c>
      <c r="F6236" s="74" t="s">
        <v>489</v>
      </c>
      <c r="G6236" s="61">
        <v>2</v>
      </c>
      <c r="H6236" s="61">
        <v>181</v>
      </c>
      <c r="I6236" s="61">
        <v>151.15226000000001</v>
      </c>
    </row>
    <row r="6237" spans="1:9" s="71" customFormat="1" ht="24" hidden="1" customHeight="1" outlineLevel="1" x14ac:dyDescent="0.25">
      <c r="A6237" s="74">
        <v>4406</v>
      </c>
      <c r="B6237" s="45" t="s">
        <v>664</v>
      </c>
      <c r="C6237" s="60" t="s">
        <v>5786</v>
      </c>
      <c r="D6237" s="60"/>
      <c r="E6237" s="74">
        <v>2023</v>
      </c>
      <c r="F6237" s="74" t="s">
        <v>489</v>
      </c>
      <c r="G6237" s="61">
        <v>1</v>
      </c>
      <c r="H6237" s="61">
        <v>15</v>
      </c>
      <c r="I6237" s="61">
        <v>35.647280000000002</v>
      </c>
    </row>
    <row r="6238" spans="1:9" s="71" customFormat="1" ht="24" hidden="1" customHeight="1" outlineLevel="1" x14ac:dyDescent="0.25">
      <c r="A6238" s="74">
        <v>2443</v>
      </c>
      <c r="B6238" s="45" t="s">
        <v>664</v>
      </c>
      <c r="C6238" s="60" t="s">
        <v>5787</v>
      </c>
      <c r="D6238" s="60"/>
      <c r="E6238" s="74">
        <v>2023</v>
      </c>
      <c r="F6238" s="74" t="s">
        <v>489</v>
      </c>
      <c r="G6238" s="61">
        <v>1</v>
      </c>
      <c r="H6238" s="61">
        <v>9</v>
      </c>
      <c r="I6238" s="61">
        <v>49.203579999999995</v>
      </c>
    </row>
    <row r="6239" spans="1:9" s="71" customFormat="1" ht="24" hidden="1" customHeight="1" outlineLevel="1" x14ac:dyDescent="0.25">
      <c r="A6239" s="74">
        <v>4407</v>
      </c>
      <c r="B6239" s="45" t="s">
        <v>664</v>
      </c>
      <c r="C6239" s="60" t="s">
        <v>5788</v>
      </c>
      <c r="D6239" s="60"/>
      <c r="E6239" s="74">
        <v>2023</v>
      </c>
      <c r="F6239" s="74" t="s">
        <v>489</v>
      </c>
      <c r="G6239" s="61">
        <v>1</v>
      </c>
      <c r="H6239" s="61">
        <v>10</v>
      </c>
      <c r="I6239" s="61">
        <v>37.014310000000002</v>
      </c>
    </row>
    <row r="6240" spans="1:9" s="71" customFormat="1" ht="24" hidden="1" customHeight="1" outlineLevel="1" x14ac:dyDescent="0.25">
      <c r="A6240" s="74">
        <v>2638</v>
      </c>
      <c r="B6240" s="45" t="s">
        <v>664</v>
      </c>
      <c r="C6240" s="60" t="s">
        <v>5789</v>
      </c>
      <c r="D6240" s="60"/>
      <c r="E6240" s="74">
        <v>2023</v>
      </c>
      <c r="F6240" s="74" t="s">
        <v>489</v>
      </c>
      <c r="G6240" s="61">
        <v>1</v>
      </c>
      <c r="H6240" s="61">
        <v>9</v>
      </c>
      <c r="I6240" s="61">
        <v>36.502839999999999</v>
      </c>
    </row>
    <row r="6241" spans="1:9" s="71" customFormat="1" ht="24" hidden="1" customHeight="1" outlineLevel="1" x14ac:dyDescent="0.25">
      <c r="A6241" s="74">
        <v>2664</v>
      </c>
      <c r="B6241" s="45" t="s">
        <v>664</v>
      </c>
      <c r="C6241" s="60" t="s">
        <v>5790</v>
      </c>
      <c r="D6241" s="60"/>
      <c r="E6241" s="74">
        <v>2023</v>
      </c>
      <c r="F6241" s="74" t="s">
        <v>489</v>
      </c>
      <c r="G6241" s="61">
        <v>1</v>
      </c>
      <c r="H6241" s="61">
        <v>9</v>
      </c>
      <c r="I6241" s="61">
        <v>35.531100000000002</v>
      </c>
    </row>
    <row r="6242" spans="1:9" s="71" customFormat="1" ht="24" hidden="1" customHeight="1" outlineLevel="1" x14ac:dyDescent="0.25">
      <c r="A6242" s="74">
        <v>2707</v>
      </c>
      <c r="B6242" s="45" t="s">
        <v>664</v>
      </c>
      <c r="C6242" s="60" t="s">
        <v>5791</v>
      </c>
      <c r="D6242" s="60"/>
      <c r="E6242" s="74">
        <v>2023</v>
      </c>
      <c r="F6242" s="74" t="s">
        <v>489</v>
      </c>
      <c r="G6242" s="61">
        <v>1</v>
      </c>
      <c r="H6242" s="61">
        <v>1</v>
      </c>
      <c r="I6242" s="61">
        <v>35.531109999999998</v>
      </c>
    </row>
    <row r="6243" spans="1:9" s="71" customFormat="1" ht="24" hidden="1" customHeight="1" outlineLevel="1" x14ac:dyDescent="0.25">
      <c r="A6243" s="74">
        <v>2664</v>
      </c>
      <c r="B6243" s="45" t="s">
        <v>664</v>
      </c>
      <c r="C6243" s="60" t="s">
        <v>5792</v>
      </c>
      <c r="D6243" s="60"/>
      <c r="E6243" s="74">
        <v>2023</v>
      </c>
      <c r="F6243" s="74" t="s">
        <v>489</v>
      </c>
      <c r="G6243" s="61">
        <v>1</v>
      </c>
      <c r="H6243" s="61">
        <v>9</v>
      </c>
      <c r="I6243" s="61">
        <v>35.531100000000002</v>
      </c>
    </row>
    <row r="6244" spans="1:9" s="71" customFormat="1" ht="24" hidden="1" customHeight="1" outlineLevel="1" x14ac:dyDescent="0.25">
      <c r="A6244" s="74">
        <v>4247</v>
      </c>
      <c r="B6244" s="45" t="s">
        <v>664</v>
      </c>
      <c r="C6244" s="60" t="s">
        <v>5793</v>
      </c>
      <c r="D6244" s="60"/>
      <c r="E6244" s="74">
        <v>2023</v>
      </c>
      <c r="F6244" s="74" t="s">
        <v>489</v>
      </c>
      <c r="G6244" s="61">
        <v>1</v>
      </c>
      <c r="H6244" s="61">
        <v>15</v>
      </c>
      <c r="I6244" s="61">
        <v>45.374739999999996</v>
      </c>
    </row>
    <row r="6245" spans="1:9" s="71" customFormat="1" ht="24" hidden="1" customHeight="1" outlineLevel="1" x14ac:dyDescent="0.25">
      <c r="A6245" s="74">
        <v>4246</v>
      </c>
      <c r="B6245" s="45" t="s">
        <v>664</v>
      </c>
      <c r="C6245" s="60" t="s">
        <v>5794</v>
      </c>
      <c r="D6245" s="60"/>
      <c r="E6245" s="74">
        <v>2023</v>
      </c>
      <c r="F6245" s="74" t="s">
        <v>489</v>
      </c>
      <c r="G6245" s="61">
        <v>1</v>
      </c>
      <c r="H6245" s="61">
        <v>15</v>
      </c>
      <c r="I6245" s="61">
        <v>45.953420000000001</v>
      </c>
    </row>
    <row r="6246" spans="1:9" s="71" customFormat="1" ht="24" hidden="1" customHeight="1" outlineLevel="1" x14ac:dyDescent="0.25">
      <c r="A6246" s="74">
        <v>4245</v>
      </c>
      <c r="B6246" s="45" t="s">
        <v>664</v>
      </c>
      <c r="C6246" s="60" t="s">
        <v>5795</v>
      </c>
      <c r="D6246" s="60"/>
      <c r="E6246" s="74">
        <v>2023</v>
      </c>
      <c r="F6246" s="74" t="s">
        <v>489</v>
      </c>
      <c r="G6246" s="61">
        <v>1</v>
      </c>
      <c r="H6246" s="61">
        <v>15</v>
      </c>
      <c r="I6246" s="61">
        <v>49.512840000000004</v>
      </c>
    </row>
    <row r="6247" spans="1:9" s="71" customFormat="1" ht="24" hidden="1" customHeight="1" outlineLevel="1" x14ac:dyDescent="0.25">
      <c r="A6247" s="74">
        <v>4264</v>
      </c>
      <c r="B6247" s="45" t="s">
        <v>664</v>
      </c>
      <c r="C6247" s="60" t="s">
        <v>5796</v>
      </c>
      <c r="D6247" s="60"/>
      <c r="E6247" s="74">
        <v>2023</v>
      </c>
      <c r="F6247" s="74" t="s">
        <v>489</v>
      </c>
      <c r="G6247" s="61">
        <v>1</v>
      </c>
      <c r="H6247" s="61">
        <v>50</v>
      </c>
      <c r="I6247" s="61">
        <v>120.05198</v>
      </c>
    </row>
    <row r="6248" spans="1:9" s="71" customFormat="1" ht="24" hidden="1" customHeight="1" outlineLevel="1" x14ac:dyDescent="0.25">
      <c r="A6248" s="74">
        <v>4265</v>
      </c>
      <c r="B6248" s="45" t="s">
        <v>664</v>
      </c>
      <c r="C6248" s="60" t="s">
        <v>5797</v>
      </c>
      <c r="D6248" s="60"/>
      <c r="E6248" s="74">
        <v>2023</v>
      </c>
      <c r="F6248" s="74" t="s">
        <v>489</v>
      </c>
      <c r="G6248" s="61">
        <v>1</v>
      </c>
      <c r="H6248" s="61">
        <v>10</v>
      </c>
      <c r="I6248" s="61">
        <v>52.235910000000004</v>
      </c>
    </row>
    <row r="6249" spans="1:9" s="71" customFormat="1" ht="24" hidden="1" customHeight="1" outlineLevel="1" x14ac:dyDescent="0.25">
      <c r="A6249" s="74">
        <v>4266</v>
      </c>
      <c r="B6249" s="45" t="s">
        <v>664</v>
      </c>
      <c r="C6249" s="60" t="s">
        <v>5798</v>
      </c>
      <c r="D6249" s="60"/>
      <c r="E6249" s="74">
        <v>2023</v>
      </c>
      <c r="F6249" s="74" t="s">
        <v>489</v>
      </c>
      <c r="G6249" s="61">
        <v>1</v>
      </c>
      <c r="H6249" s="61">
        <v>5</v>
      </c>
      <c r="I6249" s="61">
        <v>59.009340000000002</v>
      </c>
    </row>
    <row r="6250" spans="1:9" s="71" customFormat="1" ht="24" hidden="1" customHeight="1" outlineLevel="1" x14ac:dyDescent="0.25">
      <c r="A6250" s="74">
        <v>4583</v>
      </c>
      <c r="B6250" s="45" t="s">
        <v>664</v>
      </c>
      <c r="C6250" s="60" t="s">
        <v>5799</v>
      </c>
      <c r="D6250" s="60"/>
      <c r="E6250" s="74">
        <v>2023</v>
      </c>
      <c r="F6250" s="74" t="s">
        <v>489</v>
      </c>
      <c r="G6250" s="61">
        <v>1</v>
      </c>
      <c r="H6250" s="61">
        <v>15</v>
      </c>
      <c r="I6250" s="61">
        <v>52.954800000000006</v>
      </c>
    </row>
    <row r="6251" spans="1:9" s="71" customFormat="1" ht="24" hidden="1" customHeight="1" outlineLevel="1" x14ac:dyDescent="0.25">
      <c r="A6251" s="74">
        <v>4592</v>
      </c>
      <c r="B6251" s="45" t="s">
        <v>664</v>
      </c>
      <c r="C6251" s="60" t="s">
        <v>5800</v>
      </c>
      <c r="D6251" s="60"/>
      <c r="E6251" s="74">
        <v>2023</v>
      </c>
      <c r="F6251" s="74" t="s">
        <v>489</v>
      </c>
      <c r="G6251" s="61">
        <v>1</v>
      </c>
      <c r="H6251" s="61">
        <v>15</v>
      </c>
      <c r="I6251" s="61">
        <v>43.888999999999996</v>
      </c>
    </row>
    <row r="6252" spans="1:9" s="71" customFormat="1" ht="24" hidden="1" customHeight="1" outlineLevel="1" x14ac:dyDescent="0.25">
      <c r="A6252" s="74">
        <v>4593</v>
      </c>
      <c r="B6252" s="45" t="s">
        <v>664</v>
      </c>
      <c r="C6252" s="60" t="s">
        <v>5801</v>
      </c>
      <c r="D6252" s="60"/>
      <c r="E6252" s="74">
        <v>2023</v>
      </c>
      <c r="F6252" s="74" t="s">
        <v>489</v>
      </c>
      <c r="G6252" s="61">
        <v>1</v>
      </c>
      <c r="H6252" s="61">
        <v>50</v>
      </c>
      <c r="I6252" s="61">
        <v>43.888999999999996</v>
      </c>
    </row>
    <row r="6253" spans="1:9" s="71" customFormat="1" ht="24" hidden="1" customHeight="1" outlineLevel="1" x14ac:dyDescent="0.25">
      <c r="A6253" s="74">
        <v>440</v>
      </c>
      <c r="B6253" s="45" t="s">
        <v>664</v>
      </c>
      <c r="C6253" s="60" t="s">
        <v>5802</v>
      </c>
      <c r="D6253" s="60"/>
      <c r="E6253" s="74">
        <v>2023</v>
      </c>
      <c r="F6253" s="74" t="s">
        <v>489</v>
      </c>
      <c r="G6253" s="61">
        <v>1</v>
      </c>
      <c r="H6253" s="61">
        <v>15</v>
      </c>
      <c r="I6253" s="61">
        <v>46.476000000000006</v>
      </c>
    </row>
    <row r="6254" spans="1:9" s="71" customFormat="1" ht="24" hidden="1" customHeight="1" outlineLevel="1" x14ac:dyDescent="0.25">
      <c r="A6254" s="74">
        <v>3903</v>
      </c>
      <c r="B6254" s="45" t="s">
        <v>664</v>
      </c>
      <c r="C6254" s="60" t="s">
        <v>5803</v>
      </c>
      <c r="D6254" s="60"/>
      <c r="E6254" s="74">
        <v>2023</v>
      </c>
      <c r="F6254" s="74" t="s">
        <v>489</v>
      </c>
      <c r="G6254" s="61">
        <v>1</v>
      </c>
      <c r="H6254" s="61">
        <v>15</v>
      </c>
      <c r="I6254" s="61">
        <v>46.649000000000001</v>
      </c>
    </row>
    <row r="6255" spans="1:9" s="71" customFormat="1" ht="24" hidden="1" customHeight="1" outlineLevel="1" x14ac:dyDescent="0.25">
      <c r="A6255" s="74">
        <v>4624</v>
      </c>
      <c r="B6255" s="45" t="s">
        <v>664</v>
      </c>
      <c r="C6255" s="60" t="s">
        <v>5804</v>
      </c>
      <c r="D6255" s="60"/>
      <c r="E6255" s="74">
        <v>2023</v>
      </c>
      <c r="F6255" s="74" t="s">
        <v>489</v>
      </c>
      <c r="G6255" s="61">
        <v>1</v>
      </c>
      <c r="H6255" s="61">
        <v>14</v>
      </c>
      <c r="I6255" s="61">
        <v>46.707999999999998</v>
      </c>
    </row>
    <row r="6256" spans="1:9" s="71" customFormat="1" ht="24" hidden="1" customHeight="1" outlineLevel="1" x14ac:dyDescent="0.25">
      <c r="A6256" s="74">
        <v>3778</v>
      </c>
      <c r="B6256" s="45" t="s">
        <v>664</v>
      </c>
      <c r="C6256" s="60" t="s">
        <v>5805</v>
      </c>
      <c r="D6256" s="60"/>
      <c r="E6256" s="74">
        <v>2023</v>
      </c>
      <c r="F6256" s="74" t="s">
        <v>489</v>
      </c>
      <c r="G6256" s="61">
        <v>1</v>
      </c>
      <c r="H6256" s="61">
        <v>15</v>
      </c>
      <c r="I6256" s="61">
        <v>47.381</v>
      </c>
    </row>
    <row r="6257" spans="1:9" s="71" customFormat="1" ht="24" hidden="1" customHeight="1" outlineLevel="1" x14ac:dyDescent="0.25">
      <c r="A6257" s="74">
        <v>4649</v>
      </c>
      <c r="B6257" s="45" t="s">
        <v>664</v>
      </c>
      <c r="C6257" s="60" t="s">
        <v>5806</v>
      </c>
      <c r="D6257" s="60"/>
      <c r="E6257" s="74">
        <v>2023</v>
      </c>
      <c r="F6257" s="74" t="s">
        <v>489</v>
      </c>
      <c r="G6257" s="61">
        <v>1</v>
      </c>
      <c r="H6257" s="61">
        <v>15</v>
      </c>
      <c r="I6257" s="61">
        <v>38.979500000000002</v>
      </c>
    </row>
    <row r="6258" spans="1:9" s="71" customFormat="1" ht="24" hidden="1" customHeight="1" outlineLevel="1" x14ac:dyDescent="0.25">
      <c r="A6258" s="74">
        <v>3447</v>
      </c>
      <c r="B6258" s="45" t="s">
        <v>664</v>
      </c>
      <c r="C6258" s="60" t="s">
        <v>5807</v>
      </c>
      <c r="D6258" s="60"/>
      <c r="E6258" s="74">
        <v>2023</v>
      </c>
      <c r="F6258" s="74" t="s">
        <v>489</v>
      </c>
      <c r="G6258" s="61">
        <v>1</v>
      </c>
      <c r="H6258" s="61">
        <v>15</v>
      </c>
      <c r="I6258" s="61">
        <v>39.277000000000001</v>
      </c>
    </row>
    <row r="6259" spans="1:9" s="71" customFormat="1" ht="24" hidden="1" customHeight="1" outlineLevel="1" x14ac:dyDescent="0.25">
      <c r="A6259" s="74">
        <v>3729</v>
      </c>
      <c r="B6259" s="45" t="s">
        <v>664</v>
      </c>
      <c r="C6259" s="60" t="s">
        <v>5808</v>
      </c>
      <c r="D6259" s="60"/>
      <c r="E6259" s="74">
        <v>2023</v>
      </c>
      <c r="F6259" s="74" t="s">
        <v>489</v>
      </c>
      <c r="G6259" s="61">
        <v>1</v>
      </c>
      <c r="H6259" s="61">
        <v>15</v>
      </c>
      <c r="I6259" s="61">
        <v>38.979500000000002</v>
      </c>
    </row>
    <row r="6260" spans="1:9" s="71" customFormat="1" ht="24" hidden="1" customHeight="1" outlineLevel="1" x14ac:dyDescent="0.25">
      <c r="A6260" s="74">
        <v>4655</v>
      </c>
      <c r="B6260" s="45" t="s">
        <v>664</v>
      </c>
      <c r="C6260" s="60" t="s">
        <v>5809</v>
      </c>
      <c r="D6260" s="60"/>
      <c r="E6260" s="74">
        <v>2023</v>
      </c>
      <c r="F6260" s="74" t="s">
        <v>489</v>
      </c>
      <c r="G6260" s="61">
        <v>1</v>
      </c>
      <c r="H6260" s="61">
        <v>10</v>
      </c>
      <c r="I6260" s="61">
        <v>39.148000000000003</v>
      </c>
    </row>
    <row r="6261" spans="1:9" s="71" customFormat="1" ht="24" hidden="1" customHeight="1" outlineLevel="1" x14ac:dyDescent="0.25">
      <c r="A6261" s="74">
        <v>4657</v>
      </c>
      <c r="B6261" s="45" t="s">
        <v>664</v>
      </c>
      <c r="C6261" s="60" t="s">
        <v>5810</v>
      </c>
      <c r="D6261" s="60"/>
      <c r="E6261" s="74">
        <v>2023</v>
      </c>
      <c r="F6261" s="74" t="s">
        <v>489</v>
      </c>
      <c r="G6261" s="61">
        <v>1</v>
      </c>
      <c r="H6261" s="61">
        <v>15</v>
      </c>
      <c r="I6261" s="61">
        <v>39.347000000000001</v>
      </c>
    </row>
    <row r="6262" spans="1:9" s="71" customFormat="1" ht="24" hidden="1" customHeight="1" outlineLevel="1" x14ac:dyDescent="0.25">
      <c r="A6262" s="74">
        <v>3892</v>
      </c>
      <c r="B6262" s="45" t="s">
        <v>664</v>
      </c>
      <c r="C6262" s="60" t="s">
        <v>5811</v>
      </c>
      <c r="D6262" s="60"/>
      <c r="E6262" s="74">
        <v>2023</v>
      </c>
      <c r="F6262" s="74" t="s">
        <v>489</v>
      </c>
      <c r="G6262" s="61">
        <v>1</v>
      </c>
      <c r="H6262" s="61">
        <v>12</v>
      </c>
      <c r="I6262" s="61">
        <v>47.042000000000002</v>
      </c>
    </row>
    <row r="6263" spans="1:9" s="71" customFormat="1" ht="24" hidden="1" customHeight="1" outlineLevel="1" x14ac:dyDescent="0.25">
      <c r="A6263" s="74">
        <v>4651</v>
      </c>
      <c r="B6263" s="45" t="s">
        <v>664</v>
      </c>
      <c r="C6263" s="60" t="s">
        <v>5812</v>
      </c>
      <c r="D6263" s="60"/>
      <c r="E6263" s="74">
        <v>2023</v>
      </c>
      <c r="F6263" s="74" t="s">
        <v>489</v>
      </c>
      <c r="G6263" s="61">
        <v>1</v>
      </c>
      <c r="H6263" s="61">
        <v>7.5</v>
      </c>
      <c r="I6263" s="61">
        <v>38.813000000000002</v>
      </c>
    </row>
    <row r="6264" spans="1:9" s="71" customFormat="1" ht="24" hidden="1" customHeight="1" outlineLevel="1" x14ac:dyDescent="0.25">
      <c r="A6264" s="74">
        <v>4656</v>
      </c>
      <c r="B6264" s="45" t="s">
        <v>664</v>
      </c>
      <c r="C6264" s="60" t="s">
        <v>5813</v>
      </c>
      <c r="D6264" s="60"/>
      <c r="E6264" s="74">
        <v>2023</v>
      </c>
      <c r="F6264" s="74" t="s">
        <v>489</v>
      </c>
      <c r="G6264" s="61">
        <v>1</v>
      </c>
      <c r="H6264" s="61">
        <v>15</v>
      </c>
      <c r="I6264" s="61">
        <v>38.143999999999998</v>
      </c>
    </row>
    <row r="6265" spans="1:9" s="71" customFormat="1" ht="24" hidden="1" customHeight="1" outlineLevel="1" x14ac:dyDescent="0.25">
      <c r="A6265" s="74">
        <v>4659</v>
      </c>
      <c r="B6265" s="45" t="s">
        <v>664</v>
      </c>
      <c r="C6265" s="60" t="s">
        <v>5814</v>
      </c>
      <c r="D6265" s="60"/>
      <c r="E6265" s="74">
        <v>2023</v>
      </c>
      <c r="F6265" s="74" t="s">
        <v>489</v>
      </c>
      <c r="G6265" s="61">
        <v>1</v>
      </c>
      <c r="H6265" s="61">
        <v>13.2</v>
      </c>
      <c r="I6265" s="61">
        <v>36.789000000000001</v>
      </c>
    </row>
    <row r="6266" spans="1:9" s="71" customFormat="1" ht="24" hidden="1" customHeight="1" outlineLevel="1" x14ac:dyDescent="0.25">
      <c r="A6266" s="74">
        <v>1324</v>
      </c>
      <c r="B6266" s="45" t="s">
        <v>664</v>
      </c>
      <c r="C6266" s="60" t="s">
        <v>5815</v>
      </c>
      <c r="D6266" s="60"/>
      <c r="E6266" s="74">
        <v>2023</v>
      </c>
      <c r="F6266" s="74" t="s">
        <v>489</v>
      </c>
      <c r="G6266" s="61">
        <v>1</v>
      </c>
      <c r="H6266" s="61">
        <v>5</v>
      </c>
      <c r="I6266" s="61">
        <v>47.054000000000002</v>
      </c>
    </row>
    <row r="6267" spans="1:9" s="71" customFormat="1" ht="24" hidden="1" customHeight="1" outlineLevel="1" x14ac:dyDescent="0.25">
      <c r="A6267" s="74">
        <v>4629</v>
      </c>
      <c r="B6267" s="45" t="s">
        <v>664</v>
      </c>
      <c r="C6267" s="60" t="s">
        <v>5816</v>
      </c>
      <c r="D6267" s="60"/>
      <c r="E6267" s="74">
        <v>2023</v>
      </c>
      <c r="F6267" s="74" t="s">
        <v>489</v>
      </c>
      <c r="G6267" s="61">
        <v>1</v>
      </c>
      <c r="H6267" s="61">
        <v>14</v>
      </c>
      <c r="I6267" s="61">
        <v>43.068000000000005</v>
      </c>
    </row>
    <row r="6268" spans="1:9" s="71" customFormat="1" ht="24" hidden="1" customHeight="1" outlineLevel="1" x14ac:dyDescent="0.25">
      <c r="A6268" s="74">
        <v>4631</v>
      </c>
      <c r="B6268" s="45" t="s">
        <v>664</v>
      </c>
      <c r="C6268" s="60" t="s">
        <v>5817</v>
      </c>
      <c r="D6268" s="60"/>
      <c r="E6268" s="74">
        <v>2023</v>
      </c>
      <c r="F6268" s="74" t="s">
        <v>489</v>
      </c>
      <c r="G6268" s="61">
        <v>1</v>
      </c>
      <c r="H6268" s="61">
        <v>14</v>
      </c>
      <c r="I6268" s="61">
        <v>47.567</v>
      </c>
    </row>
    <row r="6269" spans="1:9" s="71" customFormat="1" ht="24" hidden="1" customHeight="1" outlineLevel="1" x14ac:dyDescent="0.25">
      <c r="A6269" s="74">
        <v>4632</v>
      </c>
      <c r="B6269" s="45" t="s">
        <v>664</v>
      </c>
      <c r="C6269" s="60" t="s">
        <v>5818</v>
      </c>
      <c r="D6269" s="60"/>
      <c r="E6269" s="74">
        <v>2023</v>
      </c>
      <c r="F6269" s="74" t="s">
        <v>489</v>
      </c>
      <c r="G6269" s="61">
        <v>1</v>
      </c>
      <c r="H6269" s="61">
        <v>14</v>
      </c>
      <c r="I6269" s="61">
        <v>43.068000000000005</v>
      </c>
    </row>
    <row r="6270" spans="1:9" s="71" customFormat="1" ht="24" hidden="1" customHeight="1" outlineLevel="1" x14ac:dyDescent="0.25">
      <c r="A6270" s="74">
        <v>4633</v>
      </c>
      <c r="B6270" s="45" t="s">
        <v>664</v>
      </c>
      <c r="C6270" s="60" t="s">
        <v>5819</v>
      </c>
      <c r="D6270" s="60"/>
      <c r="E6270" s="74">
        <v>2023</v>
      </c>
      <c r="F6270" s="74" t="s">
        <v>489</v>
      </c>
      <c r="G6270" s="61">
        <v>1</v>
      </c>
      <c r="H6270" s="61">
        <v>14</v>
      </c>
      <c r="I6270" s="61">
        <v>43.554000000000002</v>
      </c>
    </row>
    <row r="6271" spans="1:9" s="71" customFormat="1" ht="24" hidden="1" customHeight="1" outlineLevel="1" x14ac:dyDescent="0.25">
      <c r="A6271" s="74">
        <v>4634</v>
      </c>
      <c r="B6271" s="45" t="s">
        <v>664</v>
      </c>
      <c r="C6271" s="60" t="s">
        <v>5820</v>
      </c>
      <c r="D6271" s="60"/>
      <c r="E6271" s="74">
        <v>2023</v>
      </c>
      <c r="F6271" s="74" t="s">
        <v>489</v>
      </c>
      <c r="G6271" s="61">
        <v>1</v>
      </c>
      <c r="H6271" s="61">
        <v>14</v>
      </c>
      <c r="I6271" s="61">
        <v>47.701000000000001</v>
      </c>
    </row>
    <row r="6272" spans="1:9" s="71" customFormat="1" ht="24" hidden="1" customHeight="1" outlineLevel="1" x14ac:dyDescent="0.25">
      <c r="A6272" s="74">
        <v>4650</v>
      </c>
      <c r="B6272" s="45" t="s">
        <v>664</v>
      </c>
      <c r="C6272" s="60" t="s">
        <v>5821</v>
      </c>
      <c r="D6272" s="60"/>
      <c r="E6272" s="74">
        <v>2023</v>
      </c>
      <c r="F6272" s="74" t="s">
        <v>489</v>
      </c>
      <c r="G6272" s="61">
        <v>1</v>
      </c>
      <c r="H6272" s="61">
        <v>10</v>
      </c>
      <c r="I6272" s="61">
        <v>38.947000000000003</v>
      </c>
    </row>
    <row r="6273" spans="1:9" s="71" customFormat="1" ht="24" hidden="1" customHeight="1" outlineLevel="1" x14ac:dyDescent="0.25">
      <c r="A6273" s="74">
        <v>3528</v>
      </c>
      <c r="B6273" s="45" t="s">
        <v>664</v>
      </c>
      <c r="C6273" s="60" t="s">
        <v>5822</v>
      </c>
      <c r="D6273" s="60"/>
      <c r="E6273" s="74">
        <v>2023</v>
      </c>
      <c r="F6273" s="74" t="s">
        <v>489</v>
      </c>
      <c r="G6273" s="61">
        <v>1</v>
      </c>
      <c r="H6273" s="61">
        <v>10</v>
      </c>
      <c r="I6273" s="61">
        <v>39.433999999999997</v>
      </c>
    </row>
    <row r="6274" spans="1:9" s="71" customFormat="1" ht="24" hidden="1" customHeight="1" outlineLevel="1" x14ac:dyDescent="0.25">
      <c r="A6274" s="74">
        <v>3809</v>
      </c>
      <c r="B6274" s="45" t="s">
        <v>664</v>
      </c>
      <c r="C6274" s="60" t="s">
        <v>5823</v>
      </c>
      <c r="D6274" s="60"/>
      <c r="E6274" s="74">
        <v>2023</v>
      </c>
      <c r="F6274" s="74" t="s">
        <v>489</v>
      </c>
      <c r="G6274" s="61">
        <v>1</v>
      </c>
      <c r="H6274" s="122">
        <v>11.8</v>
      </c>
      <c r="I6274" s="61">
        <v>38.947000000000003</v>
      </c>
    </row>
    <row r="6275" spans="1:9" s="71" customFormat="1" ht="24" hidden="1" customHeight="1" outlineLevel="1" x14ac:dyDescent="0.25">
      <c r="A6275" s="74">
        <v>3833</v>
      </c>
      <c r="B6275" s="45" t="s">
        <v>664</v>
      </c>
      <c r="C6275" s="60" t="s">
        <v>5824</v>
      </c>
      <c r="D6275" s="60"/>
      <c r="E6275" s="74">
        <v>2023</v>
      </c>
      <c r="F6275" s="74" t="s">
        <v>489</v>
      </c>
      <c r="G6275" s="61">
        <v>1</v>
      </c>
      <c r="H6275" s="61">
        <v>15</v>
      </c>
      <c r="I6275" s="61">
        <v>39.433</v>
      </c>
    </row>
    <row r="6276" spans="1:9" s="71" customFormat="1" ht="24" hidden="1" customHeight="1" outlineLevel="1" x14ac:dyDescent="0.25">
      <c r="A6276" s="74">
        <v>3758</v>
      </c>
      <c r="B6276" s="45" t="s">
        <v>664</v>
      </c>
      <c r="C6276" s="60" t="s">
        <v>5825</v>
      </c>
      <c r="D6276" s="60"/>
      <c r="E6276" s="74">
        <v>2023</v>
      </c>
      <c r="F6276" s="74" t="s">
        <v>489</v>
      </c>
      <c r="G6276" s="61">
        <v>1</v>
      </c>
      <c r="H6276" s="61">
        <v>10</v>
      </c>
      <c r="I6276" s="61">
        <v>38.947000000000003</v>
      </c>
    </row>
    <row r="6277" spans="1:9" s="71" customFormat="1" ht="24" hidden="1" customHeight="1" outlineLevel="1" x14ac:dyDescent="0.25">
      <c r="A6277" s="74">
        <v>3529</v>
      </c>
      <c r="B6277" s="45" t="s">
        <v>664</v>
      </c>
      <c r="C6277" s="60" t="s">
        <v>5826</v>
      </c>
      <c r="D6277" s="60"/>
      <c r="E6277" s="74">
        <v>2023</v>
      </c>
      <c r="F6277" s="74" t="s">
        <v>489</v>
      </c>
      <c r="G6277" s="61">
        <v>1</v>
      </c>
      <c r="H6277" s="61">
        <v>15</v>
      </c>
      <c r="I6277" s="61">
        <v>38.947000000000003</v>
      </c>
    </row>
    <row r="6278" spans="1:9" s="71" customFormat="1" ht="24" hidden="1" customHeight="1" outlineLevel="1" x14ac:dyDescent="0.25">
      <c r="A6278" s="74">
        <v>916</v>
      </c>
      <c r="B6278" s="45" t="s">
        <v>664</v>
      </c>
      <c r="C6278" s="60" t="s">
        <v>5827</v>
      </c>
      <c r="D6278" s="60"/>
      <c r="E6278" s="74">
        <v>2023</v>
      </c>
      <c r="F6278" s="74" t="s">
        <v>489</v>
      </c>
      <c r="G6278" s="61">
        <v>1</v>
      </c>
      <c r="H6278" s="61">
        <v>15</v>
      </c>
      <c r="I6278" s="61">
        <v>43.052</v>
      </c>
    </row>
    <row r="6279" spans="1:9" s="71" customFormat="1" ht="24" hidden="1" customHeight="1" outlineLevel="1" x14ac:dyDescent="0.25">
      <c r="A6279" s="74">
        <v>967</v>
      </c>
      <c r="B6279" s="45" t="s">
        <v>664</v>
      </c>
      <c r="C6279" s="60" t="s">
        <v>5828</v>
      </c>
      <c r="D6279" s="60"/>
      <c r="E6279" s="74">
        <v>2023</v>
      </c>
      <c r="F6279" s="74" t="s">
        <v>489</v>
      </c>
      <c r="G6279" s="61">
        <v>1</v>
      </c>
      <c r="H6279" s="61">
        <v>15</v>
      </c>
      <c r="I6279" s="61">
        <v>38.582999999999998</v>
      </c>
    </row>
    <row r="6280" spans="1:9" s="71" customFormat="1" ht="24" hidden="1" customHeight="1" outlineLevel="1" x14ac:dyDescent="0.25">
      <c r="A6280" s="74">
        <v>3875</v>
      </c>
      <c r="B6280" s="45" t="s">
        <v>664</v>
      </c>
      <c r="C6280" s="60" t="s">
        <v>5829</v>
      </c>
      <c r="D6280" s="60"/>
      <c r="E6280" s="74">
        <v>2023</v>
      </c>
      <c r="F6280" s="74" t="s">
        <v>489</v>
      </c>
      <c r="G6280" s="61">
        <v>1</v>
      </c>
      <c r="H6280" s="61">
        <v>15</v>
      </c>
      <c r="I6280" s="61">
        <v>43.741</v>
      </c>
    </row>
    <row r="6281" spans="1:9" s="71" customFormat="1" ht="24" hidden="1" customHeight="1" outlineLevel="1" x14ac:dyDescent="0.25">
      <c r="A6281" s="74">
        <v>3519</v>
      </c>
      <c r="B6281" s="45" t="s">
        <v>664</v>
      </c>
      <c r="C6281" s="60" t="s">
        <v>5830</v>
      </c>
      <c r="D6281" s="60"/>
      <c r="E6281" s="74">
        <v>2023</v>
      </c>
      <c r="F6281" s="74" t="s">
        <v>489</v>
      </c>
      <c r="G6281" s="61">
        <v>1</v>
      </c>
      <c r="H6281" s="61">
        <v>15</v>
      </c>
      <c r="I6281" s="61">
        <v>38.945999999999998</v>
      </c>
    </row>
    <row r="6282" spans="1:9" s="71" customFormat="1" ht="24" hidden="1" customHeight="1" outlineLevel="1" x14ac:dyDescent="0.25">
      <c r="A6282" s="74">
        <v>4646</v>
      </c>
      <c r="B6282" s="45" t="s">
        <v>664</v>
      </c>
      <c r="C6282" s="60" t="s">
        <v>5831</v>
      </c>
      <c r="D6282" s="60"/>
      <c r="E6282" s="74">
        <v>2023</v>
      </c>
      <c r="F6282" s="74" t="s">
        <v>489</v>
      </c>
      <c r="G6282" s="61">
        <v>1</v>
      </c>
      <c r="H6282" s="61">
        <v>15</v>
      </c>
      <c r="I6282" s="61">
        <v>38.945999999999998</v>
      </c>
    </row>
    <row r="6283" spans="1:9" s="71" customFormat="1" ht="24" hidden="1" customHeight="1" outlineLevel="1" x14ac:dyDescent="0.25">
      <c r="A6283" s="74">
        <v>4647</v>
      </c>
      <c r="B6283" s="45" t="s">
        <v>664</v>
      </c>
      <c r="C6283" s="60" t="s">
        <v>5832</v>
      </c>
      <c r="D6283" s="60"/>
      <c r="E6283" s="74">
        <v>2023</v>
      </c>
      <c r="F6283" s="74" t="s">
        <v>489</v>
      </c>
      <c r="G6283" s="61">
        <v>1</v>
      </c>
      <c r="H6283" s="61">
        <v>15</v>
      </c>
      <c r="I6283" s="61">
        <v>38.610999999999997</v>
      </c>
    </row>
    <row r="6284" spans="1:9" s="71" customFormat="1" ht="24" hidden="1" customHeight="1" outlineLevel="1" x14ac:dyDescent="0.25">
      <c r="A6284" s="74">
        <v>3518</v>
      </c>
      <c r="B6284" s="45" t="s">
        <v>664</v>
      </c>
      <c r="C6284" s="60" t="s">
        <v>5833</v>
      </c>
      <c r="D6284" s="60"/>
      <c r="E6284" s="74">
        <v>2023</v>
      </c>
      <c r="F6284" s="74" t="s">
        <v>489</v>
      </c>
      <c r="G6284" s="61">
        <v>1</v>
      </c>
      <c r="H6284" s="61">
        <v>15</v>
      </c>
      <c r="I6284" s="61">
        <v>38.945999999999998</v>
      </c>
    </row>
    <row r="6285" spans="1:9" s="71" customFormat="1" ht="24" hidden="1" customHeight="1" outlineLevel="1" x14ac:dyDescent="0.25">
      <c r="A6285" s="74">
        <v>3520</v>
      </c>
      <c r="B6285" s="45" t="s">
        <v>664</v>
      </c>
      <c r="C6285" s="60" t="s">
        <v>5834</v>
      </c>
      <c r="D6285" s="60"/>
      <c r="E6285" s="74">
        <v>2023</v>
      </c>
      <c r="F6285" s="74" t="s">
        <v>489</v>
      </c>
      <c r="G6285" s="61">
        <v>1</v>
      </c>
      <c r="H6285" s="61">
        <v>12</v>
      </c>
      <c r="I6285" s="61">
        <v>55.061999999999998</v>
      </c>
    </row>
    <row r="6286" spans="1:9" s="71" customFormat="1" ht="24" hidden="1" customHeight="1" outlineLevel="1" x14ac:dyDescent="0.25">
      <c r="A6286" s="74">
        <v>4648</v>
      </c>
      <c r="B6286" s="45" t="s">
        <v>664</v>
      </c>
      <c r="C6286" s="60" t="s">
        <v>5835</v>
      </c>
      <c r="D6286" s="60"/>
      <c r="E6286" s="74">
        <v>2023</v>
      </c>
      <c r="F6286" s="74" t="s">
        <v>489</v>
      </c>
      <c r="G6286" s="61">
        <v>1</v>
      </c>
      <c r="H6286" s="61">
        <v>15</v>
      </c>
      <c r="I6286" s="61">
        <v>38.945999999999998</v>
      </c>
    </row>
    <row r="6287" spans="1:9" s="71" customFormat="1" ht="24" hidden="1" customHeight="1" outlineLevel="1" x14ac:dyDescent="0.25">
      <c r="A6287" s="74">
        <v>4652</v>
      </c>
      <c r="B6287" s="45" t="s">
        <v>664</v>
      </c>
      <c r="C6287" s="60" t="s">
        <v>5836</v>
      </c>
      <c r="D6287" s="60"/>
      <c r="E6287" s="74">
        <v>2023</v>
      </c>
      <c r="F6287" s="74" t="s">
        <v>489</v>
      </c>
      <c r="G6287" s="61">
        <v>1</v>
      </c>
      <c r="H6287" s="61">
        <v>10</v>
      </c>
      <c r="I6287" s="61">
        <v>38.610999999999997</v>
      </c>
    </row>
    <row r="6288" spans="1:9" s="71" customFormat="1" ht="24" hidden="1" customHeight="1" outlineLevel="1" x14ac:dyDescent="0.25">
      <c r="A6288" s="74">
        <v>4664</v>
      </c>
      <c r="B6288" s="45" t="s">
        <v>664</v>
      </c>
      <c r="C6288" s="60" t="s">
        <v>5837</v>
      </c>
      <c r="D6288" s="60"/>
      <c r="E6288" s="74">
        <v>2023</v>
      </c>
      <c r="F6288" s="74" t="s">
        <v>489</v>
      </c>
      <c r="G6288" s="61">
        <v>1</v>
      </c>
      <c r="H6288" s="61">
        <v>45</v>
      </c>
      <c r="I6288" s="61">
        <v>39.079650000000001</v>
      </c>
    </row>
    <row r="6289" spans="1:9" s="71" customFormat="1" ht="24" hidden="1" customHeight="1" outlineLevel="1" x14ac:dyDescent="0.25">
      <c r="A6289" s="74">
        <v>3891</v>
      </c>
      <c r="B6289" s="45" t="s">
        <v>664</v>
      </c>
      <c r="C6289" s="60" t="s">
        <v>5838</v>
      </c>
      <c r="D6289" s="60"/>
      <c r="E6289" s="74">
        <v>2023</v>
      </c>
      <c r="F6289" s="74" t="s">
        <v>489</v>
      </c>
      <c r="G6289" s="61">
        <v>1</v>
      </c>
      <c r="H6289" s="61">
        <v>12</v>
      </c>
      <c r="I6289" s="61">
        <v>48.341000000000001</v>
      </c>
    </row>
    <row r="6290" spans="1:9" s="71" customFormat="1" ht="24" hidden="1" customHeight="1" outlineLevel="1" x14ac:dyDescent="0.25">
      <c r="A6290" s="74">
        <v>3899</v>
      </c>
      <c r="B6290" s="45" t="s">
        <v>664</v>
      </c>
      <c r="C6290" s="60" t="s">
        <v>5839</v>
      </c>
      <c r="D6290" s="60"/>
      <c r="E6290" s="74">
        <v>2023</v>
      </c>
      <c r="F6290" s="74" t="s">
        <v>489</v>
      </c>
      <c r="G6290" s="61">
        <v>1</v>
      </c>
      <c r="H6290" s="61">
        <v>15</v>
      </c>
      <c r="I6290" s="61">
        <v>46.005539999999996</v>
      </c>
    </row>
    <row r="6291" spans="1:9" s="71" customFormat="1" ht="24" hidden="1" customHeight="1" outlineLevel="1" x14ac:dyDescent="0.25">
      <c r="A6291" s="74">
        <v>4643</v>
      </c>
      <c r="B6291" s="45" t="s">
        <v>664</v>
      </c>
      <c r="C6291" s="60" t="s">
        <v>5840</v>
      </c>
      <c r="D6291" s="60"/>
      <c r="E6291" s="74">
        <v>2023</v>
      </c>
      <c r="F6291" s="74" t="s">
        <v>489</v>
      </c>
      <c r="G6291" s="61">
        <v>1</v>
      </c>
      <c r="H6291" s="61">
        <v>5</v>
      </c>
      <c r="I6291" s="61">
        <v>43.037999999999997</v>
      </c>
    </row>
    <row r="6292" spans="1:9" s="71" customFormat="1" ht="24" hidden="1" customHeight="1" outlineLevel="1" x14ac:dyDescent="0.25">
      <c r="A6292" s="74">
        <v>3710</v>
      </c>
      <c r="B6292" s="45" t="s">
        <v>664</v>
      </c>
      <c r="C6292" s="60" t="s">
        <v>5841</v>
      </c>
      <c r="D6292" s="60"/>
      <c r="E6292" s="74">
        <v>2023</v>
      </c>
      <c r="F6292" s="74" t="s">
        <v>489</v>
      </c>
      <c r="G6292" s="61">
        <v>1</v>
      </c>
      <c r="H6292" s="61">
        <v>10</v>
      </c>
      <c r="I6292" s="61">
        <v>40.933</v>
      </c>
    </row>
    <row r="6293" spans="1:9" s="71" customFormat="1" ht="24" hidden="1" customHeight="1" outlineLevel="1" x14ac:dyDescent="0.25">
      <c r="A6293" s="74">
        <v>3522</v>
      </c>
      <c r="B6293" s="45" t="s">
        <v>664</v>
      </c>
      <c r="C6293" s="60" t="s">
        <v>5842</v>
      </c>
      <c r="D6293" s="60"/>
      <c r="E6293" s="74">
        <v>2023</v>
      </c>
      <c r="F6293" s="74" t="s">
        <v>489</v>
      </c>
      <c r="G6293" s="61">
        <v>1</v>
      </c>
      <c r="H6293" s="61">
        <v>10</v>
      </c>
      <c r="I6293" s="61">
        <v>40.978999999999999</v>
      </c>
    </row>
    <row r="6294" spans="1:9" s="71" customFormat="1" ht="24" hidden="1" customHeight="1" outlineLevel="1" x14ac:dyDescent="0.25">
      <c r="A6294" s="74">
        <v>4653</v>
      </c>
      <c r="B6294" s="45" t="s">
        <v>664</v>
      </c>
      <c r="C6294" s="60" t="s">
        <v>5843</v>
      </c>
      <c r="D6294" s="60"/>
      <c r="E6294" s="74">
        <v>2023</v>
      </c>
      <c r="F6294" s="74" t="s">
        <v>489</v>
      </c>
      <c r="G6294" s="61">
        <v>1</v>
      </c>
      <c r="H6294" s="61">
        <v>10</v>
      </c>
      <c r="I6294" s="61">
        <v>39.863</v>
      </c>
    </row>
    <row r="6295" spans="1:9" s="71" customFormat="1" ht="24" hidden="1" customHeight="1" outlineLevel="1" x14ac:dyDescent="0.25">
      <c r="A6295" s="74">
        <v>3523</v>
      </c>
      <c r="B6295" s="45" t="s">
        <v>664</v>
      </c>
      <c r="C6295" s="60" t="s">
        <v>5844</v>
      </c>
      <c r="D6295" s="60"/>
      <c r="E6295" s="74">
        <v>2023</v>
      </c>
      <c r="F6295" s="74" t="s">
        <v>489</v>
      </c>
      <c r="G6295" s="61">
        <v>1</v>
      </c>
      <c r="H6295" s="61">
        <v>10</v>
      </c>
      <c r="I6295" s="61">
        <v>40.953000000000003</v>
      </c>
    </row>
    <row r="6296" spans="1:9" s="71" customFormat="1" ht="24" hidden="1" customHeight="1" outlineLevel="1" x14ac:dyDescent="0.25">
      <c r="A6296" s="74">
        <v>607</v>
      </c>
      <c r="B6296" s="45" t="s">
        <v>664</v>
      </c>
      <c r="C6296" s="60" t="s">
        <v>5845</v>
      </c>
      <c r="D6296" s="60"/>
      <c r="E6296" s="74">
        <v>2023</v>
      </c>
      <c r="F6296" s="74" t="s">
        <v>489</v>
      </c>
      <c r="G6296" s="61">
        <v>1</v>
      </c>
      <c r="H6296" s="61">
        <v>15</v>
      </c>
      <c r="I6296" s="61">
        <v>47.126000000000005</v>
      </c>
    </row>
    <row r="6297" spans="1:9" s="71" customFormat="1" ht="24" hidden="1" customHeight="1" outlineLevel="1" x14ac:dyDescent="0.25">
      <c r="A6297" s="74">
        <v>3358</v>
      </c>
      <c r="B6297" s="45" t="s">
        <v>664</v>
      </c>
      <c r="C6297" s="60" t="s">
        <v>5846</v>
      </c>
      <c r="D6297" s="60"/>
      <c r="E6297" s="74">
        <v>2023</v>
      </c>
      <c r="F6297" s="74" t="s">
        <v>489</v>
      </c>
      <c r="G6297" s="61">
        <v>1</v>
      </c>
      <c r="H6297" s="61">
        <v>15</v>
      </c>
      <c r="I6297" s="61">
        <v>76.003</v>
      </c>
    </row>
    <row r="6298" spans="1:9" s="71" customFormat="1" ht="24" hidden="1" customHeight="1" outlineLevel="1" x14ac:dyDescent="0.25">
      <c r="A6298" s="74">
        <v>800</v>
      </c>
      <c r="B6298" s="45" t="s">
        <v>664</v>
      </c>
      <c r="C6298" s="60" t="s">
        <v>5847</v>
      </c>
      <c r="D6298" s="60"/>
      <c r="E6298" s="74">
        <v>2023</v>
      </c>
      <c r="F6298" s="74" t="s">
        <v>489</v>
      </c>
      <c r="G6298" s="61">
        <v>1</v>
      </c>
      <c r="H6298" s="61">
        <v>15</v>
      </c>
      <c r="I6298" s="61">
        <v>88.8476</v>
      </c>
    </row>
    <row r="6299" spans="1:9" s="71" customFormat="1" ht="24" hidden="1" customHeight="1" outlineLevel="1" x14ac:dyDescent="0.25">
      <c r="A6299" s="74">
        <v>3660</v>
      </c>
      <c r="B6299" s="45" t="s">
        <v>664</v>
      </c>
      <c r="C6299" s="60" t="s">
        <v>5848</v>
      </c>
      <c r="D6299" s="60"/>
      <c r="E6299" s="74">
        <v>2023</v>
      </c>
      <c r="F6299" s="74" t="s">
        <v>489</v>
      </c>
      <c r="G6299" s="61">
        <v>1</v>
      </c>
      <c r="H6299" s="61">
        <v>15</v>
      </c>
      <c r="I6299" s="61">
        <v>79.352000000000004</v>
      </c>
    </row>
    <row r="6300" spans="1:9" s="71" customFormat="1" ht="24" hidden="1" customHeight="1" outlineLevel="1" x14ac:dyDescent="0.25">
      <c r="A6300" s="74">
        <v>4666</v>
      </c>
      <c r="B6300" s="45" t="s">
        <v>664</v>
      </c>
      <c r="C6300" s="60" t="s">
        <v>5849</v>
      </c>
      <c r="D6300" s="60"/>
      <c r="E6300" s="74">
        <v>2023</v>
      </c>
      <c r="F6300" s="74" t="s">
        <v>489</v>
      </c>
      <c r="G6300" s="61">
        <v>1</v>
      </c>
      <c r="H6300" s="61">
        <v>10</v>
      </c>
      <c r="I6300" s="61">
        <v>39.045000000000002</v>
      </c>
    </row>
    <row r="6301" spans="1:9" s="71" customFormat="1" ht="24" hidden="1" customHeight="1" outlineLevel="1" x14ac:dyDescent="0.25">
      <c r="A6301" s="74">
        <v>1318</v>
      </c>
      <c r="B6301" s="45" t="s">
        <v>664</v>
      </c>
      <c r="C6301" s="60" t="s">
        <v>5850</v>
      </c>
      <c r="D6301" s="60"/>
      <c r="E6301" s="74">
        <v>2023</v>
      </c>
      <c r="F6301" s="74" t="s">
        <v>489</v>
      </c>
      <c r="G6301" s="61">
        <v>1</v>
      </c>
      <c r="H6301" s="61">
        <v>3</v>
      </c>
      <c r="I6301" s="61">
        <v>40.722999999999999</v>
      </c>
    </row>
    <row r="6302" spans="1:9" s="71" customFormat="1" ht="24" hidden="1" customHeight="1" outlineLevel="1" x14ac:dyDescent="0.25">
      <c r="A6302" s="74">
        <v>4658</v>
      </c>
      <c r="B6302" s="45" t="s">
        <v>664</v>
      </c>
      <c r="C6302" s="60" t="s">
        <v>5851</v>
      </c>
      <c r="D6302" s="60"/>
      <c r="E6302" s="74">
        <v>2023</v>
      </c>
      <c r="F6302" s="74" t="s">
        <v>489</v>
      </c>
      <c r="G6302" s="61">
        <v>1</v>
      </c>
      <c r="H6302" s="61">
        <v>10</v>
      </c>
      <c r="I6302" s="61">
        <v>40.722999999999999</v>
      </c>
    </row>
    <row r="6303" spans="1:9" s="71" customFormat="1" ht="24" hidden="1" customHeight="1" outlineLevel="1" x14ac:dyDescent="0.25">
      <c r="A6303" s="74">
        <v>4665</v>
      </c>
      <c r="B6303" s="45" t="s">
        <v>664</v>
      </c>
      <c r="C6303" s="60" t="s">
        <v>5852</v>
      </c>
      <c r="D6303" s="60"/>
      <c r="E6303" s="74">
        <v>2023</v>
      </c>
      <c r="F6303" s="74" t="s">
        <v>489</v>
      </c>
      <c r="G6303" s="61">
        <v>1</v>
      </c>
      <c r="H6303" s="61">
        <v>15</v>
      </c>
      <c r="I6303" s="61">
        <v>64.742999999999995</v>
      </c>
    </row>
    <row r="6304" spans="1:9" s="71" customFormat="1" ht="24" hidden="1" customHeight="1" outlineLevel="1" x14ac:dyDescent="0.25">
      <c r="A6304" s="74">
        <v>3893</v>
      </c>
      <c r="B6304" s="45" t="s">
        <v>664</v>
      </c>
      <c r="C6304" s="60" t="s">
        <v>5853</v>
      </c>
      <c r="D6304" s="60"/>
      <c r="E6304" s="74">
        <v>2023</v>
      </c>
      <c r="F6304" s="74" t="s">
        <v>489</v>
      </c>
      <c r="G6304" s="61">
        <v>1</v>
      </c>
      <c r="H6304" s="61">
        <v>10</v>
      </c>
      <c r="I6304" s="61">
        <v>68.340999999999994</v>
      </c>
    </row>
    <row r="6305" spans="1:9" s="71" customFormat="1" ht="24" hidden="1" customHeight="1" outlineLevel="1" x14ac:dyDescent="0.25">
      <c r="A6305" s="74">
        <v>1293</v>
      </c>
      <c r="B6305" s="45" t="s">
        <v>664</v>
      </c>
      <c r="C6305" s="60" t="s">
        <v>5854</v>
      </c>
      <c r="D6305" s="60"/>
      <c r="E6305" s="74">
        <v>2023</v>
      </c>
      <c r="F6305" s="74" t="s">
        <v>489</v>
      </c>
      <c r="G6305" s="61">
        <v>1</v>
      </c>
      <c r="H6305" s="61">
        <v>3</v>
      </c>
      <c r="I6305" s="61">
        <v>41.287999999999997</v>
      </c>
    </row>
    <row r="6306" spans="1:9" s="71" customFormat="1" ht="24" hidden="1" customHeight="1" outlineLevel="1" x14ac:dyDescent="0.25">
      <c r="A6306" s="74">
        <v>674</v>
      </c>
      <c r="B6306" s="45" t="s">
        <v>664</v>
      </c>
      <c r="C6306" s="60" t="s">
        <v>5855</v>
      </c>
      <c r="D6306" s="60"/>
      <c r="E6306" s="74">
        <v>2023</v>
      </c>
      <c r="F6306" s="74" t="s">
        <v>489</v>
      </c>
      <c r="G6306" s="61">
        <v>1</v>
      </c>
      <c r="H6306" s="61">
        <v>15</v>
      </c>
      <c r="I6306" s="61">
        <v>42.298000000000002</v>
      </c>
    </row>
    <row r="6307" spans="1:9" s="71" customFormat="1" ht="24" hidden="1" customHeight="1" outlineLevel="1" x14ac:dyDescent="0.25">
      <c r="A6307" s="74">
        <v>1284</v>
      </c>
      <c r="B6307" s="45" t="s">
        <v>664</v>
      </c>
      <c r="C6307" s="60" t="s">
        <v>5856</v>
      </c>
      <c r="D6307" s="60"/>
      <c r="E6307" s="74">
        <v>2023</v>
      </c>
      <c r="F6307" s="74" t="s">
        <v>489</v>
      </c>
      <c r="G6307" s="61">
        <v>1</v>
      </c>
      <c r="H6307" s="61">
        <v>5</v>
      </c>
      <c r="I6307" s="61">
        <v>41.098999999999997</v>
      </c>
    </row>
    <row r="6308" spans="1:9" s="71" customFormat="1" ht="24" hidden="1" customHeight="1" outlineLevel="1" x14ac:dyDescent="0.25">
      <c r="A6308" s="74">
        <v>4667</v>
      </c>
      <c r="B6308" s="45" t="s">
        <v>664</v>
      </c>
      <c r="C6308" s="60" t="s">
        <v>5857</v>
      </c>
      <c r="D6308" s="60"/>
      <c r="E6308" s="74">
        <v>2023</v>
      </c>
      <c r="F6308" s="74" t="s">
        <v>489</v>
      </c>
      <c r="G6308" s="61">
        <v>1</v>
      </c>
      <c r="H6308" s="61">
        <v>10</v>
      </c>
      <c r="I6308" s="61">
        <v>41.098999999999997</v>
      </c>
    </row>
    <row r="6309" spans="1:9" s="71" customFormat="1" ht="24" hidden="1" customHeight="1" outlineLevel="1" x14ac:dyDescent="0.25">
      <c r="A6309" s="74">
        <v>903</v>
      </c>
      <c r="B6309" s="45" t="s">
        <v>664</v>
      </c>
      <c r="C6309" s="60" t="s">
        <v>5858</v>
      </c>
      <c r="D6309" s="60"/>
      <c r="E6309" s="74">
        <v>2023</v>
      </c>
      <c r="F6309" s="74" t="s">
        <v>489</v>
      </c>
      <c r="G6309" s="61">
        <v>1</v>
      </c>
      <c r="H6309" s="61">
        <v>10</v>
      </c>
      <c r="I6309" s="61">
        <v>111.071</v>
      </c>
    </row>
    <row r="6310" spans="1:9" s="71" customFormat="1" ht="24" hidden="1" customHeight="1" outlineLevel="1" x14ac:dyDescent="0.25">
      <c r="A6310" s="74">
        <v>3272</v>
      </c>
      <c r="B6310" s="45" t="s">
        <v>664</v>
      </c>
      <c r="C6310" s="60" t="s">
        <v>5859</v>
      </c>
      <c r="D6310" s="60"/>
      <c r="E6310" s="74">
        <v>2023</v>
      </c>
      <c r="F6310" s="74" t="s">
        <v>489</v>
      </c>
      <c r="G6310" s="61">
        <v>1</v>
      </c>
      <c r="H6310" s="61">
        <v>7.5</v>
      </c>
      <c r="I6310" s="61">
        <v>118.565</v>
      </c>
    </row>
    <row r="6311" spans="1:9" s="71" customFormat="1" ht="24" hidden="1" customHeight="1" outlineLevel="1" x14ac:dyDescent="0.25">
      <c r="A6311" s="74">
        <v>806</v>
      </c>
      <c r="B6311" s="45" t="s">
        <v>664</v>
      </c>
      <c r="C6311" s="60" t="s">
        <v>5860</v>
      </c>
      <c r="D6311" s="60"/>
      <c r="E6311" s="74">
        <v>2023</v>
      </c>
      <c r="F6311" s="74" t="s">
        <v>489</v>
      </c>
      <c r="G6311" s="61">
        <v>2</v>
      </c>
      <c r="H6311" s="61">
        <v>30</v>
      </c>
      <c r="I6311" s="61">
        <v>217.05099999999999</v>
      </c>
    </row>
    <row r="6312" spans="1:9" s="71" customFormat="1" ht="24" hidden="1" customHeight="1" outlineLevel="1" x14ac:dyDescent="0.25">
      <c r="A6312" s="74">
        <v>3900</v>
      </c>
      <c r="B6312" s="45" t="s">
        <v>664</v>
      </c>
      <c r="C6312" s="60" t="s">
        <v>5861</v>
      </c>
      <c r="D6312" s="60"/>
      <c r="E6312" s="74">
        <v>2023</v>
      </c>
      <c r="F6312" s="74" t="s">
        <v>489</v>
      </c>
      <c r="G6312" s="61">
        <v>1</v>
      </c>
      <c r="H6312" s="61">
        <v>7.5</v>
      </c>
      <c r="I6312" s="61">
        <v>62.97</v>
      </c>
    </row>
    <row r="6313" spans="1:9" s="71" customFormat="1" ht="24" hidden="1" customHeight="1" outlineLevel="1" x14ac:dyDescent="0.25">
      <c r="A6313" s="74">
        <v>587</v>
      </c>
      <c r="B6313" s="45" t="s">
        <v>664</v>
      </c>
      <c r="C6313" s="60" t="s">
        <v>5862</v>
      </c>
      <c r="D6313" s="60"/>
      <c r="E6313" s="74">
        <v>2023</v>
      </c>
      <c r="F6313" s="74" t="s">
        <v>489</v>
      </c>
      <c r="G6313" s="61">
        <v>1</v>
      </c>
      <c r="H6313" s="61">
        <v>15</v>
      </c>
      <c r="I6313" s="61">
        <v>112.80900000000001</v>
      </c>
    </row>
    <row r="6314" spans="1:9" s="71" customFormat="1" ht="24" hidden="1" customHeight="1" outlineLevel="1" x14ac:dyDescent="0.25">
      <c r="A6314" s="74">
        <v>3061</v>
      </c>
      <c r="B6314" s="45" t="s">
        <v>664</v>
      </c>
      <c r="C6314" s="60" t="s">
        <v>5863</v>
      </c>
      <c r="D6314" s="60"/>
      <c r="E6314" s="74">
        <v>2023</v>
      </c>
      <c r="F6314" s="74" t="s">
        <v>489</v>
      </c>
      <c r="G6314" s="61">
        <v>2</v>
      </c>
      <c r="H6314" s="61">
        <v>80</v>
      </c>
      <c r="I6314" s="61">
        <v>234.12100000000001</v>
      </c>
    </row>
    <row r="6315" spans="1:9" s="71" customFormat="1" ht="24" hidden="1" customHeight="1" outlineLevel="1" x14ac:dyDescent="0.25">
      <c r="A6315" s="74">
        <v>461</v>
      </c>
      <c r="B6315" s="45" t="s">
        <v>664</v>
      </c>
      <c r="C6315" s="60" t="s">
        <v>569</v>
      </c>
      <c r="D6315" s="60"/>
      <c r="E6315" s="74">
        <v>2023</v>
      </c>
      <c r="F6315" s="74" t="s">
        <v>489</v>
      </c>
      <c r="G6315" s="61">
        <v>3</v>
      </c>
      <c r="H6315" s="61">
        <v>81</v>
      </c>
      <c r="I6315" s="61">
        <v>316.39600000000002</v>
      </c>
    </row>
    <row r="6316" spans="1:9" s="71" customFormat="1" ht="24" hidden="1" customHeight="1" outlineLevel="1" x14ac:dyDescent="0.25">
      <c r="A6316" s="74">
        <v>927</v>
      </c>
      <c r="B6316" s="45" t="s">
        <v>664</v>
      </c>
      <c r="C6316" s="60" t="s">
        <v>5864</v>
      </c>
      <c r="D6316" s="60"/>
      <c r="E6316" s="74">
        <v>2023</v>
      </c>
      <c r="F6316" s="74" t="s">
        <v>489</v>
      </c>
      <c r="G6316" s="61">
        <v>1</v>
      </c>
      <c r="H6316" s="61">
        <v>10</v>
      </c>
      <c r="I6316" s="61">
        <v>103.685</v>
      </c>
    </row>
    <row r="6317" spans="1:9" s="71" customFormat="1" ht="24" hidden="1" customHeight="1" outlineLevel="1" x14ac:dyDescent="0.25">
      <c r="A6317" s="74">
        <v>452</v>
      </c>
      <c r="B6317" s="45" t="s">
        <v>664</v>
      </c>
      <c r="C6317" s="60" t="s">
        <v>5865</v>
      </c>
      <c r="D6317" s="60"/>
      <c r="E6317" s="74">
        <v>2023</v>
      </c>
      <c r="F6317" s="74" t="s">
        <v>489</v>
      </c>
      <c r="G6317" s="61">
        <v>1</v>
      </c>
      <c r="H6317" s="61">
        <v>10</v>
      </c>
      <c r="I6317" s="61">
        <v>70.333000000000013</v>
      </c>
    </row>
    <row r="6318" spans="1:9" s="71" customFormat="1" ht="24" hidden="1" customHeight="1" outlineLevel="1" x14ac:dyDescent="0.25">
      <c r="A6318" s="74">
        <v>920</v>
      </c>
      <c r="B6318" s="45" t="s">
        <v>664</v>
      </c>
      <c r="C6318" s="60" t="s">
        <v>5866</v>
      </c>
      <c r="D6318" s="60"/>
      <c r="E6318" s="74">
        <v>2023</v>
      </c>
      <c r="F6318" s="74" t="s">
        <v>489</v>
      </c>
      <c r="G6318" s="61">
        <v>1</v>
      </c>
      <c r="H6318" s="61">
        <v>10</v>
      </c>
      <c r="I6318" s="61">
        <v>103.47499999999999</v>
      </c>
    </row>
    <row r="6319" spans="1:9" s="71" customFormat="1" ht="24" hidden="1" customHeight="1" outlineLevel="1" x14ac:dyDescent="0.25">
      <c r="A6319" s="74">
        <v>4673</v>
      </c>
      <c r="B6319" s="45" t="s">
        <v>664</v>
      </c>
      <c r="C6319" s="60" t="s">
        <v>5867</v>
      </c>
      <c r="D6319" s="60"/>
      <c r="E6319" s="74">
        <v>2023</v>
      </c>
      <c r="F6319" s="74" t="s">
        <v>489</v>
      </c>
      <c r="G6319" s="61">
        <v>1</v>
      </c>
      <c r="H6319" s="61">
        <v>70</v>
      </c>
      <c r="I6319" s="61">
        <v>28.039000000000001</v>
      </c>
    </row>
    <row r="6320" spans="1:9" s="71" customFormat="1" ht="24" hidden="1" customHeight="1" outlineLevel="1" x14ac:dyDescent="0.25">
      <c r="A6320" s="74">
        <v>4679</v>
      </c>
      <c r="B6320" s="45" t="s">
        <v>664</v>
      </c>
      <c r="C6320" s="60" t="s">
        <v>5868</v>
      </c>
      <c r="D6320" s="60"/>
      <c r="E6320" s="74">
        <v>2023</v>
      </c>
      <c r="F6320" s="74" t="s">
        <v>489</v>
      </c>
      <c r="G6320" s="61">
        <v>1</v>
      </c>
      <c r="H6320" s="61">
        <v>15</v>
      </c>
      <c r="I6320" s="61">
        <v>47.305999999999997</v>
      </c>
    </row>
    <row r="6321" spans="1:9" s="71" customFormat="1" ht="24" hidden="1" customHeight="1" outlineLevel="1" x14ac:dyDescent="0.25">
      <c r="A6321" s="74">
        <v>4680</v>
      </c>
      <c r="B6321" s="45" t="s">
        <v>664</v>
      </c>
      <c r="C6321" s="60" t="s">
        <v>5869</v>
      </c>
      <c r="D6321" s="60"/>
      <c r="E6321" s="74">
        <v>2023</v>
      </c>
      <c r="F6321" s="74" t="s">
        <v>489</v>
      </c>
      <c r="G6321" s="61">
        <v>1</v>
      </c>
      <c r="H6321" s="61">
        <v>12</v>
      </c>
      <c r="I6321" s="61">
        <v>41.488</v>
      </c>
    </row>
    <row r="6322" spans="1:9" s="71" customFormat="1" ht="24" hidden="1" customHeight="1" outlineLevel="1" x14ac:dyDescent="0.25">
      <c r="A6322" s="74">
        <v>4681</v>
      </c>
      <c r="B6322" s="45" t="s">
        <v>664</v>
      </c>
      <c r="C6322" s="60" t="s">
        <v>5870</v>
      </c>
      <c r="D6322" s="60"/>
      <c r="E6322" s="74">
        <v>2023</v>
      </c>
      <c r="F6322" s="74" t="s">
        <v>489</v>
      </c>
      <c r="G6322" s="61">
        <v>1</v>
      </c>
      <c r="H6322" s="61">
        <v>15</v>
      </c>
      <c r="I6322" s="61">
        <v>41.999000000000002</v>
      </c>
    </row>
    <row r="6323" spans="1:9" s="71" customFormat="1" ht="24" hidden="1" customHeight="1" outlineLevel="1" x14ac:dyDescent="0.25">
      <c r="A6323" s="74">
        <v>4682</v>
      </c>
      <c r="B6323" s="45" t="s">
        <v>664</v>
      </c>
      <c r="C6323" s="60" t="s">
        <v>5871</v>
      </c>
      <c r="D6323" s="60"/>
      <c r="E6323" s="74">
        <v>2023</v>
      </c>
      <c r="F6323" s="74" t="s">
        <v>489</v>
      </c>
      <c r="G6323" s="61">
        <v>1</v>
      </c>
      <c r="H6323" s="61">
        <v>10</v>
      </c>
      <c r="I6323" s="61">
        <v>39.447000000000003</v>
      </c>
    </row>
    <row r="6324" spans="1:9" s="71" customFormat="1" ht="24" hidden="1" customHeight="1" outlineLevel="1" x14ac:dyDescent="0.25">
      <c r="A6324" s="74">
        <v>1763</v>
      </c>
      <c r="B6324" s="45" t="s">
        <v>664</v>
      </c>
      <c r="C6324" s="60" t="s">
        <v>5872</v>
      </c>
      <c r="D6324" s="60"/>
      <c r="E6324" s="74">
        <v>2023</v>
      </c>
      <c r="F6324" s="74" t="s">
        <v>489</v>
      </c>
      <c r="G6324" s="61">
        <v>1</v>
      </c>
      <c r="H6324" s="61">
        <v>9</v>
      </c>
      <c r="I6324" s="61">
        <v>51.947000000000003</v>
      </c>
    </row>
    <row r="6325" spans="1:9" s="71" customFormat="1" ht="24" hidden="1" customHeight="1" outlineLevel="1" x14ac:dyDescent="0.25">
      <c r="A6325" s="74">
        <v>3730</v>
      </c>
      <c r="B6325" s="45" t="s">
        <v>664</v>
      </c>
      <c r="C6325" s="60" t="s">
        <v>5873</v>
      </c>
      <c r="D6325" s="60"/>
      <c r="E6325" s="74">
        <v>2023</v>
      </c>
      <c r="F6325" s="74" t="s">
        <v>489</v>
      </c>
      <c r="G6325" s="61">
        <v>1</v>
      </c>
      <c r="H6325" s="61">
        <v>15</v>
      </c>
      <c r="I6325" s="61">
        <v>42.228000000000002</v>
      </c>
    </row>
    <row r="6326" spans="1:9" s="71" customFormat="1" ht="24" hidden="1" customHeight="1" outlineLevel="1" x14ac:dyDescent="0.25">
      <c r="A6326" s="74">
        <v>4676</v>
      </c>
      <c r="B6326" s="45" t="s">
        <v>664</v>
      </c>
      <c r="C6326" s="60" t="s">
        <v>5874</v>
      </c>
      <c r="D6326" s="60"/>
      <c r="E6326" s="74">
        <v>2023</v>
      </c>
      <c r="F6326" s="74" t="s">
        <v>489</v>
      </c>
      <c r="G6326" s="61">
        <v>1</v>
      </c>
      <c r="H6326" s="61">
        <v>11.55</v>
      </c>
      <c r="I6326" s="61">
        <v>47.578000000000003</v>
      </c>
    </row>
    <row r="6327" spans="1:9" s="71" customFormat="1" ht="24" hidden="1" customHeight="1" outlineLevel="1" x14ac:dyDescent="0.25">
      <c r="A6327" s="74">
        <v>4677</v>
      </c>
      <c r="B6327" s="45" t="s">
        <v>664</v>
      </c>
      <c r="C6327" s="60" t="s">
        <v>5875</v>
      </c>
      <c r="D6327" s="60"/>
      <c r="E6327" s="74">
        <v>2023</v>
      </c>
      <c r="F6327" s="74" t="s">
        <v>489</v>
      </c>
      <c r="G6327" s="61">
        <v>1</v>
      </c>
      <c r="H6327" s="61">
        <v>11.55</v>
      </c>
      <c r="I6327" s="61">
        <v>40.234999999999999</v>
      </c>
    </row>
    <row r="6328" spans="1:9" s="71" customFormat="1" ht="24" hidden="1" customHeight="1" outlineLevel="1" x14ac:dyDescent="0.25">
      <c r="A6328" s="74">
        <v>4678</v>
      </c>
      <c r="B6328" s="45" t="s">
        <v>664</v>
      </c>
      <c r="C6328" s="60" t="s">
        <v>5876</v>
      </c>
      <c r="D6328" s="60"/>
      <c r="E6328" s="74">
        <v>2023</v>
      </c>
      <c r="F6328" s="74" t="s">
        <v>489</v>
      </c>
      <c r="G6328" s="61">
        <v>1</v>
      </c>
      <c r="H6328" s="61">
        <v>11.55</v>
      </c>
      <c r="I6328" s="61">
        <v>39.561</v>
      </c>
    </row>
    <row r="6329" spans="1:9" s="71" customFormat="1" ht="24" hidden="1" customHeight="1" outlineLevel="1" x14ac:dyDescent="0.25">
      <c r="A6329" s="74">
        <v>4683</v>
      </c>
      <c r="B6329" s="45" t="s">
        <v>664</v>
      </c>
      <c r="C6329" s="60" t="s">
        <v>5877</v>
      </c>
      <c r="D6329" s="60"/>
      <c r="E6329" s="74">
        <v>2023</v>
      </c>
      <c r="F6329" s="74" t="s">
        <v>489</v>
      </c>
      <c r="G6329" s="61">
        <v>1</v>
      </c>
      <c r="H6329" s="61">
        <v>20</v>
      </c>
      <c r="I6329" s="61">
        <v>48.054000000000002</v>
      </c>
    </row>
    <row r="6330" spans="1:9" s="71" customFormat="1" ht="24" hidden="1" customHeight="1" outlineLevel="1" x14ac:dyDescent="0.25">
      <c r="A6330" s="74">
        <v>4588</v>
      </c>
      <c r="B6330" s="45" t="s">
        <v>664</v>
      </c>
      <c r="C6330" s="60" t="s">
        <v>5878</v>
      </c>
      <c r="D6330" s="60"/>
      <c r="E6330" s="74">
        <v>2023</v>
      </c>
      <c r="F6330" s="74" t="s">
        <v>489</v>
      </c>
      <c r="G6330" s="61">
        <v>1</v>
      </c>
      <c r="H6330" s="61">
        <v>15</v>
      </c>
      <c r="I6330" s="61">
        <v>45.400999999999996</v>
      </c>
    </row>
    <row r="6331" spans="1:9" s="71" customFormat="1" ht="24" hidden="1" customHeight="1" outlineLevel="1" x14ac:dyDescent="0.25">
      <c r="A6331" s="74">
        <v>4589</v>
      </c>
      <c r="B6331" s="45" t="s">
        <v>664</v>
      </c>
      <c r="C6331" s="60" t="s">
        <v>5879</v>
      </c>
      <c r="D6331" s="60"/>
      <c r="E6331" s="74">
        <v>2023</v>
      </c>
      <c r="F6331" s="74" t="s">
        <v>489</v>
      </c>
      <c r="G6331" s="61">
        <v>1</v>
      </c>
      <c r="H6331" s="61">
        <v>15</v>
      </c>
      <c r="I6331" s="61">
        <v>45.421000000000006</v>
      </c>
    </row>
    <row r="6332" spans="1:9" s="71" customFormat="1" ht="24" hidden="1" customHeight="1" outlineLevel="1" x14ac:dyDescent="0.25">
      <c r="A6332" s="74">
        <v>3994</v>
      </c>
      <c r="B6332" s="45" t="s">
        <v>664</v>
      </c>
      <c r="C6332" s="60" t="s">
        <v>5880</v>
      </c>
      <c r="D6332" s="60"/>
      <c r="E6332" s="74">
        <v>2023</v>
      </c>
      <c r="F6332" s="74" t="s">
        <v>489</v>
      </c>
      <c r="G6332" s="61">
        <v>1</v>
      </c>
      <c r="H6332" s="61">
        <v>15</v>
      </c>
      <c r="I6332" s="61">
        <v>43.914999999999999</v>
      </c>
    </row>
    <row r="6333" spans="1:9" s="71" customFormat="1" ht="24" hidden="1" customHeight="1" outlineLevel="1" x14ac:dyDescent="0.25">
      <c r="A6333" s="74">
        <v>4590</v>
      </c>
      <c r="B6333" s="45" t="s">
        <v>664</v>
      </c>
      <c r="C6333" s="60" t="s">
        <v>5881</v>
      </c>
      <c r="D6333" s="60"/>
      <c r="E6333" s="74">
        <v>2023</v>
      </c>
      <c r="F6333" s="74" t="s">
        <v>489</v>
      </c>
      <c r="G6333" s="61">
        <v>1</v>
      </c>
      <c r="H6333" s="61">
        <v>10</v>
      </c>
      <c r="I6333" s="61">
        <v>43.652999999999999</v>
      </c>
    </row>
    <row r="6334" spans="1:9" s="71" customFormat="1" ht="24" hidden="1" customHeight="1" outlineLevel="1" x14ac:dyDescent="0.25">
      <c r="A6334" s="74">
        <v>4591</v>
      </c>
      <c r="B6334" s="45" t="s">
        <v>664</v>
      </c>
      <c r="C6334" s="60" t="s">
        <v>5882</v>
      </c>
      <c r="D6334" s="60"/>
      <c r="E6334" s="74">
        <v>2023</v>
      </c>
      <c r="F6334" s="74" t="s">
        <v>489</v>
      </c>
      <c r="G6334" s="61">
        <v>1</v>
      </c>
      <c r="H6334" s="61">
        <v>15</v>
      </c>
      <c r="I6334" s="61">
        <v>44.64</v>
      </c>
    </row>
    <row r="6335" spans="1:9" s="71" customFormat="1" ht="24" hidden="1" customHeight="1" outlineLevel="1" x14ac:dyDescent="0.25">
      <c r="A6335" s="74">
        <v>4594</v>
      </c>
      <c r="B6335" s="45" t="s">
        <v>664</v>
      </c>
      <c r="C6335" s="60" t="s">
        <v>5883</v>
      </c>
      <c r="D6335" s="60"/>
      <c r="E6335" s="74">
        <v>2023</v>
      </c>
      <c r="F6335" s="74" t="s">
        <v>489</v>
      </c>
      <c r="G6335" s="61">
        <v>1</v>
      </c>
      <c r="H6335" s="61">
        <v>15</v>
      </c>
      <c r="I6335" s="61">
        <v>45.400999999999996</v>
      </c>
    </row>
    <row r="6336" spans="1:9" s="71" customFormat="1" ht="24" hidden="1" customHeight="1" outlineLevel="1" x14ac:dyDescent="0.25">
      <c r="A6336" s="74">
        <v>4595</v>
      </c>
      <c r="B6336" s="45" t="s">
        <v>664</v>
      </c>
      <c r="C6336" s="60" t="s">
        <v>5884</v>
      </c>
      <c r="D6336" s="60"/>
      <c r="E6336" s="74">
        <v>2023</v>
      </c>
      <c r="F6336" s="74" t="s">
        <v>489</v>
      </c>
      <c r="G6336" s="61">
        <v>8</v>
      </c>
      <c r="H6336" s="61">
        <v>120</v>
      </c>
      <c r="I6336" s="61">
        <v>315.92399999999998</v>
      </c>
    </row>
    <row r="6337" spans="1:9" s="71" customFormat="1" ht="24" hidden="1" customHeight="1" outlineLevel="1" x14ac:dyDescent="0.25">
      <c r="A6337" s="74">
        <v>4596</v>
      </c>
      <c r="B6337" s="45" t="s">
        <v>664</v>
      </c>
      <c r="C6337" s="60" t="s">
        <v>5885</v>
      </c>
      <c r="D6337" s="60"/>
      <c r="E6337" s="74">
        <v>2023</v>
      </c>
      <c r="F6337" s="74" t="s">
        <v>489</v>
      </c>
      <c r="G6337" s="61">
        <v>1</v>
      </c>
      <c r="H6337" s="61">
        <v>15</v>
      </c>
      <c r="I6337" s="61">
        <v>45.400999999999996</v>
      </c>
    </row>
    <row r="6338" spans="1:9" s="71" customFormat="1" ht="24" hidden="1" customHeight="1" outlineLevel="1" x14ac:dyDescent="0.25">
      <c r="A6338" s="74">
        <v>4597</v>
      </c>
      <c r="B6338" s="45" t="s">
        <v>664</v>
      </c>
      <c r="C6338" s="60" t="s">
        <v>5886</v>
      </c>
      <c r="D6338" s="60"/>
      <c r="E6338" s="74">
        <v>2023</v>
      </c>
      <c r="F6338" s="74" t="s">
        <v>489</v>
      </c>
      <c r="G6338" s="61">
        <v>1</v>
      </c>
      <c r="H6338" s="61">
        <v>15</v>
      </c>
      <c r="I6338" s="61">
        <v>45.400999999999996</v>
      </c>
    </row>
    <row r="6339" spans="1:9" s="71" customFormat="1" ht="24" hidden="1" customHeight="1" outlineLevel="1" x14ac:dyDescent="0.25">
      <c r="A6339" s="74">
        <v>4598</v>
      </c>
      <c r="B6339" s="45" t="s">
        <v>664</v>
      </c>
      <c r="C6339" s="60" t="s">
        <v>5887</v>
      </c>
      <c r="D6339" s="60"/>
      <c r="E6339" s="74">
        <v>2023</v>
      </c>
      <c r="F6339" s="74" t="s">
        <v>489</v>
      </c>
      <c r="G6339" s="61">
        <v>1</v>
      </c>
      <c r="H6339" s="61">
        <v>15</v>
      </c>
      <c r="I6339" s="61">
        <v>44.276999999999994</v>
      </c>
    </row>
    <row r="6340" spans="1:9" s="71" customFormat="1" ht="24" hidden="1" customHeight="1" outlineLevel="1" x14ac:dyDescent="0.25">
      <c r="A6340" s="74">
        <v>4599</v>
      </c>
      <c r="B6340" s="45" t="s">
        <v>664</v>
      </c>
      <c r="C6340" s="60" t="s">
        <v>5888</v>
      </c>
      <c r="D6340" s="60"/>
      <c r="E6340" s="74">
        <v>2023</v>
      </c>
      <c r="F6340" s="74" t="s">
        <v>489</v>
      </c>
      <c r="G6340" s="61">
        <v>1</v>
      </c>
      <c r="H6340" s="61">
        <v>15</v>
      </c>
      <c r="I6340" s="61">
        <v>47.872</v>
      </c>
    </row>
    <row r="6341" spans="1:9" s="71" customFormat="1" ht="24" hidden="1" customHeight="1" outlineLevel="1" x14ac:dyDescent="0.25">
      <c r="A6341" s="74">
        <v>4600</v>
      </c>
      <c r="B6341" s="45" t="s">
        <v>664</v>
      </c>
      <c r="C6341" s="60" t="s">
        <v>5889</v>
      </c>
      <c r="D6341" s="60"/>
      <c r="E6341" s="74">
        <v>2023</v>
      </c>
      <c r="F6341" s="74" t="s">
        <v>489</v>
      </c>
      <c r="G6341" s="61">
        <v>1</v>
      </c>
      <c r="H6341" s="61">
        <v>15</v>
      </c>
      <c r="I6341" s="61">
        <v>46.064</v>
      </c>
    </row>
    <row r="6342" spans="1:9" s="71" customFormat="1" ht="24" hidden="1" customHeight="1" outlineLevel="1" x14ac:dyDescent="0.25">
      <c r="A6342" s="74">
        <v>4601</v>
      </c>
      <c r="B6342" s="45" t="s">
        <v>664</v>
      </c>
      <c r="C6342" s="60" t="s">
        <v>5890</v>
      </c>
      <c r="D6342" s="60"/>
      <c r="E6342" s="74">
        <v>2023</v>
      </c>
      <c r="F6342" s="74" t="s">
        <v>489</v>
      </c>
      <c r="G6342" s="61">
        <v>1</v>
      </c>
      <c r="H6342" s="61">
        <v>15</v>
      </c>
      <c r="I6342" s="61">
        <v>45.838999999999999</v>
      </c>
    </row>
    <row r="6343" spans="1:9" s="71" customFormat="1" ht="24" hidden="1" customHeight="1" outlineLevel="1" x14ac:dyDescent="0.25">
      <c r="A6343" s="74">
        <v>4602</v>
      </c>
      <c r="B6343" s="45" t="s">
        <v>664</v>
      </c>
      <c r="C6343" s="60" t="s">
        <v>5891</v>
      </c>
      <c r="D6343" s="60"/>
      <c r="E6343" s="74">
        <v>2023</v>
      </c>
      <c r="F6343" s="74" t="s">
        <v>489</v>
      </c>
      <c r="G6343" s="61">
        <v>1</v>
      </c>
      <c r="H6343" s="61">
        <v>15</v>
      </c>
      <c r="I6343" s="61">
        <v>46.650999999999996</v>
      </c>
    </row>
    <row r="6344" spans="1:9" s="71" customFormat="1" ht="24" hidden="1" customHeight="1" outlineLevel="1" x14ac:dyDescent="0.25">
      <c r="A6344" s="74">
        <v>4603</v>
      </c>
      <c r="B6344" s="45" t="s">
        <v>664</v>
      </c>
      <c r="C6344" s="60" t="s">
        <v>5892</v>
      </c>
      <c r="D6344" s="60"/>
      <c r="E6344" s="74">
        <v>2023</v>
      </c>
      <c r="F6344" s="74" t="s">
        <v>489</v>
      </c>
      <c r="G6344" s="61">
        <v>1</v>
      </c>
      <c r="H6344" s="61">
        <v>15</v>
      </c>
      <c r="I6344" s="61">
        <v>46.650999999999996</v>
      </c>
    </row>
    <row r="6345" spans="1:9" s="71" customFormat="1" ht="24" hidden="1" customHeight="1" outlineLevel="1" x14ac:dyDescent="0.25">
      <c r="A6345" s="74">
        <v>4604</v>
      </c>
      <c r="B6345" s="45" t="s">
        <v>664</v>
      </c>
      <c r="C6345" s="60" t="s">
        <v>5893</v>
      </c>
      <c r="D6345" s="60"/>
      <c r="E6345" s="74">
        <v>2023</v>
      </c>
      <c r="F6345" s="74" t="s">
        <v>489</v>
      </c>
      <c r="G6345" s="61">
        <v>1</v>
      </c>
      <c r="H6345" s="61">
        <v>15</v>
      </c>
      <c r="I6345" s="61">
        <v>46.650999999999996</v>
      </c>
    </row>
    <row r="6346" spans="1:9" s="71" customFormat="1" ht="24" hidden="1" customHeight="1" outlineLevel="1" x14ac:dyDescent="0.25">
      <c r="A6346" s="74">
        <v>4605</v>
      </c>
      <c r="B6346" s="45" t="s">
        <v>664</v>
      </c>
      <c r="C6346" s="60" t="s">
        <v>5894</v>
      </c>
      <c r="D6346" s="60"/>
      <c r="E6346" s="74">
        <v>2023</v>
      </c>
      <c r="F6346" s="74" t="s">
        <v>489</v>
      </c>
      <c r="G6346" s="61">
        <v>1</v>
      </c>
      <c r="H6346" s="61">
        <v>15</v>
      </c>
      <c r="I6346" s="61">
        <v>46.650999999999996</v>
      </c>
    </row>
    <row r="6347" spans="1:9" s="71" customFormat="1" ht="24" hidden="1" customHeight="1" outlineLevel="1" x14ac:dyDescent="0.25">
      <c r="A6347" s="74">
        <v>4606</v>
      </c>
      <c r="B6347" s="45" t="s">
        <v>664</v>
      </c>
      <c r="C6347" s="60" t="s">
        <v>5895</v>
      </c>
      <c r="D6347" s="60"/>
      <c r="E6347" s="74">
        <v>2023</v>
      </c>
      <c r="F6347" s="74" t="s">
        <v>489</v>
      </c>
      <c r="G6347" s="61">
        <v>1</v>
      </c>
      <c r="H6347" s="61">
        <v>15</v>
      </c>
      <c r="I6347" s="61">
        <v>46.650999999999996</v>
      </c>
    </row>
    <row r="6348" spans="1:9" s="71" customFormat="1" ht="24" hidden="1" customHeight="1" outlineLevel="1" x14ac:dyDescent="0.25">
      <c r="A6348" s="74">
        <v>4607</v>
      </c>
      <c r="B6348" s="45" t="s">
        <v>664</v>
      </c>
      <c r="C6348" s="60" t="s">
        <v>5896</v>
      </c>
      <c r="D6348" s="60"/>
      <c r="E6348" s="74">
        <v>2023</v>
      </c>
      <c r="F6348" s="74" t="s">
        <v>489</v>
      </c>
      <c r="G6348" s="61">
        <v>1</v>
      </c>
      <c r="H6348" s="61">
        <v>15</v>
      </c>
      <c r="I6348" s="61">
        <v>46.650999999999996</v>
      </c>
    </row>
    <row r="6349" spans="1:9" s="71" customFormat="1" ht="24" hidden="1" customHeight="1" outlineLevel="1" x14ac:dyDescent="0.25">
      <c r="A6349" s="74">
        <v>4608</v>
      </c>
      <c r="B6349" s="45" t="s">
        <v>664</v>
      </c>
      <c r="C6349" s="60" t="s">
        <v>5897</v>
      </c>
      <c r="D6349" s="60"/>
      <c r="E6349" s="74">
        <v>2023</v>
      </c>
      <c r="F6349" s="74" t="s">
        <v>489</v>
      </c>
      <c r="G6349" s="61">
        <v>1</v>
      </c>
      <c r="H6349" s="61">
        <v>15</v>
      </c>
      <c r="I6349" s="61">
        <v>46.650999999999996</v>
      </c>
    </row>
    <row r="6350" spans="1:9" s="71" customFormat="1" ht="24" hidden="1" customHeight="1" outlineLevel="1" x14ac:dyDescent="0.25">
      <c r="A6350" s="74">
        <v>4609</v>
      </c>
      <c r="B6350" s="45" t="s">
        <v>664</v>
      </c>
      <c r="C6350" s="60" t="s">
        <v>5898</v>
      </c>
      <c r="D6350" s="60"/>
      <c r="E6350" s="74">
        <v>2023</v>
      </c>
      <c r="F6350" s="74" t="s">
        <v>489</v>
      </c>
      <c r="G6350" s="61">
        <v>1</v>
      </c>
      <c r="H6350" s="61">
        <v>15</v>
      </c>
      <c r="I6350" s="61">
        <v>46.542000000000002</v>
      </c>
    </row>
    <row r="6351" spans="1:9" s="71" customFormat="1" ht="24" hidden="1" customHeight="1" outlineLevel="1" x14ac:dyDescent="0.25">
      <c r="A6351" s="74">
        <v>4610</v>
      </c>
      <c r="B6351" s="45" t="s">
        <v>664</v>
      </c>
      <c r="C6351" s="60" t="s">
        <v>5899</v>
      </c>
      <c r="D6351" s="60"/>
      <c r="E6351" s="74">
        <v>2023</v>
      </c>
      <c r="F6351" s="74" t="s">
        <v>489</v>
      </c>
      <c r="G6351" s="61">
        <v>1</v>
      </c>
      <c r="H6351" s="61">
        <v>15</v>
      </c>
      <c r="I6351" s="61">
        <v>46.650999999999996</v>
      </c>
    </row>
    <row r="6352" spans="1:9" s="71" customFormat="1" ht="24" hidden="1" customHeight="1" outlineLevel="1" x14ac:dyDescent="0.25">
      <c r="A6352" s="74">
        <v>4611</v>
      </c>
      <c r="B6352" s="45" t="s">
        <v>664</v>
      </c>
      <c r="C6352" s="60" t="s">
        <v>5900</v>
      </c>
      <c r="D6352" s="60"/>
      <c r="E6352" s="74">
        <v>2023</v>
      </c>
      <c r="F6352" s="74" t="s">
        <v>489</v>
      </c>
      <c r="G6352" s="61">
        <v>1</v>
      </c>
      <c r="H6352" s="61">
        <v>15</v>
      </c>
      <c r="I6352" s="61">
        <v>46.650999999999996</v>
      </c>
    </row>
    <row r="6353" spans="1:9" s="71" customFormat="1" ht="24" hidden="1" customHeight="1" outlineLevel="1" x14ac:dyDescent="0.25">
      <c r="A6353" s="74">
        <v>4612</v>
      </c>
      <c r="B6353" s="45" t="s">
        <v>664</v>
      </c>
      <c r="C6353" s="60" t="s">
        <v>5901</v>
      </c>
      <c r="D6353" s="60"/>
      <c r="E6353" s="74">
        <v>2023</v>
      </c>
      <c r="F6353" s="74" t="s">
        <v>489</v>
      </c>
      <c r="G6353" s="61">
        <v>1</v>
      </c>
      <c r="H6353" s="61">
        <v>50</v>
      </c>
      <c r="I6353" s="61">
        <v>48</v>
      </c>
    </row>
    <row r="6354" spans="1:9" s="71" customFormat="1" ht="24" hidden="1" customHeight="1" outlineLevel="1" x14ac:dyDescent="0.25">
      <c r="A6354" s="74">
        <v>3964</v>
      </c>
      <c r="B6354" s="45" t="s">
        <v>664</v>
      </c>
      <c r="C6354" s="60" t="s">
        <v>5902</v>
      </c>
      <c r="D6354" s="60"/>
      <c r="E6354" s="74">
        <v>2023</v>
      </c>
      <c r="F6354" s="74" t="s">
        <v>489</v>
      </c>
      <c r="G6354" s="61">
        <v>1</v>
      </c>
      <c r="H6354" s="61">
        <v>15</v>
      </c>
      <c r="I6354" s="61">
        <v>46.695999999999998</v>
      </c>
    </row>
    <row r="6355" spans="1:9" s="71" customFormat="1" ht="24" hidden="1" customHeight="1" outlineLevel="1" x14ac:dyDescent="0.25">
      <c r="A6355" s="74">
        <v>3925</v>
      </c>
      <c r="B6355" s="45" t="s">
        <v>664</v>
      </c>
      <c r="C6355" s="60" t="s">
        <v>5903</v>
      </c>
      <c r="D6355" s="60"/>
      <c r="E6355" s="74">
        <v>2023</v>
      </c>
      <c r="F6355" s="74" t="s">
        <v>489</v>
      </c>
      <c r="G6355" s="61">
        <v>1</v>
      </c>
      <c r="H6355" s="61">
        <v>15</v>
      </c>
      <c r="I6355" s="61">
        <v>47.169000000000004</v>
      </c>
    </row>
    <row r="6356" spans="1:9" s="71" customFormat="1" ht="24" hidden="1" customHeight="1" outlineLevel="1" x14ac:dyDescent="0.25">
      <c r="A6356" s="74">
        <v>3926</v>
      </c>
      <c r="B6356" s="45" t="s">
        <v>664</v>
      </c>
      <c r="C6356" s="60" t="s">
        <v>5904</v>
      </c>
      <c r="D6356" s="60"/>
      <c r="E6356" s="74">
        <v>2023</v>
      </c>
      <c r="F6356" s="74" t="s">
        <v>489</v>
      </c>
      <c r="G6356" s="61">
        <v>1</v>
      </c>
      <c r="H6356" s="61">
        <v>15</v>
      </c>
      <c r="I6356" s="61">
        <v>46.945</v>
      </c>
    </row>
    <row r="6357" spans="1:9" s="71" customFormat="1" ht="24" hidden="1" customHeight="1" outlineLevel="1" x14ac:dyDescent="0.25">
      <c r="A6357" s="74">
        <v>3904</v>
      </c>
      <c r="B6357" s="45" t="s">
        <v>664</v>
      </c>
      <c r="C6357" s="60" t="s">
        <v>5905</v>
      </c>
      <c r="D6357" s="60"/>
      <c r="E6357" s="74">
        <v>2023</v>
      </c>
      <c r="F6357" s="74" t="s">
        <v>489</v>
      </c>
      <c r="G6357" s="61">
        <v>1</v>
      </c>
      <c r="H6357" s="61">
        <v>10</v>
      </c>
      <c r="I6357" s="61">
        <v>47.126000000000005</v>
      </c>
    </row>
    <row r="6358" spans="1:9" s="71" customFormat="1" ht="24" hidden="1" customHeight="1" outlineLevel="1" x14ac:dyDescent="0.25">
      <c r="A6358" s="74">
        <v>3866</v>
      </c>
      <c r="B6358" s="45" t="s">
        <v>664</v>
      </c>
      <c r="C6358" s="60" t="s">
        <v>5906</v>
      </c>
      <c r="D6358" s="60"/>
      <c r="E6358" s="74">
        <v>2023</v>
      </c>
      <c r="F6358" s="74" t="s">
        <v>489</v>
      </c>
      <c r="G6358" s="61">
        <v>1</v>
      </c>
      <c r="H6358" s="61">
        <v>15</v>
      </c>
      <c r="I6358" s="61">
        <v>47.605000000000004</v>
      </c>
    </row>
    <row r="6359" spans="1:9" s="71" customFormat="1" ht="24" hidden="1" customHeight="1" outlineLevel="1" x14ac:dyDescent="0.25">
      <c r="A6359" s="74">
        <v>3785</v>
      </c>
      <c r="B6359" s="45" t="s">
        <v>664</v>
      </c>
      <c r="C6359" s="60" t="s">
        <v>5907</v>
      </c>
      <c r="D6359" s="60"/>
      <c r="E6359" s="74">
        <v>2023</v>
      </c>
      <c r="F6359" s="74" t="s">
        <v>489</v>
      </c>
      <c r="G6359" s="61">
        <v>1</v>
      </c>
      <c r="H6359" s="61">
        <v>15</v>
      </c>
      <c r="I6359" s="61">
        <v>47.605000000000004</v>
      </c>
    </row>
    <row r="6360" spans="1:9" s="71" customFormat="1" ht="24" hidden="1" customHeight="1" outlineLevel="1" x14ac:dyDescent="0.25">
      <c r="A6360" s="74">
        <v>4635</v>
      </c>
      <c r="B6360" s="45" t="s">
        <v>664</v>
      </c>
      <c r="C6360" s="60" t="s">
        <v>5908</v>
      </c>
      <c r="D6360" s="60"/>
      <c r="E6360" s="74">
        <v>2023</v>
      </c>
      <c r="F6360" s="74" t="s">
        <v>489</v>
      </c>
      <c r="G6360" s="61">
        <v>1</v>
      </c>
      <c r="H6360" s="61">
        <v>30</v>
      </c>
      <c r="I6360" s="61">
        <v>47.600999999999999</v>
      </c>
    </row>
    <row r="6361" spans="1:9" s="71" customFormat="1" ht="24" hidden="1" customHeight="1" outlineLevel="1" x14ac:dyDescent="0.25">
      <c r="A6361" s="74">
        <v>4661</v>
      </c>
      <c r="B6361" s="45" t="s">
        <v>664</v>
      </c>
      <c r="C6361" s="60" t="s">
        <v>5909</v>
      </c>
      <c r="D6361" s="60"/>
      <c r="E6361" s="74">
        <v>2023</v>
      </c>
      <c r="F6361" s="74" t="s">
        <v>489</v>
      </c>
      <c r="G6361" s="61">
        <v>1</v>
      </c>
      <c r="H6361" s="61">
        <v>15</v>
      </c>
      <c r="I6361" s="61">
        <v>68.350999999999999</v>
      </c>
    </row>
    <row r="6362" spans="1:9" s="71" customFormat="1" ht="24" hidden="1" customHeight="1" outlineLevel="1" x14ac:dyDescent="0.25">
      <c r="A6362" s="74">
        <v>904</v>
      </c>
      <c r="B6362" s="45" t="s">
        <v>664</v>
      </c>
      <c r="C6362" s="60" t="s">
        <v>5910</v>
      </c>
      <c r="D6362" s="60"/>
      <c r="E6362" s="74">
        <v>2023</v>
      </c>
      <c r="F6362" s="74" t="s">
        <v>489</v>
      </c>
      <c r="G6362" s="61">
        <v>1</v>
      </c>
      <c r="H6362" s="61">
        <v>15</v>
      </c>
      <c r="I6362" s="61">
        <v>128.70000000000002</v>
      </c>
    </row>
    <row r="6363" spans="1:9" s="71" customFormat="1" ht="24" hidden="1" customHeight="1" outlineLevel="1" x14ac:dyDescent="0.25">
      <c r="A6363" s="74">
        <v>3235</v>
      </c>
      <c r="B6363" s="45" t="s">
        <v>664</v>
      </c>
      <c r="C6363" s="60" t="s">
        <v>5911</v>
      </c>
      <c r="D6363" s="60"/>
      <c r="E6363" s="74">
        <v>2023</v>
      </c>
      <c r="F6363" s="74" t="s">
        <v>489</v>
      </c>
      <c r="G6363" s="61">
        <v>1</v>
      </c>
      <c r="H6363" s="61">
        <v>15</v>
      </c>
      <c r="I6363" s="61">
        <v>79.655000000000001</v>
      </c>
    </row>
    <row r="6364" spans="1:9" s="71" customFormat="1" ht="24" hidden="1" customHeight="1" outlineLevel="1" x14ac:dyDescent="0.25">
      <c r="A6364" s="74">
        <v>691</v>
      </c>
      <c r="B6364" s="45" t="s">
        <v>664</v>
      </c>
      <c r="C6364" s="60" t="s">
        <v>5912</v>
      </c>
      <c r="D6364" s="60"/>
      <c r="E6364" s="74">
        <v>2023</v>
      </c>
      <c r="F6364" s="74" t="s">
        <v>489</v>
      </c>
      <c r="G6364" s="61">
        <v>1</v>
      </c>
      <c r="H6364" s="61">
        <v>15</v>
      </c>
      <c r="I6364" s="61">
        <v>108.90700000000001</v>
      </c>
    </row>
    <row r="6365" spans="1:9" s="71" customFormat="1" ht="24" hidden="1" customHeight="1" outlineLevel="1" x14ac:dyDescent="0.25">
      <c r="A6365" s="74">
        <v>1702</v>
      </c>
      <c r="B6365" s="45" t="s">
        <v>664</v>
      </c>
      <c r="C6365" s="60" t="s">
        <v>5913</v>
      </c>
      <c r="D6365" s="60"/>
      <c r="E6365" s="74">
        <v>2023</v>
      </c>
      <c r="F6365" s="74" t="s">
        <v>489</v>
      </c>
      <c r="G6365" s="61">
        <v>1</v>
      </c>
      <c r="H6365" s="61">
        <v>15</v>
      </c>
      <c r="I6365" s="61">
        <v>37.838999999999999</v>
      </c>
    </row>
    <row r="6366" spans="1:9" s="71" customFormat="1" ht="24" hidden="1" customHeight="1" outlineLevel="1" x14ac:dyDescent="0.25">
      <c r="A6366" s="74">
        <v>1296</v>
      </c>
      <c r="B6366" s="45" t="s">
        <v>664</v>
      </c>
      <c r="C6366" s="60" t="s">
        <v>5914</v>
      </c>
      <c r="D6366" s="60"/>
      <c r="E6366" s="74">
        <v>2023</v>
      </c>
      <c r="F6366" s="74" t="s">
        <v>489</v>
      </c>
      <c r="G6366" s="61">
        <v>1</v>
      </c>
      <c r="H6366" s="61">
        <v>10</v>
      </c>
      <c r="I6366" s="61">
        <v>38.999000000000002</v>
      </c>
    </row>
    <row r="6367" spans="1:9" s="71" customFormat="1" ht="24" hidden="1" customHeight="1" outlineLevel="1" x14ac:dyDescent="0.25">
      <c r="A6367" s="74">
        <v>4690</v>
      </c>
      <c r="B6367" s="45" t="s">
        <v>664</v>
      </c>
      <c r="C6367" s="60" t="s">
        <v>5915</v>
      </c>
      <c r="D6367" s="60"/>
      <c r="E6367" s="74">
        <v>2023</v>
      </c>
      <c r="F6367" s="74" t="s">
        <v>489</v>
      </c>
      <c r="G6367" s="61">
        <v>1</v>
      </c>
      <c r="H6367" s="61">
        <v>15</v>
      </c>
      <c r="I6367" s="61">
        <v>38.999000000000002</v>
      </c>
    </row>
    <row r="6368" spans="1:9" s="71" customFormat="1" ht="24" hidden="1" customHeight="1" outlineLevel="1" x14ac:dyDescent="0.25">
      <c r="A6368" s="74">
        <v>4581</v>
      </c>
      <c r="B6368" s="45" t="s">
        <v>664</v>
      </c>
      <c r="C6368" s="60" t="s">
        <v>5916</v>
      </c>
      <c r="D6368" s="60"/>
      <c r="E6368" s="74">
        <v>2023</v>
      </c>
      <c r="F6368" s="74" t="s">
        <v>489</v>
      </c>
      <c r="G6368" s="61">
        <v>1</v>
      </c>
      <c r="H6368" s="61">
        <v>15</v>
      </c>
      <c r="I6368" s="61">
        <v>53.559000000000005</v>
      </c>
    </row>
    <row r="6369" spans="1:9" s="71" customFormat="1" ht="24" hidden="1" customHeight="1" outlineLevel="1" x14ac:dyDescent="0.25">
      <c r="A6369" s="74">
        <v>3945</v>
      </c>
      <c r="B6369" s="45" t="s">
        <v>664</v>
      </c>
      <c r="C6369" s="60" t="s">
        <v>5917</v>
      </c>
      <c r="D6369" s="60"/>
      <c r="E6369" s="74">
        <v>2023</v>
      </c>
      <c r="F6369" s="74" t="s">
        <v>489</v>
      </c>
      <c r="G6369" s="61">
        <v>1</v>
      </c>
      <c r="H6369" s="61">
        <v>12</v>
      </c>
      <c r="I6369" s="61">
        <v>47.324999999999996</v>
      </c>
    </row>
    <row r="6370" spans="1:9" s="71" customFormat="1" ht="24" hidden="1" customHeight="1" outlineLevel="1" x14ac:dyDescent="0.25">
      <c r="A6370" s="74">
        <v>3933</v>
      </c>
      <c r="B6370" s="45" t="s">
        <v>664</v>
      </c>
      <c r="C6370" s="60" t="s">
        <v>5918</v>
      </c>
      <c r="D6370" s="60"/>
      <c r="E6370" s="74">
        <v>2023</v>
      </c>
      <c r="F6370" s="74" t="s">
        <v>489</v>
      </c>
      <c r="G6370" s="61">
        <v>1</v>
      </c>
      <c r="H6370" s="61">
        <v>12</v>
      </c>
      <c r="I6370" s="61">
        <v>48.47</v>
      </c>
    </row>
    <row r="6371" spans="1:9" s="71" customFormat="1" ht="24" hidden="1" customHeight="1" outlineLevel="1" x14ac:dyDescent="0.25">
      <c r="A6371" s="74">
        <v>3901</v>
      </c>
      <c r="B6371" s="45" t="s">
        <v>664</v>
      </c>
      <c r="C6371" s="60" t="s">
        <v>5919</v>
      </c>
      <c r="D6371" s="60"/>
      <c r="E6371" s="74">
        <v>2023</v>
      </c>
      <c r="F6371" s="74" t="s">
        <v>489</v>
      </c>
      <c r="G6371" s="61">
        <v>1</v>
      </c>
      <c r="H6371" s="61">
        <v>12</v>
      </c>
      <c r="I6371" s="61">
        <v>48.497</v>
      </c>
    </row>
    <row r="6372" spans="1:9" s="71" customFormat="1" ht="24" hidden="1" customHeight="1" outlineLevel="1" x14ac:dyDescent="0.25">
      <c r="A6372" s="74">
        <v>3895</v>
      </c>
      <c r="B6372" s="45" t="s">
        <v>664</v>
      </c>
      <c r="C6372" s="60" t="s">
        <v>5920</v>
      </c>
      <c r="D6372" s="60"/>
      <c r="E6372" s="74">
        <v>2023</v>
      </c>
      <c r="F6372" s="74" t="s">
        <v>489</v>
      </c>
      <c r="G6372" s="61">
        <v>1</v>
      </c>
      <c r="H6372" s="61">
        <v>12</v>
      </c>
      <c r="I6372" s="61">
        <v>49.241</v>
      </c>
    </row>
    <row r="6373" spans="1:9" s="71" customFormat="1" ht="24" hidden="1" customHeight="1" outlineLevel="1" x14ac:dyDescent="0.25">
      <c r="A6373" s="74">
        <v>3885</v>
      </c>
      <c r="B6373" s="45" t="s">
        <v>664</v>
      </c>
      <c r="C6373" s="60" t="s">
        <v>5921</v>
      </c>
      <c r="D6373" s="60"/>
      <c r="E6373" s="74">
        <v>2023</v>
      </c>
      <c r="F6373" s="74" t="s">
        <v>489</v>
      </c>
      <c r="G6373" s="61">
        <v>1</v>
      </c>
      <c r="H6373" s="61">
        <v>7</v>
      </c>
      <c r="I6373" s="61">
        <v>48.905999999999999</v>
      </c>
    </row>
    <row r="6374" spans="1:9" s="71" customFormat="1" ht="24" hidden="1" customHeight="1" outlineLevel="1" x14ac:dyDescent="0.25">
      <c r="A6374" s="74">
        <v>3880</v>
      </c>
      <c r="B6374" s="45" t="s">
        <v>664</v>
      </c>
      <c r="C6374" s="60" t="s">
        <v>5922</v>
      </c>
      <c r="D6374" s="60"/>
      <c r="E6374" s="74">
        <v>2023</v>
      </c>
      <c r="F6374" s="74" t="s">
        <v>489</v>
      </c>
      <c r="G6374" s="61">
        <v>1</v>
      </c>
      <c r="H6374" s="61">
        <v>15</v>
      </c>
      <c r="I6374" s="61">
        <v>48.932000000000002</v>
      </c>
    </row>
    <row r="6375" spans="1:9" s="71" customFormat="1" ht="24" hidden="1" customHeight="1" outlineLevel="1" x14ac:dyDescent="0.25">
      <c r="A6375" s="74">
        <v>961</v>
      </c>
      <c r="B6375" s="45" t="s">
        <v>664</v>
      </c>
      <c r="C6375" s="60" t="s">
        <v>5923</v>
      </c>
      <c r="D6375" s="60"/>
      <c r="E6375" s="74">
        <v>2023</v>
      </c>
      <c r="F6375" s="74" t="s">
        <v>489</v>
      </c>
      <c r="G6375" s="61">
        <v>1</v>
      </c>
      <c r="H6375" s="61">
        <v>15</v>
      </c>
      <c r="I6375" s="61">
        <v>107.98399999999999</v>
      </c>
    </row>
    <row r="6376" spans="1:9" s="71" customFormat="1" ht="24" hidden="1" customHeight="1" outlineLevel="1" x14ac:dyDescent="0.25">
      <c r="A6376" s="74">
        <v>1280</v>
      </c>
      <c r="B6376" s="45" t="s">
        <v>664</v>
      </c>
      <c r="C6376" s="60" t="s">
        <v>5924</v>
      </c>
      <c r="D6376" s="60"/>
      <c r="E6376" s="74">
        <v>2023</v>
      </c>
      <c r="F6376" s="74" t="s">
        <v>489</v>
      </c>
      <c r="G6376" s="61">
        <v>1</v>
      </c>
      <c r="H6376" s="61">
        <v>5</v>
      </c>
      <c r="I6376" s="61">
        <v>116.09899999999999</v>
      </c>
    </row>
    <row r="6377" spans="1:9" s="71" customFormat="1" ht="24" hidden="1" customHeight="1" outlineLevel="1" x14ac:dyDescent="0.25">
      <c r="A6377" s="74">
        <v>3265</v>
      </c>
      <c r="B6377" s="45" t="s">
        <v>664</v>
      </c>
      <c r="C6377" s="60" t="s">
        <v>570</v>
      </c>
      <c r="D6377" s="60"/>
      <c r="E6377" s="74">
        <v>2023</v>
      </c>
      <c r="F6377" s="74" t="s">
        <v>489</v>
      </c>
      <c r="G6377" s="61">
        <v>3</v>
      </c>
      <c r="H6377" s="61">
        <v>45</v>
      </c>
      <c r="I6377" s="61">
        <v>331.59800000000001</v>
      </c>
    </row>
    <row r="6378" spans="1:9" s="71" customFormat="1" ht="24" hidden="1" customHeight="1" outlineLevel="1" x14ac:dyDescent="0.25">
      <c r="A6378" s="74">
        <v>4698</v>
      </c>
      <c r="B6378" s="45" t="s">
        <v>664</v>
      </c>
      <c r="C6378" s="60" t="s">
        <v>5925</v>
      </c>
      <c r="D6378" s="60"/>
      <c r="E6378" s="74">
        <v>2023</v>
      </c>
      <c r="F6378" s="74" t="s">
        <v>489</v>
      </c>
      <c r="G6378" s="61">
        <v>1</v>
      </c>
      <c r="H6378" s="61">
        <v>10</v>
      </c>
      <c r="I6378" s="61">
        <v>37.436</v>
      </c>
    </row>
    <row r="6379" spans="1:9" s="71" customFormat="1" ht="24" hidden="1" customHeight="1" outlineLevel="1" x14ac:dyDescent="0.25">
      <c r="A6379" s="74">
        <v>4699</v>
      </c>
      <c r="B6379" s="45" t="s">
        <v>664</v>
      </c>
      <c r="C6379" s="60" t="s">
        <v>5926</v>
      </c>
      <c r="D6379" s="60"/>
      <c r="E6379" s="74">
        <v>2023</v>
      </c>
      <c r="F6379" s="74" t="s">
        <v>489</v>
      </c>
      <c r="G6379" s="61">
        <v>1</v>
      </c>
      <c r="H6379" s="61">
        <v>15</v>
      </c>
      <c r="I6379" s="61">
        <v>37.396999999999998</v>
      </c>
    </row>
    <row r="6380" spans="1:9" s="71" customFormat="1" ht="24" hidden="1" customHeight="1" outlineLevel="1" x14ac:dyDescent="0.25">
      <c r="A6380" s="74">
        <v>1797</v>
      </c>
      <c r="B6380" s="45" t="s">
        <v>664</v>
      </c>
      <c r="C6380" s="60" t="s">
        <v>5927</v>
      </c>
      <c r="D6380" s="60"/>
      <c r="E6380" s="74">
        <v>2023</v>
      </c>
      <c r="F6380" s="74" t="s">
        <v>489</v>
      </c>
      <c r="G6380" s="61">
        <v>1</v>
      </c>
      <c r="H6380" s="61">
        <v>7</v>
      </c>
      <c r="I6380" s="61">
        <v>37.731000000000002</v>
      </c>
    </row>
    <row r="6381" spans="1:9" s="71" customFormat="1" ht="24" hidden="1" customHeight="1" outlineLevel="1" x14ac:dyDescent="0.25">
      <c r="A6381" s="74">
        <v>1607</v>
      </c>
      <c r="B6381" s="45" t="s">
        <v>664</v>
      </c>
      <c r="C6381" s="60" t="s">
        <v>5928</v>
      </c>
      <c r="D6381" s="60"/>
      <c r="E6381" s="74">
        <v>2023</v>
      </c>
      <c r="F6381" s="74" t="s">
        <v>489</v>
      </c>
      <c r="G6381" s="61">
        <v>1</v>
      </c>
      <c r="H6381" s="61">
        <v>15</v>
      </c>
      <c r="I6381" s="61">
        <v>38.364000000000004</v>
      </c>
    </row>
    <row r="6382" spans="1:9" s="71" customFormat="1" ht="24" hidden="1" customHeight="1" outlineLevel="1" x14ac:dyDescent="0.25">
      <c r="A6382" s="74">
        <v>4617</v>
      </c>
      <c r="B6382" s="45" t="s">
        <v>664</v>
      </c>
      <c r="C6382" s="60" t="s">
        <v>5929</v>
      </c>
      <c r="D6382" s="60"/>
      <c r="E6382" s="74">
        <v>2023</v>
      </c>
      <c r="F6382" s="74" t="s">
        <v>489</v>
      </c>
      <c r="G6382" s="61">
        <v>1</v>
      </c>
      <c r="H6382" s="61">
        <v>15</v>
      </c>
      <c r="I6382" s="61">
        <v>59.277999999999999</v>
      </c>
    </row>
    <row r="6383" spans="1:9" s="71" customFormat="1" ht="24" hidden="1" customHeight="1" outlineLevel="1" x14ac:dyDescent="0.25">
      <c r="A6383" s="74">
        <v>500</v>
      </c>
      <c r="B6383" s="45" t="s">
        <v>664</v>
      </c>
      <c r="C6383" s="60" t="s">
        <v>5930</v>
      </c>
      <c r="D6383" s="60"/>
      <c r="E6383" s="74">
        <v>2023</v>
      </c>
      <c r="F6383" s="74" t="s">
        <v>489</v>
      </c>
      <c r="G6383" s="61">
        <v>1</v>
      </c>
      <c r="H6383" s="61">
        <v>10</v>
      </c>
      <c r="I6383" s="61">
        <v>84.810999999999993</v>
      </c>
    </row>
    <row r="6384" spans="1:9" s="71" customFormat="1" ht="24" hidden="1" customHeight="1" outlineLevel="1" x14ac:dyDescent="0.25">
      <c r="A6384" s="74">
        <v>518</v>
      </c>
      <c r="B6384" s="45" t="s">
        <v>664</v>
      </c>
      <c r="C6384" s="60" t="s">
        <v>5931</v>
      </c>
      <c r="D6384" s="60"/>
      <c r="E6384" s="74">
        <v>2023</v>
      </c>
      <c r="F6384" s="74" t="s">
        <v>489</v>
      </c>
      <c r="G6384" s="61">
        <v>1</v>
      </c>
      <c r="H6384" s="61">
        <v>15</v>
      </c>
      <c r="I6384" s="61">
        <v>99.543999999999997</v>
      </c>
    </row>
    <row r="6385" spans="1:9" s="71" customFormat="1" ht="24" hidden="1" customHeight="1" outlineLevel="1" x14ac:dyDescent="0.25">
      <c r="A6385" s="74">
        <v>643</v>
      </c>
      <c r="B6385" s="45" t="s">
        <v>664</v>
      </c>
      <c r="C6385" s="60" t="s">
        <v>5932</v>
      </c>
      <c r="D6385" s="60"/>
      <c r="E6385" s="74">
        <v>2023</v>
      </c>
      <c r="F6385" s="74" t="s">
        <v>489</v>
      </c>
      <c r="G6385" s="61">
        <v>1</v>
      </c>
      <c r="H6385" s="61">
        <v>15</v>
      </c>
      <c r="I6385" s="61">
        <v>90.08</v>
      </c>
    </row>
    <row r="6386" spans="1:9" s="71" customFormat="1" ht="24" hidden="1" customHeight="1" outlineLevel="1" x14ac:dyDescent="0.25">
      <c r="A6386" s="74">
        <v>4688</v>
      </c>
      <c r="B6386" s="45" t="s">
        <v>664</v>
      </c>
      <c r="C6386" s="60" t="s">
        <v>5933</v>
      </c>
      <c r="D6386" s="60"/>
      <c r="E6386" s="74">
        <v>2023</v>
      </c>
      <c r="F6386" s="74" t="s">
        <v>489</v>
      </c>
      <c r="G6386" s="61">
        <v>1</v>
      </c>
      <c r="H6386" s="61">
        <v>11.12</v>
      </c>
      <c r="I6386" s="61">
        <v>44.231999999999999</v>
      </c>
    </row>
    <row r="6387" spans="1:9" s="71" customFormat="1" ht="24" hidden="1" customHeight="1" outlineLevel="1" x14ac:dyDescent="0.25">
      <c r="A6387" s="74">
        <v>4689</v>
      </c>
      <c r="B6387" s="45" t="s">
        <v>664</v>
      </c>
      <c r="C6387" s="60" t="s">
        <v>5934</v>
      </c>
      <c r="D6387" s="60"/>
      <c r="E6387" s="74">
        <v>2023</v>
      </c>
      <c r="F6387" s="74" t="s">
        <v>489</v>
      </c>
      <c r="G6387" s="61">
        <v>1</v>
      </c>
      <c r="H6387" s="61">
        <v>10</v>
      </c>
      <c r="I6387" s="61">
        <v>44.231999999999999</v>
      </c>
    </row>
    <row r="6388" spans="1:9" s="71" customFormat="1" ht="24" hidden="1" customHeight="1" outlineLevel="1" x14ac:dyDescent="0.25">
      <c r="A6388" s="74">
        <v>4636</v>
      </c>
      <c r="B6388" s="45" t="s">
        <v>664</v>
      </c>
      <c r="C6388" s="60" t="s">
        <v>5935</v>
      </c>
      <c r="D6388" s="60"/>
      <c r="E6388" s="74">
        <v>2023</v>
      </c>
      <c r="F6388" s="74" t="s">
        <v>489</v>
      </c>
      <c r="G6388" s="61">
        <v>1</v>
      </c>
      <c r="H6388" s="61">
        <v>14.5</v>
      </c>
      <c r="I6388" s="61">
        <v>46.343000000000004</v>
      </c>
    </row>
    <row r="6389" spans="1:9" s="71" customFormat="1" ht="24" hidden="1" customHeight="1" outlineLevel="1" x14ac:dyDescent="0.25">
      <c r="A6389" s="74">
        <v>3837</v>
      </c>
      <c r="B6389" s="45" t="s">
        <v>664</v>
      </c>
      <c r="C6389" s="60" t="s">
        <v>5936</v>
      </c>
      <c r="D6389" s="60"/>
      <c r="E6389" s="74">
        <v>2023</v>
      </c>
      <c r="F6389" s="74" t="s">
        <v>489</v>
      </c>
      <c r="G6389" s="61">
        <v>1</v>
      </c>
      <c r="H6389" s="61">
        <v>15</v>
      </c>
      <c r="I6389" s="61">
        <v>71.543999999999997</v>
      </c>
    </row>
    <row r="6390" spans="1:9" s="71" customFormat="1" ht="24" hidden="1" customHeight="1" outlineLevel="1" x14ac:dyDescent="0.25">
      <c r="A6390" s="74">
        <v>3846</v>
      </c>
      <c r="B6390" s="45" t="s">
        <v>664</v>
      </c>
      <c r="C6390" s="60" t="s">
        <v>5937</v>
      </c>
      <c r="D6390" s="60"/>
      <c r="E6390" s="74">
        <v>2023</v>
      </c>
      <c r="F6390" s="74" t="s">
        <v>489</v>
      </c>
      <c r="G6390" s="61">
        <v>1</v>
      </c>
      <c r="H6390" s="61">
        <v>15</v>
      </c>
      <c r="I6390" s="61">
        <v>79.61</v>
      </c>
    </row>
    <row r="6391" spans="1:9" s="71" customFormat="1" ht="24" hidden="1" customHeight="1" outlineLevel="1" x14ac:dyDescent="0.25">
      <c r="A6391" s="74">
        <v>1659</v>
      </c>
      <c r="B6391" s="45" t="s">
        <v>664</v>
      </c>
      <c r="C6391" s="60" t="s">
        <v>5938</v>
      </c>
      <c r="D6391" s="60"/>
      <c r="E6391" s="74">
        <v>2023</v>
      </c>
      <c r="F6391" s="74" t="s">
        <v>489</v>
      </c>
      <c r="G6391" s="61">
        <v>1</v>
      </c>
      <c r="H6391" s="61">
        <v>5</v>
      </c>
      <c r="I6391" s="61">
        <v>38.390999999999998</v>
      </c>
    </row>
    <row r="6392" spans="1:9" s="71" customFormat="1" ht="24" hidden="1" customHeight="1" outlineLevel="1" x14ac:dyDescent="0.25">
      <c r="A6392" s="74">
        <v>3836</v>
      </c>
      <c r="B6392" s="45" t="s">
        <v>664</v>
      </c>
      <c r="C6392" s="60" t="s">
        <v>5939</v>
      </c>
      <c r="D6392" s="60"/>
      <c r="E6392" s="74">
        <v>2023</v>
      </c>
      <c r="F6392" s="74" t="s">
        <v>489</v>
      </c>
      <c r="G6392" s="61">
        <v>1</v>
      </c>
      <c r="H6392" s="61">
        <v>10</v>
      </c>
      <c r="I6392" s="61">
        <v>39.613</v>
      </c>
    </row>
    <row r="6393" spans="1:9" s="71" customFormat="1" ht="24" hidden="1" customHeight="1" outlineLevel="1" x14ac:dyDescent="0.25">
      <c r="A6393" s="74">
        <v>4702</v>
      </c>
      <c r="B6393" s="45" t="s">
        <v>664</v>
      </c>
      <c r="C6393" s="60" t="s">
        <v>5940</v>
      </c>
      <c r="D6393" s="60"/>
      <c r="E6393" s="74">
        <v>2023</v>
      </c>
      <c r="F6393" s="74" t="s">
        <v>489</v>
      </c>
      <c r="G6393" s="61">
        <v>1</v>
      </c>
      <c r="H6393" s="61">
        <v>15</v>
      </c>
      <c r="I6393" s="61">
        <v>38.635000000000005</v>
      </c>
    </row>
    <row r="6394" spans="1:9" s="71" customFormat="1" ht="24" hidden="1" customHeight="1" outlineLevel="1" x14ac:dyDescent="0.25">
      <c r="A6394" s="74">
        <v>931</v>
      </c>
      <c r="B6394" s="45" t="s">
        <v>664</v>
      </c>
      <c r="C6394" s="60" t="s">
        <v>5941</v>
      </c>
      <c r="D6394" s="60"/>
      <c r="E6394" s="74">
        <v>2023</v>
      </c>
      <c r="F6394" s="74" t="s">
        <v>489</v>
      </c>
      <c r="G6394" s="61">
        <v>1</v>
      </c>
      <c r="H6394" s="61">
        <v>10</v>
      </c>
      <c r="I6394" s="61">
        <v>90.754000000000005</v>
      </c>
    </row>
    <row r="6395" spans="1:9" s="71" customFormat="1" ht="24" hidden="1" customHeight="1" outlineLevel="1" x14ac:dyDescent="0.25">
      <c r="A6395" s="74">
        <v>838</v>
      </c>
      <c r="B6395" s="45" t="s">
        <v>664</v>
      </c>
      <c r="C6395" s="60" t="s">
        <v>5942</v>
      </c>
      <c r="D6395" s="60"/>
      <c r="E6395" s="74">
        <v>2023</v>
      </c>
      <c r="F6395" s="74" t="s">
        <v>489</v>
      </c>
      <c r="G6395" s="61">
        <v>1</v>
      </c>
      <c r="H6395" s="61">
        <v>10</v>
      </c>
      <c r="I6395" s="61">
        <v>80.316999999999993</v>
      </c>
    </row>
    <row r="6396" spans="1:9" s="71" customFormat="1" ht="24" hidden="1" customHeight="1" outlineLevel="1" x14ac:dyDescent="0.25">
      <c r="A6396" s="74">
        <v>3860</v>
      </c>
      <c r="B6396" s="45" t="s">
        <v>664</v>
      </c>
      <c r="C6396" s="60" t="s">
        <v>5943</v>
      </c>
      <c r="D6396" s="60"/>
      <c r="E6396" s="74">
        <v>2023</v>
      </c>
      <c r="F6396" s="74" t="s">
        <v>489</v>
      </c>
      <c r="G6396" s="61">
        <v>1</v>
      </c>
      <c r="H6396" s="61">
        <v>15</v>
      </c>
      <c r="I6396" s="61">
        <v>51.823</v>
      </c>
    </row>
    <row r="6397" spans="1:9" s="71" customFormat="1" ht="24" hidden="1" customHeight="1" outlineLevel="1" x14ac:dyDescent="0.25">
      <c r="A6397" s="74">
        <v>1746</v>
      </c>
      <c r="B6397" s="45" t="s">
        <v>664</v>
      </c>
      <c r="C6397" s="60" t="s">
        <v>5944</v>
      </c>
      <c r="D6397" s="60"/>
      <c r="E6397" s="74">
        <v>2023</v>
      </c>
      <c r="F6397" s="74" t="s">
        <v>489</v>
      </c>
      <c r="G6397" s="61">
        <v>1</v>
      </c>
      <c r="H6397" s="61">
        <v>5</v>
      </c>
      <c r="I6397" s="61">
        <v>40.064</v>
      </c>
    </row>
    <row r="6398" spans="1:9" s="71" customFormat="1" ht="24" hidden="1" customHeight="1" outlineLevel="1" x14ac:dyDescent="0.25">
      <c r="A6398" s="74">
        <v>4692</v>
      </c>
      <c r="B6398" s="45" t="s">
        <v>664</v>
      </c>
      <c r="C6398" s="60" t="s">
        <v>5945</v>
      </c>
      <c r="D6398" s="60"/>
      <c r="E6398" s="74">
        <v>2023</v>
      </c>
      <c r="F6398" s="74" t="s">
        <v>489</v>
      </c>
      <c r="G6398" s="61">
        <v>1</v>
      </c>
      <c r="H6398" s="61">
        <v>5</v>
      </c>
      <c r="I6398" s="61">
        <v>39.446000000000005</v>
      </c>
    </row>
    <row r="6399" spans="1:9" s="71" customFormat="1" ht="24" hidden="1" customHeight="1" outlineLevel="1" x14ac:dyDescent="0.25">
      <c r="A6399" s="74">
        <v>4693</v>
      </c>
      <c r="B6399" s="45" t="s">
        <v>664</v>
      </c>
      <c r="C6399" s="60" t="s">
        <v>5946</v>
      </c>
      <c r="D6399" s="60"/>
      <c r="E6399" s="74">
        <v>2023</v>
      </c>
      <c r="F6399" s="74" t="s">
        <v>489</v>
      </c>
      <c r="G6399" s="61">
        <v>1</v>
      </c>
      <c r="H6399" s="61">
        <v>15</v>
      </c>
      <c r="I6399" s="61">
        <v>40.256999999999998</v>
      </c>
    </row>
    <row r="6400" spans="1:9" s="71" customFormat="1" ht="24" hidden="1" customHeight="1" outlineLevel="1" x14ac:dyDescent="0.25">
      <c r="A6400" s="74">
        <v>3991</v>
      </c>
      <c r="B6400" s="45" t="s">
        <v>664</v>
      </c>
      <c r="C6400" s="60" t="s">
        <v>5947</v>
      </c>
      <c r="D6400" s="60"/>
      <c r="E6400" s="74">
        <v>2023</v>
      </c>
      <c r="F6400" s="74" t="s">
        <v>489</v>
      </c>
      <c r="G6400" s="61">
        <v>1</v>
      </c>
      <c r="H6400" s="61">
        <v>10</v>
      </c>
      <c r="I6400" s="61">
        <v>45.881</v>
      </c>
    </row>
    <row r="6401" spans="1:9" s="71" customFormat="1" ht="24" hidden="1" customHeight="1" outlineLevel="1" x14ac:dyDescent="0.25">
      <c r="A6401" s="74">
        <v>4001</v>
      </c>
      <c r="B6401" s="45" t="s">
        <v>664</v>
      </c>
      <c r="C6401" s="60" t="s">
        <v>5948</v>
      </c>
      <c r="D6401" s="60"/>
      <c r="E6401" s="74">
        <v>2023</v>
      </c>
      <c r="F6401" s="74" t="s">
        <v>489</v>
      </c>
      <c r="G6401" s="61">
        <v>1</v>
      </c>
      <c r="H6401" s="61">
        <v>10</v>
      </c>
      <c r="I6401" s="61">
        <v>46.462999999999994</v>
      </c>
    </row>
    <row r="6402" spans="1:9" s="71" customFormat="1" ht="24" hidden="1" customHeight="1" outlineLevel="1" x14ac:dyDescent="0.25">
      <c r="A6402" s="74">
        <v>3999</v>
      </c>
      <c r="B6402" s="45" t="s">
        <v>664</v>
      </c>
      <c r="C6402" s="60" t="s">
        <v>5949</v>
      </c>
      <c r="D6402" s="60"/>
      <c r="E6402" s="74">
        <v>2023</v>
      </c>
      <c r="F6402" s="74" t="s">
        <v>489</v>
      </c>
      <c r="G6402" s="61">
        <v>1</v>
      </c>
      <c r="H6402" s="61">
        <v>15</v>
      </c>
      <c r="I6402" s="61">
        <v>44.824000000000005</v>
      </c>
    </row>
    <row r="6403" spans="1:9" s="71" customFormat="1" ht="24" hidden="1" customHeight="1" outlineLevel="1" x14ac:dyDescent="0.25">
      <c r="A6403" s="74">
        <v>3980</v>
      </c>
      <c r="B6403" s="45" t="s">
        <v>664</v>
      </c>
      <c r="C6403" s="60" t="s">
        <v>5950</v>
      </c>
      <c r="D6403" s="60"/>
      <c r="E6403" s="74">
        <v>2023</v>
      </c>
      <c r="F6403" s="74" t="s">
        <v>489</v>
      </c>
      <c r="G6403" s="61">
        <v>1</v>
      </c>
      <c r="H6403" s="61">
        <v>15</v>
      </c>
      <c r="I6403" s="61">
        <v>66.212999999999994</v>
      </c>
    </row>
    <row r="6404" spans="1:9" s="71" customFormat="1" ht="24" hidden="1" customHeight="1" outlineLevel="1" x14ac:dyDescent="0.25">
      <c r="A6404" s="74">
        <v>4625</v>
      </c>
      <c r="B6404" s="45" t="s">
        <v>664</v>
      </c>
      <c r="C6404" s="60" t="s">
        <v>5951</v>
      </c>
      <c r="D6404" s="60"/>
      <c r="E6404" s="74">
        <v>2023</v>
      </c>
      <c r="F6404" s="74" t="s">
        <v>489</v>
      </c>
      <c r="G6404" s="61">
        <v>1</v>
      </c>
      <c r="H6404" s="61">
        <v>14</v>
      </c>
      <c r="I6404" s="61">
        <v>44.737000000000002</v>
      </c>
    </row>
    <row r="6405" spans="1:9" s="71" customFormat="1" ht="24" hidden="1" customHeight="1" outlineLevel="1" x14ac:dyDescent="0.25">
      <c r="A6405" s="74">
        <v>4626</v>
      </c>
      <c r="B6405" s="45" t="s">
        <v>664</v>
      </c>
      <c r="C6405" s="60" t="s">
        <v>5952</v>
      </c>
      <c r="D6405" s="60"/>
      <c r="E6405" s="74">
        <v>2023</v>
      </c>
      <c r="F6405" s="74" t="s">
        <v>489</v>
      </c>
      <c r="G6405" s="61">
        <v>1</v>
      </c>
      <c r="H6405" s="61">
        <v>14</v>
      </c>
      <c r="I6405" s="61">
        <v>44.737000000000002</v>
      </c>
    </row>
    <row r="6406" spans="1:9" s="71" customFormat="1" ht="24" hidden="1" customHeight="1" outlineLevel="1" x14ac:dyDescent="0.25">
      <c r="A6406" s="74">
        <v>4627</v>
      </c>
      <c r="B6406" s="45" t="s">
        <v>664</v>
      </c>
      <c r="C6406" s="60" t="s">
        <v>5953</v>
      </c>
      <c r="D6406" s="60"/>
      <c r="E6406" s="74">
        <v>2023</v>
      </c>
      <c r="F6406" s="74" t="s">
        <v>489</v>
      </c>
      <c r="G6406" s="61">
        <v>1</v>
      </c>
      <c r="H6406" s="61">
        <v>14</v>
      </c>
      <c r="I6406" s="61">
        <v>45.771000000000001</v>
      </c>
    </row>
    <row r="6407" spans="1:9" s="71" customFormat="1" ht="24" hidden="1" customHeight="1" outlineLevel="1" x14ac:dyDescent="0.25">
      <c r="A6407" s="74">
        <v>4628</v>
      </c>
      <c r="B6407" s="45" t="s">
        <v>664</v>
      </c>
      <c r="C6407" s="60" t="s">
        <v>5954</v>
      </c>
      <c r="D6407" s="60"/>
      <c r="E6407" s="74">
        <v>2023</v>
      </c>
      <c r="F6407" s="74" t="s">
        <v>489</v>
      </c>
      <c r="G6407" s="61">
        <v>1</v>
      </c>
      <c r="H6407" s="61">
        <v>14</v>
      </c>
      <c r="I6407" s="61">
        <v>45.771000000000001</v>
      </c>
    </row>
    <row r="6408" spans="1:9" s="71" customFormat="1" ht="24" hidden="1" customHeight="1" outlineLevel="1" x14ac:dyDescent="0.25">
      <c r="A6408" s="74">
        <v>730</v>
      </c>
      <c r="B6408" s="45" t="s">
        <v>664</v>
      </c>
      <c r="C6408" s="60" t="s">
        <v>5955</v>
      </c>
      <c r="D6408" s="60"/>
      <c r="E6408" s="74">
        <v>2023</v>
      </c>
      <c r="F6408" s="74" t="s">
        <v>489</v>
      </c>
      <c r="G6408" s="61">
        <v>1</v>
      </c>
      <c r="H6408" s="61">
        <v>15</v>
      </c>
      <c r="I6408" s="61">
        <v>135.56</v>
      </c>
    </row>
    <row r="6409" spans="1:9" s="71" customFormat="1" ht="24" hidden="1" customHeight="1" outlineLevel="1" x14ac:dyDescent="0.25">
      <c r="A6409" s="74">
        <v>4691</v>
      </c>
      <c r="B6409" s="45" t="s">
        <v>664</v>
      </c>
      <c r="C6409" s="60" t="s">
        <v>5956</v>
      </c>
      <c r="D6409" s="60"/>
      <c r="E6409" s="74">
        <v>2023</v>
      </c>
      <c r="F6409" s="74" t="s">
        <v>489</v>
      </c>
      <c r="G6409" s="61">
        <v>1</v>
      </c>
      <c r="H6409" s="61">
        <v>15</v>
      </c>
      <c r="I6409" s="61">
        <v>38.644999999999996</v>
      </c>
    </row>
    <row r="6410" spans="1:9" s="71" customFormat="1" ht="24" hidden="1" customHeight="1" outlineLevel="1" x14ac:dyDescent="0.25">
      <c r="A6410" s="74">
        <v>420</v>
      </c>
      <c r="B6410" s="45" t="s">
        <v>664</v>
      </c>
      <c r="C6410" s="60" t="s">
        <v>5957</v>
      </c>
      <c r="D6410" s="60"/>
      <c r="E6410" s="74">
        <v>2023</v>
      </c>
      <c r="F6410" s="74" t="s">
        <v>489</v>
      </c>
      <c r="G6410" s="61">
        <v>1</v>
      </c>
      <c r="H6410" s="61">
        <v>15</v>
      </c>
      <c r="I6410" s="61">
        <v>82.091999999999999</v>
      </c>
    </row>
    <row r="6411" spans="1:9" s="71" customFormat="1" ht="24" hidden="1" customHeight="1" outlineLevel="1" x14ac:dyDescent="0.25">
      <c r="A6411" s="74">
        <v>437</v>
      </c>
      <c r="B6411" s="45" t="s">
        <v>664</v>
      </c>
      <c r="C6411" s="60" t="s">
        <v>5958</v>
      </c>
      <c r="D6411" s="60"/>
      <c r="E6411" s="74">
        <v>2023</v>
      </c>
      <c r="F6411" s="74" t="s">
        <v>489</v>
      </c>
      <c r="G6411" s="61">
        <v>1</v>
      </c>
      <c r="H6411" s="61">
        <v>10</v>
      </c>
      <c r="I6411" s="61">
        <v>51.579000000000001</v>
      </c>
    </row>
    <row r="6412" spans="1:9" s="71" customFormat="1" ht="24" hidden="1" customHeight="1" outlineLevel="1" x14ac:dyDescent="0.25">
      <c r="A6412" s="74">
        <v>1140</v>
      </c>
      <c r="B6412" s="45" t="s">
        <v>664</v>
      </c>
      <c r="C6412" s="60" t="s">
        <v>5959</v>
      </c>
      <c r="D6412" s="60"/>
      <c r="E6412" s="74">
        <v>2023</v>
      </c>
      <c r="F6412" s="74" t="s">
        <v>489</v>
      </c>
      <c r="G6412" s="61">
        <v>1</v>
      </c>
      <c r="H6412" s="61">
        <v>15</v>
      </c>
      <c r="I6412" s="61">
        <v>79.265000000000001</v>
      </c>
    </row>
    <row r="6413" spans="1:9" s="71" customFormat="1" ht="24" hidden="1" customHeight="1" outlineLevel="1" x14ac:dyDescent="0.25">
      <c r="A6413" s="74">
        <v>4695</v>
      </c>
      <c r="B6413" s="45" t="s">
        <v>664</v>
      </c>
      <c r="C6413" s="60" t="s">
        <v>5960</v>
      </c>
      <c r="D6413" s="60"/>
      <c r="E6413" s="74">
        <v>2023</v>
      </c>
      <c r="F6413" s="74" t="s">
        <v>489</v>
      </c>
      <c r="G6413" s="61">
        <v>1</v>
      </c>
      <c r="H6413" s="61">
        <v>15</v>
      </c>
      <c r="I6413" s="61">
        <v>39.72</v>
      </c>
    </row>
    <row r="6414" spans="1:9" s="71" customFormat="1" ht="24" hidden="1" customHeight="1" outlineLevel="1" x14ac:dyDescent="0.25">
      <c r="A6414" s="74">
        <v>4697</v>
      </c>
      <c r="B6414" s="45" t="s">
        <v>664</v>
      </c>
      <c r="C6414" s="60" t="s">
        <v>5961</v>
      </c>
      <c r="D6414" s="60"/>
      <c r="E6414" s="74">
        <v>2023</v>
      </c>
      <c r="F6414" s="74" t="s">
        <v>489</v>
      </c>
      <c r="G6414" s="61">
        <v>1</v>
      </c>
      <c r="H6414" s="61">
        <v>14</v>
      </c>
      <c r="I6414" s="61">
        <v>39.72</v>
      </c>
    </row>
    <row r="6415" spans="1:9" s="71" customFormat="1" ht="24" hidden="1" customHeight="1" outlineLevel="1" x14ac:dyDescent="0.25">
      <c r="A6415" s="74">
        <v>4660</v>
      </c>
      <c r="B6415" s="45" t="s">
        <v>664</v>
      </c>
      <c r="C6415" s="60" t="s">
        <v>5962</v>
      </c>
      <c r="D6415" s="60"/>
      <c r="E6415" s="74">
        <v>2023</v>
      </c>
      <c r="F6415" s="74" t="s">
        <v>489</v>
      </c>
      <c r="G6415" s="61">
        <v>1</v>
      </c>
      <c r="H6415" s="61">
        <v>15</v>
      </c>
      <c r="I6415" s="61">
        <v>74.929000000000002</v>
      </c>
    </row>
    <row r="6416" spans="1:9" s="71" customFormat="1" ht="24" hidden="1" customHeight="1" outlineLevel="1" x14ac:dyDescent="0.25">
      <c r="A6416" s="74">
        <v>4706</v>
      </c>
      <c r="B6416" s="45" t="s">
        <v>664</v>
      </c>
      <c r="C6416" s="60" t="s">
        <v>5963</v>
      </c>
      <c r="D6416" s="60"/>
      <c r="E6416" s="74">
        <v>2023</v>
      </c>
      <c r="F6416" s="74" t="s">
        <v>489</v>
      </c>
      <c r="G6416" s="61">
        <v>1</v>
      </c>
      <c r="H6416" s="61">
        <v>150</v>
      </c>
      <c r="I6416" s="61">
        <v>161.89000000000001</v>
      </c>
    </row>
    <row r="6417" spans="1:9" s="71" customFormat="1" ht="24" hidden="1" customHeight="1" outlineLevel="1" x14ac:dyDescent="0.25">
      <c r="A6417" s="74">
        <v>1892</v>
      </c>
      <c r="B6417" s="45" t="s">
        <v>664</v>
      </c>
      <c r="C6417" s="60" t="s">
        <v>5964</v>
      </c>
      <c r="D6417" s="60"/>
      <c r="E6417" s="74">
        <v>2023</v>
      </c>
      <c r="F6417" s="74" t="s">
        <v>489</v>
      </c>
      <c r="G6417" s="61">
        <v>1</v>
      </c>
      <c r="H6417" s="61">
        <v>15</v>
      </c>
      <c r="I6417" s="61">
        <v>39.207000000000001</v>
      </c>
    </row>
    <row r="6418" spans="1:9" s="71" customFormat="1" ht="24" hidden="1" customHeight="1" outlineLevel="1" x14ac:dyDescent="0.25">
      <c r="A6418" s="74">
        <v>1724</v>
      </c>
      <c r="B6418" s="45" t="s">
        <v>664</v>
      </c>
      <c r="C6418" s="60" t="s">
        <v>5965</v>
      </c>
      <c r="D6418" s="60"/>
      <c r="E6418" s="74">
        <v>2023</v>
      </c>
      <c r="F6418" s="74" t="s">
        <v>489</v>
      </c>
      <c r="G6418" s="61">
        <v>1</v>
      </c>
      <c r="H6418" s="61">
        <v>15</v>
      </c>
      <c r="I6418" s="61">
        <v>38.140999999999998</v>
      </c>
    </row>
    <row r="6419" spans="1:9" s="71" customFormat="1" ht="24" hidden="1" customHeight="1" outlineLevel="1" x14ac:dyDescent="0.25">
      <c r="A6419" s="74">
        <v>4713</v>
      </c>
      <c r="B6419" s="45" t="s">
        <v>664</v>
      </c>
      <c r="C6419" s="60" t="s">
        <v>5966</v>
      </c>
      <c r="D6419" s="60"/>
      <c r="E6419" s="74">
        <v>2023</v>
      </c>
      <c r="F6419" s="74" t="s">
        <v>489</v>
      </c>
      <c r="G6419" s="61">
        <v>1</v>
      </c>
      <c r="H6419" s="61">
        <v>15</v>
      </c>
      <c r="I6419" s="61">
        <v>38.140999999999998</v>
      </c>
    </row>
    <row r="6420" spans="1:9" s="71" customFormat="1" ht="24" hidden="1" customHeight="1" outlineLevel="1" x14ac:dyDescent="0.25">
      <c r="A6420" s="74">
        <v>3183</v>
      </c>
      <c r="B6420" s="45" t="s">
        <v>664</v>
      </c>
      <c r="C6420" s="60" t="s">
        <v>525</v>
      </c>
      <c r="D6420" s="60"/>
      <c r="E6420" s="74">
        <v>2023</v>
      </c>
      <c r="F6420" s="74" t="s">
        <v>489</v>
      </c>
      <c r="G6420" s="61">
        <v>1</v>
      </c>
      <c r="H6420" s="61">
        <v>15</v>
      </c>
      <c r="I6420" s="61">
        <v>125.033</v>
      </c>
    </row>
    <row r="6421" spans="1:9" s="71" customFormat="1" ht="24" hidden="1" customHeight="1" outlineLevel="1" x14ac:dyDescent="0.25">
      <c r="A6421" s="74">
        <v>3943</v>
      </c>
      <c r="B6421" s="45" t="s">
        <v>664</v>
      </c>
      <c r="C6421" s="60" t="s">
        <v>5967</v>
      </c>
      <c r="D6421" s="60"/>
      <c r="E6421" s="74">
        <v>2023</v>
      </c>
      <c r="F6421" s="74" t="s">
        <v>489</v>
      </c>
      <c r="G6421" s="61">
        <v>1</v>
      </c>
      <c r="H6421" s="61">
        <v>12</v>
      </c>
      <c r="I6421" s="61">
        <v>77.141999999999996</v>
      </c>
    </row>
    <row r="6422" spans="1:9" s="71" customFormat="1" ht="24" hidden="1" customHeight="1" outlineLevel="1" x14ac:dyDescent="0.25">
      <c r="A6422" s="74">
        <v>3268</v>
      </c>
      <c r="B6422" s="45" t="s">
        <v>664</v>
      </c>
      <c r="C6422" s="60" t="s">
        <v>5968</v>
      </c>
      <c r="D6422" s="60"/>
      <c r="E6422" s="74">
        <v>2023</v>
      </c>
      <c r="F6422" s="74" t="s">
        <v>489</v>
      </c>
      <c r="G6422" s="61">
        <v>1</v>
      </c>
      <c r="H6422" s="61">
        <v>7.5</v>
      </c>
      <c r="I6422" s="61">
        <v>81.363</v>
      </c>
    </row>
    <row r="6423" spans="1:9" s="71" customFormat="1" ht="24" hidden="1" customHeight="1" outlineLevel="1" x14ac:dyDescent="0.25">
      <c r="A6423" s="74">
        <v>3259</v>
      </c>
      <c r="B6423" s="45" t="s">
        <v>664</v>
      </c>
      <c r="C6423" s="60" t="s">
        <v>5969</v>
      </c>
      <c r="D6423" s="60"/>
      <c r="E6423" s="74">
        <v>2023</v>
      </c>
      <c r="F6423" s="74" t="s">
        <v>489</v>
      </c>
      <c r="G6423" s="61">
        <v>1</v>
      </c>
      <c r="H6423" s="61">
        <v>7.5</v>
      </c>
      <c r="I6423" s="61">
        <v>78.673999999999992</v>
      </c>
    </row>
    <row r="6424" spans="1:9" s="71" customFormat="1" ht="24" hidden="1" customHeight="1" outlineLevel="1" x14ac:dyDescent="0.25">
      <c r="A6424" s="74">
        <v>1298</v>
      </c>
      <c r="B6424" s="45" t="s">
        <v>664</v>
      </c>
      <c r="C6424" s="60" t="s">
        <v>5970</v>
      </c>
      <c r="D6424" s="60"/>
      <c r="E6424" s="74">
        <v>2023</v>
      </c>
      <c r="F6424" s="74" t="s">
        <v>489</v>
      </c>
      <c r="G6424" s="61">
        <v>1</v>
      </c>
      <c r="H6424" s="61">
        <v>15</v>
      </c>
      <c r="I6424" s="61">
        <v>76.415999999999997</v>
      </c>
    </row>
    <row r="6425" spans="1:9" s="71" customFormat="1" ht="24" hidden="1" customHeight="1" outlineLevel="1" x14ac:dyDescent="0.25">
      <c r="A6425" s="74">
        <v>1307</v>
      </c>
      <c r="B6425" s="45" t="s">
        <v>664</v>
      </c>
      <c r="C6425" s="60" t="s">
        <v>5971</v>
      </c>
      <c r="D6425" s="60"/>
      <c r="E6425" s="74">
        <v>2023</v>
      </c>
      <c r="F6425" s="74" t="s">
        <v>489</v>
      </c>
      <c r="G6425" s="61">
        <v>1</v>
      </c>
      <c r="H6425" s="61">
        <v>15</v>
      </c>
      <c r="I6425" s="61">
        <v>71.525000000000006</v>
      </c>
    </row>
    <row r="6426" spans="1:9" s="71" customFormat="1" ht="24" hidden="1" customHeight="1" outlineLevel="1" x14ac:dyDescent="0.25">
      <c r="A6426" s="74">
        <v>4707</v>
      </c>
      <c r="B6426" s="45" t="s">
        <v>664</v>
      </c>
      <c r="C6426" s="60" t="s">
        <v>5972</v>
      </c>
      <c r="D6426" s="60"/>
      <c r="E6426" s="74">
        <v>2023</v>
      </c>
      <c r="F6426" s="74" t="s">
        <v>489</v>
      </c>
      <c r="G6426" s="61">
        <v>1</v>
      </c>
      <c r="H6426" s="61">
        <v>15</v>
      </c>
      <c r="I6426" s="61">
        <v>38.441000000000003</v>
      </c>
    </row>
    <row r="6427" spans="1:9" s="71" customFormat="1" ht="24" hidden="1" customHeight="1" outlineLevel="1" x14ac:dyDescent="0.25">
      <c r="A6427" s="74">
        <v>4708</v>
      </c>
      <c r="B6427" s="45" t="s">
        <v>664</v>
      </c>
      <c r="C6427" s="60" t="s">
        <v>5973</v>
      </c>
      <c r="D6427" s="60"/>
      <c r="E6427" s="74">
        <v>2023</v>
      </c>
      <c r="F6427" s="74" t="s">
        <v>489</v>
      </c>
      <c r="G6427" s="61">
        <v>1</v>
      </c>
      <c r="H6427" s="61">
        <v>12</v>
      </c>
      <c r="I6427" s="61">
        <v>38.455999999999996</v>
      </c>
    </row>
    <row r="6428" spans="1:9" s="71" customFormat="1" ht="24" hidden="1" customHeight="1" outlineLevel="1" x14ac:dyDescent="0.25">
      <c r="A6428" s="74">
        <v>4709</v>
      </c>
      <c r="B6428" s="45" t="s">
        <v>664</v>
      </c>
      <c r="C6428" s="60" t="s">
        <v>5974</v>
      </c>
      <c r="D6428" s="60"/>
      <c r="E6428" s="74">
        <v>2023</v>
      </c>
      <c r="F6428" s="74" t="s">
        <v>489</v>
      </c>
      <c r="G6428" s="61">
        <v>1</v>
      </c>
      <c r="H6428" s="61">
        <v>15</v>
      </c>
      <c r="I6428" s="61">
        <v>38.459000000000003</v>
      </c>
    </row>
    <row r="6429" spans="1:9" s="71" customFormat="1" ht="24" hidden="1" customHeight="1" outlineLevel="1" x14ac:dyDescent="0.25">
      <c r="A6429" s="74">
        <v>1018</v>
      </c>
      <c r="B6429" s="45" t="s">
        <v>664</v>
      </c>
      <c r="C6429" s="60" t="s">
        <v>5975</v>
      </c>
      <c r="D6429" s="60"/>
      <c r="E6429" s="74">
        <v>2023</v>
      </c>
      <c r="F6429" s="74" t="s">
        <v>489</v>
      </c>
      <c r="G6429" s="61">
        <v>1</v>
      </c>
      <c r="H6429" s="61">
        <v>14</v>
      </c>
      <c r="I6429" s="61">
        <v>94.436000000000007</v>
      </c>
    </row>
    <row r="6430" spans="1:9" s="71" customFormat="1" ht="24" hidden="1" customHeight="1" outlineLevel="1" x14ac:dyDescent="0.25">
      <c r="A6430" s="74">
        <v>3264</v>
      </c>
      <c r="B6430" s="45" t="s">
        <v>664</v>
      </c>
      <c r="C6430" s="60" t="s">
        <v>5976</v>
      </c>
      <c r="D6430" s="60"/>
      <c r="E6430" s="74">
        <v>2023</v>
      </c>
      <c r="F6430" s="74" t="s">
        <v>489</v>
      </c>
      <c r="G6430" s="61">
        <v>1</v>
      </c>
      <c r="H6430" s="61">
        <v>15</v>
      </c>
      <c r="I6430" s="61">
        <v>74.082999999999998</v>
      </c>
    </row>
    <row r="6431" spans="1:9" s="71" customFormat="1" ht="24" hidden="1" customHeight="1" outlineLevel="1" x14ac:dyDescent="0.25">
      <c r="A6431" s="74">
        <v>1557</v>
      </c>
      <c r="B6431" s="45" t="s">
        <v>664</v>
      </c>
      <c r="C6431" s="60" t="s">
        <v>5977</v>
      </c>
      <c r="D6431" s="60"/>
      <c r="E6431" s="74">
        <v>2023</v>
      </c>
      <c r="F6431" s="74" t="s">
        <v>489</v>
      </c>
      <c r="G6431" s="61">
        <v>1</v>
      </c>
      <c r="H6431" s="61">
        <v>7</v>
      </c>
      <c r="I6431" s="61">
        <v>120.917</v>
      </c>
    </row>
    <row r="6432" spans="1:9" s="71" customFormat="1" ht="24" hidden="1" customHeight="1" outlineLevel="1" x14ac:dyDescent="0.25">
      <c r="A6432" s="74">
        <v>3237</v>
      </c>
      <c r="B6432" s="45" t="s">
        <v>664</v>
      </c>
      <c r="C6432" s="60" t="s">
        <v>5978</v>
      </c>
      <c r="D6432" s="60"/>
      <c r="E6432" s="74">
        <v>2023</v>
      </c>
      <c r="F6432" s="74" t="s">
        <v>489</v>
      </c>
      <c r="G6432" s="61">
        <v>1</v>
      </c>
      <c r="H6432" s="61">
        <v>10</v>
      </c>
      <c r="I6432" s="61">
        <v>110.932</v>
      </c>
    </row>
    <row r="6433" spans="1:9" s="71" customFormat="1" ht="24" hidden="1" customHeight="1" outlineLevel="1" x14ac:dyDescent="0.25">
      <c r="A6433" s="74">
        <v>4711</v>
      </c>
      <c r="B6433" s="45" t="s">
        <v>664</v>
      </c>
      <c r="C6433" s="60" t="s">
        <v>5979</v>
      </c>
      <c r="D6433" s="60"/>
      <c r="E6433" s="74">
        <v>2023</v>
      </c>
      <c r="F6433" s="74" t="s">
        <v>489</v>
      </c>
      <c r="G6433" s="61">
        <v>1</v>
      </c>
      <c r="H6433" s="61">
        <v>15</v>
      </c>
      <c r="I6433" s="61">
        <v>38.085999999999999</v>
      </c>
    </row>
    <row r="6434" spans="1:9" s="71" customFormat="1" ht="24" hidden="1" customHeight="1" outlineLevel="1" x14ac:dyDescent="0.25">
      <c r="A6434" s="74">
        <v>4714</v>
      </c>
      <c r="B6434" s="45" t="s">
        <v>664</v>
      </c>
      <c r="C6434" s="60" t="s">
        <v>5980</v>
      </c>
      <c r="D6434" s="60"/>
      <c r="E6434" s="74">
        <v>2023</v>
      </c>
      <c r="F6434" s="74" t="s">
        <v>489</v>
      </c>
      <c r="G6434" s="61">
        <v>1</v>
      </c>
      <c r="H6434" s="61">
        <v>15</v>
      </c>
      <c r="I6434" s="61">
        <v>39.476999999999997</v>
      </c>
    </row>
    <row r="6435" spans="1:9" s="71" customFormat="1" ht="24" hidden="1" customHeight="1" outlineLevel="1" x14ac:dyDescent="0.25">
      <c r="A6435" s="74">
        <v>4716</v>
      </c>
      <c r="B6435" s="45" t="s">
        <v>664</v>
      </c>
      <c r="C6435" s="60" t="s">
        <v>5981</v>
      </c>
      <c r="D6435" s="60"/>
      <c r="E6435" s="74">
        <v>2023</v>
      </c>
      <c r="F6435" s="74" t="s">
        <v>489</v>
      </c>
      <c r="G6435" s="61">
        <v>1</v>
      </c>
      <c r="H6435" s="61">
        <v>15</v>
      </c>
      <c r="I6435" s="61">
        <v>38.677999999999997</v>
      </c>
    </row>
    <row r="6436" spans="1:9" s="71" customFormat="1" ht="24" hidden="1" customHeight="1" outlineLevel="1" x14ac:dyDescent="0.25">
      <c r="A6436" s="74">
        <v>4715</v>
      </c>
      <c r="B6436" s="45" t="s">
        <v>664</v>
      </c>
      <c r="C6436" s="60" t="s">
        <v>5982</v>
      </c>
      <c r="D6436" s="60"/>
      <c r="E6436" s="74">
        <v>2023</v>
      </c>
      <c r="F6436" s="74" t="s">
        <v>489</v>
      </c>
      <c r="G6436" s="61">
        <v>1</v>
      </c>
      <c r="H6436" s="61">
        <v>15</v>
      </c>
      <c r="I6436" s="61">
        <v>39.476999999999997</v>
      </c>
    </row>
    <row r="6437" spans="1:9" s="71" customFormat="1" ht="24" hidden="1" customHeight="1" outlineLevel="1" x14ac:dyDescent="0.25">
      <c r="A6437" s="74">
        <v>434</v>
      </c>
      <c r="B6437" s="45" t="s">
        <v>664</v>
      </c>
      <c r="C6437" s="60" t="s">
        <v>5983</v>
      </c>
      <c r="D6437" s="60"/>
      <c r="E6437" s="74">
        <v>2023</v>
      </c>
      <c r="F6437" s="74" t="s">
        <v>489</v>
      </c>
      <c r="G6437" s="61">
        <v>1</v>
      </c>
      <c r="H6437" s="61">
        <v>10</v>
      </c>
      <c r="I6437" s="61">
        <v>81.072000000000003</v>
      </c>
    </row>
    <row r="6438" spans="1:9" s="71" customFormat="1" ht="24" hidden="1" customHeight="1" outlineLevel="1" x14ac:dyDescent="0.25">
      <c r="A6438" s="74">
        <v>1242</v>
      </c>
      <c r="B6438" s="45" t="s">
        <v>664</v>
      </c>
      <c r="C6438" s="60" t="s">
        <v>5984</v>
      </c>
      <c r="D6438" s="60"/>
      <c r="E6438" s="74">
        <v>2023</v>
      </c>
      <c r="F6438" s="74" t="s">
        <v>489</v>
      </c>
      <c r="G6438" s="61">
        <v>1</v>
      </c>
      <c r="H6438" s="61">
        <v>10</v>
      </c>
      <c r="I6438" s="61">
        <v>92.97999999999999</v>
      </c>
    </row>
    <row r="6439" spans="1:9" s="71" customFormat="1" ht="24" hidden="1" customHeight="1" outlineLevel="1" x14ac:dyDescent="0.25">
      <c r="A6439" s="74">
        <v>413</v>
      </c>
      <c r="B6439" s="45" t="s">
        <v>664</v>
      </c>
      <c r="C6439" s="60" t="s">
        <v>5985</v>
      </c>
      <c r="D6439" s="60"/>
      <c r="E6439" s="74">
        <v>2023</v>
      </c>
      <c r="F6439" s="74" t="s">
        <v>489</v>
      </c>
      <c r="G6439" s="61">
        <v>1</v>
      </c>
      <c r="H6439" s="61">
        <v>15</v>
      </c>
      <c r="I6439" s="61">
        <v>63.073000000000008</v>
      </c>
    </row>
    <row r="6440" spans="1:9" s="71" customFormat="1" ht="24" hidden="1" customHeight="1" outlineLevel="1" x14ac:dyDescent="0.25">
      <c r="A6440" s="74">
        <v>4724</v>
      </c>
      <c r="B6440" s="45" t="s">
        <v>664</v>
      </c>
      <c r="C6440" s="60" t="s">
        <v>5986</v>
      </c>
      <c r="D6440" s="60"/>
      <c r="E6440" s="74">
        <v>2023</v>
      </c>
      <c r="F6440" s="74" t="s">
        <v>489</v>
      </c>
      <c r="G6440" s="61">
        <v>1</v>
      </c>
      <c r="H6440" s="61">
        <v>15</v>
      </c>
      <c r="I6440" s="61">
        <v>40.436999999999998</v>
      </c>
    </row>
    <row r="6441" spans="1:9" s="71" customFormat="1" ht="24" hidden="1" customHeight="1" outlineLevel="1" x14ac:dyDescent="0.25">
      <c r="A6441" s="74">
        <v>4725</v>
      </c>
      <c r="B6441" s="45" t="s">
        <v>664</v>
      </c>
      <c r="C6441" s="60" t="s">
        <v>5987</v>
      </c>
      <c r="D6441" s="60"/>
      <c r="E6441" s="74">
        <v>2023</v>
      </c>
      <c r="F6441" s="74" t="s">
        <v>489</v>
      </c>
      <c r="G6441" s="61">
        <v>1</v>
      </c>
      <c r="H6441" s="61">
        <v>15</v>
      </c>
      <c r="I6441" s="61">
        <v>40.673999999999999</v>
      </c>
    </row>
    <row r="6442" spans="1:9" s="71" customFormat="1" ht="24" hidden="1" customHeight="1" outlineLevel="1" x14ac:dyDescent="0.25">
      <c r="A6442" s="74">
        <v>1915</v>
      </c>
      <c r="B6442" s="45" t="s">
        <v>664</v>
      </c>
      <c r="C6442" s="60" t="s">
        <v>5988</v>
      </c>
      <c r="D6442" s="60"/>
      <c r="E6442" s="74">
        <v>2023</v>
      </c>
      <c r="F6442" s="74" t="s">
        <v>489</v>
      </c>
      <c r="G6442" s="61">
        <v>1</v>
      </c>
      <c r="H6442" s="61">
        <v>15</v>
      </c>
      <c r="I6442" s="61">
        <v>39.808999999999997</v>
      </c>
    </row>
    <row r="6443" spans="1:9" s="71" customFormat="1" ht="24" hidden="1" customHeight="1" outlineLevel="1" x14ac:dyDescent="0.25">
      <c r="A6443" s="74">
        <v>4726</v>
      </c>
      <c r="B6443" s="45" t="s">
        <v>664</v>
      </c>
      <c r="C6443" s="60" t="s">
        <v>5989</v>
      </c>
      <c r="D6443" s="60"/>
      <c r="E6443" s="74">
        <v>2023</v>
      </c>
      <c r="F6443" s="74" t="s">
        <v>489</v>
      </c>
      <c r="G6443" s="61">
        <v>1</v>
      </c>
      <c r="H6443" s="61">
        <v>40</v>
      </c>
      <c r="I6443" s="61">
        <v>39.711000000000006</v>
      </c>
    </row>
    <row r="6444" spans="1:9" s="71" customFormat="1" ht="24" hidden="1" customHeight="1" outlineLevel="1" x14ac:dyDescent="0.25">
      <c r="A6444" s="74">
        <v>4734</v>
      </c>
      <c r="B6444" s="45" t="s">
        <v>664</v>
      </c>
      <c r="C6444" s="60" t="s">
        <v>5990</v>
      </c>
      <c r="D6444" s="60"/>
      <c r="E6444" s="74">
        <v>2023</v>
      </c>
      <c r="F6444" s="74" t="s">
        <v>489</v>
      </c>
      <c r="G6444" s="61">
        <v>1</v>
      </c>
      <c r="H6444" s="61">
        <v>150</v>
      </c>
      <c r="I6444" s="61">
        <v>154.696</v>
      </c>
    </row>
    <row r="6445" spans="1:9" s="71" customFormat="1" ht="24" hidden="1" customHeight="1" outlineLevel="1" x14ac:dyDescent="0.25">
      <c r="A6445" s="74">
        <v>733</v>
      </c>
      <c r="B6445" s="45" t="s">
        <v>664</v>
      </c>
      <c r="C6445" s="60" t="s">
        <v>5991</v>
      </c>
      <c r="D6445" s="60"/>
      <c r="E6445" s="74">
        <v>2023</v>
      </c>
      <c r="F6445" s="74" t="s">
        <v>489</v>
      </c>
      <c r="G6445" s="61">
        <v>1</v>
      </c>
      <c r="H6445" s="61">
        <v>15</v>
      </c>
      <c r="I6445" s="61">
        <v>76.259</v>
      </c>
    </row>
    <row r="6446" spans="1:9" s="71" customFormat="1" ht="24" hidden="1" customHeight="1" outlineLevel="1" x14ac:dyDescent="0.25">
      <c r="A6446" s="74">
        <v>580</v>
      </c>
      <c r="B6446" s="45" t="s">
        <v>664</v>
      </c>
      <c r="C6446" s="60" t="s">
        <v>5992</v>
      </c>
      <c r="D6446" s="60"/>
      <c r="E6446" s="74">
        <v>2023</v>
      </c>
      <c r="F6446" s="74" t="s">
        <v>489</v>
      </c>
      <c r="G6446" s="61">
        <v>1</v>
      </c>
      <c r="H6446" s="61">
        <v>10</v>
      </c>
      <c r="I6446" s="61">
        <v>75.212000000000003</v>
      </c>
    </row>
    <row r="6447" spans="1:9" s="71" customFormat="1" ht="24" hidden="1" customHeight="1" outlineLevel="1" x14ac:dyDescent="0.25">
      <c r="A6447" s="74">
        <v>4727</v>
      </c>
      <c r="B6447" s="45" t="s">
        <v>664</v>
      </c>
      <c r="C6447" s="60" t="s">
        <v>5993</v>
      </c>
      <c r="D6447" s="60"/>
      <c r="E6447" s="74">
        <v>2023</v>
      </c>
      <c r="F6447" s="74" t="s">
        <v>489</v>
      </c>
      <c r="G6447" s="61">
        <v>1</v>
      </c>
      <c r="H6447" s="61">
        <v>10</v>
      </c>
      <c r="I6447" s="61">
        <v>37.095000000000006</v>
      </c>
    </row>
    <row r="6448" spans="1:9" s="71" customFormat="1" ht="24" hidden="1" customHeight="1" outlineLevel="1" x14ac:dyDescent="0.25">
      <c r="A6448" s="74">
        <v>1401</v>
      </c>
      <c r="B6448" s="45" t="s">
        <v>664</v>
      </c>
      <c r="C6448" s="60" t="s">
        <v>5994</v>
      </c>
      <c r="D6448" s="60"/>
      <c r="E6448" s="74">
        <v>2023</v>
      </c>
      <c r="F6448" s="74" t="s">
        <v>489</v>
      </c>
      <c r="G6448" s="61">
        <v>1</v>
      </c>
      <c r="H6448" s="61">
        <v>6</v>
      </c>
      <c r="I6448" s="61">
        <v>37.796000000000006</v>
      </c>
    </row>
    <row r="6449" spans="1:9" s="71" customFormat="1" ht="24" hidden="1" customHeight="1" outlineLevel="1" x14ac:dyDescent="0.25">
      <c r="A6449" s="74">
        <v>4729</v>
      </c>
      <c r="B6449" s="45" t="s">
        <v>664</v>
      </c>
      <c r="C6449" s="60" t="s">
        <v>5995</v>
      </c>
      <c r="D6449" s="60"/>
      <c r="E6449" s="74">
        <v>2023</v>
      </c>
      <c r="F6449" s="74" t="s">
        <v>489</v>
      </c>
      <c r="G6449" s="61">
        <v>1</v>
      </c>
      <c r="H6449" s="61">
        <v>10</v>
      </c>
      <c r="I6449" s="61">
        <v>37.263999999999996</v>
      </c>
    </row>
    <row r="6450" spans="1:9" s="71" customFormat="1" ht="24" hidden="1" customHeight="1" outlineLevel="1" x14ac:dyDescent="0.25">
      <c r="A6450" s="74">
        <v>4732</v>
      </c>
      <c r="B6450" s="45" t="s">
        <v>664</v>
      </c>
      <c r="C6450" s="60" t="s">
        <v>5996</v>
      </c>
      <c r="D6450" s="60"/>
      <c r="E6450" s="74">
        <v>2023</v>
      </c>
      <c r="F6450" s="74" t="s">
        <v>489</v>
      </c>
      <c r="G6450" s="61">
        <v>1</v>
      </c>
      <c r="H6450" s="61">
        <v>15</v>
      </c>
      <c r="I6450" s="61">
        <v>109.80500000000001</v>
      </c>
    </row>
    <row r="6451" spans="1:9" s="71" customFormat="1" ht="24" hidden="1" customHeight="1" outlineLevel="1" x14ac:dyDescent="0.25">
      <c r="A6451" s="74">
        <v>3287</v>
      </c>
      <c r="B6451" s="45" t="s">
        <v>664</v>
      </c>
      <c r="C6451" s="60" t="s">
        <v>5997</v>
      </c>
      <c r="D6451" s="60"/>
      <c r="E6451" s="74">
        <v>2023</v>
      </c>
      <c r="F6451" s="74" t="s">
        <v>489</v>
      </c>
      <c r="G6451" s="61">
        <v>1</v>
      </c>
      <c r="H6451" s="61">
        <v>10</v>
      </c>
      <c r="I6451" s="61">
        <v>130.22900000000001</v>
      </c>
    </row>
    <row r="6452" spans="1:9" s="71" customFormat="1" ht="24" hidden="1" customHeight="1" outlineLevel="1" x14ac:dyDescent="0.25">
      <c r="A6452" s="74">
        <v>3941</v>
      </c>
      <c r="B6452" s="45" t="s">
        <v>664</v>
      </c>
      <c r="C6452" s="60" t="s">
        <v>5998</v>
      </c>
      <c r="D6452" s="60"/>
      <c r="E6452" s="74">
        <v>2023</v>
      </c>
      <c r="F6452" s="74" t="s">
        <v>489</v>
      </c>
      <c r="G6452" s="61">
        <v>1</v>
      </c>
      <c r="H6452" s="61">
        <v>15</v>
      </c>
      <c r="I6452" s="61">
        <v>47.997</v>
      </c>
    </row>
    <row r="6453" spans="1:9" s="71" customFormat="1" ht="24" hidden="1" customHeight="1" outlineLevel="1" x14ac:dyDescent="0.25">
      <c r="A6453" s="74">
        <v>1000</v>
      </c>
      <c r="B6453" s="45" t="s">
        <v>664</v>
      </c>
      <c r="C6453" s="60" t="s">
        <v>5999</v>
      </c>
      <c r="D6453" s="60"/>
      <c r="E6453" s="74">
        <v>2023</v>
      </c>
      <c r="F6453" s="74" t="s">
        <v>489</v>
      </c>
      <c r="G6453" s="61">
        <v>1</v>
      </c>
      <c r="H6453" s="61">
        <v>15</v>
      </c>
      <c r="I6453" s="61">
        <v>81.846000000000004</v>
      </c>
    </row>
    <row r="6454" spans="1:9" s="71" customFormat="1" ht="24" hidden="1" customHeight="1" outlineLevel="1" x14ac:dyDescent="0.25">
      <c r="A6454" s="74">
        <v>2854</v>
      </c>
      <c r="B6454" s="45" t="s">
        <v>664</v>
      </c>
      <c r="C6454" s="60" t="s">
        <v>6000</v>
      </c>
      <c r="D6454" s="60"/>
      <c r="E6454" s="74">
        <v>2023</v>
      </c>
      <c r="F6454" s="74" t="s">
        <v>489</v>
      </c>
      <c r="G6454" s="61">
        <v>1</v>
      </c>
      <c r="H6454" s="61">
        <v>15</v>
      </c>
      <c r="I6454" s="61">
        <v>141.089</v>
      </c>
    </row>
    <row r="6455" spans="1:9" s="71" customFormat="1" ht="24" hidden="1" customHeight="1" outlineLevel="1" x14ac:dyDescent="0.25">
      <c r="A6455" s="74">
        <v>4735</v>
      </c>
      <c r="B6455" s="45" t="s">
        <v>664</v>
      </c>
      <c r="C6455" s="60" t="s">
        <v>6001</v>
      </c>
      <c r="D6455" s="60"/>
      <c r="E6455" s="74">
        <v>2023</v>
      </c>
      <c r="F6455" s="74" t="s">
        <v>489</v>
      </c>
      <c r="G6455" s="61">
        <v>1</v>
      </c>
      <c r="H6455" s="61">
        <v>45</v>
      </c>
      <c r="I6455" s="61">
        <v>38.811</v>
      </c>
    </row>
    <row r="6456" spans="1:9" s="71" customFormat="1" ht="24" hidden="1" customHeight="1" outlineLevel="1" x14ac:dyDescent="0.25">
      <c r="A6456" s="74">
        <v>4620</v>
      </c>
      <c r="B6456" s="45" t="s">
        <v>664</v>
      </c>
      <c r="C6456" s="60" t="s">
        <v>6002</v>
      </c>
      <c r="D6456" s="60"/>
      <c r="E6456" s="74">
        <v>2023</v>
      </c>
      <c r="F6456" s="74" t="s">
        <v>489</v>
      </c>
      <c r="G6456" s="61">
        <v>1</v>
      </c>
      <c r="H6456" s="61">
        <v>12</v>
      </c>
      <c r="I6456" s="61">
        <v>47.967999999999996</v>
      </c>
    </row>
    <row r="6457" spans="1:9" s="71" customFormat="1" ht="24" hidden="1" customHeight="1" outlineLevel="1" x14ac:dyDescent="0.25">
      <c r="A6457" s="74">
        <v>3780</v>
      </c>
      <c r="B6457" s="45" t="s">
        <v>664</v>
      </c>
      <c r="C6457" s="60" t="s">
        <v>6003</v>
      </c>
      <c r="D6457" s="60"/>
      <c r="E6457" s="74">
        <v>2023</v>
      </c>
      <c r="F6457" s="74" t="s">
        <v>489</v>
      </c>
      <c r="G6457" s="61">
        <v>1</v>
      </c>
      <c r="H6457" s="61">
        <v>12</v>
      </c>
      <c r="I6457" s="61">
        <v>48.344999999999999</v>
      </c>
    </row>
    <row r="6458" spans="1:9" s="71" customFormat="1" ht="24" hidden="1" customHeight="1" outlineLevel="1" x14ac:dyDescent="0.25">
      <c r="A6458" s="74">
        <v>4736</v>
      </c>
      <c r="B6458" s="45" t="s">
        <v>664</v>
      </c>
      <c r="C6458" s="60" t="s">
        <v>6004</v>
      </c>
      <c r="D6458" s="60"/>
      <c r="E6458" s="74">
        <v>2023</v>
      </c>
      <c r="F6458" s="74" t="s">
        <v>489</v>
      </c>
      <c r="G6458" s="61">
        <v>1</v>
      </c>
      <c r="H6458" s="61">
        <v>13.2</v>
      </c>
      <c r="I6458" s="61">
        <v>40.082999999999998</v>
      </c>
    </row>
    <row r="6459" spans="1:9" s="71" customFormat="1" ht="24" hidden="1" customHeight="1" outlineLevel="1" x14ac:dyDescent="0.25">
      <c r="A6459" s="74">
        <v>2302</v>
      </c>
      <c r="B6459" s="45" t="s">
        <v>664</v>
      </c>
      <c r="C6459" s="60" t="s">
        <v>6005</v>
      </c>
      <c r="D6459" s="60"/>
      <c r="E6459" s="74">
        <v>2023</v>
      </c>
      <c r="F6459" s="74" t="s">
        <v>489</v>
      </c>
      <c r="G6459" s="61">
        <v>1</v>
      </c>
      <c r="H6459" s="61">
        <v>5</v>
      </c>
      <c r="I6459" s="61">
        <v>40.196999999999996</v>
      </c>
    </row>
    <row r="6460" spans="1:9" s="71" customFormat="1" ht="24" hidden="1" customHeight="1" outlineLevel="1" x14ac:dyDescent="0.25">
      <c r="A6460" s="74">
        <v>2366</v>
      </c>
      <c r="B6460" s="45" t="s">
        <v>664</v>
      </c>
      <c r="C6460" s="60" t="s">
        <v>6006</v>
      </c>
      <c r="D6460" s="60"/>
      <c r="E6460" s="74">
        <v>2023</v>
      </c>
      <c r="F6460" s="74" t="s">
        <v>489</v>
      </c>
      <c r="G6460" s="61">
        <v>1</v>
      </c>
      <c r="H6460" s="61">
        <v>10</v>
      </c>
      <c r="I6460" s="61">
        <v>40.256999999999998</v>
      </c>
    </row>
    <row r="6461" spans="1:9" s="71" customFormat="1" ht="24" hidden="1" customHeight="1" outlineLevel="1" x14ac:dyDescent="0.25">
      <c r="A6461" s="74">
        <v>4740</v>
      </c>
      <c r="B6461" s="45" t="s">
        <v>664</v>
      </c>
      <c r="C6461" s="60" t="s">
        <v>6007</v>
      </c>
      <c r="D6461" s="60"/>
      <c r="E6461" s="74">
        <v>2023</v>
      </c>
      <c r="F6461" s="74" t="s">
        <v>489</v>
      </c>
      <c r="G6461" s="61">
        <v>1</v>
      </c>
      <c r="H6461" s="61">
        <v>14.4</v>
      </c>
      <c r="I6461" s="61">
        <v>40.190999999999995</v>
      </c>
    </row>
    <row r="6462" spans="1:9" s="71" customFormat="1" ht="24" hidden="1" customHeight="1" outlineLevel="1" x14ac:dyDescent="0.25">
      <c r="A6462" s="74">
        <v>1812</v>
      </c>
      <c r="B6462" s="45" t="s">
        <v>664</v>
      </c>
      <c r="C6462" s="60" t="s">
        <v>6008</v>
      </c>
      <c r="D6462" s="60"/>
      <c r="E6462" s="74">
        <v>2023</v>
      </c>
      <c r="F6462" s="74" t="s">
        <v>489</v>
      </c>
      <c r="G6462" s="61">
        <v>1</v>
      </c>
      <c r="H6462" s="61">
        <v>15</v>
      </c>
      <c r="I6462" s="61">
        <v>70.153999999999996</v>
      </c>
    </row>
    <row r="6463" spans="1:9" s="71" customFormat="1" ht="24" hidden="1" customHeight="1" outlineLevel="1" x14ac:dyDescent="0.25">
      <c r="A6463" s="74">
        <v>3033</v>
      </c>
      <c r="B6463" s="45" t="s">
        <v>664</v>
      </c>
      <c r="C6463" s="60" t="s">
        <v>6009</v>
      </c>
      <c r="D6463" s="60"/>
      <c r="E6463" s="74">
        <v>2023</v>
      </c>
      <c r="F6463" s="74" t="s">
        <v>489</v>
      </c>
      <c r="G6463" s="61">
        <v>1</v>
      </c>
      <c r="H6463" s="61">
        <v>25</v>
      </c>
      <c r="I6463" s="61">
        <v>87.402999999999992</v>
      </c>
    </row>
    <row r="6464" spans="1:9" s="71" customFormat="1" ht="24" hidden="1" customHeight="1" outlineLevel="1" x14ac:dyDescent="0.25">
      <c r="A6464" s="74">
        <v>2457</v>
      </c>
      <c r="B6464" s="45" t="s">
        <v>664</v>
      </c>
      <c r="C6464" s="60" t="s">
        <v>6010</v>
      </c>
      <c r="D6464" s="60"/>
      <c r="E6464" s="74">
        <v>2023</v>
      </c>
      <c r="F6464" s="74" t="s">
        <v>489</v>
      </c>
      <c r="G6464" s="61">
        <v>1</v>
      </c>
      <c r="H6464" s="61">
        <v>5</v>
      </c>
      <c r="I6464" s="61">
        <v>39.923999999999999</v>
      </c>
    </row>
    <row r="6465" spans="1:9" s="71" customFormat="1" ht="24" hidden="1" customHeight="1" outlineLevel="1" x14ac:dyDescent="0.25">
      <c r="A6465" s="74">
        <v>4739</v>
      </c>
      <c r="B6465" s="45" t="s">
        <v>664</v>
      </c>
      <c r="C6465" s="60" t="s">
        <v>6011</v>
      </c>
      <c r="D6465" s="60"/>
      <c r="E6465" s="74">
        <v>2023</v>
      </c>
      <c r="F6465" s="74" t="s">
        <v>489</v>
      </c>
      <c r="G6465" s="61">
        <v>1</v>
      </c>
      <c r="H6465" s="61">
        <v>14</v>
      </c>
      <c r="I6465" s="61">
        <v>41.298999999999999</v>
      </c>
    </row>
    <row r="6466" spans="1:9" s="71" customFormat="1" ht="24" hidden="1" customHeight="1" outlineLevel="1" x14ac:dyDescent="0.25">
      <c r="A6466" s="74">
        <v>3092</v>
      </c>
      <c r="B6466" s="45" t="s">
        <v>664</v>
      </c>
      <c r="C6466" s="60" t="s">
        <v>571</v>
      </c>
      <c r="D6466" s="60"/>
      <c r="E6466" s="74">
        <v>2023</v>
      </c>
      <c r="F6466" s="74" t="s">
        <v>489</v>
      </c>
      <c r="G6466" s="61">
        <v>1</v>
      </c>
      <c r="H6466" s="61">
        <v>40</v>
      </c>
      <c r="I6466" s="61">
        <v>85.417999999999992</v>
      </c>
    </row>
    <row r="6467" spans="1:9" s="71" customFormat="1" ht="24" hidden="1" customHeight="1" outlineLevel="1" x14ac:dyDescent="0.25">
      <c r="A6467" s="74">
        <v>3023</v>
      </c>
      <c r="B6467" s="45" t="s">
        <v>664</v>
      </c>
      <c r="C6467" s="60" t="s">
        <v>6012</v>
      </c>
      <c r="D6467" s="60"/>
      <c r="E6467" s="74">
        <v>2023</v>
      </c>
      <c r="F6467" s="74" t="s">
        <v>489</v>
      </c>
      <c r="G6467" s="61">
        <v>1</v>
      </c>
      <c r="H6467" s="61">
        <v>30</v>
      </c>
      <c r="I6467" s="61">
        <v>70.931999999999988</v>
      </c>
    </row>
    <row r="6468" spans="1:9" s="71" customFormat="1" ht="24" hidden="1" customHeight="1" outlineLevel="1" x14ac:dyDescent="0.25">
      <c r="A6468" s="74">
        <v>1167</v>
      </c>
      <c r="B6468" s="45" t="s">
        <v>664</v>
      </c>
      <c r="C6468" s="60" t="s">
        <v>6013</v>
      </c>
      <c r="D6468" s="60"/>
      <c r="E6468" s="74">
        <v>2023</v>
      </c>
      <c r="F6468" s="74" t="s">
        <v>489</v>
      </c>
      <c r="G6468" s="61">
        <v>1</v>
      </c>
      <c r="H6468" s="61">
        <v>10</v>
      </c>
      <c r="I6468" s="61">
        <v>83.431000000000012</v>
      </c>
    </row>
    <row r="6469" spans="1:9" s="71" customFormat="1" ht="24" hidden="1" customHeight="1" outlineLevel="1" x14ac:dyDescent="0.25">
      <c r="A6469" s="74">
        <v>574</v>
      </c>
      <c r="B6469" s="45" t="s">
        <v>664</v>
      </c>
      <c r="C6469" s="60" t="s">
        <v>6014</v>
      </c>
      <c r="D6469" s="60"/>
      <c r="E6469" s="74">
        <v>2023</v>
      </c>
      <c r="F6469" s="74" t="s">
        <v>489</v>
      </c>
      <c r="G6469" s="61">
        <v>1</v>
      </c>
      <c r="H6469" s="61">
        <v>10</v>
      </c>
      <c r="I6469" s="61">
        <v>88.427000000000007</v>
      </c>
    </row>
    <row r="6470" spans="1:9" s="71" customFormat="1" ht="24" hidden="1" customHeight="1" outlineLevel="1" x14ac:dyDescent="0.25">
      <c r="A6470" s="74">
        <v>1145</v>
      </c>
      <c r="B6470" s="45" t="s">
        <v>664</v>
      </c>
      <c r="C6470" s="60" t="s">
        <v>6015</v>
      </c>
      <c r="D6470" s="60"/>
      <c r="E6470" s="74">
        <v>2023</v>
      </c>
      <c r="F6470" s="74" t="s">
        <v>489</v>
      </c>
      <c r="G6470" s="61">
        <v>1</v>
      </c>
      <c r="H6470" s="61">
        <v>15</v>
      </c>
      <c r="I6470" s="61">
        <v>76.259</v>
      </c>
    </row>
    <row r="6471" spans="1:9" s="71" customFormat="1" ht="24" hidden="1" customHeight="1" outlineLevel="1" x14ac:dyDescent="0.25">
      <c r="A6471" s="74">
        <v>538</v>
      </c>
      <c r="B6471" s="45" t="s">
        <v>664</v>
      </c>
      <c r="C6471" s="60" t="s">
        <v>6016</v>
      </c>
      <c r="D6471" s="60"/>
      <c r="E6471" s="74">
        <v>2023</v>
      </c>
      <c r="F6471" s="74" t="s">
        <v>489</v>
      </c>
      <c r="G6471" s="61">
        <v>1</v>
      </c>
      <c r="H6471" s="61">
        <v>15</v>
      </c>
      <c r="I6471" s="61">
        <v>69.344000000000008</v>
      </c>
    </row>
    <row r="6472" spans="1:9" s="71" customFormat="1" ht="24" hidden="1" customHeight="1" outlineLevel="1" x14ac:dyDescent="0.25">
      <c r="A6472" s="74">
        <v>941</v>
      </c>
      <c r="B6472" s="45" t="s">
        <v>664</v>
      </c>
      <c r="C6472" s="60" t="s">
        <v>6017</v>
      </c>
      <c r="D6472" s="60"/>
      <c r="E6472" s="74">
        <v>2023</v>
      </c>
      <c r="F6472" s="74" t="s">
        <v>489</v>
      </c>
      <c r="G6472" s="61">
        <v>1</v>
      </c>
      <c r="H6472" s="61">
        <v>15</v>
      </c>
      <c r="I6472" s="61">
        <v>73.774000000000001</v>
      </c>
    </row>
    <row r="6473" spans="1:9" s="71" customFormat="1" ht="24" hidden="1" customHeight="1" outlineLevel="1" x14ac:dyDescent="0.25">
      <c r="A6473" s="74">
        <v>2851</v>
      </c>
      <c r="B6473" s="45" t="s">
        <v>664</v>
      </c>
      <c r="C6473" s="60" t="s">
        <v>6018</v>
      </c>
      <c r="D6473" s="60"/>
      <c r="E6473" s="74">
        <v>2023</v>
      </c>
      <c r="F6473" s="74" t="s">
        <v>489</v>
      </c>
      <c r="G6473" s="61">
        <v>1</v>
      </c>
      <c r="H6473" s="61">
        <v>15</v>
      </c>
      <c r="I6473" s="61">
        <v>92.457999999999998</v>
      </c>
    </row>
    <row r="6474" spans="1:9" s="71" customFormat="1" ht="24" hidden="1" customHeight="1" outlineLevel="1" x14ac:dyDescent="0.25">
      <c r="A6474" s="74">
        <v>3288</v>
      </c>
      <c r="B6474" s="45" t="s">
        <v>664</v>
      </c>
      <c r="C6474" s="60" t="s">
        <v>6019</v>
      </c>
      <c r="D6474" s="60"/>
      <c r="E6474" s="74">
        <v>2023</v>
      </c>
      <c r="F6474" s="74" t="s">
        <v>489</v>
      </c>
      <c r="G6474" s="61">
        <v>1</v>
      </c>
      <c r="H6474" s="61">
        <v>15</v>
      </c>
      <c r="I6474" s="61">
        <v>101.6</v>
      </c>
    </row>
    <row r="6475" spans="1:9" s="71" customFormat="1" ht="24" hidden="1" customHeight="1" outlineLevel="1" x14ac:dyDescent="0.25">
      <c r="A6475" s="74">
        <v>4755</v>
      </c>
      <c r="B6475" s="45" t="s">
        <v>664</v>
      </c>
      <c r="C6475" s="60" t="s">
        <v>6020</v>
      </c>
      <c r="D6475" s="60"/>
      <c r="E6475" s="74">
        <v>2023</v>
      </c>
      <c r="F6475" s="74" t="s">
        <v>489</v>
      </c>
      <c r="G6475" s="61">
        <v>1</v>
      </c>
      <c r="H6475" s="61">
        <v>15</v>
      </c>
      <c r="I6475" s="61">
        <v>47.815999999999995</v>
      </c>
    </row>
    <row r="6476" spans="1:9" s="71" customFormat="1" ht="24" hidden="1" customHeight="1" outlineLevel="1" x14ac:dyDescent="0.25">
      <c r="A6476" s="74">
        <v>4745</v>
      </c>
      <c r="B6476" s="45" t="s">
        <v>664</v>
      </c>
      <c r="C6476" s="60" t="s">
        <v>6021</v>
      </c>
      <c r="D6476" s="60"/>
      <c r="E6476" s="74">
        <v>2023</v>
      </c>
      <c r="F6476" s="74" t="s">
        <v>489</v>
      </c>
      <c r="G6476" s="61">
        <v>1</v>
      </c>
      <c r="H6476" s="61">
        <v>9</v>
      </c>
      <c r="I6476" s="61">
        <v>60.900349999999996</v>
      </c>
    </row>
    <row r="6477" spans="1:9" s="71" customFormat="1" ht="24" hidden="1" customHeight="1" outlineLevel="1" x14ac:dyDescent="0.25">
      <c r="A6477" s="74">
        <v>2558</v>
      </c>
      <c r="B6477" s="45" t="s">
        <v>664</v>
      </c>
      <c r="C6477" s="60" t="s">
        <v>6022</v>
      </c>
      <c r="D6477" s="60"/>
      <c r="E6477" s="74">
        <v>2023</v>
      </c>
      <c r="F6477" s="74" t="s">
        <v>489</v>
      </c>
      <c r="G6477" s="61">
        <v>1</v>
      </c>
      <c r="H6477" s="61">
        <v>3</v>
      </c>
      <c r="I6477" s="61">
        <v>39.235999999999997</v>
      </c>
    </row>
    <row r="6478" spans="1:9" s="71" customFormat="1" ht="24" hidden="1" customHeight="1" outlineLevel="1" x14ac:dyDescent="0.25">
      <c r="A6478" s="74">
        <v>4750</v>
      </c>
      <c r="B6478" s="45" t="s">
        <v>664</v>
      </c>
      <c r="C6478" s="60" t="s">
        <v>6023</v>
      </c>
      <c r="D6478" s="60"/>
      <c r="E6478" s="74">
        <v>2023</v>
      </c>
      <c r="F6478" s="74" t="s">
        <v>489</v>
      </c>
      <c r="G6478" s="61">
        <v>1</v>
      </c>
      <c r="H6478" s="61">
        <v>12</v>
      </c>
      <c r="I6478" s="61">
        <v>39.235999999999997</v>
      </c>
    </row>
    <row r="6479" spans="1:9" s="71" customFormat="1" ht="24" hidden="1" customHeight="1" outlineLevel="1" x14ac:dyDescent="0.25">
      <c r="A6479" s="74">
        <v>4751</v>
      </c>
      <c r="B6479" s="45" t="s">
        <v>664</v>
      </c>
      <c r="C6479" s="60" t="s">
        <v>6024</v>
      </c>
      <c r="D6479" s="60"/>
      <c r="E6479" s="74">
        <v>2023</v>
      </c>
      <c r="F6479" s="74" t="s">
        <v>489</v>
      </c>
      <c r="G6479" s="61">
        <v>1</v>
      </c>
      <c r="H6479" s="61">
        <v>15</v>
      </c>
      <c r="I6479" s="61">
        <v>39.235999999999997</v>
      </c>
    </row>
    <row r="6480" spans="1:9" s="71" customFormat="1" ht="24" hidden="1" customHeight="1" outlineLevel="1" x14ac:dyDescent="0.25">
      <c r="A6480" s="74">
        <v>1693</v>
      </c>
      <c r="B6480" s="45" t="s">
        <v>664</v>
      </c>
      <c r="C6480" s="60" t="s">
        <v>6025</v>
      </c>
      <c r="D6480" s="60"/>
      <c r="E6480" s="74">
        <v>2023</v>
      </c>
      <c r="F6480" s="74" t="s">
        <v>489</v>
      </c>
      <c r="G6480" s="61">
        <v>1</v>
      </c>
      <c r="H6480" s="61">
        <v>15</v>
      </c>
      <c r="I6480" s="61">
        <v>44.248000000000005</v>
      </c>
    </row>
    <row r="6481" spans="1:9" s="71" customFormat="1" ht="24" hidden="1" customHeight="1" outlineLevel="1" x14ac:dyDescent="0.25">
      <c r="A6481" s="74">
        <v>2056</v>
      </c>
      <c r="B6481" s="45" t="s">
        <v>664</v>
      </c>
      <c r="C6481" s="60" t="s">
        <v>6026</v>
      </c>
      <c r="D6481" s="60"/>
      <c r="E6481" s="74">
        <v>2023</v>
      </c>
      <c r="F6481" s="74" t="s">
        <v>489</v>
      </c>
      <c r="G6481" s="61">
        <v>1</v>
      </c>
      <c r="H6481" s="61">
        <v>8</v>
      </c>
      <c r="I6481" s="61">
        <v>47.902999999999999</v>
      </c>
    </row>
    <row r="6482" spans="1:9" s="71" customFormat="1" ht="24" hidden="1" customHeight="1" outlineLevel="1" x14ac:dyDescent="0.25">
      <c r="A6482" s="74">
        <v>4746</v>
      </c>
      <c r="B6482" s="45" t="s">
        <v>664</v>
      </c>
      <c r="C6482" s="60" t="s">
        <v>6027</v>
      </c>
      <c r="D6482" s="60"/>
      <c r="E6482" s="74">
        <v>2023</v>
      </c>
      <c r="F6482" s="74" t="s">
        <v>489</v>
      </c>
      <c r="G6482" s="61">
        <v>1</v>
      </c>
      <c r="H6482" s="61">
        <v>15</v>
      </c>
      <c r="I6482" s="61">
        <v>39.914999999999999</v>
      </c>
    </row>
    <row r="6483" spans="1:9" s="71" customFormat="1" ht="24" hidden="1" customHeight="1" outlineLevel="1" x14ac:dyDescent="0.25">
      <c r="A6483" s="74">
        <v>4749</v>
      </c>
      <c r="B6483" s="45" t="s">
        <v>664</v>
      </c>
      <c r="C6483" s="60" t="s">
        <v>6028</v>
      </c>
      <c r="D6483" s="60"/>
      <c r="E6483" s="74">
        <v>2023</v>
      </c>
      <c r="F6483" s="74" t="s">
        <v>489</v>
      </c>
      <c r="G6483" s="61">
        <v>1</v>
      </c>
      <c r="H6483" s="61">
        <v>14</v>
      </c>
      <c r="I6483" s="61">
        <v>38.390999999999998</v>
      </c>
    </row>
    <row r="6484" spans="1:9" s="71" customFormat="1" ht="24" hidden="1" customHeight="1" outlineLevel="1" x14ac:dyDescent="0.25">
      <c r="A6484" s="74">
        <v>4752</v>
      </c>
      <c r="B6484" s="45" t="s">
        <v>664</v>
      </c>
      <c r="C6484" s="60" t="s">
        <v>6029</v>
      </c>
      <c r="D6484" s="60"/>
      <c r="E6484" s="74">
        <v>2023</v>
      </c>
      <c r="F6484" s="74" t="s">
        <v>489</v>
      </c>
      <c r="G6484" s="61">
        <v>1</v>
      </c>
      <c r="H6484" s="61">
        <v>7.5</v>
      </c>
      <c r="I6484" s="61">
        <v>40.245000000000005</v>
      </c>
    </row>
    <row r="6485" spans="1:9" s="71" customFormat="1" ht="24" hidden="1" customHeight="1" outlineLevel="1" x14ac:dyDescent="0.25">
      <c r="A6485" s="74">
        <v>4753</v>
      </c>
      <c r="B6485" s="45" t="s">
        <v>664</v>
      </c>
      <c r="C6485" s="60" t="s">
        <v>6030</v>
      </c>
      <c r="D6485" s="60"/>
      <c r="E6485" s="74">
        <v>2023</v>
      </c>
      <c r="F6485" s="74" t="s">
        <v>489</v>
      </c>
      <c r="G6485" s="61">
        <v>1</v>
      </c>
      <c r="H6485" s="61">
        <v>15</v>
      </c>
      <c r="I6485" s="61">
        <v>43.244</v>
      </c>
    </row>
    <row r="6486" spans="1:9" s="71" customFormat="1" ht="24" hidden="1" customHeight="1" outlineLevel="1" x14ac:dyDescent="0.25">
      <c r="A6486" s="74">
        <v>4758</v>
      </c>
      <c r="B6486" s="45" t="s">
        <v>664</v>
      </c>
      <c r="C6486" s="60" t="s">
        <v>6031</v>
      </c>
      <c r="D6486" s="60"/>
      <c r="E6486" s="74">
        <v>2023</v>
      </c>
      <c r="F6486" s="74" t="s">
        <v>489</v>
      </c>
      <c r="G6486" s="61">
        <v>1</v>
      </c>
      <c r="H6486" s="61">
        <v>15</v>
      </c>
      <c r="I6486" s="61">
        <v>43.348999999999997</v>
      </c>
    </row>
    <row r="6487" spans="1:9" s="71" customFormat="1" ht="24" hidden="1" customHeight="1" outlineLevel="1" x14ac:dyDescent="0.25">
      <c r="A6487" s="74">
        <v>4759</v>
      </c>
      <c r="B6487" s="45" t="s">
        <v>664</v>
      </c>
      <c r="C6487" s="60" t="s">
        <v>6032</v>
      </c>
      <c r="D6487" s="60"/>
      <c r="E6487" s="74">
        <v>2023</v>
      </c>
      <c r="F6487" s="74" t="s">
        <v>489</v>
      </c>
      <c r="G6487" s="61">
        <v>1</v>
      </c>
      <c r="H6487" s="61">
        <v>15</v>
      </c>
      <c r="I6487" s="61">
        <v>44.207000000000001</v>
      </c>
    </row>
    <row r="6488" spans="1:9" s="71" customFormat="1" ht="24" hidden="1" customHeight="1" outlineLevel="1" x14ac:dyDescent="0.25">
      <c r="A6488" s="74">
        <v>4760</v>
      </c>
      <c r="B6488" s="45" t="s">
        <v>664</v>
      </c>
      <c r="C6488" s="60" t="s">
        <v>6033</v>
      </c>
      <c r="D6488" s="60"/>
      <c r="E6488" s="74">
        <v>2023</v>
      </c>
      <c r="F6488" s="74" t="s">
        <v>489</v>
      </c>
      <c r="G6488" s="61">
        <v>1</v>
      </c>
      <c r="H6488" s="61">
        <v>15</v>
      </c>
      <c r="I6488" s="61">
        <v>41.882999999999996</v>
      </c>
    </row>
    <row r="6489" spans="1:9" s="71" customFormat="1" ht="24" hidden="1" customHeight="1" outlineLevel="1" x14ac:dyDescent="0.25">
      <c r="A6489" s="74">
        <v>4761</v>
      </c>
      <c r="B6489" s="45" t="s">
        <v>664</v>
      </c>
      <c r="C6489" s="60" t="s">
        <v>6034</v>
      </c>
      <c r="D6489" s="60"/>
      <c r="E6489" s="74">
        <v>2023</v>
      </c>
      <c r="F6489" s="74" t="s">
        <v>489</v>
      </c>
      <c r="G6489" s="61">
        <v>1</v>
      </c>
      <c r="H6489" s="61">
        <v>15</v>
      </c>
      <c r="I6489" s="61">
        <v>49.72</v>
      </c>
    </row>
    <row r="6490" spans="1:9" s="71" customFormat="1" ht="24" hidden="1" customHeight="1" outlineLevel="1" x14ac:dyDescent="0.25">
      <c r="A6490" s="74">
        <v>3060</v>
      </c>
      <c r="B6490" s="45" t="s">
        <v>664</v>
      </c>
      <c r="C6490" s="60" t="s">
        <v>572</v>
      </c>
      <c r="D6490" s="60"/>
      <c r="E6490" s="74">
        <v>2023</v>
      </c>
      <c r="F6490" s="74" t="s">
        <v>489</v>
      </c>
      <c r="G6490" s="61">
        <v>1</v>
      </c>
      <c r="H6490" s="61">
        <v>50</v>
      </c>
      <c r="I6490" s="61">
        <v>86.34899999999999</v>
      </c>
    </row>
    <row r="6491" spans="1:9" s="71" customFormat="1" ht="24" hidden="1" customHeight="1" outlineLevel="1" x14ac:dyDescent="0.25">
      <c r="A6491" s="74">
        <v>3310</v>
      </c>
      <c r="B6491" s="45" t="s">
        <v>664</v>
      </c>
      <c r="C6491" s="60" t="s">
        <v>6035</v>
      </c>
      <c r="D6491" s="60"/>
      <c r="E6491" s="74">
        <v>2023</v>
      </c>
      <c r="F6491" s="74" t="s">
        <v>489</v>
      </c>
      <c r="G6491" s="61">
        <v>1</v>
      </c>
      <c r="H6491" s="61">
        <v>15</v>
      </c>
      <c r="I6491" s="61">
        <v>80.263999999999996</v>
      </c>
    </row>
    <row r="6492" spans="1:9" s="71" customFormat="1" ht="24" hidden="1" customHeight="1" outlineLevel="1" x14ac:dyDescent="0.25">
      <c r="A6492" s="74">
        <v>4756</v>
      </c>
      <c r="B6492" s="45" t="s">
        <v>664</v>
      </c>
      <c r="C6492" s="60" t="s">
        <v>6036</v>
      </c>
      <c r="D6492" s="60"/>
      <c r="E6492" s="74">
        <v>2023</v>
      </c>
      <c r="F6492" s="74" t="s">
        <v>489</v>
      </c>
      <c r="G6492" s="61">
        <v>1</v>
      </c>
      <c r="H6492" s="61">
        <v>14</v>
      </c>
      <c r="I6492" s="61">
        <v>42.680999999999997</v>
      </c>
    </row>
    <row r="6493" spans="1:9" s="71" customFormat="1" ht="24" hidden="1" customHeight="1" outlineLevel="1" x14ac:dyDescent="0.25">
      <c r="A6493" s="74">
        <v>4765</v>
      </c>
      <c r="B6493" s="45" t="s">
        <v>664</v>
      </c>
      <c r="C6493" s="60" t="s">
        <v>6037</v>
      </c>
      <c r="D6493" s="60"/>
      <c r="E6493" s="74">
        <v>2023</v>
      </c>
      <c r="F6493" s="74" t="s">
        <v>489</v>
      </c>
      <c r="G6493" s="61">
        <v>1</v>
      </c>
      <c r="H6493" s="61">
        <v>10</v>
      </c>
      <c r="I6493" s="61">
        <v>42.808999999999997</v>
      </c>
    </row>
    <row r="6494" spans="1:9" s="71" customFormat="1" ht="24" hidden="1" customHeight="1" outlineLevel="1" x14ac:dyDescent="0.25">
      <c r="A6494" s="74">
        <v>4766</v>
      </c>
      <c r="B6494" s="45" t="s">
        <v>664</v>
      </c>
      <c r="C6494" s="60" t="s">
        <v>6038</v>
      </c>
      <c r="D6494" s="60"/>
      <c r="E6494" s="74">
        <v>2023</v>
      </c>
      <c r="F6494" s="74" t="s">
        <v>489</v>
      </c>
      <c r="G6494" s="61">
        <v>1</v>
      </c>
      <c r="H6494" s="61">
        <v>10</v>
      </c>
      <c r="I6494" s="61">
        <v>42.808999999999997</v>
      </c>
    </row>
    <row r="6495" spans="1:9" s="71" customFormat="1" ht="24" hidden="1" customHeight="1" outlineLevel="1" x14ac:dyDescent="0.25">
      <c r="A6495" s="74">
        <v>4767</v>
      </c>
      <c r="B6495" s="45" t="s">
        <v>664</v>
      </c>
      <c r="C6495" s="60" t="s">
        <v>6039</v>
      </c>
      <c r="D6495" s="60"/>
      <c r="E6495" s="74">
        <v>2023</v>
      </c>
      <c r="F6495" s="74" t="s">
        <v>489</v>
      </c>
      <c r="G6495" s="61">
        <v>1</v>
      </c>
      <c r="H6495" s="61">
        <v>10</v>
      </c>
      <c r="I6495" s="61">
        <v>42.878</v>
      </c>
    </row>
    <row r="6496" spans="1:9" s="71" customFormat="1" ht="24" hidden="1" customHeight="1" outlineLevel="1" x14ac:dyDescent="0.25">
      <c r="A6496" s="74">
        <v>4768</v>
      </c>
      <c r="B6496" s="45" t="s">
        <v>664</v>
      </c>
      <c r="C6496" s="60" t="s">
        <v>6040</v>
      </c>
      <c r="D6496" s="60"/>
      <c r="E6496" s="74">
        <v>2023</v>
      </c>
      <c r="F6496" s="74" t="s">
        <v>489</v>
      </c>
      <c r="G6496" s="61">
        <v>1</v>
      </c>
      <c r="H6496" s="61">
        <v>10</v>
      </c>
      <c r="I6496" s="61">
        <v>42.852000000000004</v>
      </c>
    </row>
    <row r="6497" spans="1:9" s="71" customFormat="1" ht="24" hidden="1" customHeight="1" outlineLevel="1" x14ac:dyDescent="0.25">
      <c r="A6497" s="74">
        <v>2075</v>
      </c>
      <c r="B6497" s="45" t="s">
        <v>664</v>
      </c>
      <c r="C6497" s="60" t="s">
        <v>6041</v>
      </c>
      <c r="D6497" s="60"/>
      <c r="E6497" s="74">
        <v>2023</v>
      </c>
      <c r="F6497" s="74" t="s">
        <v>489</v>
      </c>
      <c r="G6497" s="61">
        <v>1</v>
      </c>
      <c r="H6497" s="61">
        <v>5</v>
      </c>
      <c r="I6497" s="61">
        <v>42.903999999999996</v>
      </c>
    </row>
    <row r="6498" spans="1:9" s="71" customFormat="1" ht="24" hidden="1" customHeight="1" outlineLevel="1" x14ac:dyDescent="0.25">
      <c r="A6498" s="74">
        <v>2142</v>
      </c>
      <c r="B6498" s="45" t="s">
        <v>664</v>
      </c>
      <c r="C6498" s="60" t="s">
        <v>6042</v>
      </c>
      <c r="D6498" s="60"/>
      <c r="E6498" s="74">
        <v>2023</v>
      </c>
      <c r="F6498" s="74" t="s">
        <v>489</v>
      </c>
      <c r="G6498" s="61">
        <v>1</v>
      </c>
      <c r="H6498" s="61">
        <v>6.5</v>
      </c>
      <c r="I6498" s="61">
        <v>42.875</v>
      </c>
    </row>
    <row r="6499" spans="1:9" s="71" customFormat="1" ht="24" hidden="1" customHeight="1" outlineLevel="1" x14ac:dyDescent="0.25">
      <c r="A6499" s="74">
        <v>4769</v>
      </c>
      <c r="B6499" s="45" t="s">
        <v>664</v>
      </c>
      <c r="C6499" s="60" t="s">
        <v>6043</v>
      </c>
      <c r="D6499" s="60"/>
      <c r="E6499" s="74">
        <v>2023</v>
      </c>
      <c r="F6499" s="74" t="s">
        <v>489</v>
      </c>
      <c r="G6499" s="61">
        <v>1</v>
      </c>
      <c r="H6499" s="61">
        <v>10</v>
      </c>
      <c r="I6499" s="61">
        <v>42.852000000000004</v>
      </c>
    </row>
    <row r="6500" spans="1:9" s="71" customFormat="1" ht="24" hidden="1" customHeight="1" outlineLevel="1" x14ac:dyDescent="0.25">
      <c r="A6500" s="74">
        <v>4770</v>
      </c>
      <c r="B6500" s="45" t="s">
        <v>664</v>
      </c>
      <c r="C6500" s="60" t="s">
        <v>6044</v>
      </c>
      <c r="D6500" s="60"/>
      <c r="E6500" s="74">
        <v>2023</v>
      </c>
      <c r="F6500" s="74" t="s">
        <v>489</v>
      </c>
      <c r="G6500" s="61">
        <v>1</v>
      </c>
      <c r="H6500" s="61">
        <v>17</v>
      </c>
      <c r="I6500" s="61">
        <v>147.87299999999999</v>
      </c>
    </row>
    <row r="6501" spans="1:9" s="71" customFormat="1" ht="24" hidden="1" customHeight="1" outlineLevel="1" x14ac:dyDescent="0.25">
      <c r="A6501" s="74">
        <v>3309</v>
      </c>
      <c r="B6501" s="45" t="s">
        <v>664</v>
      </c>
      <c r="C6501" s="60" t="s">
        <v>6045</v>
      </c>
      <c r="D6501" s="60"/>
      <c r="E6501" s="74">
        <v>2023</v>
      </c>
      <c r="F6501" s="74" t="s">
        <v>489</v>
      </c>
      <c r="G6501" s="61">
        <v>1</v>
      </c>
      <c r="H6501" s="61">
        <v>10</v>
      </c>
      <c r="I6501" s="61">
        <v>81.695999999999998</v>
      </c>
    </row>
    <row r="6502" spans="1:9" s="71" customFormat="1" ht="24" hidden="1" customHeight="1" outlineLevel="1" x14ac:dyDescent="0.25">
      <c r="A6502" s="74">
        <v>4762</v>
      </c>
      <c r="B6502" s="45" t="s">
        <v>664</v>
      </c>
      <c r="C6502" s="60" t="s">
        <v>6046</v>
      </c>
      <c r="D6502" s="60"/>
      <c r="E6502" s="74">
        <v>2023</v>
      </c>
      <c r="F6502" s="74" t="s">
        <v>489</v>
      </c>
      <c r="G6502" s="61">
        <v>1</v>
      </c>
      <c r="H6502" s="61">
        <v>15</v>
      </c>
      <c r="I6502" s="61">
        <v>42.863</v>
      </c>
    </row>
    <row r="6503" spans="1:9" s="71" customFormat="1" ht="24" hidden="1" customHeight="1" outlineLevel="1" x14ac:dyDescent="0.25">
      <c r="A6503" s="74">
        <v>4763</v>
      </c>
      <c r="B6503" s="45" t="s">
        <v>664</v>
      </c>
      <c r="C6503" s="60" t="s">
        <v>6047</v>
      </c>
      <c r="D6503" s="60"/>
      <c r="E6503" s="74">
        <v>2023</v>
      </c>
      <c r="F6503" s="74" t="s">
        <v>489</v>
      </c>
      <c r="G6503" s="61">
        <v>1</v>
      </c>
      <c r="H6503" s="61">
        <v>10</v>
      </c>
      <c r="I6503" s="61">
        <v>42.863</v>
      </c>
    </row>
    <row r="6504" spans="1:9" s="71" customFormat="1" ht="24" hidden="1" customHeight="1" outlineLevel="1" x14ac:dyDescent="0.25">
      <c r="A6504" s="74">
        <v>4764</v>
      </c>
      <c r="B6504" s="45" t="s">
        <v>664</v>
      </c>
      <c r="C6504" s="60" t="s">
        <v>6048</v>
      </c>
      <c r="D6504" s="60"/>
      <c r="E6504" s="74">
        <v>2023</v>
      </c>
      <c r="F6504" s="74" t="s">
        <v>489</v>
      </c>
      <c r="G6504" s="61">
        <v>1</v>
      </c>
      <c r="H6504" s="61">
        <v>13.9</v>
      </c>
      <c r="I6504" s="61">
        <v>44.417000000000002</v>
      </c>
    </row>
    <row r="6505" spans="1:9" s="71" customFormat="1" ht="24" hidden="1" customHeight="1" outlineLevel="1" x14ac:dyDescent="0.25">
      <c r="A6505" s="74">
        <v>4777</v>
      </c>
      <c r="B6505" s="45" t="s">
        <v>664</v>
      </c>
      <c r="C6505" s="60" t="s">
        <v>6049</v>
      </c>
      <c r="D6505" s="60"/>
      <c r="E6505" s="74">
        <v>2023</v>
      </c>
      <c r="F6505" s="74" t="s">
        <v>489</v>
      </c>
      <c r="G6505" s="61">
        <v>1</v>
      </c>
      <c r="H6505" s="61">
        <v>15</v>
      </c>
      <c r="I6505" s="61">
        <v>46.580999999999996</v>
      </c>
    </row>
    <row r="6506" spans="1:9" s="71" customFormat="1" ht="24" hidden="1" customHeight="1" outlineLevel="1" x14ac:dyDescent="0.25">
      <c r="A6506" s="74">
        <v>4778</v>
      </c>
      <c r="B6506" s="45" t="s">
        <v>664</v>
      </c>
      <c r="C6506" s="60" t="s">
        <v>6050</v>
      </c>
      <c r="D6506" s="60"/>
      <c r="E6506" s="74">
        <v>2023</v>
      </c>
      <c r="F6506" s="74" t="s">
        <v>489</v>
      </c>
      <c r="G6506" s="61">
        <v>1</v>
      </c>
      <c r="H6506" s="61">
        <v>15</v>
      </c>
      <c r="I6506" s="61">
        <v>46.582000000000001</v>
      </c>
    </row>
    <row r="6507" spans="1:9" s="71" customFormat="1" ht="24" hidden="1" customHeight="1" outlineLevel="1" x14ac:dyDescent="0.25">
      <c r="A6507" s="74">
        <v>4774</v>
      </c>
      <c r="B6507" s="45" t="s">
        <v>664</v>
      </c>
      <c r="C6507" s="60" t="s">
        <v>6051</v>
      </c>
      <c r="D6507" s="60"/>
      <c r="E6507" s="74">
        <v>2023</v>
      </c>
      <c r="F6507" s="74" t="s">
        <v>489</v>
      </c>
      <c r="G6507" s="61">
        <v>1</v>
      </c>
      <c r="H6507" s="61">
        <v>12</v>
      </c>
      <c r="I6507" s="61">
        <v>40.207000000000001</v>
      </c>
    </row>
    <row r="6508" spans="1:9" s="71" customFormat="1" ht="24" hidden="1" customHeight="1" outlineLevel="1" x14ac:dyDescent="0.25">
      <c r="A6508" s="74">
        <v>4779</v>
      </c>
      <c r="B6508" s="45" t="s">
        <v>664</v>
      </c>
      <c r="C6508" s="60" t="s">
        <v>6052</v>
      </c>
      <c r="D6508" s="60"/>
      <c r="E6508" s="74">
        <v>2023</v>
      </c>
      <c r="F6508" s="74" t="s">
        <v>489</v>
      </c>
      <c r="G6508" s="61">
        <v>1</v>
      </c>
      <c r="H6508" s="61">
        <v>12</v>
      </c>
      <c r="I6508" s="61">
        <v>40.207000000000001</v>
      </c>
    </row>
    <row r="6509" spans="1:9" s="71" customFormat="1" ht="24" hidden="1" customHeight="1" outlineLevel="1" x14ac:dyDescent="0.25">
      <c r="A6509" s="74">
        <v>4780</v>
      </c>
      <c r="B6509" s="45" t="s">
        <v>664</v>
      </c>
      <c r="C6509" s="60" t="s">
        <v>6053</v>
      </c>
      <c r="D6509" s="60"/>
      <c r="E6509" s="74">
        <v>2023</v>
      </c>
      <c r="F6509" s="74" t="s">
        <v>489</v>
      </c>
      <c r="G6509" s="61">
        <v>1</v>
      </c>
      <c r="H6509" s="61">
        <v>12</v>
      </c>
      <c r="I6509" s="61">
        <v>40.207000000000001</v>
      </c>
    </row>
    <row r="6510" spans="1:9" s="71" customFormat="1" ht="24" hidden="1" customHeight="1" outlineLevel="1" x14ac:dyDescent="0.25">
      <c r="A6510" s="74">
        <v>4781</v>
      </c>
      <c r="B6510" s="45" t="s">
        <v>664</v>
      </c>
      <c r="C6510" s="60" t="s">
        <v>6054</v>
      </c>
      <c r="D6510" s="60"/>
      <c r="E6510" s="74">
        <v>2023</v>
      </c>
      <c r="F6510" s="74" t="s">
        <v>489</v>
      </c>
      <c r="G6510" s="61">
        <v>1</v>
      </c>
      <c r="H6510" s="61">
        <v>10</v>
      </c>
      <c r="I6510" s="61">
        <v>40.099000000000004</v>
      </c>
    </row>
    <row r="6511" spans="1:9" s="71" customFormat="1" ht="24" hidden="1" customHeight="1" outlineLevel="1" x14ac:dyDescent="0.25">
      <c r="A6511" s="74">
        <v>4782</v>
      </c>
      <c r="B6511" s="45" t="s">
        <v>664</v>
      </c>
      <c r="C6511" s="60" t="s">
        <v>6055</v>
      </c>
      <c r="D6511" s="60"/>
      <c r="E6511" s="74">
        <v>2023</v>
      </c>
      <c r="F6511" s="74" t="s">
        <v>489</v>
      </c>
      <c r="G6511" s="61">
        <v>1</v>
      </c>
      <c r="H6511" s="61">
        <v>10</v>
      </c>
      <c r="I6511" s="61">
        <v>40.207000000000001</v>
      </c>
    </row>
    <row r="6512" spans="1:9" s="71" customFormat="1" ht="24" hidden="1" customHeight="1" outlineLevel="1" x14ac:dyDescent="0.25">
      <c r="A6512" s="74">
        <v>4783</v>
      </c>
      <c r="B6512" s="45" t="s">
        <v>664</v>
      </c>
      <c r="C6512" s="60" t="s">
        <v>6056</v>
      </c>
      <c r="D6512" s="60"/>
      <c r="E6512" s="74">
        <v>2023</v>
      </c>
      <c r="F6512" s="74" t="s">
        <v>489</v>
      </c>
      <c r="G6512" s="61">
        <v>1</v>
      </c>
      <c r="H6512" s="61">
        <v>15</v>
      </c>
      <c r="I6512" s="61">
        <v>40.207000000000001</v>
      </c>
    </row>
    <row r="6513" spans="1:9" s="71" customFormat="1" ht="24" hidden="1" customHeight="1" outlineLevel="1" x14ac:dyDescent="0.25">
      <c r="A6513" s="74">
        <v>4790</v>
      </c>
      <c r="B6513" s="45" t="s">
        <v>664</v>
      </c>
      <c r="C6513" s="60" t="s">
        <v>573</v>
      </c>
      <c r="D6513" s="60"/>
      <c r="E6513" s="74">
        <v>2023</v>
      </c>
      <c r="F6513" s="74" t="s">
        <v>489</v>
      </c>
      <c r="G6513" s="61">
        <v>1</v>
      </c>
      <c r="H6513" s="61">
        <v>54.2</v>
      </c>
      <c r="I6513" s="61">
        <v>63.289000000000001</v>
      </c>
    </row>
    <row r="6514" spans="1:9" s="71" customFormat="1" ht="24" hidden="1" customHeight="1" outlineLevel="1" x14ac:dyDescent="0.25">
      <c r="A6514" s="74">
        <v>4773</v>
      </c>
      <c r="B6514" s="45" t="s">
        <v>664</v>
      </c>
      <c r="C6514" s="60" t="s">
        <v>6057</v>
      </c>
      <c r="D6514" s="60"/>
      <c r="E6514" s="74">
        <v>2023</v>
      </c>
      <c r="F6514" s="74" t="s">
        <v>489</v>
      </c>
      <c r="G6514" s="61">
        <v>1</v>
      </c>
      <c r="H6514" s="61">
        <v>15</v>
      </c>
      <c r="I6514" s="61">
        <v>42.320999999999998</v>
      </c>
    </row>
    <row r="6515" spans="1:9" s="71" customFormat="1" ht="24" hidden="1" customHeight="1" outlineLevel="1" x14ac:dyDescent="0.25">
      <c r="A6515" s="74">
        <v>4775</v>
      </c>
      <c r="B6515" s="45" t="s">
        <v>664</v>
      </c>
      <c r="C6515" s="60" t="s">
        <v>6058</v>
      </c>
      <c r="D6515" s="60"/>
      <c r="E6515" s="74">
        <v>2023</v>
      </c>
      <c r="F6515" s="74" t="s">
        <v>489</v>
      </c>
      <c r="G6515" s="61">
        <v>1</v>
      </c>
      <c r="H6515" s="61">
        <v>14</v>
      </c>
      <c r="I6515" s="61">
        <v>41.881</v>
      </c>
    </row>
    <row r="6516" spans="1:9" s="71" customFormat="1" ht="24" hidden="1" customHeight="1" outlineLevel="1" x14ac:dyDescent="0.25">
      <c r="A6516" s="74">
        <v>4776</v>
      </c>
      <c r="B6516" s="45" t="s">
        <v>664</v>
      </c>
      <c r="C6516" s="60" t="s">
        <v>6059</v>
      </c>
      <c r="D6516" s="60"/>
      <c r="E6516" s="74">
        <v>2023</v>
      </c>
      <c r="F6516" s="74" t="s">
        <v>489</v>
      </c>
      <c r="G6516" s="61">
        <v>1</v>
      </c>
      <c r="H6516" s="61">
        <v>15</v>
      </c>
      <c r="I6516" s="61">
        <v>42.32</v>
      </c>
    </row>
    <row r="6517" spans="1:9" s="71" customFormat="1" ht="24" hidden="1" customHeight="1" outlineLevel="1" x14ac:dyDescent="0.25">
      <c r="A6517" s="74">
        <v>2646</v>
      </c>
      <c r="B6517" s="45" t="s">
        <v>664</v>
      </c>
      <c r="C6517" s="60" t="s">
        <v>6060</v>
      </c>
      <c r="D6517" s="60"/>
      <c r="E6517" s="74">
        <v>2023</v>
      </c>
      <c r="F6517" s="74" t="s">
        <v>489</v>
      </c>
      <c r="G6517" s="61">
        <v>1</v>
      </c>
      <c r="H6517" s="61">
        <v>5</v>
      </c>
      <c r="I6517" s="61">
        <v>40.774999999999999</v>
      </c>
    </row>
    <row r="6518" spans="1:9" s="71" customFormat="1" ht="24" hidden="1" customHeight="1" outlineLevel="1" x14ac:dyDescent="0.25">
      <c r="A6518" s="74">
        <v>4742</v>
      </c>
      <c r="B6518" s="45" t="s">
        <v>664</v>
      </c>
      <c r="C6518" s="60" t="s">
        <v>6061</v>
      </c>
      <c r="D6518" s="60"/>
      <c r="E6518" s="74">
        <v>2023</v>
      </c>
      <c r="F6518" s="74" t="s">
        <v>489</v>
      </c>
      <c r="G6518" s="61">
        <v>1</v>
      </c>
      <c r="H6518" s="61">
        <v>7.5</v>
      </c>
      <c r="I6518" s="61">
        <v>88.113</v>
      </c>
    </row>
    <row r="6519" spans="1:9" s="71" customFormat="1" ht="24" hidden="1" customHeight="1" outlineLevel="1" x14ac:dyDescent="0.25">
      <c r="A6519" s="74">
        <v>4788</v>
      </c>
      <c r="B6519" s="45" t="s">
        <v>664</v>
      </c>
      <c r="C6519" s="60" t="s">
        <v>6062</v>
      </c>
      <c r="D6519" s="60"/>
      <c r="E6519" s="74">
        <v>2023</v>
      </c>
      <c r="F6519" s="74" t="s">
        <v>489</v>
      </c>
      <c r="G6519" s="61">
        <v>1</v>
      </c>
      <c r="H6519" s="61">
        <v>15</v>
      </c>
      <c r="I6519" s="61">
        <v>75.484999999999999</v>
      </c>
    </row>
    <row r="6520" spans="1:9" s="71" customFormat="1" ht="24" hidden="1" customHeight="1" outlineLevel="1" x14ac:dyDescent="0.25">
      <c r="A6520" s="74">
        <v>962</v>
      </c>
      <c r="B6520" s="45" t="s">
        <v>664</v>
      </c>
      <c r="C6520" s="60" t="s">
        <v>6063</v>
      </c>
      <c r="D6520" s="60"/>
      <c r="E6520" s="74">
        <v>2023</v>
      </c>
      <c r="F6520" s="74" t="s">
        <v>489</v>
      </c>
      <c r="G6520" s="61">
        <v>1</v>
      </c>
      <c r="H6520" s="61">
        <v>10</v>
      </c>
      <c r="I6520" s="61">
        <v>96.876000000000005</v>
      </c>
    </row>
    <row r="6521" spans="1:9" s="71" customFormat="1" ht="24" hidden="1" customHeight="1" outlineLevel="1" x14ac:dyDescent="0.25">
      <c r="A6521" s="74">
        <v>919</v>
      </c>
      <c r="B6521" s="45" t="s">
        <v>664</v>
      </c>
      <c r="C6521" s="60" t="s">
        <v>6064</v>
      </c>
      <c r="D6521" s="60"/>
      <c r="E6521" s="74">
        <v>2023</v>
      </c>
      <c r="F6521" s="74" t="s">
        <v>489</v>
      </c>
      <c r="G6521" s="61">
        <v>1</v>
      </c>
      <c r="H6521" s="61">
        <v>15</v>
      </c>
      <c r="I6521" s="61">
        <v>82.462999999999994</v>
      </c>
    </row>
    <row r="6522" spans="1:9" s="71" customFormat="1" ht="24" hidden="1" customHeight="1" outlineLevel="1" x14ac:dyDescent="0.25">
      <c r="A6522" s="74">
        <v>4785</v>
      </c>
      <c r="B6522" s="45" t="s">
        <v>664</v>
      </c>
      <c r="C6522" s="60" t="s">
        <v>6065</v>
      </c>
      <c r="D6522" s="60"/>
      <c r="E6522" s="74">
        <v>2023</v>
      </c>
      <c r="F6522" s="74" t="s">
        <v>489</v>
      </c>
      <c r="G6522" s="61">
        <v>1</v>
      </c>
      <c r="H6522" s="61">
        <v>12.6</v>
      </c>
      <c r="I6522" s="61">
        <v>42.923999999999999</v>
      </c>
    </row>
    <row r="6523" spans="1:9" s="71" customFormat="1" ht="24" hidden="1" customHeight="1" outlineLevel="1" x14ac:dyDescent="0.25">
      <c r="A6523" s="74">
        <v>4786</v>
      </c>
      <c r="B6523" s="45" t="s">
        <v>664</v>
      </c>
      <c r="C6523" s="60" t="s">
        <v>6066</v>
      </c>
      <c r="D6523" s="60"/>
      <c r="E6523" s="74">
        <v>2023</v>
      </c>
      <c r="F6523" s="74" t="s">
        <v>489</v>
      </c>
      <c r="G6523" s="61">
        <v>1</v>
      </c>
      <c r="H6523" s="61">
        <v>12</v>
      </c>
      <c r="I6523" s="61">
        <v>42.910999999999994</v>
      </c>
    </row>
    <row r="6524" spans="1:9" s="71" customFormat="1" ht="24" hidden="1" customHeight="1" outlineLevel="1" x14ac:dyDescent="0.25">
      <c r="A6524" s="74">
        <v>4787</v>
      </c>
      <c r="B6524" s="45" t="s">
        <v>664</v>
      </c>
      <c r="C6524" s="60" t="s">
        <v>6067</v>
      </c>
      <c r="D6524" s="60"/>
      <c r="E6524" s="74">
        <v>2023</v>
      </c>
      <c r="F6524" s="74" t="s">
        <v>489</v>
      </c>
      <c r="G6524" s="61">
        <v>1</v>
      </c>
      <c r="H6524" s="61">
        <v>12.3</v>
      </c>
      <c r="I6524" s="61">
        <v>41.258000000000003</v>
      </c>
    </row>
    <row r="6525" spans="1:9" s="71" customFormat="1" ht="24" hidden="1" customHeight="1" outlineLevel="1" x14ac:dyDescent="0.25">
      <c r="A6525" s="74">
        <v>2874</v>
      </c>
      <c r="B6525" s="45" t="s">
        <v>664</v>
      </c>
      <c r="C6525" s="60" t="s">
        <v>6068</v>
      </c>
      <c r="D6525" s="60"/>
      <c r="E6525" s="74">
        <v>2023</v>
      </c>
      <c r="F6525" s="74" t="s">
        <v>489</v>
      </c>
      <c r="G6525" s="61">
        <v>1</v>
      </c>
      <c r="H6525" s="61">
        <v>15</v>
      </c>
      <c r="I6525" s="61">
        <v>74.52</v>
      </c>
    </row>
    <row r="6526" spans="1:9" s="71" customFormat="1" ht="24" hidden="1" customHeight="1" outlineLevel="1" x14ac:dyDescent="0.25">
      <c r="A6526" s="74">
        <v>2222</v>
      </c>
      <c r="B6526" s="45" t="s">
        <v>664</v>
      </c>
      <c r="C6526" s="60" t="s">
        <v>6069</v>
      </c>
      <c r="D6526" s="60"/>
      <c r="E6526" s="74">
        <v>2023</v>
      </c>
      <c r="F6526" s="74" t="s">
        <v>489</v>
      </c>
      <c r="G6526" s="61">
        <v>1</v>
      </c>
      <c r="H6526" s="61">
        <v>15</v>
      </c>
      <c r="I6526" s="61">
        <v>80.596000000000004</v>
      </c>
    </row>
    <row r="6527" spans="1:9" s="71" customFormat="1" ht="24" hidden="1" customHeight="1" outlineLevel="1" x14ac:dyDescent="0.25">
      <c r="A6527" s="74">
        <v>2881</v>
      </c>
      <c r="B6527" s="45" t="s">
        <v>664</v>
      </c>
      <c r="C6527" s="60" t="s">
        <v>6070</v>
      </c>
      <c r="D6527" s="60"/>
      <c r="E6527" s="74">
        <v>2023</v>
      </c>
      <c r="F6527" s="74" t="s">
        <v>489</v>
      </c>
      <c r="G6527" s="61">
        <v>1</v>
      </c>
      <c r="H6527" s="61">
        <v>15</v>
      </c>
      <c r="I6527" s="61">
        <v>79.286000000000001</v>
      </c>
    </row>
    <row r="6528" spans="1:9" s="71" customFormat="1" ht="24" hidden="1" customHeight="1" outlineLevel="1" x14ac:dyDescent="0.25">
      <c r="A6528" s="74">
        <v>4792</v>
      </c>
      <c r="B6528" s="45" t="s">
        <v>664</v>
      </c>
      <c r="C6528" s="60" t="s">
        <v>6071</v>
      </c>
      <c r="D6528" s="60"/>
      <c r="E6528" s="74">
        <v>2023</v>
      </c>
      <c r="F6528" s="74" t="s">
        <v>489</v>
      </c>
      <c r="G6528" s="61">
        <v>1</v>
      </c>
      <c r="H6528" s="61">
        <v>15</v>
      </c>
      <c r="I6528" s="61">
        <v>42.94</v>
      </c>
    </row>
    <row r="6529" spans="1:9" s="71" customFormat="1" ht="24" hidden="1" customHeight="1" outlineLevel="1" x14ac:dyDescent="0.25">
      <c r="A6529" s="74">
        <v>4796</v>
      </c>
      <c r="B6529" s="45" t="s">
        <v>664</v>
      </c>
      <c r="C6529" s="60" t="s">
        <v>6072</v>
      </c>
      <c r="D6529" s="60"/>
      <c r="E6529" s="74">
        <v>2023</v>
      </c>
      <c r="F6529" s="74" t="s">
        <v>489</v>
      </c>
      <c r="G6529" s="61">
        <v>1</v>
      </c>
      <c r="H6529" s="61">
        <v>14</v>
      </c>
      <c r="I6529" s="61">
        <v>42.119</v>
      </c>
    </row>
    <row r="6530" spans="1:9" s="71" customFormat="1" ht="24" hidden="1" customHeight="1" outlineLevel="1" x14ac:dyDescent="0.25">
      <c r="A6530" s="74">
        <v>2354</v>
      </c>
      <c r="B6530" s="45" t="s">
        <v>664</v>
      </c>
      <c r="C6530" s="60" t="s">
        <v>6073</v>
      </c>
      <c r="D6530" s="60"/>
      <c r="E6530" s="74">
        <v>2023</v>
      </c>
      <c r="F6530" s="74" t="s">
        <v>489</v>
      </c>
      <c r="G6530" s="61">
        <v>1</v>
      </c>
      <c r="H6530" s="61">
        <v>15</v>
      </c>
      <c r="I6530" s="61">
        <v>42.253999999999998</v>
      </c>
    </row>
    <row r="6531" spans="1:9" s="71" customFormat="1" ht="24" hidden="1" customHeight="1" outlineLevel="1" x14ac:dyDescent="0.25">
      <c r="A6531" s="74">
        <v>4797</v>
      </c>
      <c r="B6531" s="45" t="s">
        <v>664</v>
      </c>
      <c r="C6531" s="60" t="s">
        <v>6074</v>
      </c>
      <c r="D6531" s="60"/>
      <c r="E6531" s="74">
        <v>2023</v>
      </c>
      <c r="F6531" s="74" t="s">
        <v>489</v>
      </c>
      <c r="G6531" s="61">
        <v>1</v>
      </c>
      <c r="H6531" s="61">
        <v>15</v>
      </c>
      <c r="I6531" s="61">
        <v>42.253999999999998</v>
      </c>
    </row>
    <row r="6532" spans="1:9" s="71" customFormat="1" ht="24" hidden="1" customHeight="1" outlineLevel="1" x14ac:dyDescent="0.25">
      <c r="A6532" s="74">
        <v>4800</v>
      </c>
      <c r="B6532" s="45" t="s">
        <v>664</v>
      </c>
      <c r="C6532" s="60" t="s">
        <v>6075</v>
      </c>
      <c r="D6532" s="60"/>
      <c r="E6532" s="74">
        <v>2023</v>
      </c>
      <c r="F6532" s="74" t="s">
        <v>489</v>
      </c>
      <c r="G6532" s="61">
        <v>1</v>
      </c>
      <c r="H6532" s="61">
        <v>10</v>
      </c>
      <c r="I6532" s="61">
        <v>44.097999999999999</v>
      </c>
    </row>
    <row r="6533" spans="1:9" s="71" customFormat="1" ht="24" hidden="1" customHeight="1" outlineLevel="1" x14ac:dyDescent="0.25">
      <c r="A6533" s="74">
        <v>4801</v>
      </c>
      <c r="B6533" s="45" t="s">
        <v>664</v>
      </c>
      <c r="C6533" s="60" t="s">
        <v>6076</v>
      </c>
      <c r="D6533" s="60"/>
      <c r="E6533" s="74">
        <v>2023</v>
      </c>
      <c r="F6533" s="74" t="s">
        <v>489</v>
      </c>
      <c r="G6533" s="61">
        <v>1</v>
      </c>
      <c r="H6533" s="61">
        <v>12</v>
      </c>
      <c r="I6533" s="61">
        <v>44.097999999999999</v>
      </c>
    </row>
    <row r="6534" spans="1:9" s="71" customFormat="1" ht="24" hidden="1" customHeight="1" outlineLevel="1" x14ac:dyDescent="0.25">
      <c r="A6534" s="74">
        <v>4802</v>
      </c>
      <c r="B6534" s="45" t="s">
        <v>664</v>
      </c>
      <c r="C6534" s="60" t="s">
        <v>6077</v>
      </c>
      <c r="D6534" s="60"/>
      <c r="E6534" s="74">
        <v>2023</v>
      </c>
      <c r="F6534" s="74" t="s">
        <v>489</v>
      </c>
      <c r="G6534" s="61">
        <v>1</v>
      </c>
      <c r="H6534" s="61">
        <v>10</v>
      </c>
      <c r="I6534" s="61">
        <v>45.326000000000001</v>
      </c>
    </row>
    <row r="6535" spans="1:9" s="71" customFormat="1" ht="24" hidden="1" customHeight="1" outlineLevel="1" x14ac:dyDescent="0.25">
      <c r="A6535" s="74">
        <v>2689</v>
      </c>
      <c r="B6535" s="45" t="s">
        <v>664</v>
      </c>
      <c r="C6535" s="60" t="s">
        <v>6078</v>
      </c>
      <c r="D6535" s="60"/>
      <c r="E6535" s="74">
        <v>2023</v>
      </c>
      <c r="F6535" s="74" t="s">
        <v>489</v>
      </c>
      <c r="G6535" s="61">
        <v>1</v>
      </c>
      <c r="H6535" s="61">
        <v>8</v>
      </c>
      <c r="I6535" s="61">
        <v>45.326000000000001</v>
      </c>
    </row>
    <row r="6536" spans="1:9" s="71" customFormat="1" ht="24" hidden="1" customHeight="1" outlineLevel="1" x14ac:dyDescent="0.25">
      <c r="A6536" s="74">
        <v>4803</v>
      </c>
      <c r="B6536" s="45" t="s">
        <v>664</v>
      </c>
      <c r="C6536" s="60" t="s">
        <v>6079</v>
      </c>
      <c r="D6536" s="60"/>
      <c r="E6536" s="74">
        <v>2023</v>
      </c>
      <c r="F6536" s="74" t="s">
        <v>489</v>
      </c>
      <c r="G6536" s="61">
        <v>1</v>
      </c>
      <c r="H6536" s="61">
        <v>15</v>
      </c>
      <c r="I6536" s="61">
        <v>45.324000000000005</v>
      </c>
    </row>
    <row r="6537" spans="1:9" s="71" customFormat="1" ht="24" hidden="1" customHeight="1" outlineLevel="1" x14ac:dyDescent="0.25">
      <c r="A6537" s="74">
        <v>4741</v>
      </c>
      <c r="B6537" s="45" t="s">
        <v>664</v>
      </c>
      <c r="C6537" s="60" t="s">
        <v>6080</v>
      </c>
      <c r="D6537" s="60"/>
      <c r="E6537" s="74">
        <v>2023</v>
      </c>
      <c r="F6537" s="74" t="s">
        <v>489</v>
      </c>
      <c r="G6537" s="61">
        <v>1</v>
      </c>
      <c r="H6537" s="61">
        <v>100</v>
      </c>
      <c r="I6537" s="61">
        <v>92.442999999999998</v>
      </c>
    </row>
    <row r="6538" spans="1:9" s="71" customFormat="1" ht="24" hidden="1" customHeight="1" outlineLevel="1" x14ac:dyDescent="0.25">
      <c r="A6538" s="74">
        <v>4794</v>
      </c>
      <c r="B6538" s="45" t="s">
        <v>664</v>
      </c>
      <c r="C6538" s="60" t="s">
        <v>6081</v>
      </c>
      <c r="D6538" s="60"/>
      <c r="E6538" s="74">
        <v>2023</v>
      </c>
      <c r="F6538" s="74" t="s">
        <v>489</v>
      </c>
      <c r="G6538" s="61">
        <v>1</v>
      </c>
      <c r="H6538" s="61">
        <v>14</v>
      </c>
      <c r="I6538" s="61">
        <v>42.263000000000005</v>
      </c>
    </row>
    <row r="6539" spans="1:9" s="71" customFormat="1" ht="24" hidden="1" customHeight="1" outlineLevel="1" x14ac:dyDescent="0.25">
      <c r="A6539" s="74">
        <v>3328</v>
      </c>
      <c r="B6539" s="45" t="s">
        <v>664</v>
      </c>
      <c r="C6539" s="60" t="s">
        <v>6082</v>
      </c>
      <c r="D6539" s="60"/>
      <c r="E6539" s="74">
        <v>2023</v>
      </c>
      <c r="F6539" s="74" t="s">
        <v>489</v>
      </c>
      <c r="G6539" s="61">
        <v>1</v>
      </c>
      <c r="H6539" s="61">
        <v>15</v>
      </c>
      <c r="I6539" s="61">
        <v>81.411000000000001</v>
      </c>
    </row>
    <row r="6540" spans="1:9" s="71" customFormat="1" ht="24" hidden="1" customHeight="1" outlineLevel="1" x14ac:dyDescent="0.25">
      <c r="A6540" s="74">
        <v>4733</v>
      </c>
      <c r="B6540" s="45" t="s">
        <v>664</v>
      </c>
      <c r="C6540" s="60" t="s">
        <v>6083</v>
      </c>
      <c r="D6540" s="60"/>
      <c r="E6540" s="74">
        <v>2023</v>
      </c>
      <c r="F6540" s="74" t="s">
        <v>489</v>
      </c>
      <c r="G6540" s="61">
        <v>1</v>
      </c>
      <c r="H6540" s="61">
        <v>7.5</v>
      </c>
      <c r="I6540" s="61">
        <v>80.234999999999999</v>
      </c>
    </row>
    <row r="6541" spans="1:9" s="71" customFormat="1" ht="24" hidden="1" customHeight="1" outlineLevel="1" x14ac:dyDescent="0.25">
      <c r="A6541" s="74">
        <v>4791</v>
      </c>
      <c r="B6541" s="45" t="s">
        <v>664</v>
      </c>
      <c r="C6541" s="60" t="s">
        <v>6084</v>
      </c>
      <c r="D6541" s="60"/>
      <c r="E6541" s="74">
        <v>2023</v>
      </c>
      <c r="F6541" s="74" t="s">
        <v>489</v>
      </c>
      <c r="G6541" s="61">
        <v>1</v>
      </c>
      <c r="H6541" s="61">
        <v>9.5</v>
      </c>
      <c r="I6541" s="61">
        <v>43.536999999999999</v>
      </c>
    </row>
    <row r="6542" spans="1:9" s="71" customFormat="1" ht="24" hidden="1" customHeight="1" outlineLevel="1" x14ac:dyDescent="0.25">
      <c r="A6542" s="74">
        <v>4795</v>
      </c>
      <c r="B6542" s="45" t="s">
        <v>664</v>
      </c>
      <c r="C6542" s="60" t="s">
        <v>6085</v>
      </c>
      <c r="D6542" s="60"/>
      <c r="E6542" s="74">
        <v>2023</v>
      </c>
      <c r="F6542" s="74" t="s">
        <v>489</v>
      </c>
      <c r="G6542" s="61">
        <v>1</v>
      </c>
      <c r="H6542" s="61">
        <v>13.5</v>
      </c>
      <c r="I6542" s="61">
        <v>43.233000000000004</v>
      </c>
    </row>
    <row r="6543" spans="1:9" s="71" customFormat="1" ht="24" hidden="1" customHeight="1" outlineLevel="1" x14ac:dyDescent="0.25">
      <c r="A6543" s="74">
        <v>4799</v>
      </c>
      <c r="B6543" s="45" t="s">
        <v>664</v>
      </c>
      <c r="C6543" s="60" t="s">
        <v>6086</v>
      </c>
      <c r="D6543" s="60"/>
      <c r="E6543" s="74">
        <v>2023</v>
      </c>
      <c r="F6543" s="74" t="s">
        <v>489</v>
      </c>
      <c r="G6543" s="61">
        <v>1</v>
      </c>
      <c r="H6543" s="61">
        <v>10</v>
      </c>
      <c r="I6543" s="61">
        <v>43.536999999999999</v>
      </c>
    </row>
    <row r="6544" spans="1:9" s="71" customFormat="1" ht="24" hidden="1" customHeight="1" outlineLevel="1" x14ac:dyDescent="0.25">
      <c r="A6544" s="74">
        <v>4804</v>
      </c>
      <c r="B6544" s="45" t="s">
        <v>664</v>
      </c>
      <c r="C6544" s="60" t="s">
        <v>6087</v>
      </c>
      <c r="D6544" s="60"/>
      <c r="E6544" s="74">
        <v>2023</v>
      </c>
      <c r="F6544" s="74" t="s">
        <v>489</v>
      </c>
      <c r="G6544" s="61">
        <v>1</v>
      </c>
      <c r="H6544" s="61">
        <v>10</v>
      </c>
      <c r="I6544" s="61">
        <v>43.306999999999995</v>
      </c>
    </row>
    <row r="6545" spans="1:9" s="71" customFormat="1" ht="24" hidden="1" customHeight="1" outlineLevel="1" x14ac:dyDescent="0.25">
      <c r="A6545" s="74">
        <v>4808</v>
      </c>
      <c r="B6545" s="45" t="s">
        <v>664</v>
      </c>
      <c r="C6545" s="60" t="s">
        <v>6088</v>
      </c>
      <c r="D6545" s="60"/>
      <c r="E6545" s="74">
        <v>2023</v>
      </c>
      <c r="F6545" s="74" t="s">
        <v>489</v>
      </c>
      <c r="G6545" s="61">
        <v>1</v>
      </c>
      <c r="H6545" s="61">
        <v>10</v>
      </c>
      <c r="I6545" s="61">
        <v>43.536999999999999</v>
      </c>
    </row>
    <row r="6546" spans="1:9" s="71" customFormat="1" ht="24" hidden="1" customHeight="1" outlineLevel="1" x14ac:dyDescent="0.25">
      <c r="A6546" s="74">
        <v>3315</v>
      </c>
      <c r="B6546" s="45" t="s">
        <v>664</v>
      </c>
      <c r="C6546" s="60" t="s">
        <v>6089</v>
      </c>
      <c r="D6546" s="60"/>
      <c r="E6546" s="74">
        <v>2023</v>
      </c>
      <c r="F6546" s="74" t="s">
        <v>489</v>
      </c>
      <c r="G6546" s="61">
        <v>1</v>
      </c>
      <c r="H6546" s="61">
        <v>15</v>
      </c>
      <c r="I6546" s="61">
        <v>76.45</v>
      </c>
    </row>
    <row r="6547" spans="1:9" s="71" customFormat="1" ht="24" hidden="1" customHeight="1" outlineLevel="1" x14ac:dyDescent="0.25">
      <c r="A6547" s="74">
        <v>4805</v>
      </c>
      <c r="B6547" s="45" t="s">
        <v>664</v>
      </c>
      <c r="C6547" s="60" t="s">
        <v>6090</v>
      </c>
      <c r="D6547" s="60"/>
      <c r="E6547" s="74">
        <v>2023</v>
      </c>
      <c r="F6547" s="74" t="s">
        <v>489</v>
      </c>
      <c r="G6547" s="61">
        <v>1</v>
      </c>
      <c r="H6547" s="61">
        <v>15</v>
      </c>
      <c r="I6547" s="61">
        <v>45.887</v>
      </c>
    </row>
    <row r="6548" spans="1:9" s="71" customFormat="1" ht="24" hidden="1" customHeight="1" outlineLevel="1" x14ac:dyDescent="0.25">
      <c r="A6548" s="74">
        <v>4806</v>
      </c>
      <c r="B6548" s="45" t="s">
        <v>664</v>
      </c>
      <c r="C6548" s="60" t="s">
        <v>6091</v>
      </c>
      <c r="D6548" s="60"/>
      <c r="E6548" s="74">
        <v>2023</v>
      </c>
      <c r="F6548" s="74" t="s">
        <v>489</v>
      </c>
      <c r="G6548" s="61">
        <v>1</v>
      </c>
      <c r="H6548" s="61">
        <v>15</v>
      </c>
      <c r="I6548" s="61">
        <v>42.021999999999998</v>
      </c>
    </row>
    <row r="6549" spans="1:9" s="71" customFormat="1" ht="24" hidden="1" customHeight="1" outlineLevel="1" x14ac:dyDescent="0.25">
      <c r="A6549" s="74">
        <v>3036</v>
      </c>
      <c r="B6549" s="45" t="s">
        <v>664</v>
      </c>
      <c r="C6549" s="60" t="s">
        <v>6092</v>
      </c>
      <c r="D6549" s="60"/>
      <c r="E6549" s="74">
        <v>2023</v>
      </c>
      <c r="F6549" s="74" t="s">
        <v>489</v>
      </c>
      <c r="G6549" s="61">
        <v>1</v>
      </c>
      <c r="H6549" s="61">
        <v>109.7</v>
      </c>
      <c r="I6549" s="61">
        <v>68</v>
      </c>
    </row>
    <row r="6550" spans="1:9" s="71" customFormat="1" ht="24" hidden="1" customHeight="1" outlineLevel="1" x14ac:dyDescent="0.25">
      <c r="A6550" s="74">
        <v>3998</v>
      </c>
      <c r="B6550" s="45" t="s">
        <v>664</v>
      </c>
      <c r="C6550" s="60" t="s">
        <v>6093</v>
      </c>
      <c r="D6550" s="60"/>
      <c r="E6550" s="74">
        <v>2023</v>
      </c>
      <c r="F6550" s="74" t="s">
        <v>489</v>
      </c>
      <c r="G6550" s="61">
        <v>1</v>
      </c>
      <c r="H6550" s="61">
        <v>15</v>
      </c>
      <c r="I6550" s="61">
        <v>86.05807999999999</v>
      </c>
    </row>
    <row r="6551" spans="1:9" s="71" customFormat="1" ht="24" hidden="1" customHeight="1" outlineLevel="1" x14ac:dyDescent="0.25">
      <c r="A6551" s="74">
        <v>311</v>
      </c>
      <c r="B6551" s="45" t="s">
        <v>664</v>
      </c>
      <c r="C6551" s="60" t="s">
        <v>6094</v>
      </c>
      <c r="D6551" s="60"/>
      <c r="E6551" s="74">
        <v>2023</v>
      </c>
      <c r="F6551" s="74" t="s">
        <v>489</v>
      </c>
      <c r="G6551" s="61">
        <v>1</v>
      </c>
      <c r="H6551" s="61">
        <v>10</v>
      </c>
      <c r="I6551" s="61">
        <v>88.652090000000001</v>
      </c>
    </row>
    <row r="6552" spans="1:9" s="71" customFormat="1" ht="24" hidden="1" customHeight="1" outlineLevel="1" x14ac:dyDescent="0.25">
      <c r="A6552" s="74">
        <v>3988</v>
      </c>
      <c r="B6552" s="45" t="s">
        <v>664</v>
      </c>
      <c r="C6552" s="60" t="s">
        <v>6095</v>
      </c>
      <c r="D6552" s="60"/>
      <c r="E6552" s="74">
        <v>2023</v>
      </c>
      <c r="F6552" s="74" t="s">
        <v>489</v>
      </c>
      <c r="G6552" s="61">
        <v>1</v>
      </c>
      <c r="H6552" s="61">
        <v>15</v>
      </c>
      <c r="I6552" s="61">
        <v>120.55428000000001</v>
      </c>
    </row>
    <row r="6553" spans="1:9" s="71" customFormat="1" ht="24" hidden="1" customHeight="1" outlineLevel="1" x14ac:dyDescent="0.25">
      <c r="A6553" s="74">
        <v>3396</v>
      </c>
      <c r="B6553" s="45" t="s">
        <v>664</v>
      </c>
      <c r="C6553" s="60" t="s">
        <v>6096</v>
      </c>
      <c r="D6553" s="60"/>
      <c r="E6553" s="74">
        <v>2023</v>
      </c>
      <c r="F6553" s="74" t="s">
        <v>489</v>
      </c>
      <c r="G6553" s="61">
        <v>1</v>
      </c>
      <c r="H6553" s="61">
        <v>100</v>
      </c>
      <c r="I6553" s="61">
        <v>104.07847000000001</v>
      </c>
    </row>
    <row r="6554" spans="1:9" s="71" customFormat="1" ht="24" hidden="1" customHeight="1" outlineLevel="1" x14ac:dyDescent="0.25">
      <c r="A6554" s="74">
        <v>3987</v>
      </c>
      <c r="B6554" s="45" t="s">
        <v>664</v>
      </c>
      <c r="C6554" s="60" t="s">
        <v>6097</v>
      </c>
      <c r="D6554" s="60"/>
      <c r="E6554" s="74">
        <v>2023</v>
      </c>
      <c r="F6554" s="74" t="s">
        <v>489</v>
      </c>
      <c r="G6554" s="61">
        <v>1</v>
      </c>
      <c r="H6554" s="61">
        <v>11</v>
      </c>
      <c r="I6554" s="61">
        <v>81.367140000000006</v>
      </c>
    </row>
    <row r="6555" spans="1:9" s="71" customFormat="1" ht="24" hidden="1" customHeight="1" outlineLevel="1" x14ac:dyDescent="0.25">
      <c r="A6555" s="74">
        <v>3986</v>
      </c>
      <c r="B6555" s="45" t="s">
        <v>664</v>
      </c>
      <c r="C6555" s="60" t="s">
        <v>6098</v>
      </c>
      <c r="D6555" s="60"/>
      <c r="E6555" s="74">
        <v>2023</v>
      </c>
      <c r="F6555" s="74" t="s">
        <v>489</v>
      </c>
      <c r="G6555" s="61">
        <v>1</v>
      </c>
      <c r="H6555" s="61">
        <v>15</v>
      </c>
      <c r="I6555" s="61">
        <v>76.859960000000001</v>
      </c>
    </row>
    <row r="6556" spans="1:9" s="71" customFormat="1" ht="24" hidden="1" customHeight="1" outlineLevel="1" x14ac:dyDescent="0.25">
      <c r="A6556" s="74">
        <v>5035</v>
      </c>
      <c r="B6556" s="45" t="s">
        <v>664</v>
      </c>
      <c r="C6556" s="60" t="s">
        <v>6099</v>
      </c>
      <c r="D6556" s="60"/>
      <c r="E6556" s="74">
        <v>2023</v>
      </c>
      <c r="F6556" s="74" t="s">
        <v>489</v>
      </c>
      <c r="G6556" s="61">
        <v>1</v>
      </c>
      <c r="H6556" s="61">
        <v>15</v>
      </c>
      <c r="I6556" s="61">
        <v>62.840960000000003</v>
      </c>
    </row>
    <row r="6557" spans="1:9" s="71" customFormat="1" ht="24" hidden="1" customHeight="1" outlineLevel="1" x14ac:dyDescent="0.25">
      <c r="A6557" s="74">
        <v>488</v>
      </c>
      <c r="B6557" s="45" t="s">
        <v>664</v>
      </c>
      <c r="C6557" s="60" t="s">
        <v>6100</v>
      </c>
      <c r="D6557" s="60"/>
      <c r="E6557" s="74">
        <v>2023</v>
      </c>
      <c r="F6557" s="74" t="s">
        <v>489</v>
      </c>
      <c r="G6557" s="61">
        <v>1</v>
      </c>
      <c r="H6557" s="61">
        <v>45</v>
      </c>
      <c r="I6557" s="61">
        <v>66.602320000000006</v>
      </c>
    </row>
    <row r="6558" spans="1:9" s="71" customFormat="1" ht="24" hidden="1" customHeight="1" outlineLevel="1" x14ac:dyDescent="0.25">
      <c r="A6558" s="74">
        <v>5036</v>
      </c>
      <c r="B6558" s="45" t="s">
        <v>664</v>
      </c>
      <c r="C6558" s="60" t="s">
        <v>6101</v>
      </c>
      <c r="D6558" s="60"/>
      <c r="E6558" s="74">
        <v>2023</v>
      </c>
      <c r="F6558" s="74" t="s">
        <v>489</v>
      </c>
      <c r="G6558" s="61">
        <v>1</v>
      </c>
      <c r="H6558" s="61">
        <v>15</v>
      </c>
      <c r="I6558" s="61">
        <v>74.817959999999999</v>
      </c>
    </row>
    <row r="6559" spans="1:9" s="71" customFormat="1" ht="24" hidden="1" customHeight="1" outlineLevel="1" x14ac:dyDescent="0.25">
      <c r="A6559" s="74">
        <v>3956</v>
      </c>
      <c r="B6559" s="45" t="s">
        <v>664</v>
      </c>
      <c r="C6559" s="60" t="s">
        <v>6102</v>
      </c>
      <c r="D6559" s="60"/>
      <c r="E6559" s="74">
        <v>2023</v>
      </c>
      <c r="F6559" s="74" t="s">
        <v>489</v>
      </c>
      <c r="G6559" s="61">
        <v>1</v>
      </c>
      <c r="H6559" s="61">
        <v>23</v>
      </c>
      <c r="I6559" s="61">
        <v>41.157109999999996</v>
      </c>
    </row>
    <row r="6560" spans="1:9" s="71" customFormat="1" ht="24" hidden="1" customHeight="1" outlineLevel="1" x14ac:dyDescent="0.25">
      <c r="A6560" s="74">
        <v>3955</v>
      </c>
      <c r="B6560" s="45" t="s">
        <v>664</v>
      </c>
      <c r="C6560" s="60" t="s">
        <v>6103</v>
      </c>
      <c r="D6560" s="60"/>
      <c r="E6560" s="74">
        <v>2023</v>
      </c>
      <c r="F6560" s="74" t="s">
        <v>489</v>
      </c>
      <c r="G6560" s="61">
        <v>1</v>
      </c>
      <c r="H6560" s="61">
        <v>15</v>
      </c>
      <c r="I6560" s="61">
        <v>67.835999999999999</v>
      </c>
    </row>
    <row r="6561" spans="1:9" s="71" customFormat="1" ht="24" hidden="1" customHeight="1" outlineLevel="1" x14ac:dyDescent="0.25">
      <c r="A6561" s="74">
        <v>404</v>
      </c>
      <c r="B6561" s="45" t="s">
        <v>664</v>
      </c>
      <c r="C6561" s="60" t="s">
        <v>6104</v>
      </c>
      <c r="D6561" s="60"/>
      <c r="E6561" s="74">
        <v>2023</v>
      </c>
      <c r="F6561" s="74" t="s">
        <v>489</v>
      </c>
      <c r="G6561" s="61">
        <v>1</v>
      </c>
      <c r="H6561" s="61">
        <v>30</v>
      </c>
      <c r="I6561" s="61">
        <v>67.971000000000004</v>
      </c>
    </row>
    <row r="6562" spans="1:9" s="71" customFormat="1" ht="24" hidden="1" customHeight="1" outlineLevel="1" x14ac:dyDescent="0.25">
      <c r="A6562" s="74">
        <v>3939</v>
      </c>
      <c r="B6562" s="45" t="s">
        <v>664</v>
      </c>
      <c r="C6562" s="60" t="s">
        <v>6105</v>
      </c>
      <c r="D6562" s="60"/>
      <c r="E6562" s="74">
        <v>2023</v>
      </c>
      <c r="F6562" s="74" t="s">
        <v>489</v>
      </c>
      <c r="G6562" s="61">
        <v>1</v>
      </c>
      <c r="H6562" s="61">
        <v>15</v>
      </c>
      <c r="I6562" s="61">
        <v>41.783000000000001</v>
      </c>
    </row>
    <row r="6563" spans="1:9" s="71" customFormat="1" ht="24" hidden="1" customHeight="1" outlineLevel="1" x14ac:dyDescent="0.25">
      <c r="A6563" s="74">
        <v>3379</v>
      </c>
      <c r="B6563" s="45" t="s">
        <v>664</v>
      </c>
      <c r="C6563" s="60" t="s">
        <v>6106</v>
      </c>
      <c r="D6563" s="60"/>
      <c r="E6563" s="74">
        <v>2023</v>
      </c>
      <c r="F6563" s="74" t="s">
        <v>489</v>
      </c>
      <c r="G6563" s="61">
        <v>1</v>
      </c>
      <c r="H6563" s="61">
        <v>50</v>
      </c>
      <c r="I6563" s="61">
        <v>76.239339999999999</v>
      </c>
    </row>
    <row r="6564" spans="1:9" s="71" customFormat="1" ht="24" hidden="1" customHeight="1" outlineLevel="1" x14ac:dyDescent="0.25">
      <c r="A6564" s="74">
        <v>5044</v>
      </c>
      <c r="B6564" s="45" t="s">
        <v>664</v>
      </c>
      <c r="C6564" s="60" t="s">
        <v>6107</v>
      </c>
      <c r="D6564" s="60"/>
      <c r="E6564" s="74">
        <v>2023</v>
      </c>
      <c r="F6564" s="74" t="s">
        <v>489</v>
      </c>
      <c r="G6564" s="61">
        <v>1</v>
      </c>
      <c r="H6564" s="61">
        <v>110</v>
      </c>
      <c r="I6564" s="61">
        <v>55.121209999999998</v>
      </c>
    </row>
    <row r="6565" spans="1:9" s="71" customFormat="1" ht="24" hidden="1" customHeight="1" outlineLevel="1" x14ac:dyDescent="0.25">
      <c r="A6565" s="74">
        <v>3927</v>
      </c>
      <c r="B6565" s="45" t="s">
        <v>664</v>
      </c>
      <c r="C6565" s="60" t="s">
        <v>6108</v>
      </c>
      <c r="D6565" s="60"/>
      <c r="E6565" s="74">
        <v>2023</v>
      </c>
      <c r="F6565" s="74" t="s">
        <v>489</v>
      </c>
      <c r="G6565" s="61">
        <v>1</v>
      </c>
      <c r="H6565" s="61">
        <v>15</v>
      </c>
      <c r="I6565" s="61">
        <v>72.125489999999999</v>
      </c>
    </row>
    <row r="6566" spans="1:9" s="71" customFormat="1" ht="24" hidden="1" customHeight="1" outlineLevel="1" x14ac:dyDescent="0.25">
      <c r="A6566" s="74">
        <v>3959</v>
      </c>
      <c r="B6566" s="45" t="s">
        <v>664</v>
      </c>
      <c r="C6566" s="60" t="s">
        <v>6109</v>
      </c>
      <c r="D6566" s="60"/>
      <c r="E6566" s="74">
        <v>2023</v>
      </c>
      <c r="F6566" s="74" t="s">
        <v>489</v>
      </c>
      <c r="G6566" s="61">
        <v>1</v>
      </c>
      <c r="H6566" s="61">
        <v>25</v>
      </c>
      <c r="I6566" s="61">
        <v>68.462739999999997</v>
      </c>
    </row>
    <row r="6567" spans="1:9" s="71" customFormat="1" ht="24" hidden="1" customHeight="1" outlineLevel="1" x14ac:dyDescent="0.25">
      <c r="A6567" s="74">
        <v>3958</v>
      </c>
      <c r="B6567" s="45" t="s">
        <v>664</v>
      </c>
      <c r="C6567" s="60" t="s">
        <v>6110</v>
      </c>
      <c r="D6567" s="60"/>
      <c r="E6567" s="74">
        <v>2023</v>
      </c>
      <c r="F6567" s="74" t="s">
        <v>489</v>
      </c>
      <c r="G6567" s="61">
        <v>1</v>
      </c>
      <c r="H6567" s="61">
        <v>105</v>
      </c>
      <c r="I6567" s="61">
        <v>70.167400000000001</v>
      </c>
    </row>
    <row r="6568" spans="1:9" s="71" customFormat="1" ht="24" hidden="1" customHeight="1" outlineLevel="1" x14ac:dyDescent="0.25">
      <c r="A6568" s="74">
        <v>3946</v>
      </c>
      <c r="B6568" s="45" t="s">
        <v>664</v>
      </c>
      <c r="C6568" s="60" t="s">
        <v>6111</v>
      </c>
      <c r="D6568" s="60"/>
      <c r="E6568" s="74">
        <v>2023</v>
      </c>
      <c r="F6568" s="74" t="s">
        <v>489</v>
      </c>
      <c r="G6568" s="61">
        <v>1</v>
      </c>
      <c r="H6568" s="61">
        <v>15</v>
      </c>
      <c r="I6568" s="61">
        <v>65.351599999999991</v>
      </c>
    </row>
    <row r="6569" spans="1:9" s="71" customFormat="1" ht="24" hidden="1" customHeight="1" outlineLevel="1" x14ac:dyDescent="0.25">
      <c r="A6569" s="74">
        <v>466</v>
      </c>
      <c r="B6569" s="45" t="s">
        <v>664</v>
      </c>
      <c r="C6569" s="60" t="s">
        <v>6112</v>
      </c>
      <c r="D6569" s="60"/>
      <c r="E6569" s="74">
        <v>2023</v>
      </c>
      <c r="F6569" s="74" t="s">
        <v>489</v>
      </c>
      <c r="G6569" s="61">
        <v>1</v>
      </c>
      <c r="H6569" s="61">
        <v>15</v>
      </c>
      <c r="I6569" s="61">
        <v>44.654409999999999</v>
      </c>
    </row>
    <row r="6570" spans="1:9" s="71" customFormat="1" ht="24" hidden="1" customHeight="1" outlineLevel="1" x14ac:dyDescent="0.25">
      <c r="A6570" s="74">
        <v>4008</v>
      </c>
      <c r="B6570" s="45" t="s">
        <v>664</v>
      </c>
      <c r="C6570" s="60" t="s">
        <v>6113</v>
      </c>
      <c r="D6570" s="60"/>
      <c r="E6570" s="74">
        <v>2023</v>
      </c>
      <c r="F6570" s="74" t="s">
        <v>489</v>
      </c>
      <c r="G6570" s="61">
        <v>1</v>
      </c>
      <c r="H6570" s="61">
        <v>30</v>
      </c>
      <c r="I6570" s="61">
        <v>64.585340000000002</v>
      </c>
    </row>
    <row r="6571" spans="1:9" s="71" customFormat="1" ht="24" hidden="1" customHeight="1" outlineLevel="1" x14ac:dyDescent="0.25">
      <c r="A6571" s="74">
        <v>3919</v>
      </c>
      <c r="B6571" s="45" t="s">
        <v>664</v>
      </c>
      <c r="C6571" s="60" t="s">
        <v>6114</v>
      </c>
      <c r="D6571" s="60"/>
      <c r="E6571" s="74">
        <v>2023</v>
      </c>
      <c r="F6571" s="74" t="s">
        <v>489</v>
      </c>
      <c r="G6571" s="61">
        <v>1</v>
      </c>
      <c r="H6571" s="61">
        <v>15</v>
      </c>
      <c r="I6571" s="61">
        <v>64.903800000000004</v>
      </c>
    </row>
    <row r="6572" spans="1:9" s="71" customFormat="1" ht="24" hidden="1" customHeight="1" outlineLevel="1" x14ac:dyDescent="0.25">
      <c r="A6572" s="74">
        <v>3877</v>
      </c>
      <c r="B6572" s="45" t="s">
        <v>664</v>
      </c>
      <c r="C6572" s="60" t="s">
        <v>6115</v>
      </c>
      <c r="D6572" s="60"/>
      <c r="E6572" s="74">
        <v>2023</v>
      </c>
      <c r="F6572" s="74" t="s">
        <v>489</v>
      </c>
      <c r="G6572" s="61">
        <v>1</v>
      </c>
      <c r="H6572" s="61">
        <v>15</v>
      </c>
      <c r="I6572" s="61">
        <v>224.94934999999998</v>
      </c>
    </row>
    <row r="6573" spans="1:9" s="71" customFormat="1" ht="24" hidden="1" customHeight="1" outlineLevel="1" x14ac:dyDescent="0.25">
      <c r="A6573" s="74">
        <v>3952</v>
      </c>
      <c r="B6573" s="45" t="s">
        <v>664</v>
      </c>
      <c r="C6573" s="60" t="s">
        <v>6116</v>
      </c>
      <c r="D6573" s="60"/>
      <c r="E6573" s="74">
        <v>2023</v>
      </c>
      <c r="F6573" s="74" t="s">
        <v>489</v>
      </c>
      <c r="G6573" s="61">
        <v>1</v>
      </c>
      <c r="H6573" s="61">
        <v>45</v>
      </c>
      <c r="I6573" s="61">
        <v>66.440089999999998</v>
      </c>
    </row>
    <row r="6574" spans="1:9" s="71" customFormat="1" ht="24" hidden="1" customHeight="1" outlineLevel="1" x14ac:dyDescent="0.25">
      <c r="A6574" s="74">
        <v>3948</v>
      </c>
      <c r="B6574" s="45" t="s">
        <v>664</v>
      </c>
      <c r="C6574" s="60" t="s">
        <v>6117</v>
      </c>
      <c r="D6574" s="60"/>
      <c r="E6574" s="74">
        <v>2023</v>
      </c>
      <c r="F6574" s="74" t="s">
        <v>489</v>
      </c>
      <c r="G6574" s="61">
        <v>1</v>
      </c>
      <c r="H6574" s="61">
        <v>30</v>
      </c>
      <c r="I6574" s="61">
        <v>66.757059999999996</v>
      </c>
    </row>
    <row r="6575" spans="1:9" s="71" customFormat="1" ht="24" hidden="1" customHeight="1" outlineLevel="1" x14ac:dyDescent="0.25">
      <c r="A6575" s="74">
        <v>3949</v>
      </c>
      <c r="B6575" s="45" t="s">
        <v>664</v>
      </c>
      <c r="C6575" s="60" t="s">
        <v>6118</v>
      </c>
      <c r="D6575" s="60"/>
      <c r="E6575" s="74">
        <v>2023</v>
      </c>
      <c r="F6575" s="74" t="s">
        <v>489</v>
      </c>
      <c r="G6575" s="61">
        <v>1</v>
      </c>
      <c r="H6575" s="61">
        <v>45</v>
      </c>
      <c r="I6575" s="61">
        <v>64.724920000000012</v>
      </c>
    </row>
    <row r="6576" spans="1:9" s="71" customFormat="1" ht="24" hidden="1" customHeight="1" outlineLevel="1" x14ac:dyDescent="0.25">
      <c r="A6576" s="74">
        <v>3928</v>
      </c>
      <c r="B6576" s="45" t="s">
        <v>664</v>
      </c>
      <c r="C6576" s="60" t="s">
        <v>6119</v>
      </c>
      <c r="D6576" s="60"/>
      <c r="E6576" s="74">
        <v>2023</v>
      </c>
      <c r="F6576" s="74" t="s">
        <v>489</v>
      </c>
      <c r="G6576" s="61">
        <v>3</v>
      </c>
      <c r="H6576" s="61">
        <v>45</v>
      </c>
      <c r="I6576" s="61">
        <v>162.79502000000002</v>
      </c>
    </row>
    <row r="6577" spans="1:9" s="71" customFormat="1" ht="24" hidden="1" customHeight="1" outlineLevel="1" x14ac:dyDescent="0.25">
      <c r="A6577" s="74">
        <v>882</v>
      </c>
      <c r="B6577" s="45" t="s">
        <v>664</v>
      </c>
      <c r="C6577" s="60" t="s">
        <v>6120</v>
      </c>
      <c r="D6577" s="60"/>
      <c r="E6577" s="74">
        <v>2023</v>
      </c>
      <c r="F6577" s="74" t="s">
        <v>489</v>
      </c>
      <c r="G6577" s="61">
        <v>3</v>
      </c>
      <c r="H6577" s="61">
        <v>60</v>
      </c>
      <c r="I6577" s="61">
        <v>163.55637000000002</v>
      </c>
    </row>
    <row r="6578" spans="1:9" s="71" customFormat="1" ht="24" hidden="1" customHeight="1" outlineLevel="1" x14ac:dyDescent="0.25">
      <c r="A6578" s="74">
        <v>3819</v>
      </c>
      <c r="B6578" s="45" t="s">
        <v>664</v>
      </c>
      <c r="C6578" s="60" t="s">
        <v>6121</v>
      </c>
      <c r="D6578" s="60"/>
      <c r="E6578" s="74">
        <v>2023</v>
      </c>
      <c r="F6578" s="74" t="s">
        <v>489</v>
      </c>
      <c r="G6578" s="61">
        <v>1</v>
      </c>
      <c r="H6578" s="61">
        <v>15</v>
      </c>
      <c r="I6578" s="61">
        <v>73.617859999999993</v>
      </c>
    </row>
    <row r="6579" spans="1:9" s="71" customFormat="1" ht="24" hidden="1" customHeight="1" outlineLevel="1" x14ac:dyDescent="0.25">
      <c r="A6579" s="74">
        <v>5047</v>
      </c>
      <c r="B6579" s="45" t="s">
        <v>664</v>
      </c>
      <c r="C6579" s="60" t="s">
        <v>6122</v>
      </c>
      <c r="D6579" s="60"/>
      <c r="E6579" s="74">
        <v>2023</v>
      </c>
      <c r="F6579" s="74" t="s">
        <v>489</v>
      </c>
      <c r="G6579" s="61">
        <v>1</v>
      </c>
      <c r="H6579" s="61">
        <v>0.1</v>
      </c>
      <c r="I6579" s="61">
        <v>44.380870000000002</v>
      </c>
    </row>
    <row r="6580" spans="1:9" s="71" customFormat="1" ht="24" hidden="1" customHeight="1" outlineLevel="1" x14ac:dyDescent="0.25">
      <c r="A6580" s="74">
        <v>3886</v>
      </c>
      <c r="B6580" s="45" t="s">
        <v>664</v>
      </c>
      <c r="C6580" s="60" t="s">
        <v>6123</v>
      </c>
      <c r="D6580" s="60"/>
      <c r="E6580" s="74">
        <v>2023</v>
      </c>
      <c r="F6580" s="74" t="s">
        <v>489</v>
      </c>
      <c r="G6580" s="61">
        <v>1</v>
      </c>
      <c r="H6580" s="61">
        <v>15</v>
      </c>
      <c r="I6580" s="61">
        <v>39.178650000000005</v>
      </c>
    </row>
    <row r="6581" spans="1:9" s="71" customFormat="1" ht="24" hidden="1" customHeight="1" outlineLevel="1" x14ac:dyDescent="0.25">
      <c r="A6581" s="74">
        <v>3874</v>
      </c>
      <c r="B6581" s="45" t="s">
        <v>664</v>
      </c>
      <c r="C6581" s="60" t="s">
        <v>6124</v>
      </c>
      <c r="D6581" s="60"/>
      <c r="E6581" s="74">
        <v>2023</v>
      </c>
      <c r="F6581" s="74" t="s">
        <v>489</v>
      </c>
      <c r="G6581" s="61">
        <v>1</v>
      </c>
      <c r="H6581" s="61">
        <v>15</v>
      </c>
      <c r="I6581" s="61">
        <v>39.622390000000003</v>
      </c>
    </row>
    <row r="6582" spans="1:9" s="71" customFormat="1" ht="24" hidden="1" customHeight="1" outlineLevel="1" x14ac:dyDescent="0.25">
      <c r="A6582" s="74">
        <v>3374</v>
      </c>
      <c r="B6582" s="45" t="s">
        <v>664</v>
      </c>
      <c r="C6582" s="60" t="s">
        <v>210</v>
      </c>
      <c r="D6582" s="60"/>
      <c r="E6582" s="74">
        <v>2023</v>
      </c>
      <c r="F6582" s="74" t="s">
        <v>489</v>
      </c>
      <c r="G6582" s="61">
        <v>2</v>
      </c>
      <c r="H6582" s="61">
        <v>150</v>
      </c>
      <c r="I6582" s="61">
        <v>131.24048999999999</v>
      </c>
    </row>
    <row r="6583" spans="1:9" s="71" customFormat="1" ht="24" hidden="1" customHeight="1" outlineLevel="1" x14ac:dyDescent="0.25">
      <c r="A6583" s="74">
        <v>5050</v>
      </c>
      <c r="B6583" s="45" t="s">
        <v>664</v>
      </c>
      <c r="C6583" s="60" t="s">
        <v>6125</v>
      </c>
      <c r="D6583" s="60"/>
      <c r="E6583" s="74">
        <v>2023</v>
      </c>
      <c r="F6583" s="74" t="s">
        <v>489</v>
      </c>
      <c r="G6583" s="61">
        <v>1</v>
      </c>
      <c r="H6583" s="61">
        <v>15</v>
      </c>
      <c r="I6583" s="61">
        <v>161.45233000000002</v>
      </c>
    </row>
    <row r="6584" spans="1:9" s="71" customFormat="1" ht="24" hidden="1" customHeight="1" outlineLevel="1" x14ac:dyDescent="0.25">
      <c r="A6584" s="74">
        <v>287</v>
      </c>
      <c r="B6584" s="45" t="s">
        <v>664</v>
      </c>
      <c r="C6584" s="60" t="s">
        <v>212</v>
      </c>
      <c r="D6584" s="60"/>
      <c r="E6584" s="74">
        <v>2023</v>
      </c>
      <c r="F6584" s="74" t="s">
        <v>489</v>
      </c>
      <c r="G6584" s="61">
        <v>5</v>
      </c>
      <c r="H6584" s="61">
        <v>82</v>
      </c>
      <c r="I6584" s="61">
        <v>309.72096999999997</v>
      </c>
    </row>
    <row r="6585" spans="1:9" s="71" customFormat="1" ht="24" hidden="1" customHeight="1" outlineLevel="1" x14ac:dyDescent="0.25">
      <c r="A6585" s="74">
        <v>459</v>
      </c>
      <c r="B6585" s="45" t="s">
        <v>664</v>
      </c>
      <c r="C6585" s="60" t="s">
        <v>213</v>
      </c>
      <c r="D6585" s="60"/>
      <c r="E6585" s="74">
        <v>2023</v>
      </c>
      <c r="F6585" s="74" t="s">
        <v>489</v>
      </c>
      <c r="G6585" s="61">
        <v>15</v>
      </c>
      <c r="H6585" s="61">
        <v>195</v>
      </c>
      <c r="I6585" s="61">
        <v>856.32002</v>
      </c>
    </row>
    <row r="6586" spans="1:9" s="71" customFormat="1" ht="24" hidden="1" customHeight="1" outlineLevel="1" x14ac:dyDescent="0.25">
      <c r="A6586" s="74">
        <v>427</v>
      </c>
      <c r="B6586" s="45" t="s">
        <v>664</v>
      </c>
      <c r="C6586" s="60" t="s">
        <v>214</v>
      </c>
      <c r="D6586" s="60"/>
      <c r="E6586" s="74">
        <v>2023</v>
      </c>
      <c r="F6586" s="74" t="s">
        <v>489</v>
      </c>
      <c r="G6586" s="61">
        <v>10</v>
      </c>
      <c r="H6586" s="61">
        <v>165</v>
      </c>
      <c r="I6586" s="61">
        <v>529.60553000000004</v>
      </c>
    </row>
    <row r="6587" spans="1:9" s="71" customFormat="1" ht="24" hidden="1" customHeight="1" outlineLevel="1" x14ac:dyDescent="0.25">
      <c r="A6587" s="74">
        <v>472</v>
      </c>
      <c r="B6587" s="45" t="s">
        <v>664</v>
      </c>
      <c r="C6587" s="60" t="s">
        <v>215</v>
      </c>
      <c r="D6587" s="60"/>
      <c r="E6587" s="74">
        <v>2023</v>
      </c>
      <c r="F6587" s="74" t="s">
        <v>489</v>
      </c>
      <c r="G6587" s="61">
        <v>6</v>
      </c>
      <c r="H6587" s="61">
        <v>43</v>
      </c>
      <c r="I6587" s="61">
        <v>348.75286999999997</v>
      </c>
    </row>
    <row r="6588" spans="1:9" s="71" customFormat="1" ht="24" hidden="1" customHeight="1" outlineLevel="1" x14ac:dyDescent="0.25">
      <c r="A6588" s="74">
        <v>3014</v>
      </c>
      <c r="B6588" s="45" t="s">
        <v>664</v>
      </c>
      <c r="C6588" s="60" t="s">
        <v>218</v>
      </c>
      <c r="D6588" s="60"/>
      <c r="E6588" s="74">
        <v>2023</v>
      </c>
      <c r="F6588" s="74" t="s">
        <v>489</v>
      </c>
      <c r="G6588" s="61">
        <v>1</v>
      </c>
      <c r="H6588" s="61">
        <v>150</v>
      </c>
      <c r="I6588" s="61">
        <v>181.30951000000002</v>
      </c>
    </row>
    <row r="6589" spans="1:9" s="71" customFormat="1" ht="24" hidden="1" customHeight="1" outlineLevel="1" x14ac:dyDescent="0.25">
      <c r="A6589" s="74">
        <v>2979</v>
      </c>
      <c r="B6589" s="45" t="s">
        <v>664</v>
      </c>
      <c r="C6589" s="60" t="s">
        <v>219</v>
      </c>
      <c r="D6589" s="60"/>
      <c r="E6589" s="74">
        <v>2023</v>
      </c>
      <c r="F6589" s="74" t="s">
        <v>489</v>
      </c>
      <c r="G6589" s="61">
        <v>1</v>
      </c>
      <c r="H6589" s="61">
        <v>150</v>
      </c>
      <c r="I6589" s="61">
        <v>242.05516999999998</v>
      </c>
    </row>
    <row r="6590" spans="1:9" s="71" customFormat="1" ht="24" hidden="1" customHeight="1" outlineLevel="1" x14ac:dyDescent="0.25">
      <c r="A6590" s="74">
        <v>551</v>
      </c>
      <c r="B6590" s="45" t="s">
        <v>664</v>
      </c>
      <c r="C6590" s="60" t="s">
        <v>220</v>
      </c>
      <c r="D6590" s="60"/>
      <c r="E6590" s="74">
        <v>2023</v>
      </c>
      <c r="F6590" s="74" t="s">
        <v>489</v>
      </c>
      <c r="G6590" s="61">
        <v>10</v>
      </c>
      <c r="H6590" s="61">
        <v>90</v>
      </c>
      <c r="I6590" s="61">
        <v>634.19376999999997</v>
      </c>
    </row>
    <row r="6591" spans="1:9" s="71" customFormat="1" ht="24" hidden="1" customHeight="1" outlineLevel="1" x14ac:dyDescent="0.25">
      <c r="A6591" s="74">
        <v>565</v>
      </c>
      <c r="B6591" s="45" t="s">
        <v>664</v>
      </c>
      <c r="C6591" s="60" t="s">
        <v>221</v>
      </c>
      <c r="D6591" s="60"/>
      <c r="E6591" s="74">
        <v>2023</v>
      </c>
      <c r="F6591" s="74" t="s">
        <v>489</v>
      </c>
      <c r="G6591" s="61">
        <v>6</v>
      </c>
      <c r="H6591" s="61">
        <v>90</v>
      </c>
      <c r="I6591" s="61">
        <v>369.33578</v>
      </c>
    </row>
    <row r="6592" spans="1:9" s="71" customFormat="1" ht="24" hidden="1" customHeight="1" outlineLevel="1" x14ac:dyDescent="0.25">
      <c r="A6592" s="74">
        <v>5064</v>
      </c>
      <c r="B6592" s="45" t="s">
        <v>664</v>
      </c>
      <c r="C6592" s="60" t="s">
        <v>6126</v>
      </c>
      <c r="D6592" s="60"/>
      <c r="E6592" s="74">
        <v>2023</v>
      </c>
      <c r="F6592" s="74" t="s">
        <v>489</v>
      </c>
      <c r="G6592" s="61">
        <v>1</v>
      </c>
      <c r="H6592" s="61">
        <v>15</v>
      </c>
      <c r="I6592" s="61">
        <v>22.192119999999999</v>
      </c>
    </row>
    <row r="6593" spans="1:9" s="71" customFormat="1" ht="24" hidden="1" customHeight="1" outlineLevel="1" x14ac:dyDescent="0.25">
      <c r="A6593" s="74">
        <v>5068</v>
      </c>
      <c r="B6593" s="45" t="s">
        <v>664</v>
      </c>
      <c r="C6593" s="60" t="s">
        <v>6127</v>
      </c>
      <c r="D6593" s="60"/>
      <c r="E6593" s="74">
        <v>2023</v>
      </c>
      <c r="F6593" s="74" t="s">
        <v>489</v>
      </c>
      <c r="G6593" s="61">
        <v>1</v>
      </c>
      <c r="H6593" s="61">
        <v>12</v>
      </c>
      <c r="I6593" s="61">
        <v>20.407759999999996</v>
      </c>
    </row>
    <row r="6594" spans="1:9" s="71" customFormat="1" ht="24" hidden="1" customHeight="1" outlineLevel="1" x14ac:dyDescent="0.25">
      <c r="A6594" s="74">
        <v>5070</v>
      </c>
      <c r="B6594" s="45" t="s">
        <v>664</v>
      </c>
      <c r="C6594" s="60" t="s">
        <v>6128</v>
      </c>
      <c r="D6594" s="60"/>
      <c r="E6594" s="74">
        <v>2023</v>
      </c>
      <c r="F6594" s="74" t="s">
        <v>489</v>
      </c>
      <c r="G6594" s="61">
        <v>1</v>
      </c>
      <c r="H6594" s="61">
        <v>15</v>
      </c>
      <c r="I6594" s="61">
        <v>20.618110000000001</v>
      </c>
    </row>
    <row r="6595" spans="1:9" s="71" customFormat="1" ht="24" hidden="1" customHeight="1" outlineLevel="1" x14ac:dyDescent="0.25">
      <c r="A6595" s="74">
        <v>5074</v>
      </c>
      <c r="B6595" s="45" t="s">
        <v>664</v>
      </c>
      <c r="C6595" s="60" t="s">
        <v>6129</v>
      </c>
      <c r="D6595" s="60"/>
      <c r="E6595" s="74">
        <v>2023</v>
      </c>
      <c r="F6595" s="74" t="s">
        <v>489</v>
      </c>
      <c r="G6595" s="61">
        <v>1</v>
      </c>
      <c r="H6595" s="61">
        <v>6</v>
      </c>
      <c r="I6595" s="61">
        <v>36.223779999999998</v>
      </c>
    </row>
    <row r="6596" spans="1:9" s="71" customFormat="1" ht="24" hidden="1" customHeight="1" outlineLevel="1" x14ac:dyDescent="0.25">
      <c r="A6596" s="74">
        <v>5075</v>
      </c>
      <c r="B6596" s="45" t="s">
        <v>664</v>
      </c>
      <c r="C6596" s="60" t="s">
        <v>6130</v>
      </c>
      <c r="D6596" s="60"/>
      <c r="E6596" s="74">
        <v>2023</v>
      </c>
      <c r="F6596" s="74" t="s">
        <v>489</v>
      </c>
      <c r="G6596" s="61">
        <v>1</v>
      </c>
      <c r="H6596" s="61">
        <v>3</v>
      </c>
      <c r="I6596" s="61">
        <v>20.618079999999999</v>
      </c>
    </row>
    <row r="6597" spans="1:9" s="71" customFormat="1" ht="24" hidden="1" customHeight="1" outlineLevel="1" x14ac:dyDescent="0.25">
      <c r="A6597" s="74">
        <v>5080</v>
      </c>
      <c r="B6597" s="45" t="s">
        <v>664</v>
      </c>
      <c r="C6597" s="60" t="s">
        <v>6131</v>
      </c>
      <c r="D6597" s="60"/>
      <c r="E6597" s="74">
        <v>2023</v>
      </c>
      <c r="F6597" s="74" t="s">
        <v>489</v>
      </c>
      <c r="G6597" s="61">
        <v>1</v>
      </c>
      <c r="H6597" s="61">
        <v>12</v>
      </c>
      <c r="I6597" s="61">
        <v>20.621790000000001</v>
      </c>
    </row>
    <row r="6598" spans="1:9" s="71" customFormat="1" ht="24" hidden="1" customHeight="1" outlineLevel="1" x14ac:dyDescent="0.25">
      <c r="A6598" s="74">
        <v>5081</v>
      </c>
      <c r="B6598" s="45" t="s">
        <v>664</v>
      </c>
      <c r="C6598" s="60" t="s">
        <v>6132</v>
      </c>
      <c r="D6598" s="60"/>
      <c r="E6598" s="74">
        <v>2023</v>
      </c>
      <c r="F6598" s="74" t="s">
        <v>489</v>
      </c>
      <c r="G6598" s="61">
        <v>1</v>
      </c>
      <c r="H6598" s="61">
        <v>20</v>
      </c>
      <c r="I6598" s="61">
        <v>20.559880000000003</v>
      </c>
    </row>
    <row r="6599" spans="1:9" s="71" customFormat="1" ht="24" hidden="1" customHeight="1" outlineLevel="1" x14ac:dyDescent="0.25">
      <c r="A6599" s="74">
        <v>5082</v>
      </c>
      <c r="B6599" s="45" t="s">
        <v>664</v>
      </c>
      <c r="C6599" s="60" t="s">
        <v>6133</v>
      </c>
      <c r="D6599" s="60"/>
      <c r="E6599" s="74">
        <v>2023</v>
      </c>
      <c r="F6599" s="74" t="s">
        <v>489</v>
      </c>
      <c r="G6599" s="61">
        <v>1</v>
      </c>
      <c r="H6599" s="61">
        <v>12</v>
      </c>
      <c r="I6599" s="61">
        <v>20.559889999999999</v>
      </c>
    </row>
    <row r="6600" spans="1:9" s="71" customFormat="1" ht="24" hidden="1" customHeight="1" outlineLevel="1" x14ac:dyDescent="0.25">
      <c r="A6600" s="74">
        <v>5085</v>
      </c>
      <c r="B6600" s="45" t="s">
        <v>664</v>
      </c>
      <c r="C6600" s="60" t="s">
        <v>6134</v>
      </c>
      <c r="D6600" s="60"/>
      <c r="E6600" s="74">
        <v>2023</v>
      </c>
      <c r="F6600" s="74" t="s">
        <v>489</v>
      </c>
      <c r="G6600" s="61">
        <v>1</v>
      </c>
      <c r="H6600" s="61">
        <v>15</v>
      </c>
      <c r="I6600" s="61">
        <v>37.11159</v>
      </c>
    </row>
    <row r="6601" spans="1:9" s="71" customFormat="1" ht="24" hidden="1" customHeight="1" outlineLevel="1" x14ac:dyDescent="0.25">
      <c r="A6601" s="74">
        <v>5086</v>
      </c>
      <c r="B6601" s="45" t="s">
        <v>664</v>
      </c>
      <c r="C6601" s="60" t="s">
        <v>6135</v>
      </c>
      <c r="D6601" s="60"/>
      <c r="E6601" s="74">
        <v>2023</v>
      </c>
      <c r="F6601" s="74" t="s">
        <v>489</v>
      </c>
      <c r="G6601" s="61">
        <v>1</v>
      </c>
      <c r="H6601" s="61">
        <v>15</v>
      </c>
      <c r="I6601" s="61">
        <v>36.425940000000004</v>
      </c>
    </row>
    <row r="6602" spans="1:9" s="71" customFormat="1" ht="24" hidden="1" customHeight="1" outlineLevel="1" x14ac:dyDescent="0.25">
      <c r="A6602" s="74">
        <v>5087</v>
      </c>
      <c r="B6602" s="45" t="s">
        <v>664</v>
      </c>
      <c r="C6602" s="60" t="s">
        <v>6136</v>
      </c>
      <c r="D6602" s="60"/>
      <c r="E6602" s="74">
        <v>2023</v>
      </c>
      <c r="F6602" s="74" t="s">
        <v>489</v>
      </c>
      <c r="G6602" s="61">
        <v>1</v>
      </c>
      <c r="H6602" s="61">
        <v>7.5</v>
      </c>
      <c r="I6602" s="61">
        <v>37.11159</v>
      </c>
    </row>
    <row r="6603" spans="1:9" s="71" customFormat="1" ht="24" hidden="1" customHeight="1" outlineLevel="1" x14ac:dyDescent="0.25">
      <c r="A6603" s="74">
        <v>5094</v>
      </c>
      <c r="B6603" s="45" t="s">
        <v>664</v>
      </c>
      <c r="C6603" s="60" t="s">
        <v>6137</v>
      </c>
      <c r="D6603" s="60"/>
      <c r="E6603" s="74">
        <v>2023</v>
      </c>
      <c r="F6603" s="74" t="s">
        <v>489</v>
      </c>
      <c r="G6603" s="61">
        <v>1</v>
      </c>
      <c r="H6603" s="61">
        <v>15</v>
      </c>
      <c r="I6603" s="61">
        <v>36.428449999999991</v>
      </c>
    </row>
    <row r="6604" spans="1:9" s="71" customFormat="1" ht="24" hidden="1" customHeight="1" outlineLevel="1" x14ac:dyDescent="0.25">
      <c r="A6604" s="74">
        <v>5095</v>
      </c>
      <c r="B6604" s="45" t="s">
        <v>664</v>
      </c>
      <c r="C6604" s="60" t="s">
        <v>6138</v>
      </c>
      <c r="D6604" s="60"/>
      <c r="E6604" s="74">
        <v>2023</v>
      </c>
      <c r="F6604" s="74" t="s">
        <v>489</v>
      </c>
      <c r="G6604" s="61">
        <v>1</v>
      </c>
      <c r="H6604" s="61">
        <v>15</v>
      </c>
      <c r="I6604" s="61">
        <v>36.425940000000004</v>
      </c>
    </row>
    <row r="6605" spans="1:9" s="71" customFormat="1" ht="24" hidden="1" customHeight="1" outlineLevel="1" x14ac:dyDescent="0.25">
      <c r="A6605" s="74">
        <v>5096</v>
      </c>
      <c r="B6605" s="45" t="s">
        <v>664</v>
      </c>
      <c r="C6605" s="60" t="s">
        <v>6139</v>
      </c>
      <c r="D6605" s="60"/>
      <c r="E6605" s="74">
        <v>2023</v>
      </c>
      <c r="F6605" s="74" t="s">
        <v>489</v>
      </c>
      <c r="G6605" s="61">
        <v>1</v>
      </c>
      <c r="H6605" s="61">
        <v>15</v>
      </c>
      <c r="I6605" s="61">
        <v>36.425940000000004</v>
      </c>
    </row>
    <row r="6606" spans="1:9" s="71" customFormat="1" ht="24" hidden="1" customHeight="1" outlineLevel="1" x14ac:dyDescent="0.25">
      <c r="A6606" s="74">
        <v>5097</v>
      </c>
      <c r="B6606" s="45" t="s">
        <v>664</v>
      </c>
      <c r="C6606" s="60" t="s">
        <v>6140</v>
      </c>
      <c r="D6606" s="60"/>
      <c r="E6606" s="74">
        <v>2023</v>
      </c>
      <c r="F6606" s="74" t="s">
        <v>489</v>
      </c>
      <c r="G6606" s="61">
        <v>1</v>
      </c>
      <c r="H6606" s="61">
        <v>15</v>
      </c>
      <c r="I6606" s="61">
        <v>36.488140000000001</v>
      </c>
    </row>
    <row r="6607" spans="1:9" s="71" customFormat="1" ht="24" hidden="1" customHeight="1" outlineLevel="1" x14ac:dyDescent="0.25">
      <c r="A6607" s="74">
        <v>5100</v>
      </c>
      <c r="B6607" s="45" t="s">
        <v>664</v>
      </c>
      <c r="C6607" s="60" t="s">
        <v>6141</v>
      </c>
      <c r="D6607" s="60"/>
      <c r="E6607" s="74">
        <v>2023</v>
      </c>
      <c r="F6607" s="74" t="s">
        <v>489</v>
      </c>
      <c r="G6607" s="61">
        <v>1</v>
      </c>
      <c r="H6607" s="61">
        <v>15</v>
      </c>
      <c r="I6607" s="61">
        <v>36.5503</v>
      </c>
    </row>
    <row r="6608" spans="1:9" s="71" customFormat="1" ht="24" hidden="1" customHeight="1" outlineLevel="1" x14ac:dyDescent="0.25">
      <c r="A6608" s="74">
        <v>5101</v>
      </c>
      <c r="B6608" s="45" t="s">
        <v>664</v>
      </c>
      <c r="C6608" s="60" t="s">
        <v>6142</v>
      </c>
      <c r="D6608" s="60"/>
      <c r="E6608" s="74">
        <v>2023</v>
      </c>
      <c r="F6608" s="74" t="s">
        <v>489</v>
      </c>
      <c r="G6608" s="61">
        <v>1</v>
      </c>
      <c r="H6608" s="61">
        <v>40</v>
      </c>
      <c r="I6608" s="61">
        <v>36.550309999999996</v>
      </c>
    </row>
    <row r="6609" spans="1:9" s="71" customFormat="1" ht="24" hidden="1" customHeight="1" outlineLevel="1" x14ac:dyDescent="0.25">
      <c r="A6609" s="74">
        <v>5104</v>
      </c>
      <c r="B6609" s="45" t="s">
        <v>664</v>
      </c>
      <c r="C6609" s="60" t="s">
        <v>6143</v>
      </c>
      <c r="D6609" s="60"/>
      <c r="E6609" s="74">
        <v>2023</v>
      </c>
      <c r="F6609" s="74" t="s">
        <v>489</v>
      </c>
      <c r="G6609" s="61">
        <v>1</v>
      </c>
      <c r="H6609" s="61">
        <v>15</v>
      </c>
      <c r="I6609" s="61">
        <v>36.29712</v>
      </c>
    </row>
    <row r="6610" spans="1:9" s="71" customFormat="1" ht="24" hidden="1" customHeight="1" outlineLevel="1" x14ac:dyDescent="0.25">
      <c r="A6610" s="74">
        <v>1210</v>
      </c>
      <c r="B6610" s="45" t="s">
        <v>664</v>
      </c>
      <c r="C6610" s="60" t="s">
        <v>6144</v>
      </c>
      <c r="D6610" s="60"/>
      <c r="E6610" s="74">
        <v>2023</v>
      </c>
      <c r="F6610" s="74" t="s">
        <v>489</v>
      </c>
      <c r="G6610" s="61">
        <v>1</v>
      </c>
      <c r="H6610" s="61">
        <v>15</v>
      </c>
      <c r="I6610" s="61">
        <v>36.5503</v>
      </c>
    </row>
    <row r="6611" spans="1:9" s="71" customFormat="1" ht="24" hidden="1" customHeight="1" outlineLevel="1" x14ac:dyDescent="0.25">
      <c r="A6611" s="74">
        <v>3560</v>
      </c>
      <c r="B6611" s="45" t="s">
        <v>664</v>
      </c>
      <c r="C6611" s="60" t="s">
        <v>6145</v>
      </c>
      <c r="D6611" s="60"/>
      <c r="E6611" s="74">
        <v>2023</v>
      </c>
      <c r="F6611" s="74" t="s">
        <v>489</v>
      </c>
      <c r="G6611" s="61">
        <v>1</v>
      </c>
      <c r="H6611" s="61">
        <v>15</v>
      </c>
      <c r="I6611" s="61">
        <v>36.48657</v>
      </c>
    </row>
    <row r="6612" spans="1:9" s="71" customFormat="1" ht="24" hidden="1" customHeight="1" outlineLevel="1" x14ac:dyDescent="0.25">
      <c r="A6612" s="74">
        <v>3544</v>
      </c>
      <c r="B6612" s="45" t="s">
        <v>664</v>
      </c>
      <c r="C6612" s="60" t="s">
        <v>6146</v>
      </c>
      <c r="D6612" s="60"/>
      <c r="E6612" s="74">
        <v>2023</v>
      </c>
      <c r="F6612" s="74" t="s">
        <v>489</v>
      </c>
      <c r="G6612" s="61">
        <v>1</v>
      </c>
      <c r="H6612" s="61">
        <v>10</v>
      </c>
      <c r="I6612" s="61">
        <v>36.486580000000004</v>
      </c>
    </row>
    <row r="6613" spans="1:9" s="71" customFormat="1" ht="24" hidden="1" customHeight="1" outlineLevel="1" x14ac:dyDescent="0.25">
      <c r="A6613" s="74">
        <v>3579</v>
      </c>
      <c r="B6613" s="45" t="s">
        <v>664</v>
      </c>
      <c r="C6613" s="60" t="s">
        <v>6147</v>
      </c>
      <c r="D6613" s="60"/>
      <c r="E6613" s="74">
        <v>2023</v>
      </c>
      <c r="F6613" s="74" t="s">
        <v>489</v>
      </c>
      <c r="G6613" s="61">
        <v>1</v>
      </c>
      <c r="H6613" s="61">
        <v>12</v>
      </c>
      <c r="I6613" s="61">
        <v>36.486580000000004</v>
      </c>
    </row>
    <row r="6614" spans="1:9" s="71" customFormat="1" ht="24" hidden="1" customHeight="1" outlineLevel="1" x14ac:dyDescent="0.25">
      <c r="A6614" s="74">
        <v>837</v>
      </c>
      <c r="B6614" s="45" t="s">
        <v>664</v>
      </c>
      <c r="C6614" s="60" t="s">
        <v>6148</v>
      </c>
      <c r="D6614" s="60"/>
      <c r="E6614" s="74">
        <v>2023</v>
      </c>
      <c r="F6614" s="74" t="s">
        <v>489</v>
      </c>
      <c r="G6614" s="61">
        <v>1</v>
      </c>
      <c r="H6614" s="61">
        <v>15</v>
      </c>
      <c r="I6614" s="61">
        <v>36.485519999999994</v>
      </c>
    </row>
    <row r="6615" spans="1:9" s="71" customFormat="1" ht="24" hidden="1" customHeight="1" outlineLevel="1" x14ac:dyDescent="0.25">
      <c r="A6615" s="74">
        <v>3582</v>
      </c>
      <c r="B6615" s="45" t="s">
        <v>664</v>
      </c>
      <c r="C6615" s="60" t="s">
        <v>6149</v>
      </c>
      <c r="D6615" s="60"/>
      <c r="E6615" s="74">
        <v>2023</v>
      </c>
      <c r="F6615" s="74" t="s">
        <v>489</v>
      </c>
      <c r="G6615" s="61">
        <v>1</v>
      </c>
      <c r="H6615" s="61">
        <v>15</v>
      </c>
      <c r="I6615" s="61">
        <v>36.48657</v>
      </c>
    </row>
    <row r="6616" spans="1:9" s="71" customFormat="1" ht="24" hidden="1" customHeight="1" outlineLevel="1" x14ac:dyDescent="0.25">
      <c r="A6616" s="74">
        <v>3603</v>
      </c>
      <c r="B6616" s="45" t="s">
        <v>664</v>
      </c>
      <c r="C6616" s="60" t="s">
        <v>6150</v>
      </c>
      <c r="D6616" s="60"/>
      <c r="E6616" s="74">
        <v>2023</v>
      </c>
      <c r="F6616" s="74" t="s">
        <v>489</v>
      </c>
      <c r="G6616" s="61">
        <v>1</v>
      </c>
      <c r="H6616" s="61">
        <v>14</v>
      </c>
      <c r="I6616" s="61">
        <v>36.48657</v>
      </c>
    </row>
    <row r="6617" spans="1:9" s="71" customFormat="1" ht="24" hidden="1" customHeight="1" outlineLevel="1" x14ac:dyDescent="0.25">
      <c r="A6617" s="74">
        <v>3581</v>
      </c>
      <c r="B6617" s="45" t="s">
        <v>664</v>
      </c>
      <c r="C6617" s="60" t="s">
        <v>6151</v>
      </c>
      <c r="D6617" s="60"/>
      <c r="E6617" s="74">
        <v>2023</v>
      </c>
      <c r="F6617" s="74" t="s">
        <v>489</v>
      </c>
      <c r="G6617" s="61">
        <v>1</v>
      </c>
      <c r="H6617" s="61">
        <v>15</v>
      </c>
      <c r="I6617" s="61">
        <v>36.48657</v>
      </c>
    </row>
    <row r="6618" spans="1:9" s="71" customFormat="1" ht="24" hidden="1" customHeight="1" outlineLevel="1" x14ac:dyDescent="0.25">
      <c r="A6618" s="74">
        <v>3598</v>
      </c>
      <c r="B6618" s="45" t="s">
        <v>664</v>
      </c>
      <c r="C6618" s="60" t="s">
        <v>6152</v>
      </c>
      <c r="D6618" s="60"/>
      <c r="E6618" s="74">
        <v>2023</v>
      </c>
      <c r="F6618" s="74" t="s">
        <v>489</v>
      </c>
      <c r="G6618" s="61">
        <v>1</v>
      </c>
      <c r="H6618" s="61">
        <v>15</v>
      </c>
      <c r="I6618" s="61">
        <v>36.486580000000004</v>
      </c>
    </row>
    <row r="6619" spans="1:9" s="71" customFormat="1" ht="24" hidden="1" customHeight="1" outlineLevel="1" x14ac:dyDescent="0.25">
      <c r="A6619" s="74">
        <v>3596</v>
      </c>
      <c r="B6619" s="45" t="s">
        <v>664</v>
      </c>
      <c r="C6619" s="60" t="s">
        <v>6153</v>
      </c>
      <c r="D6619" s="60"/>
      <c r="E6619" s="74">
        <v>2023</v>
      </c>
      <c r="F6619" s="74" t="s">
        <v>489</v>
      </c>
      <c r="G6619" s="61">
        <v>1</v>
      </c>
      <c r="H6619" s="61">
        <v>11</v>
      </c>
      <c r="I6619" s="61">
        <v>36.48657</v>
      </c>
    </row>
    <row r="6620" spans="1:9" s="71" customFormat="1" ht="24" hidden="1" customHeight="1" outlineLevel="1" x14ac:dyDescent="0.25">
      <c r="A6620" s="74">
        <v>3591</v>
      </c>
      <c r="B6620" s="45" t="s">
        <v>664</v>
      </c>
      <c r="C6620" s="60" t="s">
        <v>6154</v>
      </c>
      <c r="D6620" s="60"/>
      <c r="E6620" s="74">
        <v>2023</v>
      </c>
      <c r="F6620" s="74" t="s">
        <v>489</v>
      </c>
      <c r="G6620" s="61">
        <v>1</v>
      </c>
      <c r="H6620" s="61">
        <v>11</v>
      </c>
      <c r="I6620" s="61">
        <v>36.486580000000004</v>
      </c>
    </row>
    <row r="6621" spans="1:9" s="71" customFormat="1" ht="24" hidden="1" customHeight="1" outlineLevel="1" x14ac:dyDescent="0.25">
      <c r="A6621" s="74">
        <v>3643</v>
      </c>
      <c r="B6621" s="45" t="s">
        <v>664</v>
      </c>
      <c r="C6621" s="60" t="s">
        <v>6155</v>
      </c>
      <c r="D6621" s="60"/>
      <c r="E6621" s="74">
        <v>2023</v>
      </c>
      <c r="F6621" s="74" t="s">
        <v>489</v>
      </c>
      <c r="G6621" s="61">
        <v>1</v>
      </c>
      <c r="H6621" s="61">
        <v>15</v>
      </c>
      <c r="I6621" s="61">
        <v>36.48657</v>
      </c>
    </row>
    <row r="6622" spans="1:9" s="71" customFormat="1" ht="24" hidden="1" customHeight="1" outlineLevel="1" x14ac:dyDescent="0.25">
      <c r="A6622" s="74">
        <v>3641</v>
      </c>
      <c r="B6622" s="45" t="s">
        <v>664</v>
      </c>
      <c r="C6622" s="60" t="s">
        <v>6156</v>
      </c>
      <c r="D6622" s="60"/>
      <c r="E6622" s="74">
        <v>2023</v>
      </c>
      <c r="F6622" s="74" t="s">
        <v>489</v>
      </c>
      <c r="G6622" s="61">
        <v>1</v>
      </c>
      <c r="H6622" s="61">
        <v>11</v>
      </c>
      <c r="I6622" s="61">
        <v>36.486580000000004</v>
      </c>
    </row>
    <row r="6623" spans="1:9" s="71" customFormat="1" ht="24" hidden="1" customHeight="1" outlineLevel="1" x14ac:dyDescent="0.25">
      <c r="A6623" s="74">
        <v>3613</v>
      </c>
      <c r="B6623" s="45" t="s">
        <v>664</v>
      </c>
      <c r="C6623" s="60" t="s">
        <v>6157</v>
      </c>
      <c r="D6623" s="60"/>
      <c r="E6623" s="74">
        <v>2023</v>
      </c>
      <c r="F6623" s="74" t="s">
        <v>489</v>
      </c>
      <c r="G6623" s="61">
        <v>1</v>
      </c>
      <c r="H6623" s="61">
        <v>5</v>
      </c>
      <c r="I6623" s="61">
        <v>36.486620000000002</v>
      </c>
    </row>
    <row r="6624" spans="1:9" s="71" customFormat="1" ht="24" hidden="1" customHeight="1" outlineLevel="1" x14ac:dyDescent="0.25">
      <c r="A6624" s="74">
        <v>3601</v>
      </c>
      <c r="B6624" s="45" t="s">
        <v>664</v>
      </c>
      <c r="C6624" s="60" t="s">
        <v>6158</v>
      </c>
      <c r="D6624" s="60"/>
      <c r="E6624" s="74">
        <v>2023</v>
      </c>
      <c r="F6624" s="74" t="s">
        <v>489</v>
      </c>
      <c r="G6624" s="61">
        <v>1</v>
      </c>
      <c r="H6624" s="61">
        <v>15</v>
      </c>
      <c r="I6624" s="61">
        <v>36.48657</v>
      </c>
    </row>
    <row r="6625" spans="1:9" s="71" customFormat="1" ht="24" hidden="1" customHeight="1" outlineLevel="1" x14ac:dyDescent="0.25">
      <c r="A6625" s="74">
        <v>3648</v>
      </c>
      <c r="B6625" s="45" t="s">
        <v>664</v>
      </c>
      <c r="C6625" s="60" t="s">
        <v>6159</v>
      </c>
      <c r="D6625" s="60"/>
      <c r="E6625" s="74">
        <v>2023</v>
      </c>
      <c r="F6625" s="74" t="s">
        <v>489</v>
      </c>
      <c r="G6625" s="61">
        <v>1</v>
      </c>
      <c r="H6625" s="61">
        <v>14</v>
      </c>
      <c r="I6625" s="61">
        <v>36.486580000000004</v>
      </c>
    </row>
    <row r="6626" spans="1:9" s="71" customFormat="1" ht="24" hidden="1" customHeight="1" outlineLevel="1" x14ac:dyDescent="0.25">
      <c r="A6626" s="74">
        <v>3699</v>
      </c>
      <c r="B6626" s="45" t="s">
        <v>664</v>
      </c>
      <c r="C6626" s="60" t="s">
        <v>6160</v>
      </c>
      <c r="D6626" s="60"/>
      <c r="E6626" s="74">
        <v>2023</v>
      </c>
      <c r="F6626" s="74" t="s">
        <v>489</v>
      </c>
      <c r="G6626" s="61">
        <v>1</v>
      </c>
      <c r="H6626" s="61">
        <v>15</v>
      </c>
      <c r="I6626" s="61">
        <v>36.48657</v>
      </c>
    </row>
    <row r="6627" spans="1:9" s="71" customFormat="1" ht="24" hidden="1" customHeight="1" outlineLevel="1" x14ac:dyDescent="0.25">
      <c r="A6627" s="74">
        <v>3740</v>
      </c>
      <c r="B6627" s="45" t="s">
        <v>664</v>
      </c>
      <c r="C6627" s="60" t="s">
        <v>6161</v>
      </c>
      <c r="D6627" s="60"/>
      <c r="E6627" s="74">
        <v>2023</v>
      </c>
      <c r="F6627" s="74" t="s">
        <v>489</v>
      </c>
      <c r="G6627" s="61">
        <v>1</v>
      </c>
      <c r="H6627" s="61">
        <v>12</v>
      </c>
      <c r="I6627" s="61">
        <v>36.486580000000004</v>
      </c>
    </row>
    <row r="6628" spans="1:9" s="71" customFormat="1" ht="24" hidden="1" customHeight="1" outlineLevel="1" x14ac:dyDescent="0.25">
      <c r="A6628" s="74">
        <v>3802</v>
      </c>
      <c r="B6628" s="45" t="s">
        <v>664</v>
      </c>
      <c r="C6628" s="60" t="s">
        <v>6162</v>
      </c>
      <c r="D6628" s="60"/>
      <c r="E6628" s="74">
        <v>2023</v>
      </c>
      <c r="F6628" s="74" t="s">
        <v>489</v>
      </c>
      <c r="G6628" s="61">
        <v>1</v>
      </c>
      <c r="H6628" s="61">
        <v>15</v>
      </c>
      <c r="I6628" s="61">
        <v>13.787040000000001</v>
      </c>
    </row>
    <row r="6629" spans="1:9" s="71" customFormat="1" ht="24" hidden="1" customHeight="1" outlineLevel="1" x14ac:dyDescent="0.25">
      <c r="A6629" s="74">
        <v>553</v>
      </c>
      <c r="B6629" s="45" t="s">
        <v>664</v>
      </c>
      <c r="C6629" s="60" t="s">
        <v>6163</v>
      </c>
      <c r="D6629" s="60"/>
      <c r="E6629" s="74">
        <v>2023</v>
      </c>
      <c r="F6629" s="74" t="s">
        <v>489</v>
      </c>
      <c r="G6629" s="61">
        <v>1</v>
      </c>
      <c r="H6629" s="61">
        <v>15</v>
      </c>
      <c r="I6629" s="61">
        <v>36.48657</v>
      </c>
    </row>
    <row r="6630" spans="1:9" s="71" customFormat="1" ht="24" hidden="1" customHeight="1" outlineLevel="1" x14ac:dyDescent="0.25">
      <c r="A6630" s="74">
        <v>5123</v>
      </c>
      <c r="B6630" s="45" t="s">
        <v>664</v>
      </c>
      <c r="C6630" s="60" t="s">
        <v>6164</v>
      </c>
      <c r="D6630" s="60"/>
      <c r="E6630" s="74">
        <v>2023</v>
      </c>
      <c r="F6630" s="74" t="s">
        <v>489</v>
      </c>
      <c r="G6630" s="61">
        <v>1</v>
      </c>
      <c r="H6630" s="61">
        <v>2</v>
      </c>
      <c r="I6630" s="61">
        <v>36.859969999999997</v>
      </c>
    </row>
    <row r="6631" spans="1:9" s="71" customFormat="1" ht="24" hidden="1" customHeight="1" outlineLevel="1" x14ac:dyDescent="0.25">
      <c r="A6631" s="74">
        <v>5124</v>
      </c>
      <c r="B6631" s="45" t="s">
        <v>664</v>
      </c>
      <c r="C6631" s="60" t="s">
        <v>6165</v>
      </c>
      <c r="D6631" s="60"/>
      <c r="E6631" s="74">
        <v>2023</v>
      </c>
      <c r="F6631" s="74" t="s">
        <v>489</v>
      </c>
      <c r="G6631" s="61">
        <v>1</v>
      </c>
      <c r="H6631" s="61">
        <v>2</v>
      </c>
      <c r="I6631" s="61">
        <v>36.798090000000002</v>
      </c>
    </row>
    <row r="6632" spans="1:9" s="71" customFormat="1" ht="24" hidden="1" customHeight="1" outlineLevel="1" x14ac:dyDescent="0.25">
      <c r="A6632" s="74">
        <v>5125</v>
      </c>
      <c r="B6632" s="45" t="s">
        <v>664</v>
      </c>
      <c r="C6632" s="60" t="s">
        <v>6166</v>
      </c>
      <c r="D6632" s="60"/>
      <c r="E6632" s="74">
        <v>2023</v>
      </c>
      <c r="F6632" s="74" t="s">
        <v>489</v>
      </c>
      <c r="G6632" s="61">
        <v>1</v>
      </c>
      <c r="H6632" s="61">
        <v>2</v>
      </c>
      <c r="I6632" s="61">
        <v>37.159820000000003</v>
      </c>
    </row>
    <row r="6633" spans="1:9" s="71" customFormat="1" ht="24" hidden="1" customHeight="1" outlineLevel="1" x14ac:dyDescent="0.25">
      <c r="A6633" s="74">
        <v>5126</v>
      </c>
      <c r="B6633" s="45" t="s">
        <v>664</v>
      </c>
      <c r="C6633" s="60" t="s">
        <v>6167</v>
      </c>
      <c r="D6633" s="60"/>
      <c r="E6633" s="74">
        <v>2023</v>
      </c>
      <c r="F6633" s="74" t="s">
        <v>489</v>
      </c>
      <c r="G6633" s="61">
        <v>1</v>
      </c>
      <c r="H6633" s="61">
        <v>6.2</v>
      </c>
      <c r="I6633" s="61">
        <v>37.396660000000004</v>
      </c>
    </row>
    <row r="6634" spans="1:9" s="71" customFormat="1" ht="24" hidden="1" customHeight="1" outlineLevel="1" x14ac:dyDescent="0.25">
      <c r="A6634" s="74">
        <v>5127</v>
      </c>
      <c r="B6634" s="45" t="s">
        <v>664</v>
      </c>
      <c r="C6634" s="60" t="s">
        <v>6168</v>
      </c>
      <c r="D6634" s="60"/>
      <c r="E6634" s="74">
        <v>2023</v>
      </c>
      <c r="F6634" s="74" t="s">
        <v>489</v>
      </c>
      <c r="G6634" s="61">
        <v>1</v>
      </c>
      <c r="H6634" s="61">
        <v>2</v>
      </c>
      <c r="I6634" s="61">
        <v>37.100010000000005</v>
      </c>
    </row>
    <row r="6635" spans="1:9" s="71" customFormat="1" ht="24" hidden="1" customHeight="1" outlineLevel="1" x14ac:dyDescent="0.25">
      <c r="A6635" s="74">
        <v>5128</v>
      </c>
      <c r="B6635" s="45" t="s">
        <v>664</v>
      </c>
      <c r="C6635" s="60" t="s">
        <v>6169</v>
      </c>
      <c r="D6635" s="60"/>
      <c r="E6635" s="74">
        <v>2023</v>
      </c>
      <c r="F6635" s="74" t="s">
        <v>489</v>
      </c>
      <c r="G6635" s="61">
        <v>1</v>
      </c>
      <c r="H6635" s="61">
        <v>2</v>
      </c>
      <c r="I6635" s="61">
        <v>37.443690000000004</v>
      </c>
    </row>
    <row r="6636" spans="1:9" s="71" customFormat="1" ht="24" hidden="1" customHeight="1" outlineLevel="1" x14ac:dyDescent="0.25">
      <c r="A6636" s="74">
        <v>5129</v>
      </c>
      <c r="B6636" s="45" t="s">
        <v>664</v>
      </c>
      <c r="C6636" s="60" t="s">
        <v>6170</v>
      </c>
      <c r="D6636" s="60"/>
      <c r="E6636" s="74">
        <v>2023</v>
      </c>
      <c r="F6636" s="74" t="s">
        <v>489</v>
      </c>
      <c r="G6636" s="61">
        <v>1</v>
      </c>
      <c r="H6636" s="61">
        <v>2</v>
      </c>
      <c r="I6636" s="61">
        <v>42.208000000000006</v>
      </c>
    </row>
    <row r="6637" spans="1:9" s="71" customFormat="1" ht="24" hidden="1" customHeight="1" outlineLevel="1" x14ac:dyDescent="0.25">
      <c r="A6637" s="74">
        <v>5130</v>
      </c>
      <c r="B6637" s="45" t="s">
        <v>664</v>
      </c>
      <c r="C6637" s="60" t="s">
        <v>6171</v>
      </c>
      <c r="D6637" s="60"/>
      <c r="E6637" s="74">
        <v>2023</v>
      </c>
      <c r="F6637" s="74" t="s">
        <v>489</v>
      </c>
      <c r="G6637" s="61">
        <v>1</v>
      </c>
      <c r="H6637" s="61">
        <v>2</v>
      </c>
      <c r="I6637" s="61">
        <v>40.661099999999998</v>
      </c>
    </row>
    <row r="6638" spans="1:9" s="71" customFormat="1" ht="24" hidden="1" customHeight="1" outlineLevel="1" x14ac:dyDescent="0.25">
      <c r="A6638" s="74">
        <v>5131</v>
      </c>
      <c r="B6638" s="45" t="s">
        <v>664</v>
      </c>
      <c r="C6638" s="60" t="s">
        <v>6172</v>
      </c>
      <c r="D6638" s="60"/>
      <c r="E6638" s="74">
        <v>2023</v>
      </c>
      <c r="F6638" s="74" t="s">
        <v>489</v>
      </c>
      <c r="G6638" s="61">
        <v>1</v>
      </c>
      <c r="H6638" s="61">
        <v>2</v>
      </c>
      <c r="I6638" s="61">
        <v>37.415839999999996</v>
      </c>
    </row>
    <row r="6639" spans="1:9" s="71" customFormat="1" ht="24" hidden="1" customHeight="1" outlineLevel="1" x14ac:dyDescent="0.25">
      <c r="A6639" s="74">
        <v>5132</v>
      </c>
      <c r="B6639" s="45" t="s">
        <v>664</v>
      </c>
      <c r="C6639" s="60" t="s">
        <v>6173</v>
      </c>
      <c r="D6639" s="60"/>
      <c r="E6639" s="74">
        <v>2023</v>
      </c>
      <c r="F6639" s="74" t="s">
        <v>489</v>
      </c>
      <c r="G6639" s="61">
        <v>1</v>
      </c>
      <c r="H6639" s="61">
        <v>2</v>
      </c>
      <c r="I6639" s="61">
        <v>38.815889999999996</v>
      </c>
    </row>
    <row r="6640" spans="1:9" s="71" customFormat="1" ht="24" hidden="1" customHeight="1" outlineLevel="1" x14ac:dyDescent="0.25">
      <c r="A6640" s="74">
        <v>5133</v>
      </c>
      <c r="B6640" s="45" t="s">
        <v>664</v>
      </c>
      <c r="C6640" s="60" t="s">
        <v>6174</v>
      </c>
      <c r="D6640" s="60"/>
      <c r="E6640" s="74">
        <v>2023</v>
      </c>
      <c r="F6640" s="74" t="s">
        <v>489</v>
      </c>
      <c r="G6640" s="61">
        <v>1</v>
      </c>
      <c r="H6640" s="61">
        <v>2</v>
      </c>
      <c r="I6640" s="61">
        <v>39.720330000000004</v>
      </c>
    </row>
    <row r="6641" spans="1:9" s="71" customFormat="1" ht="24" hidden="1" customHeight="1" outlineLevel="1" x14ac:dyDescent="0.25">
      <c r="A6641" s="74">
        <v>5134</v>
      </c>
      <c r="B6641" s="45" t="s">
        <v>664</v>
      </c>
      <c r="C6641" s="60" t="s">
        <v>6175</v>
      </c>
      <c r="D6641" s="60"/>
      <c r="E6641" s="74">
        <v>2023</v>
      </c>
      <c r="F6641" s="74" t="s">
        <v>489</v>
      </c>
      <c r="G6641" s="61">
        <v>1</v>
      </c>
      <c r="H6641" s="61">
        <v>2</v>
      </c>
      <c r="I6641" s="61">
        <v>40.858330000000002</v>
      </c>
    </row>
    <row r="6642" spans="1:9" s="71" customFormat="1" ht="24" hidden="1" customHeight="1" outlineLevel="1" x14ac:dyDescent="0.25">
      <c r="A6642" s="74">
        <v>5135</v>
      </c>
      <c r="B6642" s="45" t="s">
        <v>664</v>
      </c>
      <c r="C6642" s="60" t="s">
        <v>6176</v>
      </c>
      <c r="D6642" s="60"/>
      <c r="E6642" s="74">
        <v>2023</v>
      </c>
      <c r="F6642" s="74" t="s">
        <v>489</v>
      </c>
      <c r="G6642" s="61">
        <v>1</v>
      </c>
      <c r="H6642" s="61">
        <v>2</v>
      </c>
      <c r="I6642" s="61">
        <v>37.23742</v>
      </c>
    </row>
    <row r="6643" spans="1:9" s="71" customFormat="1" ht="24" hidden="1" customHeight="1" outlineLevel="1" x14ac:dyDescent="0.25">
      <c r="A6643" s="74">
        <v>1295</v>
      </c>
      <c r="B6643" s="45" t="s">
        <v>664</v>
      </c>
      <c r="C6643" s="60" t="s">
        <v>6177</v>
      </c>
      <c r="D6643" s="60"/>
      <c r="E6643" s="74">
        <v>2023</v>
      </c>
      <c r="F6643" s="74" t="s">
        <v>489</v>
      </c>
      <c r="G6643" s="61">
        <v>1</v>
      </c>
      <c r="H6643" s="61">
        <v>7</v>
      </c>
      <c r="I6643" s="61">
        <v>37.11159</v>
      </c>
    </row>
    <row r="6644" spans="1:9" s="71" customFormat="1" ht="24" hidden="1" customHeight="1" outlineLevel="1" x14ac:dyDescent="0.25">
      <c r="A6644" s="74">
        <v>5138</v>
      </c>
      <c r="B6644" s="45" t="s">
        <v>664</v>
      </c>
      <c r="C6644" s="60" t="s">
        <v>6178</v>
      </c>
      <c r="D6644" s="60"/>
      <c r="E6644" s="74">
        <v>2023</v>
      </c>
      <c r="F6644" s="74" t="s">
        <v>489</v>
      </c>
      <c r="G6644" s="61">
        <v>1</v>
      </c>
      <c r="H6644" s="61">
        <v>15</v>
      </c>
      <c r="I6644" s="61">
        <v>36.852339999999998</v>
      </c>
    </row>
    <row r="6645" spans="1:9" s="71" customFormat="1" ht="24" hidden="1" customHeight="1" outlineLevel="1" x14ac:dyDescent="0.25">
      <c r="A6645" s="74">
        <v>5141</v>
      </c>
      <c r="B6645" s="45" t="s">
        <v>664</v>
      </c>
      <c r="C6645" s="60" t="s">
        <v>6179</v>
      </c>
      <c r="D6645" s="60"/>
      <c r="E6645" s="74">
        <v>2023</v>
      </c>
      <c r="F6645" s="74" t="s">
        <v>489</v>
      </c>
      <c r="G6645" s="61">
        <v>1</v>
      </c>
      <c r="H6645" s="61">
        <v>10</v>
      </c>
      <c r="I6645" s="61">
        <v>36.550309999999996</v>
      </c>
    </row>
    <row r="6646" spans="1:9" s="71" customFormat="1" ht="24" hidden="1" customHeight="1" outlineLevel="1" x14ac:dyDescent="0.25">
      <c r="A6646" s="74">
        <v>1074</v>
      </c>
      <c r="B6646" s="45" t="s">
        <v>664</v>
      </c>
      <c r="C6646" s="60" t="s">
        <v>6180</v>
      </c>
      <c r="D6646" s="60"/>
      <c r="E6646" s="74">
        <v>2023</v>
      </c>
      <c r="F6646" s="74" t="s">
        <v>489</v>
      </c>
      <c r="G6646" s="61">
        <v>1</v>
      </c>
      <c r="H6646" s="61">
        <v>15</v>
      </c>
      <c r="I6646" s="61">
        <v>36.646949999999997</v>
      </c>
    </row>
    <row r="6647" spans="1:9" s="71" customFormat="1" ht="24" hidden="1" customHeight="1" outlineLevel="1" x14ac:dyDescent="0.25">
      <c r="A6647" s="74">
        <v>3516</v>
      </c>
      <c r="B6647" s="45" t="s">
        <v>664</v>
      </c>
      <c r="C6647" s="60" t="s">
        <v>6181</v>
      </c>
      <c r="D6647" s="60"/>
      <c r="E6647" s="74">
        <v>2023</v>
      </c>
      <c r="F6647" s="74" t="s">
        <v>489</v>
      </c>
      <c r="G6647" s="61">
        <v>1</v>
      </c>
      <c r="H6647" s="61">
        <v>10</v>
      </c>
      <c r="I6647" s="61">
        <v>36.297110000000004</v>
      </c>
    </row>
    <row r="6648" spans="1:9" s="71" customFormat="1" ht="24" hidden="1" customHeight="1" outlineLevel="1" x14ac:dyDescent="0.25">
      <c r="A6648" s="74">
        <v>888</v>
      </c>
      <c r="B6648" s="45" t="s">
        <v>664</v>
      </c>
      <c r="C6648" s="60" t="s">
        <v>6182</v>
      </c>
      <c r="D6648" s="60"/>
      <c r="E6648" s="74">
        <v>2023</v>
      </c>
      <c r="F6648" s="74" t="s">
        <v>489</v>
      </c>
      <c r="G6648" s="61">
        <v>1</v>
      </c>
      <c r="H6648" s="61">
        <v>15</v>
      </c>
      <c r="I6648" s="61">
        <v>38.387169999999998</v>
      </c>
    </row>
    <row r="6649" spans="1:9" s="71" customFormat="1" ht="24" hidden="1" customHeight="1" outlineLevel="1" x14ac:dyDescent="0.25">
      <c r="A6649" s="74">
        <v>3514</v>
      </c>
      <c r="B6649" s="45" t="s">
        <v>664</v>
      </c>
      <c r="C6649" s="60" t="s">
        <v>6183</v>
      </c>
      <c r="D6649" s="60"/>
      <c r="E6649" s="74">
        <v>2023</v>
      </c>
      <c r="F6649" s="74" t="s">
        <v>489</v>
      </c>
      <c r="G6649" s="61">
        <v>1</v>
      </c>
      <c r="H6649" s="61">
        <v>15</v>
      </c>
      <c r="I6649" s="61">
        <v>36.646949999999997</v>
      </c>
    </row>
    <row r="6650" spans="1:9" s="71" customFormat="1" ht="24" hidden="1" customHeight="1" outlineLevel="1" x14ac:dyDescent="0.25">
      <c r="A6650" s="74">
        <v>5142</v>
      </c>
      <c r="B6650" s="45" t="s">
        <v>664</v>
      </c>
      <c r="C6650" s="60" t="s">
        <v>6184</v>
      </c>
      <c r="D6650" s="60"/>
      <c r="E6650" s="74">
        <v>2023</v>
      </c>
      <c r="F6650" s="74" t="s">
        <v>489</v>
      </c>
      <c r="G6650" s="61">
        <v>1</v>
      </c>
      <c r="H6650" s="61">
        <v>40</v>
      </c>
      <c r="I6650" s="61">
        <v>36.5503</v>
      </c>
    </row>
    <row r="6651" spans="1:9" s="71" customFormat="1" ht="24" hidden="1" customHeight="1" outlineLevel="1" x14ac:dyDescent="0.25">
      <c r="A6651" s="74">
        <v>3458</v>
      </c>
      <c r="B6651" s="45" t="s">
        <v>664</v>
      </c>
      <c r="C6651" s="60" t="s">
        <v>6185</v>
      </c>
      <c r="D6651" s="60"/>
      <c r="E6651" s="74">
        <v>2023</v>
      </c>
      <c r="F6651" s="74" t="s">
        <v>489</v>
      </c>
      <c r="G6651" s="61">
        <v>1</v>
      </c>
      <c r="H6651" s="61">
        <v>10</v>
      </c>
      <c r="I6651" s="61">
        <v>36.646949999999997</v>
      </c>
    </row>
    <row r="6652" spans="1:9" s="71" customFormat="1" ht="24" hidden="1" customHeight="1" outlineLevel="1" x14ac:dyDescent="0.25">
      <c r="A6652" s="74">
        <v>3566</v>
      </c>
      <c r="B6652" s="45" t="s">
        <v>664</v>
      </c>
      <c r="C6652" s="60" t="s">
        <v>6186</v>
      </c>
      <c r="D6652" s="60"/>
      <c r="E6652" s="74">
        <v>2023</v>
      </c>
      <c r="F6652" s="74" t="s">
        <v>489</v>
      </c>
      <c r="G6652" s="61">
        <v>1</v>
      </c>
      <c r="H6652" s="61">
        <v>10</v>
      </c>
      <c r="I6652" s="61">
        <v>36.64696</v>
      </c>
    </row>
    <row r="6653" spans="1:9" s="71" customFormat="1" ht="24" hidden="1" customHeight="1" outlineLevel="1" x14ac:dyDescent="0.25">
      <c r="A6653" s="74">
        <v>3568</v>
      </c>
      <c r="B6653" s="45" t="s">
        <v>664</v>
      </c>
      <c r="C6653" s="60" t="s">
        <v>6187</v>
      </c>
      <c r="D6653" s="60"/>
      <c r="E6653" s="74">
        <v>2023</v>
      </c>
      <c r="F6653" s="74" t="s">
        <v>489</v>
      </c>
      <c r="G6653" s="61">
        <v>1</v>
      </c>
      <c r="H6653" s="61">
        <v>15</v>
      </c>
      <c r="I6653" s="61">
        <v>36.646949999999997</v>
      </c>
    </row>
    <row r="6654" spans="1:9" s="71" customFormat="1" ht="24" hidden="1" customHeight="1" outlineLevel="1" x14ac:dyDescent="0.25">
      <c r="A6654" s="74">
        <v>3570</v>
      </c>
      <c r="B6654" s="45" t="s">
        <v>664</v>
      </c>
      <c r="C6654" s="60" t="s">
        <v>6188</v>
      </c>
      <c r="D6654" s="60"/>
      <c r="E6654" s="74">
        <v>2023</v>
      </c>
      <c r="F6654" s="74" t="s">
        <v>489</v>
      </c>
      <c r="G6654" s="61">
        <v>1</v>
      </c>
      <c r="H6654" s="61">
        <v>5</v>
      </c>
      <c r="I6654" s="61">
        <v>36.64696</v>
      </c>
    </row>
    <row r="6655" spans="1:9" s="71" customFormat="1" ht="24" hidden="1" customHeight="1" outlineLevel="1" x14ac:dyDescent="0.25">
      <c r="A6655" s="74">
        <v>3620</v>
      </c>
      <c r="B6655" s="45" t="s">
        <v>664</v>
      </c>
      <c r="C6655" s="60" t="s">
        <v>6189</v>
      </c>
      <c r="D6655" s="60"/>
      <c r="E6655" s="74">
        <v>2023</v>
      </c>
      <c r="F6655" s="74" t="s">
        <v>489</v>
      </c>
      <c r="G6655" s="61">
        <v>1</v>
      </c>
      <c r="H6655" s="61">
        <v>15</v>
      </c>
      <c r="I6655" s="61">
        <v>36.646949999999997</v>
      </c>
    </row>
    <row r="6656" spans="1:9" s="71" customFormat="1" ht="24" hidden="1" customHeight="1" outlineLevel="1" x14ac:dyDescent="0.25">
      <c r="A6656" s="74">
        <v>3656</v>
      </c>
      <c r="B6656" s="45" t="s">
        <v>664</v>
      </c>
      <c r="C6656" s="60" t="s">
        <v>6190</v>
      </c>
      <c r="D6656" s="60"/>
      <c r="E6656" s="74">
        <v>2023</v>
      </c>
      <c r="F6656" s="74" t="s">
        <v>489</v>
      </c>
      <c r="G6656" s="61">
        <v>1</v>
      </c>
      <c r="H6656" s="61">
        <v>15</v>
      </c>
      <c r="I6656" s="61">
        <v>36.900169999999996</v>
      </c>
    </row>
    <row r="6657" spans="1:9" s="71" customFormat="1" ht="24" hidden="1" customHeight="1" outlineLevel="1" x14ac:dyDescent="0.25">
      <c r="A6657" s="74">
        <v>3694</v>
      </c>
      <c r="B6657" s="45" t="s">
        <v>664</v>
      </c>
      <c r="C6657" s="60" t="s">
        <v>6191</v>
      </c>
      <c r="D6657" s="60"/>
      <c r="E6657" s="74">
        <v>2023</v>
      </c>
      <c r="F6657" s="74" t="s">
        <v>489</v>
      </c>
      <c r="G6657" s="61">
        <v>1</v>
      </c>
      <c r="H6657" s="61">
        <v>15</v>
      </c>
      <c r="I6657" s="61">
        <v>37.058160000000008</v>
      </c>
    </row>
    <row r="6658" spans="1:9" s="71" customFormat="1" ht="24" hidden="1" customHeight="1" outlineLevel="1" x14ac:dyDescent="0.25">
      <c r="A6658" s="74">
        <v>3722</v>
      </c>
      <c r="B6658" s="45" t="s">
        <v>664</v>
      </c>
      <c r="C6658" s="60" t="s">
        <v>6192</v>
      </c>
      <c r="D6658" s="60"/>
      <c r="E6658" s="74">
        <v>2023</v>
      </c>
      <c r="F6658" s="74" t="s">
        <v>489</v>
      </c>
      <c r="G6658" s="61">
        <v>1</v>
      </c>
      <c r="H6658" s="61">
        <v>15</v>
      </c>
      <c r="I6658" s="61">
        <v>37.311340000000001</v>
      </c>
    </row>
    <row r="6659" spans="1:9" s="71" customFormat="1" ht="24" hidden="1" customHeight="1" outlineLevel="1" x14ac:dyDescent="0.25">
      <c r="A6659" s="74">
        <v>3762</v>
      </c>
      <c r="B6659" s="45" t="s">
        <v>664</v>
      </c>
      <c r="C6659" s="60" t="s">
        <v>6193</v>
      </c>
      <c r="D6659" s="60"/>
      <c r="E6659" s="74">
        <v>2023</v>
      </c>
      <c r="F6659" s="74" t="s">
        <v>489</v>
      </c>
      <c r="G6659" s="61">
        <v>1</v>
      </c>
      <c r="H6659" s="61">
        <v>15</v>
      </c>
      <c r="I6659" s="61">
        <v>37.058149999999998</v>
      </c>
    </row>
    <row r="6660" spans="1:9" s="71" customFormat="1" ht="24" hidden="1" customHeight="1" outlineLevel="1" x14ac:dyDescent="0.25">
      <c r="A6660" s="74">
        <v>5145</v>
      </c>
      <c r="B6660" s="45" t="s">
        <v>664</v>
      </c>
      <c r="C6660" s="60" t="s">
        <v>6194</v>
      </c>
      <c r="D6660" s="60"/>
      <c r="E6660" s="74">
        <v>2023</v>
      </c>
      <c r="F6660" s="74" t="s">
        <v>489</v>
      </c>
      <c r="G6660" s="61">
        <v>1</v>
      </c>
      <c r="H6660" s="61">
        <v>2</v>
      </c>
      <c r="I6660" s="61">
        <v>38.687900000000006</v>
      </c>
    </row>
    <row r="6661" spans="1:9" s="71" customFormat="1" ht="24" hidden="1" customHeight="1" outlineLevel="1" x14ac:dyDescent="0.25">
      <c r="A6661" s="74">
        <v>3923</v>
      </c>
      <c r="B6661" s="45" t="s">
        <v>664</v>
      </c>
      <c r="C6661" s="60" t="s">
        <v>6195</v>
      </c>
      <c r="D6661" s="60"/>
      <c r="E6661" s="74">
        <v>2023</v>
      </c>
      <c r="F6661" s="74" t="s">
        <v>489</v>
      </c>
      <c r="G6661" s="61">
        <v>1</v>
      </c>
      <c r="H6661" s="61">
        <v>15</v>
      </c>
      <c r="I6661" s="61">
        <v>36.623139999999999</v>
      </c>
    </row>
    <row r="6662" spans="1:9" s="71" customFormat="1" ht="24" hidden="1" customHeight="1" outlineLevel="1" x14ac:dyDescent="0.25">
      <c r="A6662" s="74">
        <v>391</v>
      </c>
      <c r="B6662" s="45" t="s">
        <v>664</v>
      </c>
      <c r="C6662" s="60" t="s">
        <v>6196</v>
      </c>
      <c r="D6662" s="60"/>
      <c r="E6662" s="74">
        <v>2023</v>
      </c>
      <c r="F6662" s="74" t="s">
        <v>489</v>
      </c>
      <c r="G6662" s="61">
        <v>1</v>
      </c>
      <c r="H6662" s="61">
        <v>11</v>
      </c>
      <c r="I6662" s="61">
        <v>39.320889999999999</v>
      </c>
    </row>
    <row r="6663" spans="1:9" s="71" customFormat="1" ht="24" hidden="1" customHeight="1" outlineLevel="1" x14ac:dyDescent="0.25">
      <c r="A6663" s="74">
        <v>5146</v>
      </c>
      <c r="B6663" s="45" t="s">
        <v>664</v>
      </c>
      <c r="C6663" s="60" t="s">
        <v>6197</v>
      </c>
      <c r="D6663" s="60"/>
      <c r="E6663" s="74">
        <v>2023</v>
      </c>
      <c r="F6663" s="74" t="s">
        <v>489</v>
      </c>
      <c r="G6663" s="61">
        <v>1</v>
      </c>
      <c r="H6663" s="61">
        <v>95</v>
      </c>
      <c r="I6663" s="61">
        <v>40.887230000000002</v>
      </c>
    </row>
    <row r="6664" spans="1:9" s="71" customFormat="1" ht="24" hidden="1" customHeight="1" outlineLevel="1" x14ac:dyDescent="0.25">
      <c r="A6664" s="74">
        <v>5147</v>
      </c>
      <c r="B6664" s="45" t="s">
        <v>664</v>
      </c>
      <c r="C6664" s="60" t="s">
        <v>6198</v>
      </c>
      <c r="D6664" s="60"/>
      <c r="E6664" s="74">
        <v>2023</v>
      </c>
      <c r="F6664" s="74" t="s">
        <v>489</v>
      </c>
      <c r="G6664" s="61">
        <v>1</v>
      </c>
      <c r="H6664" s="61">
        <v>130</v>
      </c>
      <c r="I6664" s="61">
        <v>42.361199999999997</v>
      </c>
    </row>
    <row r="6665" spans="1:9" s="71" customFormat="1" ht="24" hidden="1" customHeight="1" outlineLevel="1" x14ac:dyDescent="0.25">
      <c r="A6665" s="74">
        <v>1628</v>
      </c>
      <c r="B6665" s="45" t="s">
        <v>664</v>
      </c>
      <c r="C6665" s="60" t="s">
        <v>6199</v>
      </c>
      <c r="D6665" s="60"/>
      <c r="E6665" s="74">
        <v>2023</v>
      </c>
      <c r="F6665" s="74" t="s">
        <v>489</v>
      </c>
      <c r="G6665" s="61">
        <v>1</v>
      </c>
      <c r="H6665" s="61">
        <v>12</v>
      </c>
      <c r="I6665" s="61">
        <v>14.04025</v>
      </c>
    </row>
    <row r="6666" spans="1:9" s="71" customFormat="1" ht="24" hidden="1" customHeight="1" outlineLevel="1" x14ac:dyDescent="0.25">
      <c r="A6666" s="74">
        <v>507</v>
      </c>
      <c r="B6666" s="45" t="s">
        <v>664</v>
      </c>
      <c r="C6666" s="60" t="s">
        <v>6200</v>
      </c>
      <c r="D6666" s="60"/>
      <c r="E6666" s="74">
        <v>2023</v>
      </c>
      <c r="F6666" s="74" t="s">
        <v>489</v>
      </c>
      <c r="G6666" s="61">
        <v>1</v>
      </c>
      <c r="H6666" s="61">
        <v>45</v>
      </c>
      <c r="I6666" s="61">
        <v>115.20536000000001</v>
      </c>
    </row>
    <row r="6667" spans="1:9" s="71" customFormat="1" ht="24" hidden="1" customHeight="1" outlineLevel="1" x14ac:dyDescent="0.25">
      <c r="A6667" s="74">
        <v>5030</v>
      </c>
      <c r="B6667" s="45" t="s">
        <v>664</v>
      </c>
      <c r="C6667" s="60" t="s">
        <v>6201</v>
      </c>
      <c r="D6667" s="60"/>
      <c r="E6667" s="74">
        <v>2023</v>
      </c>
      <c r="F6667" s="74" t="s">
        <v>489</v>
      </c>
      <c r="G6667" s="61">
        <v>1</v>
      </c>
      <c r="H6667" s="61">
        <v>15</v>
      </c>
      <c r="I6667" s="61">
        <v>66.58717</v>
      </c>
    </row>
    <row r="6668" spans="1:9" s="71" customFormat="1" ht="24" hidden="1" customHeight="1" outlineLevel="1" x14ac:dyDescent="0.25">
      <c r="A6668" s="74">
        <v>3989</v>
      </c>
      <c r="B6668" s="45" t="s">
        <v>664</v>
      </c>
      <c r="C6668" s="60" t="s">
        <v>6202</v>
      </c>
      <c r="D6668" s="60"/>
      <c r="E6668" s="74">
        <v>2023</v>
      </c>
      <c r="F6668" s="74" t="s">
        <v>489</v>
      </c>
      <c r="G6668" s="61">
        <v>1</v>
      </c>
      <c r="H6668" s="61">
        <v>15</v>
      </c>
      <c r="I6668" s="61">
        <v>54.760059999999996</v>
      </c>
    </row>
    <row r="6669" spans="1:9" s="71" customFormat="1" ht="24" hidden="1" customHeight="1" outlineLevel="1" x14ac:dyDescent="0.25">
      <c r="A6669" s="74">
        <v>3984</v>
      </c>
      <c r="B6669" s="45" t="s">
        <v>664</v>
      </c>
      <c r="C6669" s="60" t="s">
        <v>6203</v>
      </c>
      <c r="D6669" s="60"/>
      <c r="E6669" s="74">
        <v>2023</v>
      </c>
      <c r="F6669" s="74" t="s">
        <v>489</v>
      </c>
      <c r="G6669" s="61">
        <v>1</v>
      </c>
      <c r="H6669" s="61">
        <v>15</v>
      </c>
      <c r="I6669" s="61">
        <v>72.18768</v>
      </c>
    </row>
    <row r="6670" spans="1:9" s="71" customFormat="1" ht="24" hidden="1" customHeight="1" outlineLevel="1" x14ac:dyDescent="0.25">
      <c r="A6670" s="74">
        <v>784</v>
      </c>
      <c r="B6670" s="45" t="s">
        <v>664</v>
      </c>
      <c r="C6670" s="60" t="s">
        <v>6204</v>
      </c>
      <c r="D6670" s="60"/>
      <c r="E6670" s="74">
        <v>2023</v>
      </c>
      <c r="F6670" s="74" t="s">
        <v>489</v>
      </c>
      <c r="G6670" s="61">
        <v>1</v>
      </c>
      <c r="H6670" s="61">
        <v>15</v>
      </c>
      <c r="I6670" s="61">
        <v>68.723179999999999</v>
      </c>
    </row>
    <row r="6671" spans="1:9" s="71" customFormat="1" ht="24" hidden="1" customHeight="1" outlineLevel="1" x14ac:dyDescent="0.25">
      <c r="A6671" s="74">
        <v>897</v>
      </c>
      <c r="B6671" s="45" t="s">
        <v>664</v>
      </c>
      <c r="C6671" s="60" t="s">
        <v>6205</v>
      </c>
      <c r="D6671" s="60"/>
      <c r="E6671" s="74">
        <v>2023</v>
      </c>
      <c r="F6671" s="74" t="s">
        <v>489</v>
      </c>
      <c r="G6671" s="61">
        <v>1</v>
      </c>
      <c r="H6671" s="61">
        <v>15</v>
      </c>
      <c r="I6671" s="61">
        <v>142.88650999999999</v>
      </c>
    </row>
    <row r="6672" spans="1:9" s="71" customFormat="1" ht="24" hidden="1" customHeight="1" outlineLevel="1" x14ac:dyDescent="0.25">
      <c r="A6672" s="74">
        <v>1111</v>
      </c>
      <c r="B6672" s="45" t="s">
        <v>664</v>
      </c>
      <c r="C6672" s="60" t="s">
        <v>6206</v>
      </c>
      <c r="D6672" s="60"/>
      <c r="E6672" s="74">
        <v>2023</v>
      </c>
      <c r="F6672" s="74" t="s">
        <v>489</v>
      </c>
      <c r="G6672" s="61">
        <v>2</v>
      </c>
      <c r="H6672" s="61">
        <v>12</v>
      </c>
      <c r="I6672" s="61">
        <v>206.27042</v>
      </c>
    </row>
    <row r="6673" spans="1:9" s="71" customFormat="1" ht="24" hidden="1" customHeight="1" outlineLevel="1" x14ac:dyDescent="0.25">
      <c r="A6673" s="74">
        <v>1203</v>
      </c>
      <c r="B6673" s="45" t="s">
        <v>664</v>
      </c>
      <c r="C6673" s="60" t="s">
        <v>6207</v>
      </c>
      <c r="D6673" s="60"/>
      <c r="E6673" s="74">
        <v>2023</v>
      </c>
      <c r="F6673" s="74" t="s">
        <v>489</v>
      </c>
      <c r="G6673" s="61">
        <v>1</v>
      </c>
      <c r="H6673" s="61">
        <v>15</v>
      </c>
      <c r="I6673" s="61">
        <v>150.98987</v>
      </c>
    </row>
    <row r="6674" spans="1:9" s="71" customFormat="1" ht="24" hidden="1" customHeight="1" outlineLevel="1" x14ac:dyDescent="0.25">
      <c r="A6674" s="74">
        <v>870</v>
      </c>
      <c r="B6674" s="45" t="s">
        <v>664</v>
      </c>
      <c r="C6674" s="60" t="s">
        <v>6208</v>
      </c>
      <c r="D6674" s="60"/>
      <c r="E6674" s="74">
        <v>2023</v>
      </c>
      <c r="F6674" s="74" t="s">
        <v>489</v>
      </c>
      <c r="G6674" s="61">
        <v>1</v>
      </c>
      <c r="H6674" s="61">
        <v>57</v>
      </c>
      <c r="I6674" s="61">
        <v>108.09062</v>
      </c>
    </row>
    <row r="6675" spans="1:9" s="71" customFormat="1" ht="24" hidden="1" customHeight="1" outlineLevel="1" x14ac:dyDescent="0.25">
      <c r="A6675" s="74">
        <v>1193</v>
      </c>
      <c r="B6675" s="45" t="s">
        <v>664</v>
      </c>
      <c r="C6675" s="60" t="s">
        <v>6209</v>
      </c>
      <c r="D6675" s="60"/>
      <c r="E6675" s="74">
        <v>2023</v>
      </c>
      <c r="F6675" s="74" t="s">
        <v>489</v>
      </c>
      <c r="G6675" s="61">
        <v>1</v>
      </c>
      <c r="H6675" s="61">
        <v>5</v>
      </c>
      <c r="I6675" s="61">
        <v>36.264360000000003</v>
      </c>
    </row>
    <row r="6676" spans="1:9" s="71" customFormat="1" ht="24" hidden="1" customHeight="1" outlineLevel="1" x14ac:dyDescent="0.25">
      <c r="A6676" s="74">
        <v>5022</v>
      </c>
      <c r="B6676" s="45" t="s">
        <v>664</v>
      </c>
      <c r="C6676" s="60" t="s">
        <v>6210</v>
      </c>
      <c r="D6676" s="60"/>
      <c r="E6676" s="74">
        <v>2023</v>
      </c>
      <c r="F6676" s="74" t="s">
        <v>489</v>
      </c>
      <c r="G6676" s="61">
        <v>1</v>
      </c>
      <c r="H6676" s="61">
        <v>14</v>
      </c>
      <c r="I6676" s="61">
        <v>42.621409999999997</v>
      </c>
    </row>
    <row r="6677" spans="1:9" s="71" customFormat="1" ht="24" hidden="1" customHeight="1" outlineLevel="1" x14ac:dyDescent="0.25">
      <c r="A6677" s="74">
        <v>5025</v>
      </c>
      <c r="B6677" s="45" t="s">
        <v>664</v>
      </c>
      <c r="C6677" s="60" t="s">
        <v>6211</v>
      </c>
      <c r="D6677" s="60"/>
      <c r="E6677" s="74">
        <v>2023</v>
      </c>
      <c r="F6677" s="74" t="s">
        <v>489</v>
      </c>
      <c r="G6677" s="61">
        <v>1</v>
      </c>
      <c r="H6677" s="61">
        <v>15</v>
      </c>
      <c r="I6677" s="61">
        <v>70.282839999999993</v>
      </c>
    </row>
    <row r="6678" spans="1:9" s="71" customFormat="1" ht="24" hidden="1" customHeight="1" outlineLevel="1" x14ac:dyDescent="0.25">
      <c r="A6678" s="74">
        <v>5026</v>
      </c>
      <c r="B6678" s="45" t="s">
        <v>664</v>
      </c>
      <c r="C6678" s="60" t="s">
        <v>6212</v>
      </c>
      <c r="D6678" s="60"/>
      <c r="E6678" s="74">
        <v>2023</v>
      </c>
      <c r="F6678" s="74" t="s">
        <v>489</v>
      </c>
      <c r="G6678" s="61">
        <v>1</v>
      </c>
      <c r="H6678" s="61">
        <v>15</v>
      </c>
      <c r="I6678" s="61">
        <v>69.255849999999995</v>
      </c>
    </row>
    <row r="6679" spans="1:9" s="71" customFormat="1" ht="24" hidden="1" customHeight="1" outlineLevel="1" x14ac:dyDescent="0.25">
      <c r="A6679" s="74">
        <v>5031</v>
      </c>
      <c r="B6679" s="45" t="s">
        <v>664</v>
      </c>
      <c r="C6679" s="60" t="s">
        <v>6213</v>
      </c>
      <c r="D6679" s="60"/>
      <c r="E6679" s="74">
        <v>2023</v>
      </c>
      <c r="F6679" s="74" t="s">
        <v>489</v>
      </c>
      <c r="G6679" s="61">
        <v>1</v>
      </c>
      <c r="H6679" s="61">
        <v>10</v>
      </c>
      <c r="I6679" s="61">
        <v>65.101129999999998</v>
      </c>
    </row>
    <row r="6680" spans="1:9" s="71" customFormat="1" ht="24" hidden="1" customHeight="1" outlineLevel="1" x14ac:dyDescent="0.25">
      <c r="A6680" s="74">
        <v>347</v>
      </c>
      <c r="B6680" s="45" t="s">
        <v>664</v>
      </c>
      <c r="C6680" s="60" t="s">
        <v>6214</v>
      </c>
      <c r="D6680" s="60"/>
      <c r="E6680" s="74">
        <v>2023</v>
      </c>
      <c r="F6680" s="74" t="s">
        <v>489</v>
      </c>
      <c r="G6680" s="61">
        <v>1</v>
      </c>
      <c r="H6680" s="61">
        <v>10</v>
      </c>
      <c r="I6680" s="61">
        <v>41.425700000000006</v>
      </c>
    </row>
    <row r="6681" spans="1:9" s="71" customFormat="1" ht="24" hidden="1" customHeight="1" outlineLevel="1" x14ac:dyDescent="0.25">
      <c r="A6681" s="74">
        <v>3970</v>
      </c>
      <c r="B6681" s="45" t="s">
        <v>664</v>
      </c>
      <c r="C6681" s="60" t="s">
        <v>6215</v>
      </c>
      <c r="D6681" s="60"/>
      <c r="E6681" s="74">
        <v>2023</v>
      </c>
      <c r="F6681" s="74" t="s">
        <v>489</v>
      </c>
      <c r="G6681" s="61">
        <v>1</v>
      </c>
      <c r="H6681" s="61">
        <v>15</v>
      </c>
      <c r="I6681" s="61">
        <v>69.154070000000004</v>
      </c>
    </row>
    <row r="6682" spans="1:9" s="71" customFormat="1" ht="24" hidden="1" customHeight="1" outlineLevel="1" x14ac:dyDescent="0.25">
      <c r="A6682" s="74">
        <v>5041</v>
      </c>
      <c r="B6682" s="45" t="s">
        <v>664</v>
      </c>
      <c r="C6682" s="60" t="s">
        <v>6216</v>
      </c>
      <c r="D6682" s="60"/>
      <c r="E6682" s="74">
        <v>2023</v>
      </c>
      <c r="F6682" s="74" t="s">
        <v>489</v>
      </c>
      <c r="G6682" s="61">
        <v>1</v>
      </c>
      <c r="H6682" s="61">
        <v>7</v>
      </c>
      <c r="I6682" s="61">
        <v>66.361550000000008</v>
      </c>
    </row>
    <row r="6683" spans="1:9" s="71" customFormat="1" ht="24" hidden="1" customHeight="1" outlineLevel="1" x14ac:dyDescent="0.25">
      <c r="A6683" s="74">
        <v>3935</v>
      </c>
      <c r="B6683" s="45" t="s">
        <v>664</v>
      </c>
      <c r="C6683" s="60" t="s">
        <v>6217</v>
      </c>
      <c r="D6683" s="60"/>
      <c r="E6683" s="74">
        <v>2023</v>
      </c>
      <c r="F6683" s="74" t="s">
        <v>489</v>
      </c>
      <c r="G6683" s="61">
        <v>1</v>
      </c>
      <c r="H6683" s="61">
        <v>15</v>
      </c>
      <c r="I6683" s="61">
        <v>92.382809999999992</v>
      </c>
    </row>
    <row r="6684" spans="1:9" s="71" customFormat="1" ht="24" hidden="1" customHeight="1" outlineLevel="1" x14ac:dyDescent="0.25">
      <c r="A6684" s="74">
        <v>3378</v>
      </c>
      <c r="B6684" s="45" t="s">
        <v>664</v>
      </c>
      <c r="C6684" s="60" t="s">
        <v>6218</v>
      </c>
      <c r="D6684" s="60"/>
      <c r="E6684" s="74">
        <v>2023</v>
      </c>
      <c r="F6684" s="74" t="s">
        <v>489</v>
      </c>
      <c r="G6684" s="61">
        <v>1</v>
      </c>
      <c r="H6684" s="61">
        <v>2</v>
      </c>
      <c r="I6684" s="61">
        <v>64.284010000000009</v>
      </c>
    </row>
    <row r="6685" spans="1:9" s="71" customFormat="1" ht="24" hidden="1" customHeight="1" outlineLevel="1" x14ac:dyDescent="0.25">
      <c r="A6685" s="74">
        <v>3377</v>
      </c>
      <c r="B6685" s="45" t="s">
        <v>664</v>
      </c>
      <c r="C6685" s="60" t="s">
        <v>6219</v>
      </c>
      <c r="D6685" s="60"/>
      <c r="E6685" s="74">
        <v>2023</v>
      </c>
      <c r="F6685" s="74" t="s">
        <v>489</v>
      </c>
      <c r="G6685" s="61">
        <v>1</v>
      </c>
      <c r="H6685" s="61">
        <v>15</v>
      </c>
      <c r="I6685" s="61">
        <v>65.349190000000007</v>
      </c>
    </row>
    <row r="6686" spans="1:9" s="71" customFormat="1" ht="24" hidden="1" customHeight="1" outlineLevel="1" x14ac:dyDescent="0.25">
      <c r="A6686" s="74">
        <v>3219</v>
      </c>
      <c r="B6686" s="45" t="s">
        <v>664</v>
      </c>
      <c r="C6686" s="60" t="s">
        <v>6220</v>
      </c>
      <c r="D6686" s="60"/>
      <c r="E6686" s="74">
        <v>2023</v>
      </c>
      <c r="F6686" s="74" t="s">
        <v>489</v>
      </c>
      <c r="G6686" s="61">
        <v>1</v>
      </c>
      <c r="H6686" s="61">
        <v>2</v>
      </c>
      <c r="I6686" s="61">
        <v>64.28792</v>
      </c>
    </row>
    <row r="6687" spans="1:9" s="71" customFormat="1" ht="24" hidden="1" customHeight="1" outlineLevel="1" x14ac:dyDescent="0.25">
      <c r="A6687" s="74">
        <v>3908</v>
      </c>
      <c r="B6687" s="45" t="s">
        <v>664</v>
      </c>
      <c r="C6687" s="60" t="s">
        <v>6221</v>
      </c>
      <c r="D6687" s="60"/>
      <c r="E6687" s="74">
        <v>2023</v>
      </c>
      <c r="F6687" s="74" t="s">
        <v>489</v>
      </c>
      <c r="G6687" s="61">
        <v>1</v>
      </c>
      <c r="H6687" s="61">
        <v>10</v>
      </c>
      <c r="I6687" s="61">
        <v>68.960900000000009</v>
      </c>
    </row>
    <row r="6688" spans="1:9" s="71" customFormat="1" ht="24" hidden="1" customHeight="1" outlineLevel="1" x14ac:dyDescent="0.25">
      <c r="A6688" s="74">
        <v>3679</v>
      </c>
      <c r="B6688" s="45" t="s">
        <v>664</v>
      </c>
      <c r="C6688" s="60" t="s">
        <v>6222</v>
      </c>
      <c r="D6688" s="60"/>
      <c r="E6688" s="74">
        <v>2023</v>
      </c>
      <c r="F6688" s="74" t="s">
        <v>489</v>
      </c>
      <c r="G6688" s="61">
        <v>1</v>
      </c>
      <c r="H6688" s="61">
        <v>10</v>
      </c>
      <c r="I6688" s="61">
        <v>68.960850000000008</v>
      </c>
    </row>
    <row r="6689" spans="1:9" s="71" customFormat="1" ht="24" hidden="1" customHeight="1" outlineLevel="1" x14ac:dyDescent="0.25">
      <c r="A6689" s="74">
        <v>3847</v>
      </c>
      <c r="B6689" s="45" t="s">
        <v>664</v>
      </c>
      <c r="C6689" s="60" t="s">
        <v>6223</v>
      </c>
      <c r="D6689" s="60"/>
      <c r="E6689" s="74">
        <v>2023</v>
      </c>
      <c r="F6689" s="74" t="s">
        <v>489</v>
      </c>
      <c r="G6689" s="61">
        <v>1</v>
      </c>
      <c r="H6689" s="61">
        <v>15</v>
      </c>
      <c r="I6689" s="61">
        <v>64.335229999999996</v>
      </c>
    </row>
    <row r="6690" spans="1:9" s="71" customFormat="1" ht="24" hidden="1" customHeight="1" outlineLevel="1" x14ac:dyDescent="0.25">
      <c r="A6690" s="74">
        <v>690</v>
      </c>
      <c r="B6690" s="45" t="s">
        <v>664</v>
      </c>
      <c r="C6690" s="60" t="s">
        <v>6224</v>
      </c>
      <c r="D6690" s="60"/>
      <c r="E6690" s="74">
        <v>2023</v>
      </c>
      <c r="F6690" s="74" t="s">
        <v>489</v>
      </c>
      <c r="G6690" s="61">
        <v>1</v>
      </c>
      <c r="H6690" s="61">
        <v>15</v>
      </c>
      <c r="I6690" s="61">
        <v>55.75468</v>
      </c>
    </row>
    <row r="6691" spans="1:9" s="71" customFormat="1" ht="24" hidden="1" customHeight="1" outlineLevel="1" x14ac:dyDescent="0.25">
      <c r="A6691" s="74">
        <v>1205</v>
      </c>
      <c r="B6691" s="45" t="s">
        <v>664</v>
      </c>
      <c r="C6691" s="60" t="s">
        <v>526</v>
      </c>
      <c r="D6691" s="60"/>
      <c r="E6691" s="74">
        <v>2023</v>
      </c>
      <c r="F6691" s="74" t="s">
        <v>489</v>
      </c>
      <c r="G6691" s="61">
        <v>1</v>
      </c>
      <c r="H6691" s="61">
        <v>15</v>
      </c>
      <c r="I6691" s="61">
        <v>128.09775999999999</v>
      </c>
    </row>
    <row r="6692" spans="1:9" s="71" customFormat="1" ht="24" hidden="1" customHeight="1" outlineLevel="1" x14ac:dyDescent="0.25">
      <c r="A6692" s="74">
        <v>3249</v>
      </c>
      <c r="B6692" s="45" t="s">
        <v>664</v>
      </c>
      <c r="C6692" s="60" t="s">
        <v>6225</v>
      </c>
      <c r="D6692" s="60"/>
      <c r="E6692" s="74">
        <v>2023</v>
      </c>
      <c r="F6692" s="74" t="s">
        <v>489</v>
      </c>
      <c r="G6692" s="61">
        <v>1</v>
      </c>
      <c r="H6692" s="61">
        <v>15</v>
      </c>
      <c r="I6692" s="61">
        <v>148.56376</v>
      </c>
    </row>
    <row r="6693" spans="1:9" s="71" customFormat="1" ht="24" hidden="1" customHeight="1" outlineLevel="1" x14ac:dyDescent="0.25">
      <c r="A6693" s="74">
        <v>5155</v>
      </c>
      <c r="B6693" s="45" t="s">
        <v>664</v>
      </c>
      <c r="C6693" s="60" t="s">
        <v>6226</v>
      </c>
      <c r="D6693" s="60"/>
      <c r="E6693" s="74">
        <v>2023</v>
      </c>
      <c r="F6693" s="74" t="s">
        <v>489</v>
      </c>
      <c r="G6693" s="61">
        <v>1</v>
      </c>
      <c r="H6693" s="61">
        <v>15</v>
      </c>
      <c r="I6693" s="61">
        <v>112.28791000000001</v>
      </c>
    </row>
    <row r="6694" spans="1:9" s="71" customFormat="1" ht="24" hidden="1" customHeight="1" outlineLevel="1" x14ac:dyDescent="0.25">
      <c r="A6694" s="74">
        <v>5158</v>
      </c>
      <c r="B6694" s="45" t="s">
        <v>664</v>
      </c>
      <c r="C6694" s="60" t="s">
        <v>6227</v>
      </c>
      <c r="D6694" s="60"/>
      <c r="E6694" s="74">
        <v>2023</v>
      </c>
      <c r="F6694" s="74" t="s">
        <v>489</v>
      </c>
      <c r="G6694" s="61">
        <v>2</v>
      </c>
      <c r="H6694" s="61">
        <v>30</v>
      </c>
      <c r="I6694" s="61">
        <v>230.82596000000001</v>
      </c>
    </row>
    <row r="6695" spans="1:9" s="71" customFormat="1" ht="24" hidden="1" customHeight="1" outlineLevel="1" x14ac:dyDescent="0.25">
      <c r="A6695" s="74">
        <v>369</v>
      </c>
      <c r="B6695" s="45" t="s">
        <v>664</v>
      </c>
      <c r="C6695" s="60" t="s">
        <v>223</v>
      </c>
      <c r="D6695" s="60"/>
      <c r="E6695" s="74">
        <v>2023</v>
      </c>
      <c r="F6695" s="74" t="s">
        <v>489</v>
      </c>
      <c r="G6695" s="61">
        <v>5</v>
      </c>
      <c r="H6695" s="61">
        <v>62.8</v>
      </c>
      <c r="I6695" s="61">
        <v>428.23741000000001</v>
      </c>
    </row>
    <row r="6696" spans="1:9" s="71" customFormat="1" ht="24" hidden="1" customHeight="1" outlineLevel="1" x14ac:dyDescent="0.25">
      <c r="A6696" s="74">
        <v>5023</v>
      </c>
      <c r="B6696" s="45" t="s">
        <v>664</v>
      </c>
      <c r="C6696" s="60" t="s">
        <v>6228</v>
      </c>
      <c r="D6696" s="60"/>
      <c r="E6696" s="74">
        <v>2023</v>
      </c>
      <c r="F6696" s="74" t="s">
        <v>489</v>
      </c>
      <c r="G6696" s="61">
        <v>5</v>
      </c>
      <c r="H6696" s="61">
        <v>61</v>
      </c>
      <c r="I6696" s="61">
        <v>177.76070000000001</v>
      </c>
    </row>
    <row r="6697" spans="1:9" s="71" customFormat="1" ht="24" hidden="1" customHeight="1" outlineLevel="1" x14ac:dyDescent="0.25">
      <c r="A6697" s="74">
        <v>4002</v>
      </c>
      <c r="B6697" s="45" t="s">
        <v>664</v>
      </c>
      <c r="C6697" s="60" t="s">
        <v>6229</v>
      </c>
      <c r="D6697" s="60"/>
      <c r="E6697" s="74">
        <v>2023</v>
      </c>
      <c r="F6697" s="74" t="s">
        <v>489</v>
      </c>
      <c r="G6697" s="61">
        <v>4</v>
      </c>
      <c r="H6697" s="61">
        <v>52</v>
      </c>
      <c r="I6697" s="61">
        <v>141.36615</v>
      </c>
    </row>
    <row r="6698" spans="1:9" s="71" customFormat="1" ht="24" hidden="1" customHeight="1" outlineLevel="1" x14ac:dyDescent="0.25">
      <c r="A6698" s="74">
        <v>5162</v>
      </c>
      <c r="B6698" s="45" t="s">
        <v>664</v>
      </c>
      <c r="C6698" s="60" t="s">
        <v>6230</v>
      </c>
      <c r="D6698" s="60"/>
      <c r="E6698" s="74">
        <v>2023</v>
      </c>
      <c r="F6698" s="74" t="s">
        <v>489</v>
      </c>
      <c r="G6698" s="61">
        <v>1</v>
      </c>
      <c r="H6698" s="61">
        <v>15</v>
      </c>
      <c r="I6698" s="61">
        <v>46.362559999999995</v>
      </c>
    </row>
    <row r="6699" spans="1:9" s="71" customFormat="1" ht="24" hidden="1" customHeight="1" outlineLevel="1" x14ac:dyDescent="0.25">
      <c r="A6699" s="74">
        <v>3843</v>
      </c>
      <c r="B6699" s="45" t="s">
        <v>664</v>
      </c>
      <c r="C6699" s="60" t="s">
        <v>6231</v>
      </c>
      <c r="D6699" s="60"/>
      <c r="E6699" s="74">
        <v>2023</v>
      </c>
      <c r="F6699" s="74" t="s">
        <v>489</v>
      </c>
      <c r="G6699" s="61">
        <v>1</v>
      </c>
      <c r="H6699" s="61">
        <v>11.5</v>
      </c>
      <c r="I6699" s="61">
        <v>46.362559999999995</v>
      </c>
    </row>
    <row r="6700" spans="1:9" s="71" customFormat="1" ht="24" hidden="1" customHeight="1" outlineLevel="1" x14ac:dyDescent="0.25">
      <c r="A6700" s="74">
        <v>5163</v>
      </c>
      <c r="B6700" s="45" t="s">
        <v>664</v>
      </c>
      <c r="C6700" s="60" t="s">
        <v>6232</v>
      </c>
      <c r="D6700" s="60"/>
      <c r="E6700" s="74">
        <v>2023</v>
      </c>
      <c r="F6700" s="74" t="s">
        <v>489</v>
      </c>
      <c r="G6700" s="61">
        <v>1</v>
      </c>
      <c r="H6700" s="61">
        <v>2</v>
      </c>
      <c r="I6700" s="61">
        <v>46.513419999999996</v>
      </c>
    </row>
    <row r="6701" spans="1:9" s="71" customFormat="1" ht="24" hidden="1" customHeight="1" outlineLevel="1" x14ac:dyDescent="0.25">
      <c r="A6701" s="74">
        <v>3883</v>
      </c>
      <c r="B6701" s="45" t="s">
        <v>664</v>
      </c>
      <c r="C6701" s="60" t="s">
        <v>6233</v>
      </c>
      <c r="D6701" s="60"/>
      <c r="E6701" s="74">
        <v>2023</v>
      </c>
      <c r="F6701" s="74" t="s">
        <v>489</v>
      </c>
      <c r="G6701" s="61">
        <v>1</v>
      </c>
      <c r="H6701" s="61">
        <v>14</v>
      </c>
      <c r="I6701" s="61">
        <v>47.25103</v>
      </c>
    </row>
    <row r="6702" spans="1:9" s="71" customFormat="1" ht="24" hidden="1" customHeight="1" outlineLevel="1" x14ac:dyDescent="0.25">
      <c r="A6702" s="74">
        <v>5164</v>
      </c>
      <c r="B6702" s="45" t="s">
        <v>664</v>
      </c>
      <c r="C6702" s="60" t="s">
        <v>6234</v>
      </c>
      <c r="D6702" s="60"/>
      <c r="E6702" s="74">
        <v>2023</v>
      </c>
      <c r="F6702" s="74" t="s">
        <v>489</v>
      </c>
      <c r="G6702" s="61">
        <v>1</v>
      </c>
      <c r="H6702" s="61">
        <v>15</v>
      </c>
      <c r="I6702" s="61">
        <v>31.404630000000004</v>
      </c>
    </row>
    <row r="6703" spans="1:9" s="71" customFormat="1" ht="24" hidden="1" customHeight="1" outlineLevel="1" x14ac:dyDescent="0.25">
      <c r="A6703" s="74">
        <v>1308</v>
      </c>
      <c r="B6703" s="45" t="s">
        <v>664</v>
      </c>
      <c r="C6703" s="60" t="s">
        <v>6235</v>
      </c>
      <c r="D6703" s="60"/>
      <c r="E6703" s="74">
        <v>2023</v>
      </c>
      <c r="F6703" s="74" t="s">
        <v>489</v>
      </c>
      <c r="G6703" s="61">
        <v>1</v>
      </c>
      <c r="H6703" s="61">
        <v>5</v>
      </c>
      <c r="I6703" s="61">
        <v>31.404519999999998</v>
      </c>
    </row>
    <row r="6704" spans="1:9" s="71" customFormat="1" ht="24" hidden="1" customHeight="1" outlineLevel="1" x14ac:dyDescent="0.25">
      <c r="A6704" s="74">
        <v>5167</v>
      </c>
      <c r="B6704" s="45" t="s">
        <v>664</v>
      </c>
      <c r="C6704" s="60" t="s">
        <v>6236</v>
      </c>
      <c r="D6704" s="60"/>
      <c r="E6704" s="74">
        <v>2023</v>
      </c>
      <c r="F6704" s="74" t="s">
        <v>489</v>
      </c>
      <c r="G6704" s="61">
        <v>1</v>
      </c>
      <c r="H6704" s="61">
        <v>15</v>
      </c>
      <c r="I6704" s="61">
        <v>31.404519999999998</v>
      </c>
    </row>
    <row r="6705" spans="1:9" s="71" customFormat="1" ht="24" hidden="1" customHeight="1" outlineLevel="1" x14ac:dyDescent="0.25">
      <c r="A6705" s="74">
        <v>5169</v>
      </c>
      <c r="B6705" s="45" t="s">
        <v>664</v>
      </c>
      <c r="C6705" s="60" t="s">
        <v>6237</v>
      </c>
      <c r="D6705" s="60"/>
      <c r="E6705" s="74">
        <v>2023</v>
      </c>
      <c r="F6705" s="74" t="s">
        <v>489</v>
      </c>
      <c r="G6705" s="61">
        <v>1</v>
      </c>
      <c r="H6705" s="61">
        <v>15</v>
      </c>
      <c r="I6705" s="61">
        <v>31.689720000000005</v>
      </c>
    </row>
    <row r="6706" spans="1:9" s="71" customFormat="1" ht="24" hidden="1" customHeight="1" outlineLevel="1" x14ac:dyDescent="0.25">
      <c r="A6706" s="74">
        <v>5171</v>
      </c>
      <c r="B6706" s="45" t="s">
        <v>664</v>
      </c>
      <c r="C6706" s="60" t="s">
        <v>6238</v>
      </c>
      <c r="D6706" s="60"/>
      <c r="E6706" s="74">
        <v>2023</v>
      </c>
      <c r="F6706" s="74" t="s">
        <v>489</v>
      </c>
      <c r="G6706" s="61">
        <v>1</v>
      </c>
      <c r="H6706" s="61">
        <v>5</v>
      </c>
      <c r="I6706" s="61">
        <v>31.689720000000005</v>
      </c>
    </row>
    <row r="6707" spans="1:9" s="71" customFormat="1" ht="24" hidden="1" customHeight="1" outlineLevel="1" x14ac:dyDescent="0.25">
      <c r="A6707" s="74">
        <v>3748</v>
      </c>
      <c r="B6707" s="45" t="s">
        <v>664</v>
      </c>
      <c r="C6707" s="60" t="s">
        <v>6239</v>
      </c>
      <c r="D6707" s="60"/>
      <c r="E6707" s="74">
        <v>2023</v>
      </c>
      <c r="F6707" s="74" t="s">
        <v>489</v>
      </c>
      <c r="G6707" s="61">
        <v>1</v>
      </c>
      <c r="H6707" s="61">
        <v>10</v>
      </c>
      <c r="I6707" s="61">
        <v>44.079920000000001</v>
      </c>
    </row>
    <row r="6708" spans="1:9" s="71" customFormat="1" ht="24" hidden="1" customHeight="1" outlineLevel="1" x14ac:dyDescent="0.25">
      <c r="A6708" s="74">
        <v>3907</v>
      </c>
      <c r="B6708" s="45" t="s">
        <v>664</v>
      </c>
      <c r="C6708" s="60" t="s">
        <v>6240</v>
      </c>
      <c r="D6708" s="60"/>
      <c r="E6708" s="74">
        <v>2023</v>
      </c>
      <c r="F6708" s="74" t="s">
        <v>489</v>
      </c>
      <c r="G6708" s="61">
        <v>1</v>
      </c>
      <c r="H6708" s="61">
        <v>15</v>
      </c>
      <c r="I6708" s="61">
        <v>44.079899999999995</v>
      </c>
    </row>
    <row r="6709" spans="1:9" s="71" customFormat="1" ht="24" hidden="1" customHeight="1" outlineLevel="1" x14ac:dyDescent="0.25">
      <c r="A6709" s="74">
        <v>3911</v>
      </c>
      <c r="B6709" s="45" t="s">
        <v>664</v>
      </c>
      <c r="C6709" s="60" t="s">
        <v>6241</v>
      </c>
      <c r="D6709" s="60"/>
      <c r="E6709" s="74">
        <v>2023</v>
      </c>
      <c r="F6709" s="74" t="s">
        <v>489</v>
      </c>
      <c r="G6709" s="61">
        <v>1</v>
      </c>
      <c r="H6709" s="61">
        <v>15</v>
      </c>
      <c r="I6709" s="61">
        <v>44.079920000000001</v>
      </c>
    </row>
    <row r="6710" spans="1:9" s="71" customFormat="1" ht="24" hidden="1" customHeight="1" outlineLevel="1" x14ac:dyDescent="0.25">
      <c r="A6710" s="74">
        <v>3983</v>
      </c>
      <c r="B6710" s="45" t="s">
        <v>664</v>
      </c>
      <c r="C6710" s="60" t="s">
        <v>6242</v>
      </c>
      <c r="D6710" s="60"/>
      <c r="E6710" s="74">
        <v>2023</v>
      </c>
      <c r="F6710" s="74" t="s">
        <v>489</v>
      </c>
      <c r="G6710" s="61">
        <v>4</v>
      </c>
      <c r="H6710" s="61">
        <v>60</v>
      </c>
      <c r="I6710" s="61">
        <v>108.43610000000001</v>
      </c>
    </row>
    <row r="6711" spans="1:9" s="71" customFormat="1" ht="24" hidden="1" customHeight="1" outlineLevel="1" x14ac:dyDescent="0.25">
      <c r="A6711" s="74">
        <v>3977</v>
      </c>
      <c r="B6711" s="45" t="s">
        <v>664</v>
      </c>
      <c r="C6711" s="60" t="s">
        <v>6243</v>
      </c>
      <c r="D6711" s="60"/>
      <c r="E6711" s="74">
        <v>2023</v>
      </c>
      <c r="F6711" s="74" t="s">
        <v>489</v>
      </c>
      <c r="G6711" s="61">
        <v>6</v>
      </c>
      <c r="H6711" s="61">
        <v>76</v>
      </c>
      <c r="I6711" s="61">
        <v>195.75810999999999</v>
      </c>
    </row>
    <row r="6712" spans="1:9" s="71" customFormat="1" ht="24" hidden="1" customHeight="1" outlineLevel="1" x14ac:dyDescent="0.25">
      <c r="A6712" s="74">
        <v>3976</v>
      </c>
      <c r="B6712" s="45" t="s">
        <v>664</v>
      </c>
      <c r="C6712" s="60" t="s">
        <v>6244</v>
      </c>
      <c r="D6712" s="60"/>
      <c r="E6712" s="74">
        <v>2023</v>
      </c>
      <c r="F6712" s="74" t="s">
        <v>489</v>
      </c>
      <c r="G6712" s="61">
        <v>8</v>
      </c>
      <c r="H6712" s="61">
        <v>98</v>
      </c>
      <c r="I6712" s="61">
        <v>268.18316999999996</v>
      </c>
    </row>
    <row r="6713" spans="1:9" s="71" customFormat="1" ht="24" hidden="1" customHeight="1" outlineLevel="1" x14ac:dyDescent="0.25">
      <c r="A6713" s="74">
        <v>3954</v>
      </c>
      <c r="B6713" s="45" t="s">
        <v>664</v>
      </c>
      <c r="C6713" s="60" t="s">
        <v>6245</v>
      </c>
      <c r="D6713" s="60"/>
      <c r="E6713" s="74">
        <v>2023</v>
      </c>
      <c r="F6713" s="74" t="s">
        <v>489</v>
      </c>
      <c r="G6713" s="61">
        <v>10</v>
      </c>
      <c r="H6713" s="61">
        <v>123</v>
      </c>
      <c r="I6713" s="61">
        <v>312.16848999999996</v>
      </c>
    </row>
    <row r="6714" spans="1:9" s="71" customFormat="1" ht="24" hidden="1" customHeight="1" outlineLevel="1" x14ac:dyDescent="0.25">
      <c r="A6714" s="74">
        <v>3889</v>
      </c>
      <c r="B6714" s="45" t="s">
        <v>664</v>
      </c>
      <c r="C6714" s="60" t="s">
        <v>6246</v>
      </c>
      <c r="D6714" s="60"/>
      <c r="E6714" s="74">
        <v>2023</v>
      </c>
      <c r="F6714" s="74" t="s">
        <v>489</v>
      </c>
      <c r="G6714" s="61">
        <v>1</v>
      </c>
      <c r="H6714" s="61">
        <v>15</v>
      </c>
      <c r="I6714" s="61">
        <v>44.227959999999996</v>
      </c>
    </row>
    <row r="6715" spans="1:9" s="71" customFormat="1" ht="24" hidden="1" customHeight="1" outlineLevel="1" x14ac:dyDescent="0.25">
      <c r="A6715" s="74">
        <v>3890</v>
      </c>
      <c r="B6715" s="45" t="s">
        <v>664</v>
      </c>
      <c r="C6715" s="60" t="s">
        <v>6247</v>
      </c>
      <c r="D6715" s="60"/>
      <c r="E6715" s="74">
        <v>2023</v>
      </c>
      <c r="F6715" s="74" t="s">
        <v>489</v>
      </c>
      <c r="G6715" s="61">
        <v>1</v>
      </c>
      <c r="H6715" s="61">
        <v>15</v>
      </c>
      <c r="I6715" s="61">
        <v>44.227959999999996</v>
      </c>
    </row>
    <row r="6716" spans="1:9" s="71" customFormat="1" ht="24" hidden="1" customHeight="1" outlineLevel="1" x14ac:dyDescent="0.25">
      <c r="A6716" s="74">
        <v>3868</v>
      </c>
      <c r="B6716" s="45" t="s">
        <v>664</v>
      </c>
      <c r="C6716" s="60" t="s">
        <v>6248</v>
      </c>
      <c r="D6716" s="60"/>
      <c r="E6716" s="74">
        <v>2023</v>
      </c>
      <c r="F6716" s="74" t="s">
        <v>489</v>
      </c>
      <c r="G6716" s="61">
        <v>1</v>
      </c>
      <c r="H6716" s="61">
        <v>15</v>
      </c>
      <c r="I6716" s="61">
        <v>44.52525</v>
      </c>
    </row>
    <row r="6717" spans="1:9" s="71" customFormat="1" ht="24" hidden="1" customHeight="1" outlineLevel="1" x14ac:dyDescent="0.25">
      <c r="A6717" s="74">
        <v>5027</v>
      </c>
      <c r="B6717" s="45" t="s">
        <v>664</v>
      </c>
      <c r="C6717" s="60" t="s">
        <v>6249</v>
      </c>
      <c r="D6717" s="60"/>
      <c r="E6717" s="74">
        <v>2023</v>
      </c>
      <c r="F6717" s="74" t="s">
        <v>489</v>
      </c>
      <c r="G6717" s="61">
        <v>1</v>
      </c>
      <c r="H6717" s="61">
        <v>12</v>
      </c>
      <c r="I6717" s="61">
        <v>66.451670000000007</v>
      </c>
    </row>
    <row r="6718" spans="1:9" s="71" customFormat="1" ht="24" hidden="1" customHeight="1" outlineLevel="1" x14ac:dyDescent="0.25">
      <c r="A6718" s="74">
        <v>3397</v>
      </c>
      <c r="B6718" s="45" t="s">
        <v>664</v>
      </c>
      <c r="C6718" s="60" t="s">
        <v>6250</v>
      </c>
      <c r="D6718" s="60"/>
      <c r="E6718" s="74">
        <v>2023</v>
      </c>
      <c r="F6718" s="74" t="s">
        <v>489</v>
      </c>
      <c r="G6718" s="61">
        <v>1</v>
      </c>
      <c r="H6718" s="61">
        <v>100</v>
      </c>
      <c r="I6718" s="61">
        <v>138.43179000000001</v>
      </c>
    </row>
    <row r="6719" spans="1:9" s="71" customFormat="1" ht="24" hidden="1" customHeight="1" outlineLevel="1" x14ac:dyDescent="0.25">
      <c r="A6719" s="74">
        <v>3974</v>
      </c>
      <c r="B6719" s="45" t="s">
        <v>664</v>
      </c>
      <c r="C6719" s="60" t="s">
        <v>6251</v>
      </c>
      <c r="D6719" s="60"/>
      <c r="E6719" s="74">
        <v>2023</v>
      </c>
      <c r="F6719" s="74" t="s">
        <v>489</v>
      </c>
      <c r="G6719" s="61">
        <v>1</v>
      </c>
      <c r="H6719" s="61">
        <v>15</v>
      </c>
      <c r="I6719" s="61">
        <v>65.234970000000004</v>
      </c>
    </row>
    <row r="6720" spans="1:9" s="71" customFormat="1" ht="24" hidden="1" customHeight="1" outlineLevel="1" x14ac:dyDescent="0.25">
      <c r="A6720" s="74">
        <v>3973</v>
      </c>
      <c r="B6720" s="45" t="s">
        <v>664</v>
      </c>
      <c r="C6720" s="60" t="s">
        <v>6252</v>
      </c>
      <c r="D6720" s="60"/>
      <c r="E6720" s="74">
        <v>2023</v>
      </c>
      <c r="F6720" s="74" t="s">
        <v>489</v>
      </c>
      <c r="G6720" s="61">
        <v>1</v>
      </c>
      <c r="H6720" s="61">
        <v>15</v>
      </c>
      <c r="I6720" s="61">
        <v>64.054120000000012</v>
      </c>
    </row>
    <row r="6721" spans="1:9" s="71" customFormat="1" ht="24" hidden="1" customHeight="1" outlineLevel="1" x14ac:dyDescent="0.25">
      <c r="A6721" s="74">
        <v>1077</v>
      </c>
      <c r="B6721" s="45" t="s">
        <v>664</v>
      </c>
      <c r="C6721" s="60" t="s">
        <v>225</v>
      </c>
      <c r="D6721" s="60"/>
      <c r="E6721" s="74">
        <v>2023</v>
      </c>
      <c r="F6721" s="74" t="s">
        <v>489</v>
      </c>
      <c r="G6721" s="61">
        <v>1</v>
      </c>
      <c r="H6721" s="61">
        <v>80</v>
      </c>
      <c r="I6721" s="61">
        <v>178.06859</v>
      </c>
    </row>
    <row r="6722" spans="1:9" s="71" customFormat="1" ht="24" hidden="1" customHeight="1" outlineLevel="1" x14ac:dyDescent="0.25">
      <c r="A6722" s="74">
        <v>3965</v>
      </c>
      <c r="B6722" s="45" t="s">
        <v>664</v>
      </c>
      <c r="C6722" s="60" t="s">
        <v>6253</v>
      </c>
      <c r="D6722" s="60"/>
      <c r="E6722" s="74">
        <v>2023</v>
      </c>
      <c r="F6722" s="74" t="s">
        <v>489</v>
      </c>
      <c r="G6722" s="61">
        <v>1</v>
      </c>
      <c r="H6722" s="61">
        <v>10</v>
      </c>
      <c r="I6722" s="61">
        <v>67.165600000000012</v>
      </c>
    </row>
    <row r="6723" spans="1:9" s="71" customFormat="1" ht="24" hidden="1" customHeight="1" outlineLevel="1" x14ac:dyDescent="0.25">
      <c r="A6723" s="74">
        <v>2995</v>
      </c>
      <c r="B6723" s="45" t="s">
        <v>664</v>
      </c>
      <c r="C6723" s="60" t="s">
        <v>470</v>
      </c>
      <c r="D6723" s="60"/>
      <c r="E6723" s="74">
        <v>2023</v>
      </c>
      <c r="F6723" s="74" t="s">
        <v>489</v>
      </c>
      <c r="G6723" s="61">
        <v>1</v>
      </c>
      <c r="H6723" s="61">
        <v>60</v>
      </c>
      <c r="I6723" s="61">
        <v>62.675579999999997</v>
      </c>
    </row>
    <row r="6724" spans="1:9" s="71" customFormat="1" ht="24" hidden="1" customHeight="1" outlineLevel="1" x14ac:dyDescent="0.25">
      <c r="A6724" s="74">
        <v>5039</v>
      </c>
      <c r="B6724" s="45" t="s">
        <v>664</v>
      </c>
      <c r="C6724" s="60" t="s">
        <v>6254</v>
      </c>
      <c r="D6724" s="60"/>
      <c r="E6724" s="74">
        <v>2023</v>
      </c>
      <c r="F6724" s="74" t="s">
        <v>489</v>
      </c>
      <c r="G6724" s="61">
        <v>1</v>
      </c>
      <c r="H6724" s="61">
        <v>15</v>
      </c>
      <c r="I6724" s="61">
        <v>63.126739999999998</v>
      </c>
    </row>
    <row r="6725" spans="1:9" s="71" customFormat="1" ht="24" hidden="1" customHeight="1" outlineLevel="1" x14ac:dyDescent="0.25">
      <c r="A6725" s="74">
        <v>5040</v>
      </c>
      <c r="B6725" s="45" t="s">
        <v>664</v>
      </c>
      <c r="C6725" s="60" t="s">
        <v>6255</v>
      </c>
      <c r="D6725" s="60"/>
      <c r="E6725" s="74">
        <v>2023</v>
      </c>
      <c r="F6725" s="74" t="s">
        <v>489</v>
      </c>
      <c r="G6725" s="61">
        <v>1</v>
      </c>
      <c r="H6725" s="61">
        <v>15</v>
      </c>
      <c r="I6725" s="61">
        <v>73.10887000000001</v>
      </c>
    </row>
    <row r="6726" spans="1:9" s="71" customFormat="1" ht="24" hidden="1" customHeight="1" outlineLevel="1" x14ac:dyDescent="0.25">
      <c r="A6726" s="74">
        <v>479</v>
      </c>
      <c r="B6726" s="45" t="s">
        <v>664</v>
      </c>
      <c r="C6726" s="60" t="s">
        <v>6256</v>
      </c>
      <c r="D6726" s="60"/>
      <c r="E6726" s="74">
        <v>2023</v>
      </c>
      <c r="F6726" s="74" t="s">
        <v>489</v>
      </c>
      <c r="G6726" s="61">
        <v>1</v>
      </c>
      <c r="H6726" s="61">
        <v>30</v>
      </c>
      <c r="I6726" s="61">
        <v>41.230210000000007</v>
      </c>
    </row>
    <row r="6727" spans="1:9" s="71" customFormat="1" ht="24" hidden="1" customHeight="1" outlineLevel="1" x14ac:dyDescent="0.25">
      <c r="A6727" s="74">
        <v>3387</v>
      </c>
      <c r="B6727" s="45" t="s">
        <v>664</v>
      </c>
      <c r="C6727" s="60" t="s">
        <v>6257</v>
      </c>
      <c r="D6727" s="60"/>
      <c r="E6727" s="74">
        <v>2023</v>
      </c>
      <c r="F6727" s="74" t="s">
        <v>489</v>
      </c>
      <c r="G6727" s="61">
        <v>1</v>
      </c>
      <c r="H6727" s="61">
        <v>2.6</v>
      </c>
      <c r="I6727" s="61">
        <v>63.020209999999992</v>
      </c>
    </row>
    <row r="6728" spans="1:9" s="71" customFormat="1" ht="24" hidden="1" customHeight="1" outlineLevel="1" x14ac:dyDescent="0.25">
      <c r="A6728" s="74">
        <v>3947</v>
      </c>
      <c r="B6728" s="45" t="s">
        <v>664</v>
      </c>
      <c r="C6728" s="60" t="s">
        <v>6258</v>
      </c>
      <c r="D6728" s="60"/>
      <c r="E6728" s="74">
        <v>2023</v>
      </c>
      <c r="F6728" s="74" t="s">
        <v>489</v>
      </c>
      <c r="G6728" s="61">
        <v>2</v>
      </c>
      <c r="H6728" s="61">
        <v>15</v>
      </c>
      <c r="I6728" s="61">
        <v>66.165500000000009</v>
      </c>
    </row>
    <row r="6729" spans="1:9" s="71" customFormat="1" ht="24" hidden="1" customHeight="1" outlineLevel="1" x14ac:dyDescent="0.25">
      <c r="A6729" s="74">
        <v>3360</v>
      </c>
      <c r="B6729" s="45" t="s">
        <v>664</v>
      </c>
      <c r="C6729" s="60" t="s">
        <v>6259</v>
      </c>
      <c r="D6729" s="60"/>
      <c r="E6729" s="74">
        <v>2023</v>
      </c>
      <c r="F6729" s="74" t="s">
        <v>489</v>
      </c>
      <c r="G6729" s="61">
        <v>1</v>
      </c>
      <c r="H6729" s="61">
        <v>35</v>
      </c>
      <c r="I6729" s="61">
        <v>63.035980000000002</v>
      </c>
    </row>
    <row r="6730" spans="1:9" s="71" customFormat="1" ht="24" hidden="1" customHeight="1" outlineLevel="1" x14ac:dyDescent="0.25">
      <c r="A6730" s="74">
        <v>3910</v>
      </c>
      <c r="B6730" s="45" t="s">
        <v>664</v>
      </c>
      <c r="C6730" s="60" t="s">
        <v>6260</v>
      </c>
      <c r="D6730" s="60"/>
      <c r="E6730" s="74">
        <v>2023</v>
      </c>
      <c r="F6730" s="74" t="s">
        <v>489</v>
      </c>
      <c r="G6730" s="61">
        <v>1</v>
      </c>
      <c r="H6730" s="61">
        <v>30</v>
      </c>
      <c r="I6730" s="61">
        <v>108.99544</v>
      </c>
    </row>
    <row r="6731" spans="1:9" s="71" customFormat="1" ht="24" hidden="1" customHeight="1" outlineLevel="1" x14ac:dyDescent="0.25">
      <c r="A6731" s="74">
        <v>541</v>
      </c>
      <c r="B6731" s="45" t="s">
        <v>664</v>
      </c>
      <c r="C6731" s="60" t="s">
        <v>6261</v>
      </c>
      <c r="D6731" s="60"/>
      <c r="E6731" s="74">
        <v>2023</v>
      </c>
      <c r="F6731" s="74" t="s">
        <v>489</v>
      </c>
      <c r="G6731" s="61">
        <v>1</v>
      </c>
      <c r="H6731" s="61">
        <v>15</v>
      </c>
      <c r="I6731" s="61">
        <v>64.090220000000002</v>
      </c>
    </row>
    <row r="6732" spans="1:9" s="71" customFormat="1" ht="24" hidden="1" customHeight="1" outlineLevel="1" x14ac:dyDescent="0.25">
      <c r="A6732" s="74">
        <v>776</v>
      </c>
      <c r="B6732" s="45" t="s">
        <v>664</v>
      </c>
      <c r="C6732" s="60" t="s">
        <v>6262</v>
      </c>
      <c r="D6732" s="60"/>
      <c r="E6732" s="74">
        <v>2023</v>
      </c>
      <c r="F6732" s="74" t="s">
        <v>489</v>
      </c>
      <c r="G6732" s="61">
        <v>1</v>
      </c>
      <c r="H6732" s="61">
        <v>15</v>
      </c>
      <c r="I6732" s="61">
        <v>118.87069</v>
      </c>
    </row>
    <row r="6733" spans="1:9" s="71" customFormat="1" ht="24" hidden="1" customHeight="1" outlineLevel="1" x14ac:dyDescent="0.25">
      <c r="A6733" s="74">
        <v>3263</v>
      </c>
      <c r="B6733" s="45" t="s">
        <v>664</v>
      </c>
      <c r="C6733" s="60" t="s">
        <v>6263</v>
      </c>
      <c r="D6733" s="60"/>
      <c r="E6733" s="74">
        <v>2023</v>
      </c>
      <c r="F6733" s="74" t="s">
        <v>489</v>
      </c>
      <c r="G6733" s="61">
        <v>1</v>
      </c>
      <c r="H6733" s="61">
        <v>5</v>
      </c>
      <c r="I6733" s="61">
        <v>59.325620000000001</v>
      </c>
    </row>
    <row r="6734" spans="1:9" s="71" customFormat="1" ht="24" hidden="1" customHeight="1" outlineLevel="1" x14ac:dyDescent="0.25">
      <c r="A6734" s="74">
        <v>3870</v>
      </c>
      <c r="B6734" s="45" t="s">
        <v>664</v>
      </c>
      <c r="C6734" s="60" t="s">
        <v>6264</v>
      </c>
      <c r="D6734" s="60"/>
      <c r="E6734" s="74">
        <v>2023</v>
      </c>
      <c r="F6734" s="74" t="s">
        <v>489</v>
      </c>
      <c r="G6734" s="61">
        <v>1</v>
      </c>
      <c r="H6734" s="61">
        <v>15</v>
      </c>
      <c r="I6734" s="61">
        <v>56.889229999999998</v>
      </c>
    </row>
    <row r="6735" spans="1:9" s="71" customFormat="1" ht="24" hidden="1" customHeight="1" outlineLevel="1" x14ac:dyDescent="0.25">
      <c r="A6735" s="74">
        <v>664</v>
      </c>
      <c r="B6735" s="45" t="s">
        <v>664</v>
      </c>
      <c r="C6735" s="60" t="s">
        <v>6265</v>
      </c>
      <c r="D6735" s="60"/>
      <c r="E6735" s="74">
        <v>2023</v>
      </c>
      <c r="F6735" s="74" t="s">
        <v>489</v>
      </c>
      <c r="G6735" s="61">
        <v>1</v>
      </c>
      <c r="H6735" s="61">
        <v>15</v>
      </c>
      <c r="I6735" s="61">
        <v>58.132060000000003</v>
      </c>
    </row>
    <row r="6736" spans="1:9" s="71" customFormat="1" ht="24" hidden="1" customHeight="1" outlineLevel="1" x14ac:dyDescent="0.25">
      <c r="A6736" s="74">
        <v>736</v>
      </c>
      <c r="B6736" s="45" t="s">
        <v>664</v>
      </c>
      <c r="C6736" s="60" t="s">
        <v>226</v>
      </c>
      <c r="D6736" s="60"/>
      <c r="E6736" s="74">
        <v>2023</v>
      </c>
      <c r="F6736" s="74" t="s">
        <v>489</v>
      </c>
      <c r="G6736" s="61">
        <v>1</v>
      </c>
      <c r="H6736" s="61">
        <v>25</v>
      </c>
      <c r="I6736" s="61">
        <v>56.485349999999997</v>
      </c>
    </row>
    <row r="6737" spans="1:9" s="71" customFormat="1" ht="24" hidden="1" customHeight="1" outlineLevel="1" x14ac:dyDescent="0.25">
      <c r="A6737" s="74">
        <v>802</v>
      </c>
      <c r="B6737" s="45" t="s">
        <v>664</v>
      </c>
      <c r="C6737" s="60" t="s">
        <v>6266</v>
      </c>
      <c r="D6737" s="60"/>
      <c r="E6737" s="74">
        <v>2023</v>
      </c>
      <c r="F6737" s="74" t="s">
        <v>489</v>
      </c>
      <c r="G6737" s="61">
        <v>1</v>
      </c>
      <c r="H6737" s="61">
        <v>15</v>
      </c>
      <c r="I6737" s="61">
        <v>66.029530000000008</v>
      </c>
    </row>
    <row r="6738" spans="1:9" s="71" customFormat="1" ht="24" hidden="1" customHeight="1" outlineLevel="1" x14ac:dyDescent="0.25">
      <c r="A6738" s="74">
        <v>3239</v>
      </c>
      <c r="B6738" s="45" t="s">
        <v>664</v>
      </c>
      <c r="C6738" s="60" t="s">
        <v>6267</v>
      </c>
      <c r="D6738" s="60"/>
      <c r="E6738" s="74">
        <v>2023</v>
      </c>
      <c r="F6738" s="74" t="s">
        <v>489</v>
      </c>
      <c r="G6738" s="61">
        <v>1</v>
      </c>
      <c r="H6738" s="61">
        <v>5</v>
      </c>
      <c r="I6738" s="61">
        <v>56.588850000000001</v>
      </c>
    </row>
    <row r="6739" spans="1:9" s="71" customFormat="1" ht="24" hidden="1" customHeight="1" outlineLevel="1" x14ac:dyDescent="0.25">
      <c r="A6739" s="74">
        <v>3351</v>
      </c>
      <c r="B6739" s="45" t="s">
        <v>664</v>
      </c>
      <c r="C6739" s="60" t="s">
        <v>227</v>
      </c>
      <c r="D6739" s="60"/>
      <c r="E6739" s="74">
        <v>2023</v>
      </c>
      <c r="F6739" s="74" t="s">
        <v>489</v>
      </c>
      <c r="G6739" s="61">
        <v>1</v>
      </c>
      <c r="H6739" s="61">
        <v>150</v>
      </c>
      <c r="I6739" s="61">
        <v>87.426690000000008</v>
      </c>
    </row>
    <row r="6740" spans="1:9" s="71" customFormat="1" ht="24" hidden="1" customHeight="1" outlineLevel="1" x14ac:dyDescent="0.25">
      <c r="A6740" s="74">
        <v>3246</v>
      </c>
      <c r="B6740" s="45" t="s">
        <v>664</v>
      </c>
      <c r="C6740" s="60" t="s">
        <v>6268</v>
      </c>
      <c r="D6740" s="60"/>
      <c r="E6740" s="74">
        <v>2023</v>
      </c>
      <c r="F6740" s="74" t="s">
        <v>489</v>
      </c>
      <c r="G6740" s="61">
        <v>1</v>
      </c>
      <c r="H6740" s="61">
        <v>3</v>
      </c>
      <c r="I6740" s="61">
        <v>59.282440000000001</v>
      </c>
    </row>
    <row r="6741" spans="1:9" s="71" customFormat="1" ht="24" hidden="1" customHeight="1" outlineLevel="1" x14ac:dyDescent="0.25">
      <c r="A6741" s="74">
        <v>1173</v>
      </c>
      <c r="B6741" s="45" t="s">
        <v>664</v>
      </c>
      <c r="C6741" s="60" t="s">
        <v>6269</v>
      </c>
      <c r="D6741" s="60"/>
      <c r="E6741" s="74">
        <v>2023</v>
      </c>
      <c r="F6741" s="74" t="s">
        <v>489</v>
      </c>
      <c r="G6741" s="61">
        <v>1</v>
      </c>
      <c r="H6741" s="61">
        <v>15</v>
      </c>
      <c r="I6741" s="61">
        <v>66.532089999999997</v>
      </c>
    </row>
    <row r="6742" spans="1:9" s="71" customFormat="1" ht="24" hidden="1" customHeight="1" outlineLevel="1" x14ac:dyDescent="0.25">
      <c r="A6742" s="74">
        <v>952</v>
      </c>
      <c r="B6742" s="45" t="s">
        <v>664</v>
      </c>
      <c r="C6742" s="60" t="s">
        <v>6270</v>
      </c>
      <c r="D6742" s="60"/>
      <c r="E6742" s="74">
        <v>2023</v>
      </c>
      <c r="F6742" s="74" t="s">
        <v>489</v>
      </c>
      <c r="G6742" s="61">
        <v>1</v>
      </c>
      <c r="H6742" s="61">
        <v>22</v>
      </c>
      <c r="I6742" s="61">
        <v>139.05965</v>
      </c>
    </row>
    <row r="6743" spans="1:9" s="71" customFormat="1" ht="24" hidden="1" customHeight="1" outlineLevel="1" x14ac:dyDescent="0.25">
      <c r="A6743" s="74">
        <v>684</v>
      </c>
      <c r="B6743" s="45" t="s">
        <v>664</v>
      </c>
      <c r="C6743" s="60" t="s">
        <v>6271</v>
      </c>
      <c r="D6743" s="60"/>
      <c r="E6743" s="74">
        <v>2023</v>
      </c>
      <c r="F6743" s="74" t="s">
        <v>489</v>
      </c>
      <c r="G6743" s="61">
        <v>1</v>
      </c>
      <c r="H6743" s="61">
        <v>15</v>
      </c>
      <c r="I6743" s="61">
        <v>139.82990000000001</v>
      </c>
    </row>
    <row r="6744" spans="1:9" s="71" customFormat="1" ht="24" hidden="1" customHeight="1" outlineLevel="1" x14ac:dyDescent="0.25">
      <c r="A6744" s="74">
        <v>303</v>
      </c>
      <c r="B6744" s="45" t="s">
        <v>664</v>
      </c>
      <c r="C6744" s="60" t="s">
        <v>228</v>
      </c>
      <c r="D6744" s="60"/>
      <c r="E6744" s="74">
        <v>2023</v>
      </c>
      <c r="F6744" s="74" t="s">
        <v>489</v>
      </c>
      <c r="G6744" s="61">
        <v>1</v>
      </c>
      <c r="H6744" s="61">
        <v>15</v>
      </c>
      <c r="I6744" s="61">
        <v>157.74177</v>
      </c>
    </row>
    <row r="6745" spans="1:9" s="71" customFormat="1" ht="24" hidden="1" customHeight="1" outlineLevel="1" x14ac:dyDescent="0.25">
      <c r="A6745" s="74">
        <v>5175</v>
      </c>
      <c r="B6745" s="45" t="s">
        <v>664</v>
      </c>
      <c r="C6745" s="60" t="s">
        <v>6272</v>
      </c>
      <c r="D6745" s="60"/>
      <c r="E6745" s="74">
        <v>2023</v>
      </c>
      <c r="F6745" s="74" t="s">
        <v>489</v>
      </c>
      <c r="G6745" s="61">
        <v>1</v>
      </c>
      <c r="H6745" s="61">
        <v>7.5</v>
      </c>
      <c r="I6745" s="61">
        <v>139.06584000000001</v>
      </c>
    </row>
    <row r="6746" spans="1:9" s="71" customFormat="1" ht="24" hidden="1" customHeight="1" outlineLevel="1" x14ac:dyDescent="0.25">
      <c r="A6746" s="74">
        <v>820</v>
      </c>
      <c r="B6746" s="45" t="s">
        <v>664</v>
      </c>
      <c r="C6746" s="60" t="s">
        <v>231</v>
      </c>
      <c r="D6746" s="60"/>
      <c r="E6746" s="74">
        <v>2023</v>
      </c>
      <c r="F6746" s="74" t="s">
        <v>489</v>
      </c>
      <c r="G6746" s="61">
        <v>1</v>
      </c>
      <c r="H6746" s="61">
        <v>41</v>
      </c>
      <c r="I6746" s="61">
        <v>292.85289</v>
      </c>
    </row>
    <row r="6747" spans="1:9" s="71" customFormat="1" ht="24" hidden="1" customHeight="1" outlineLevel="1" x14ac:dyDescent="0.25">
      <c r="A6747" s="74">
        <v>1348</v>
      </c>
      <c r="B6747" s="45" t="s">
        <v>664</v>
      </c>
      <c r="C6747" s="60" t="s">
        <v>232</v>
      </c>
      <c r="D6747" s="60"/>
      <c r="E6747" s="74">
        <v>2023</v>
      </c>
      <c r="F6747" s="74" t="s">
        <v>489</v>
      </c>
      <c r="G6747" s="61">
        <v>4</v>
      </c>
      <c r="H6747" s="61">
        <v>15</v>
      </c>
      <c r="I6747" s="61">
        <v>129.79750000000001</v>
      </c>
    </row>
    <row r="6748" spans="1:9" s="71" customFormat="1" ht="24" hidden="1" customHeight="1" outlineLevel="1" x14ac:dyDescent="0.25">
      <c r="A6748" s="74">
        <v>971</v>
      </c>
      <c r="B6748" s="45" t="s">
        <v>664</v>
      </c>
      <c r="C6748" s="60" t="s">
        <v>6273</v>
      </c>
      <c r="D6748" s="60"/>
      <c r="E6748" s="74">
        <v>2023</v>
      </c>
      <c r="F6748" s="74" t="s">
        <v>489</v>
      </c>
      <c r="G6748" s="61">
        <v>1</v>
      </c>
      <c r="H6748" s="61">
        <v>15</v>
      </c>
      <c r="I6748" s="61">
        <v>125.47372000000001</v>
      </c>
    </row>
    <row r="6749" spans="1:9" s="71" customFormat="1" ht="24" hidden="1" customHeight="1" outlineLevel="1" x14ac:dyDescent="0.25">
      <c r="A6749" s="74">
        <v>4006</v>
      </c>
      <c r="B6749" s="45" t="s">
        <v>664</v>
      </c>
      <c r="C6749" s="60" t="s">
        <v>6274</v>
      </c>
      <c r="D6749" s="60"/>
      <c r="E6749" s="74">
        <v>2023</v>
      </c>
      <c r="F6749" s="74" t="s">
        <v>489</v>
      </c>
      <c r="G6749" s="61">
        <v>23</v>
      </c>
      <c r="H6749" s="61">
        <v>341</v>
      </c>
      <c r="I6749" s="61">
        <v>858.74230000000011</v>
      </c>
    </row>
    <row r="6750" spans="1:9" s="71" customFormat="1" ht="24" hidden="1" customHeight="1" outlineLevel="1" x14ac:dyDescent="0.25">
      <c r="A6750" s="74">
        <v>4005</v>
      </c>
      <c r="B6750" s="45" t="s">
        <v>664</v>
      </c>
      <c r="C6750" s="60" t="s">
        <v>6275</v>
      </c>
      <c r="D6750" s="60"/>
      <c r="E6750" s="74">
        <v>2023</v>
      </c>
      <c r="F6750" s="74" t="s">
        <v>489</v>
      </c>
      <c r="G6750" s="61">
        <v>4</v>
      </c>
      <c r="H6750" s="61">
        <v>101</v>
      </c>
      <c r="I6750" s="61">
        <v>165.70613</v>
      </c>
    </row>
    <row r="6751" spans="1:9" s="71" customFormat="1" ht="24" hidden="1" customHeight="1" outlineLevel="1" x14ac:dyDescent="0.25">
      <c r="A6751" s="74">
        <v>3434</v>
      </c>
      <c r="B6751" s="45" t="s">
        <v>664</v>
      </c>
      <c r="C6751" s="60" t="s">
        <v>6276</v>
      </c>
      <c r="D6751" s="60"/>
      <c r="E6751" s="74">
        <v>2023</v>
      </c>
      <c r="F6751" s="74" t="s">
        <v>489</v>
      </c>
      <c r="G6751" s="61">
        <v>11</v>
      </c>
      <c r="H6751" s="61">
        <v>147</v>
      </c>
      <c r="I6751" s="61">
        <v>414.55534000000006</v>
      </c>
    </row>
    <row r="6752" spans="1:9" s="71" customFormat="1" ht="24" hidden="1" customHeight="1" outlineLevel="1" x14ac:dyDescent="0.25">
      <c r="A6752" s="74">
        <v>799</v>
      </c>
      <c r="B6752" s="45" t="s">
        <v>664</v>
      </c>
      <c r="C6752" s="60" t="s">
        <v>6277</v>
      </c>
      <c r="D6752" s="60"/>
      <c r="E6752" s="74">
        <v>2023</v>
      </c>
      <c r="F6752" s="74" t="s">
        <v>489</v>
      </c>
      <c r="G6752" s="61">
        <v>1</v>
      </c>
      <c r="H6752" s="61">
        <v>15</v>
      </c>
      <c r="I6752" s="61">
        <v>42.494300000000003</v>
      </c>
    </row>
    <row r="6753" spans="1:9" s="71" customFormat="1" ht="24" hidden="1" customHeight="1" outlineLevel="1" x14ac:dyDescent="0.25">
      <c r="A6753" s="74">
        <v>848</v>
      </c>
      <c r="B6753" s="45" t="s">
        <v>664</v>
      </c>
      <c r="C6753" s="60" t="s">
        <v>6278</v>
      </c>
      <c r="D6753" s="60"/>
      <c r="E6753" s="74">
        <v>2023</v>
      </c>
      <c r="F6753" s="74" t="s">
        <v>489</v>
      </c>
      <c r="G6753" s="61">
        <v>1</v>
      </c>
      <c r="H6753" s="61">
        <v>15</v>
      </c>
      <c r="I6753" s="61">
        <v>42.494300000000003</v>
      </c>
    </row>
    <row r="6754" spans="1:9" s="71" customFormat="1" ht="24" hidden="1" customHeight="1" outlineLevel="1" x14ac:dyDescent="0.25">
      <c r="A6754" s="74">
        <v>859</v>
      </c>
      <c r="B6754" s="45" t="s">
        <v>664</v>
      </c>
      <c r="C6754" s="60" t="s">
        <v>6279</v>
      </c>
      <c r="D6754" s="60"/>
      <c r="E6754" s="74">
        <v>2023</v>
      </c>
      <c r="F6754" s="74" t="s">
        <v>489</v>
      </c>
      <c r="G6754" s="61">
        <v>1</v>
      </c>
      <c r="H6754" s="61">
        <v>15</v>
      </c>
      <c r="I6754" s="61">
        <v>42.494300000000003</v>
      </c>
    </row>
    <row r="6755" spans="1:9" s="71" customFormat="1" ht="24" hidden="1" customHeight="1" outlineLevel="1" x14ac:dyDescent="0.25">
      <c r="A6755" s="74">
        <v>1040</v>
      </c>
      <c r="B6755" s="45" t="s">
        <v>664</v>
      </c>
      <c r="C6755" s="60" t="s">
        <v>6280</v>
      </c>
      <c r="D6755" s="60"/>
      <c r="E6755" s="74">
        <v>2023</v>
      </c>
      <c r="F6755" s="74" t="s">
        <v>489</v>
      </c>
      <c r="G6755" s="61">
        <v>1</v>
      </c>
      <c r="H6755" s="61">
        <v>12</v>
      </c>
      <c r="I6755" s="61">
        <v>42.494300000000003</v>
      </c>
    </row>
    <row r="6756" spans="1:9" s="71" customFormat="1" ht="24" hidden="1" customHeight="1" outlineLevel="1" x14ac:dyDescent="0.25">
      <c r="A6756" s="74">
        <v>1098</v>
      </c>
      <c r="B6756" s="45" t="s">
        <v>664</v>
      </c>
      <c r="C6756" s="60" t="s">
        <v>6281</v>
      </c>
      <c r="D6756" s="60"/>
      <c r="E6756" s="74">
        <v>2023</v>
      </c>
      <c r="F6756" s="74" t="s">
        <v>489</v>
      </c>
      <c r="G6756" s="61">
        <v>1</v>
      </c>
      <c r="H6756" s="61">
        <v>15</v>
      </c>
      <c r="I6756" s="61">
        <v>42.494300000000003</v>
      </c>
    </row>
    <row r="6757" spans="1:9" s="71" customFormat="1" ht="24" hidden="1" customHeight="1" outlineLevel="1" x14ac:dyDescent="0.25">
      <c r="A6757" s="74">
        <v>1093</v>
      </c>
      <c r="B6757" s="45" t="s">
        <v>664</v>
      </c>
      <c r="C6757" s="60" t="s">
        <v>6282</v>
      </c>
      <c r="D6757" s="60"/>
      <c r="E6757" s="74">
        <v>2023</v>
      </c>
      <c r="F6757" s="74" t="s">
        <v>489</v>
      </c>
      <c r="G6757" s="61">
        <v>1</v>
      </c>
      <c r="H6757" s="61">
        <v>15</v>
      </c>
      <c r="I6757" s="61">
        <v>42.494300000000003</v>
      </c>
    </row>
    <row r="6758" spans="1:9" s="71" customFormat="1" ht="24" hidden="1" customHeight="1" outlineLevel="1" x14ac:dyDescent="0.25">
      <c r="A6758" s="74">
        <v>1174</v>
      </c>
      <c r="B6758" s="45" t="s">
        <v>664</v>
      </c>
      <c r="C6758" s="60" t="s">
        <v>6283</v>
      </c>
      <c r="D6758" s="60"/>
      <c r="E6758" s="74">
        <v>2023</v>
      </c>
      <c r="F6758" s="74" t="s">
        <v>489</v>
      </c>
      <c r="G6758" s="61">
        <v>1</v>
      </c>
      <c r="H6758" s="61">
        <v>15</v>
      </c>
      <c r="I6758" s="61">
        <v>42.494300000000003</v>
      </c>
    </row>
    <row r="6759" spans="1:9" s="71" customFormat="1" ht="24" hidden="1" customHeight="1" outlineLevel="1" x14ac:dyDescent="0.25">
      <c r="A6759" s="74">
        <v>1168</v>
      </c>
      <c r="B6759" s="45" t="s">
        <v>664</v>
      </c>
      <c r="C6759" s="60" t="s">
        <v>6284</v>
      </c>
      <c r="D6759" s="60"/>
      <c r="E6759" s="74">
        <v>2023</v>
      </c>
      <c r="F6759" s="74" t="s">
        <v>489</v>
      </c>
      <c r="G6759" s="61">
        <v>1</v>
      </c>
      <c r="H6759" s="61">
        <v>5</v>
      </c>
      <c r="I6759" s="61">
        <v>42.494300000000003</v>
      </c>
    </row>
    <row r="6760" spans="1:9" s="71" customFormat="1" ht="24" hidden="1" customHeight="1" outlineLevel="1" x14ac:dyDescent="0.25">
      <c r="A6760" s="74">
        <v>1204</v>
      </c>
      <c r="B6760" s="45" t="s">
        <v>664</v>
      </c>
      <c r="C6760" s="60" t="s">
        <v>6285</v>
      </c>
      <c r="D6760" s="60"/>
      <c r="E6760" s="74">
        <v>2023</v>
      </c>
      <c r="F6760" s="74" t="s">
        <v>489</v>
      </c>
      <c r="G6760" s="61">
        <v>1</v>
      </c>
      <c r="H6760" s="61">
        <v>15</v>
      </c>
      <c r="I6760" s="61">
        <v>42.494300000000003</v>
      </c>
    </row>
    <row r="6761" spans="1:9" s="71" customFormat="1" ht="24" hidden="1" customHeight="1" outlineLevel="1" x14ac:dyDescent="0.25">
      <c r="A6761" s="74">
        <v>5186</v>
      </c>
      <c r="B6761" s="45" t="s">
        <v>664</v>
      </c>
      <c r="C6761" s="60" t="s">
        <v>6286</v>
      </c>
      <c r="D6761" s="60"/>
      <c r="E6761" s="74">
        <v>2023</v>
      </c>
      <c r="F6761" s="74" t="s">
        <v>489</v>
      </c>
      <c r="G6761" s="61">
        <v>1</v>
      </c>
      <c r="H6761" s="61">
        <v>15</v>
      </c>
      <c r="I6761" s="61">
        <v>42.494300000000003</v>
      </c>
    </row>
    <row r="6762" spans="1:9" s="71" customFormat="1" ht="24" hidden="1" customHeight="1" outlineLevel="1" x14ac:dyDescent="0.25">
      <c r="A6762" s="74">
        <v>803</v>
      </c>
      <c r="B6762" s="45" t="s">
        <v>664</v>
      </c>
      <c r="C6762" s="60" t="s">
        <v>6287</v>
      </c>
      <c r="D6762" s="60"/>
      <c r="E6762" s="74">
        <v>2023</v>
      </c>
      <c r="F6762" s="74" t="s">
        <v>489</v>
      </c>
      <c r="G6762" s="61">
        <v>1</v>
      </c>
      <c r="H6762" s="61">
        <v>15</v>
      </c>
      <c r="I6762" s="61">
        <v>42.494300000000003</v>
      </c>
    </row>
    <row r="6763" spans="1:9" s="71" customFormat="1" ht="24" hidden="1" customHeight="1" outlineLevel="1" x14ac:dyDescent="0.25">
      <c r="A6763" s="74">
        <v>5187</v>
      </c>
      <c r="B6763" s="45" t="s">
        <v>664</v>
      </c>
      <c r="C6763" s="60" t="s">
        <v>6288</v>
      </c>
      <c r="D6763" s="60"/>
      <c r="E6763" s="74">
        <v>2023</v>
      </c>
      <c r="F6763" s="74" t="s">
        <v>489</v>
      </c>
      <c r="G6763" s="61">
        <v>1</v>
      </c>
      <c r="H6763" s="61">
        <v>15</v>
      </c>
      <c r="I6763" s="61">
        <v>42.494300000000003</v>
      </c>
    </row>
    <row r="6764" spans="1:9" s="71" customFormat="1" ht="24" hidden="1" customHeight="1" outlineLevel="1" x14ac:dyDescent="0.25">
      <c r="A6764" s="74">
        <v>5188</v>
      </c>
      <c r="B6764" s="45" t="s">
        <v>664</v>
      </c>
      <c r="C6764" s="60" t="s">
        <v>6289</v>
      </c>
      <c r="D6764" s="60"/>
      <c r="E6764" s="74">
        <v>2023</v>
      </c>
      <c r="F6764" s="74" t="s">
        <v>489</v>
      </c>
      <c r="G6764" s="61">
        <v>1</v>
      </c>
      <c r="H6764" s="61">
        <v>15</v>
      </c>
      <c r="I6764" s="61">
        <v>42.494300000000003</v>
      </c>
    </row>
    <row r="6765" spans="1:9" s="71" customFormat="1" ht="24" hidden="1" customHeight="1" outlineLevel="1" x14ac:dyDescent="0.25">
      <c r="A6765" s="74">
        <v>1486</v>
      </c>
      <c r="B6765" s="45" t="s">
        <v>664</v>
      </c>
      <c r="C6765" s="60" t="s">
        <v>6290</v>
      </c>
      <c r="D6765" s="60"/>
      <c r="E6765" s="74">
        <v>2023</v>
      </c>
      <c r="F6765" s="74" t="s">
        <v>489</v>
      </c>
      <c r="G6765" s="61">
        <v>1</v>
      </c>
      <c r="H6765" s="61">
        <v>3</v>
      </c>
      <c r="I6765" s="61">
        <v>42.494300000000003</v>
      </c>
    </row>
    <row r="6766" spans="1:9" s="71" customFormat="1" ht="24" hidden="1" customHeight="1" outlineLevel="1" x14ac:dyDescent="0.25">
      <c r="A6766" s="74">
        <v>5189</v>
      </c>
      <c r="B6766" s="45" t="s">
        <v>664</v>
      </c>
      <c r="C6766" s="60" t="s">
        <v>6291</v>
      </c>
      <c r="D6766" s="60"/>
      <c r="E6766" s="74">
        <v>2023</v>
      </c>
      <c r="F6766" s="74" t="s">
        <v>489</v>
      </c>
      <c r="G6766" s="61">
        <v>1</v>
      </c>
      <c r="H6766" s="61">
        <v>15</v>
      </c>
      <c r="I6766" s="61">
        <v>42.494300000000003</v>
      </c>
    </row>
    <row r="6767" spans="1:9" s="71" customFormat="1" ht="24" hidden="1" customHeight="1" outlineLevel="1" x14ac:dyDescent="0.25">
      <c r="A6767" s="74">
        <v>5190</v>
      </c>
      <c r="B6767" s="45" t="s">
        <v>664</v>
      </c>
      <c r="C6767" s="60" t="s">
        <v>6292</v>
      </c>
      <c r="D6767" s="60"/>
      <c r="E6767" s="74">
        <v>2023</v>
      </c>
      <c r="F6767" s="74" t="s">
        <v>489</v>
      </c>
      <c r="G6767" s="61">
        <v>1</v>
      </c>
      <c r="H6767" s="61">
        <v>15</v>
      </c>
      <c r="I6767" s="61">
        <v>42.494300000000003</v>
      </c>
    </row>
    <row r="6768" spans="1:9" s="71" customFormat="1" ht="24" hidden="1" customHeight="1" outlineLevel="1" x14ac:dyDescent="0.25">
      <c r="A6768" s="74">
        <v>5191</v>
      </c>
      <c r="B6768" s="45" t="s">
        <v>664</v>
      </c>
      <c r="C6768" s="60" t="s">
        <v>6293</v>
      </c>
      <c r="D6768" s="60"/>
      <c r="E6768" s="74">
        <v>2023</v>
      </c>
      <c r="F6768" s="74" t="s">
        <v>489</v>
      </c>
      <c r="G6768" s="61">
        <v>1</v>
      </c>
      <c r="H6768" s="61">
        <v>25</v>
      </c>
      <c r="I6768" s="61">
        <v>42.494300000000003</v>
      </c>
    </row>
    <row r="6769" spans="1:9" s="71" customFormat="1" ht="24" hidden="1" customHeight="1" outlineLevel="1" x14ac:dyDescent="0.25">
      <c r="A6769" s="74">
        <v>1589</v>
      </c>
      <c r="B6769" s="45" t="s">
        <v>664</v>
      </c>
      <c r="C6769" s="60" t="s">
        <v>6294</v>
      </c>
      <c r="D6769" s="60"/>
      <c r="E6769" s="74">
        <v>2023</v>
      </c>
      <c r="F6769" s="74" t="s">
        <v>489</v>
      </c>
      <c r="G6769" s="61">
        <v>1</v>
      </c>
      <c r="H6769" s="61">
        <v>2</v>
      </c>
      <c r="I6769" s="61">
        <v>42.494300000000003</v>
      </c>
    </row>
    <row r="6770" spans="1:9" s="71" customFormat="1" ht="24" hidden="1" customHeight="1" outlineLevel="1" x14ac:dyDescent="0.25">
      <c r="A6770" s="74">
        <v>5192</v>
      </c>
      <c r="B6770" s="45" t="s">
        <v>664</v>
      </c>
      <c r="C6770" s="60" t="s">
        <v>6295</v>
      </c>
      <c r="D6770" s="60"/>
      <c r="E6770" s="74">
        <v>2023</v>
      </c>
      <c r="F6770" s="74" t="s">
        <v>489</v>
      </c>
      <c r="G6770" s="61">
        <v>1</v>
      </c>
      <c r="H6770" s="61">
        <v>10</v>
      </c>
      <c r="I6770" s="61">
        <v>42.494300000000003</v>
      </c>
    </row>
    <row r="6771" spans="1:9" s="71" customFormat="1" ht="24" hidden="1" customHeight="1" outlineLevel="1" x14ac:dyDescent="0.25">
      <c r="A6771" s="74">
        <v>1590</v>
      </c>
      <c r="B6771" s="45" t="s">
        <v>664</v>
      </c>
      <c r="C6771" s="60" t="s">
        <v>6296</v>
      </c>
      <c r="D6771" s="60"/>
      <c r="E6771" s="74">
        <v>2023</v>
      </c>
      <c r="F6771" s="74" t="s">
        <v>489</v>
      </c>
      <c r="G6771" s="61">
        <v>1</v>
      </c>
      <c r="H6771" s="61">
        <v>7</v>
      </c>
      <c r="I6771" s="61">
        <v>42.494300000000003</v>
      </c>
    </row>
    <row r="6772" spans="1:9" s="71" customFormat="1" ht="24" hidden="1" customHeight="1" outlineLevel="1" x14ac:dyDescent="0.25">
      <c r="A6772" s="74">
        <v>5193</v>
      </c>
      <c r="B6772" s="45" t="s">
        <v>664</v>
      </c>
      <c r="C6772" s="60" t="s">
        <v>6297</v>
      </c>
      <c r="D6772" s="60"/>
      <c r="E6772" s="74">
        <v>2023</v>
      </c>
      <c r="F6772" s="74" t="s">
        <v>489</v>
      </c>
      <c r="G6772" s="61">
        <v>1</v>
      </c>
      <c r="H6772" s="61">
        <v>15</v>
      </c>
      <c r="I6772" s="61">
        <v>42.494300000000003</v>
      </c>
    </row>
    <row r="6773" spans="1:9" s="71" customFormat="1" ht="24" hidden="1" customHeight="1" outlineLevel="1" x14ac:dyDescent="0.25">
      <c r="A6773" s="74">
        <v>5194</v>
      </c>
      <c r="B6773" s="45" t="s">
        <v>664</v>
      </c>
      <c r="C6773" s="60" t="s">
        <v>6298</v>
      </c>
      <c r="D6773" s="60"/>
      <c r="E6773" s="74">
        <v>2023</v>
      </c>
      <c r="F6773" s="74" t="s">
        <v>489</v>
      </c>
      <c r="G6773" s="61">
        <v>1</v>
      </c>
      <c r="H6773" s="61">
        <v>15</v>
      </c>
      <c r="I6773" s="61">
        <v>42.494300000000003</v>
      </c>
    </row>
    <row r="6774" spans="1:9" s="71" customFormat="1" ht="24" hidden="1" customHeight="1" outlineLevel="1" x14ac:dyDescent="0.25">
      <c r="A6774" s="74">
        <v>1642</v>
      </c>
      <c r="B6774" s="45" t="s">
        <v>664</v>
      </c>
      <c r="C6774" s="60" t="s">
        <v>6299</v>
      </c>
      <c r="D6774" s="60"/>
      <c r="E6774" s="74">
        <v>2023</v>
      </c>
      <c r="F6774" s="74" t="s">
        <v>489</v>
      </c>
      <c r="G6774" s="61">
        <v>1</v>
      </c>
      <c r="H6774" s="61">
        <v>15</v>
      </c>
      <c r="I6774" s="61">
        <v>42.494300000000003</v>
      </c>
    </row>
    <row r="6775" spans="1:9" s="71" customFormat="1" ht="24" hidden="1" customHeight="1" outlineLevel="1" x14ac:dyDescent="0.25">
      <c r="A6775" s="74">
        <v>5195</v>
      </c>
      <c r="B6775" s="45" t="s">
        <v>664</v>
      </c>
      <c r="C6775" s="60" t="s">
        <v>6300</v>
      </c>
      <c r="D6775" s="60"/>
      <c r="E6775" s="74">
        <v>2023</v>
      </c>
      <c r="F6775" s="74" t="s">
        <v>489</v>
      </c>
      <c r="G6775" s="61">
        <v>1</v>
      </c>
      <c r="H6775" s="61">
        <v>10</v>
      </c>
      <c r="I6775" s="61">
        <v>42.494300000000003</v>
      </c>
    </row>
    <row r="6776" spans="1:9" s="71" customFormat="1" ht="24" hidden="1" customHeight="1" outlineLevel="1" x14ac:dyDescent="0.25">
      <c r="A6776" s="74">
        <v>5196</v>
      </c>
      <c r="B6776" s="45" t="s">
        <v>664</v>
      </c>
      <c r="C6776" s="60" t="s">
        <v>6301</v>
      </c>
      <c r="D6776" s="60"/>
      <c r="E6776" s="74">
        <v>2023</v>
      </c>
      <c r="F6776" s="74" t="s">
        <v>489</v>
      </c>
      <c r="G6776" s="61">
        <v>1</v>
      </c>
      <c r="H6776" s="61">
        <v>15</v>
      </c>
      <c r="I6776" s="61">
        <v>42.494300000000003</v>
      </c>
    </row>
    <row r="6777" spans="1:9" s="71" customFormat="1" ht="24" hidden="1" customHeight="1" outlineLevel="1" x14ac:dyDescent="0.25">
      <c r="A6777" s="74">
        <v>1179</v>
      </c>
      <c r="B6777" s="45" t="s">
        <v>664</v>
      </c>
      <c r="C6777" s="60" t="s">
        <v>6302</v>
      </c>
      <c r="D6777" s="60"/>
      <c r="E6777" s="74">
        <v>2023</v>
      </c>
      <c r="F6777" s="74" t="s">
        <v>489</v>
      </c>
      <c r="G6777" s="61">
        <v>1</v>
      </c>
      <c r="H6777" s="61">
        <v>15</v>
      </c>
      <c r="I6777" s="61">
        <v>42.595960000000005</v>
      </c>
    </row>
    <row r="6778" spans="1:9" s="71" customFormat="1" ht="24" hidden="1" customHeight="1" outlineLevel="1" x14ac:dyDescent="0.25">
      <c r="A6778" s="74">
        <v>1170</v>
      </c>
      <c r="B6778" s="45" t="s">
        <v>664</v>
      </c>
      <c r="C6778" s="60" t="s">
        <v>6303</v>
      </c>
      <c r="D6778" s="60"/>
      <c r="E6778" s="74">
        <v>2023</v>
      </c>
      <c r="F6778" s="74" t="s">
        <v>489</v>
      </c>
      <c r="G6778" s="61">
        <v>1</v>
      </c>
      <c r="H6778" s="61">
        <v>10</v>
      </c>
      <c r="I6778" s="61">
        <v>42.595960000000005</v>
      </c>
    </row>
    <row r="6779" spans="1:9" s="71" customFormat="1" ht="24" hidden="1" customHeight="1" outlineLevel="1" x14ac:dyDescent="0.25">
      <c r="A6779" s="74">
        <v>567</v>
      </c>
      <c r="B6779" s="45" t="s">
        <v>664</v>
      </c>
      <c r="C6779" s="60" t="s">
        <v>6304</v>
      </c>
      <c r="D6779" s="60"/>
      <c r="E6779" s="74">
        <v>2023</v>
      </c>
      <c r="F6779" s="74" t="s">
        <v>489</v>
      </c>
      <c r="G6779" s="61">
        <v>1</v>
      </c>
      <c r="H6779" s="61">
        <v>15</v>
      </c>
      <c r="I6779" s="61">
        <v>42.595960000000005</v>
      </c>
    </row>
    <row r="6780" spans="1:9" s="71" customFormat="1" ht="24" hidden="1" customHeight="1" outlineLevel="1" x14ac:dyDescent="0.25">
      <c r="A6780" s="74">
        <v>619</v>
      </c>
      <c r="B6780" s="45" t="s">
        <v>664</v>
      </c>
      <c r="C6780" s="60" t="s">
        <v>6305</v>
      </c>
      <c r="D6780" s="60"/>
      <c r="E6780" s="74">
        <v>2023</v>
      </c>
      <c r="F6780" s="74" t="s">
        <v>489</v>
      </c>
      <c r="G6780" s="61">
        <v>1</v>
      </c>
      <c r="H6780" s="61">
        <v>15</v>
      </c>
      <c r="I6780" s="61">
        <v>42.595960000000005</v>
      </c>
    </row>
    <row r="6781" spans="1:9" s="71" customFormat="1" ht="24" hidden="1" customHeight="1" outlineLevel="1" x14ac:dyDescent="0.25">
      <c r="A6781" s="74">
        <v>5240</v>
      </c>
      <c r="B6781" s="45" t="s">
        <v>664</v>
      </c>
      <c r="C6781" s="60" t="s">
        <v>6306</v>
      </c>
      <c r="D6781" s="60"/>
      <c r="E6781" s="74">
        <v>2023</v>
      </c>
      <c r="F6781" s="74" t="s">
        <v>489</v>
      </c>
      <c r="G6781" s="61">
        <v>1</v>
      </c>
      <c r="H6781" s="61">
        <v>15</v>
      </c>
      <c r="I6781" s="61">
        <v>42.595960000000005</v>
      </c>
    </row>
    <row r="6782" spans="1:9" s="71" customFormat="1" ht="24" hidden="1" customHeight="1" outlineLevel="1" x14ac:dyDescent="0.25">
      <c r="A6782" s="74">
        <v>648</v>
      </c>
      <c r="B6782" s="45" t="s">
        <v>664</v>
      </c>
      <c r="C6782" s="60" t="s">
        <v>6307</v>
      </c>
      <c r="D6782" s="60"/>
      <c r="E6782" s="74">
        <v>2023</v>
      </c>
      <c r="F6782" s="74" t="s">
        <v>489</v>
      </c>
      <c r="G6782" s="61">
        <v>1</v>
      </c>
      <c r="H6782" s="61">
        <v>15</v>
      </c>
      <c r="I6782" s="61">
        <v>42.595960000000005</v>
      </c>
    </row>
    <row r="6783" spans="1:9" s="71" customFormat="1" ht="24" hidden="1" customHeight="1" outlineLevel="1" x14ac:dyDescent="0.25">
      <c r="A6783" s="74">
        <v>703</v>
      </c>
      <c r="B6783" s="45" t="s">
        <v>664</v>
      </c>
      <c r="C6783" s="60" t="s">
        <v>6308</v>
      </c>
      <c r="D6783" s="60"/>
      <c r="E6783" s="74">
        <v>2023</v>
      </c>
      <c r="F6783" s="74" t="s">
        <v>489</v>
      </c>
      <c r="G6783" s="61">
        <v>1</v>
      </c>
      <c r="H6783" s="61">
        <v>15</v>
      </c>
      <c r="I6783" s="61">
        <v>42.595960000000005</v>
      </c>
    </row>
    <row r="6784" spans="1:9" s="71" customFormat="1" ht="24" hidden="1" customHeight="1" outlineLevel="1" x14ac:dyDescent="0.25">
      <c r="A6784" s="74">
        <v>719</v>
      </c>
      <c r="B6784" s="45" t="s">
        <v>664</v>
      </c>
      <c r="C6784" s="60" t="s">
        <v>6309</v>
      </c>
      <c r="D6784" s="60"/>
      <c r="E6784" s="74">
        <v>2023</v>
      </c>
      <c r="F6784" s="74" t="s">
        <v>489</v>
      </c>
      <c r="G6784" s="61">
        <v>1</v>
      </c>
      <c r="H6784" s="61">
        <v>15</v>
      </c>
      <c r="I6784" s="61">
        <v>42.595960000000005</v>
      </c>
    </row>
    <row r="6785" spans="1:9" s="71" customFormat="1" ht="24" hidden="1" customHeight="1" outlineLevel="1" x14ac:dyDescent="0.25">
      <c r="A6785" s="74">
        <v>760</v>
      </c>
      <c r="B6785" s="45" t="s">
        <v>664</v>
      </c>
      <c r="C6785" s="60" t="s">
        <v>6310</v>
      </c>
      <c r="D6785" s="60"/>
      <c r="E6785" s="74">
        <v>2023</v>
      </c>
      <c r="F6785" s="74" t="s">
        <v>489</v>
      </c>
      <c r="G6785" s="61">
        <v>1</v>
      </c>
      <c r="H6785" s="61">
        <v>10</v>
      </c>
      <c r="I6785" s="61">
        <v>42.595960000000005</v>
      </c>
    </row>
    <row r="6786" spans="1:9" s="71" customFormat="1" ht="24" hidden="1" customHeight="1" outlineLevel="1" x14ac:dyDescent="0.25">
      <c r="A6786" s="74">
        <v>756</v>
      </c>
      <c r="B6786" s="45" t="s">
        <v>664</v>
      </c>
      <c r="C6786" s="60" t="s">
        <v>6311</v>
      </c>
      <c r="D6786" s="60"/>
      <c r="E6786" s="74">
        <v>2023</v>
      </c>
      <c r="F6786" s="74" t="s">
        <v>489</v>
      </c>
      <c r="G6786" s="61">
        <v>1</v>
      </c>
      <c r="H6786" s="61">
        <v>15</v>
      </c>
      <c r="I6786" s="61">
        <v>42.595960000000005</v>
      </c>
    </row>
    <row r="6787" spans="1:9" s="71" customFormat="1" ht="24" hidden="1" customHeight="1" outlineLevel="1" x14ac:dyDescent="0.25">
      <c r="A6787" s="74">
        <v>763</v>
      </c>
      <c r="B6787" s="45" t="s">
        <v>664</v>
      </c>
      <c r="C6787" s="60" t="s">
        <v>6312</v>
      </c>
      <c r="D6787" s="60"/>
      <c r="E6787" s="74">
        <v>2023</v>
      </c>
      <c r="F6787" s="74" t="s">
        <v>489</v>
      </c>
      <c r="G6787" s="61">
        <v>1</v>
      </c>
      <c r="H6787" s="61">
        <v>15</v>
      </c>
      <c r="I6787" s="61">
        <v>42.595960000000005</v>
      </c>
    </row>
    <row r="6788" spans="1:9" s="71" customFormat="1" ht="24" hidden="1" customHeight="1" outlineLevel="1" x14ac:dyDescent="0.25">
      <c r="A6788" s="74">
        <v>778</v>
      </c>
      <c r="B6788" s="45" t="s">
        <v>664</v>
      </c>
      <c r="C6788" s="60" t="s">
        <v>6313</v>
      </c>
      <c r="D6788" s="60"/>
      <c r="E6788" s="74">
        <v>2023</v>
      </c>
      <c r="F6788" s="74" t="s">
        <v>489</v>
      </c>
      <c r="G6788" s="61">
        <v>1</v>
      </c>
      <c r="H6788" s="61">
        <v>15</v>
      </c>
      <c r="I6788" s="61">
        <v>42.595960000000005</v>
      </c>
    </row>
    <row r="6789" spans="1:9" s="71" customFormat="1" ht="24" hidden="1" customHeight="1" outlineLevel="1" x14ac:dyDescent="0.25">
      <c r="A6789" s="74">
        <v>749</v>
      </c>
      <c r="B6789" s="45" t="s">
        <v>664</v>
      </c>
      <c r="C6789" s="60" t="s">
        <v>6314</v>
      </c>
      <c r="D6789" s="60"/>
      <c r="E6789" s="74">
        <v>2023</v>
      </c>
      <c r="F6789" s="74" t="s">
        <v>489</v>
      </c>
      <c r="G6789" s="61">
        <v>1</v>
      </c>
      <c r="H6789" s="61">
        <v>15</v>
      </c>
      <c r="I6789" s="61">
        <v>42.595960000000005</v>
      </c>
    </row>
    <row r="6790" spans="1:9" s="71" customFormat="1" ht="24" hidden="1" customHeight="1" outlineLevel="1" x14ac:dyDescent="0.25">
      <c r="A6790" s="74">
        <v>5241</v>
      </c>
      <c r="B6790" s="45" t="s">
        <v>664</v>
      </c>
      <c r="C6790" s="60" t="s">
        <v>6315</v>
      </c>
      <c r="D6790" s="60"/>
      <c r="E6790" s="74">
        <v>2023</v>
      </c>
      <c r="F6790" s="74" t="s">
        <v>489</v>
      </c>
      <c r="G6790" s="61">
        <v>1</v>
      </c>
      <c r="H6790" s="61">
        <v>30</v>
      </c>
      <c r="I6790" s="61">
        <v>42.595960000000005</v>
      </c>
    </row>
    <row r="6791" spans="1:9" s="71" customFormat="1" ht="24" hidden="1" customHeight="1" outlineLevel="1" x14ac:dyDescent="0.25">
      <c r="A6791" s="74">
        <v>923</v>
      </c>
      <c r="B6791" s="45" t="s">
        <v>664</v>
      </c>
      <c r="C6791" s="60" t="s">
        <v>6316</v>
      </c>
      <c r="D6791" s="60"/>
      <c r="E6791" s="74">
        <v>2023</v>
      </c>
      <c r="F6791" s="74" t="s">
        <v>489</v>
      </c>
      <c r="G6791" s="61">
        <v>1</v>
      </c>
      <c r="H6791" s="61">
        <v>15</v>
      </c>
      <c r="I6791" s="61">
        <v>42.595960000000005</v>
      </c>
    </row>
    <row r="6792" spans="1:9" s="71" customFormat="1" ht="24" hidden="1" customHeight="1" outlineLevel="1" x14ac:dyDescent="0.25">
      <c r="A6792" s="74">
        <v>929</v>
      </c>
      <c r="B6792" s="45" t="s">
        <v>664</v>
      </c>
      <c r="C6792" s="60" t="s">
        <v>6317</v>
      </c>
      <c r="D6792" s="60"/>
      <c r="E6792" s="74">
        <v>2023</v>
      </c>
      <c r="F6792" s="74" t="s">
        <v>489</v>
      </c>
      <c r="G6792" s="61">
        <v>1</v>
      </c>
      <c r="H6792" s="61">
        <v>15</v>
      </c>
      <c r="I6792" s="61">
        <v>42.595960000000005</v>
      </c>
    </row>
    <row r="6793" spans="1:9" s="71" customFormat="1" ht="24" hidden="1" customHeight="1" outlineLevel="1" x14ac:dyDescent="0.25">
      <c r="A6793" s="74">
        <v>954</v>
      </c>
      <c r="B6793" s="45" t="s">
        <v>664</v>
      </c>
      <c r="C6793" s="60" t="s">
        <v>6318</v>
      </c>
      <c r="D6793" s="60"/>
      <c r="E6793" s="74">
        <v>2023</v>
      </c>
      <c r="F6793" s="74" t="s">
        <v>489</v>
      </c>
      <c r="G6793" s="61">
        <v>1</v>
      </c>
      <c r="H6793" s="61">
        <v>15</v>
      </c>
      <c r="I6793" s="61">
        <v>42.595960000000005</v>
      </c>
    </row>
    <row r="6794" spans="1:9" s="71" customFormat="1" ht="24" hidden="1" customHeight="1" outlineLevel="1" x14ac:dyDescent="0.25">
      <c r="A6794" s="74">
        <v>998</v>
      </c>
      <c r="B6794" s="45" t="s">
        <v>664</v>
      </c>
      <c r="C6794" s="60" t="s">
        <v>6319</v>
      </c>
      <c r="D6794" s="60"/>
      <c r="E6794" s="74">
        <v>2023</v>
      </c>
      <c r="F6794" s="74" t="s">
        <v>489</v>
      </c>
      <c r="G6794" s="61">
        <v>1</v>
      </c>
      <c r="H6794" s="61">
        <v>15</v>
      </c>
      <c r="I6794" s="61">
        <v>42.595960000000005</v>
      </c>
    </row>
    <row r="6795" spans="1:9" s="71" customFormat="1" ht="24" hidden="1" customHeight="1" outlineLevel="1" x14ac:dyDescent="0.25">
      <c r="A6795" s="74">
        <v>1020</v>
      </c>
      <c r="B6795" s="45" t="s">
        <v>664</v>
      </c>
      <c r="C6795" s="60" t="s">
        <v>6320</v>
      </c>
      <c r="D6795" s="60"/>
      <c r="E6795" s="74">
        <v>2023</v>
      </c>
      <c r="F6795" s="74" t="s">
        <v>489</v>
      </c>
      <c r="G6795" s="61">
        <v>1</v>
      </c>
      <c r="H6795" s="61">
        <v>12</v>
      </c>
      <c r="I6795" s="61">
        <v>42.595960000000005</v>
      </c>
    </row>
    <row r="6796" spans="1:9" s="71" customFormat="1" ht="24" hidden="1" customHeight="1" outlineLevel="1" x14ac:dyDescent="0.25">
      <c r="A6796" s="74">
        <v>1127</v>
      </c>
      <c r="B6796" s="45" t="s">
        <v>664</v>
      </c>
      <c r="C6796" s="60" t="s">
        <v>6321</v>
      </c>
      <c r="D6796" s="60"/>
      <c r="E6796" s="74">
        <v>2023</v>
      </c>
      <c r="F6796" s="74" t="s">
        <v>489</v>
      </c>
      <c r="G6796" s="61">
        <v>1</v>
      </c>
      <c r="H6796" s="61">
        <v>15</v>
      </c>
      <c r="I6796" s="61">
        <v>42.595960000000005</v>
      </c>
    </row>
    <row r="6797" spans="1:9" s="71" customFormat="1" ht="24" hidden="1" customHeight="1" outlineLevel="1" x14ac:dyDescent="0.25">
      <c r="A6797" s="74">
        <v>1132</v>
      </c>
      <c r="B6797" s="45" t="s">
        <v>664</v>
      </c>
      <c r="C6797" s="60" t="s">
        <v>6322</v>
      </c>
      <c r="D6797" s="60"/>
      <c r="E6797" s="74">
        <v>2023</v>
      </c>
      <c r="F6797" s="74" t="s">
        <v>489</v>
      </c>
      <c r="G6797" s="61">
        <v>1</v>
      </c>
      <c r="H6797" s="61">
        <v>15</v>
      </c>
      <c r="I6797" s="61">
        <v>42.595960000000005</v>
      </c>
    </row>
    <row r="6798" spans="1:9" s="71" customFormat="1" ht="24" hidden="1" customHeight="1" outlineLevel="1" x14ac:dyDescent="0.25">
      <c r="A6798" s="74">
        <v>1146</v>
      </c>
      <c r="B6798" s="45" t="s">
        <v>664</v>
      </c>
      <c r="C6798" s="60" t="s">
        <v>6323</v>
      </c>
      <c r="D6798" s="60"/>
      <c r="E6798" s="74">
        <v>2023</v>
      </c>
      <c r="F6798" s="74" t="s">
        <v>489</v>
      </c>
      <c r="G6798" s="61">
        <v>1</v>
      </c>
      <c r="H6798" s="61">
        <v>15</v>
      </c>
      <c r="I6798" s="61">
        <v>42.595960000000005</v>
      </c>
    </row>
    <row r="6799" spans="1:9" s="71" customFormat="1" ht="24" hidden="1" customHeight="1" outlineLevel="1" x14ac:dyDescent="0.25">
      <c r="A6799" s="74">
        <v>1107</v>
      </c>
      <c r="B6799" s="45" t="s">
        <v>664</v>
      </c>
      <c r="C6799" s="60" t="s">
        <v>6324</v>
      </c>
      <c r="D6799" s="60"/>
      <c r="E6799" s="74">
        <v>2023</v>
      </c>
      <c r="F6799" s="74" t="s">
        <v>489</v>
      </c>
      <c r="G6799" s="61">
        <v>1</v>
      </c>
      <c r="H6799" s="61">
        <v>15</v>
      </c>
      <c r="I6799" s="61">
        <v>42.595960000000005</v>
      </c>
    </row>
    <row r="6800" spans="1:9" s="71" customFormat="1" ht="24" hidden="1" customHeight="1" outlineLevel="1" x14ac:dyDescent="0.25">
      <c r="A6800" s="74">
        <v>1147</v>
      </c>
      <c r="B6800" s="45" t="s">
        <v>664</v>
      </c>
      <c r="C6800" s="60" t="s">
        <v>6325</v>
      </c>
      <c r="D6800" s="60"/>
      <c r="E6800" s="74">
        <v>2023</v>
      </c>
      <c r="F6800" s="74" t="s">
        <v>489</v>
      </c>
      <c r="G6800" s="61">
        <v>1</v>
      </c>
      <c r="H6800" s="61">
        <v>15</v>
      </c>
      <c r="I6800" s="61">
        <v>42.595960000000005</v>
      </c>
    </row>
    <row r="6801" spans="1:9" s="71" customFormat="1" ht="24" hidden="1" customHeight="1" outlineLevel="1" x14ac:dyDescent="0.25">
      <c r="A6801" s="74">
        <v>5242</v>
      </c>
      <c r="B6801" s="45" t="s">
        <v>664</v>
      </c>
      <c r="C6801" s="60" t="s">
        <v>6326</v>
      </c>
      <c r="D6801" s="60"/>
      <c r="E6801" s="74">
        <v>2023</v>
      </c>
      <c r="F6801" s="74" t="s">
        <v>489</v>
      </c>
      <c r="G6801" s="61">
        <v>1</v>
      </c>
      <c r="H6801" s="61">
        <v>15</v>
      </c>
      <c r="I6801" s="61">
        <v>42.595960000000005</v>
      </c>
    </row>
    <row r="6802" spans="1:9" s="71" customFormat="1" ht="24" hidden="1" customHeight="1" outlineLevel="1" x14ac:dyDescent="0.25">
      <c r="A6802" s="74">
        <v>1206</v>
      </c>
      <c r="B6802" s="45" t="s">
        <v>664</v>
      </c>
      <c r="C6802" s="60" t="s">
        <v>6327</v>
      </c>
      <c r="D6802" s="60"/>
      <c r="E6802" s="74">
        <v>2023</v>
      </c>
      <c r="F6802" s="74" t="s">
        <v>489</v>
      </c>
      <c r="G6802" s="61">
        <v>1</v>
      </c>
      <c r="H6802" s="61">
        <v>15</v>
      </c>
      <c r="I6802" s="61">
        <v>42.595960000000005</v>
      </c>
    </row>
    <row r="6803" spans="1:9" s="71" customFormat="1" ht="24" hidden="1" customHeight="1" outlineLevel="1" x14ac:dyDescent="0.25">
      <c r="A6803" s="74">
        <v>5243</v>
      </c>
      <c r="B6803" s="45" t="s">
        <v>664</v>
      </c>
      <c r="C6803" s="60" t="s">
        <v>6328</v>
      </c>
      <c r="D6803" s="60"/>
      <c r="E6803" s="74">
        <v>2023</v>
      </c>
      <c r="F6803" s="74" t="s">
        <v>489</v>
      </c>
      <c r="G6803" s="61">
        <v>1</v>
      </c>
      <c r="H6803" s="61">
        <v>15</v>
      </c>
      <c r="I6803" s="61">
        <v>42.595960000000005</v>
      </c>
    </row>
    <row r="6804" spans="1:9" s="71" customFormat="1" ht="24" hidden="1" customHeight="1" outlineLevel="1" x14ac:dyDescent="0.25">
      <c r="A6804" s="74">
        <v>1215</v>
      </c>
      <c r="B6804" s="45" t="s">
        <v>664</v>
      </c>
      <c r="C6804" s="60" t="s">
        <v>6329</v>
      </c>
      <c r="D6804" s="60"/>
      <c r="E6804" s="74">
        <v>2023</v>
      </c>
      <c r="F6804" s="74" t="s">
        <v>489</v>
      </c>
      <c r="G6804" s="61">
        <v>1</v>
      </c>
      <c r="H6804" s="61">
        <v>8</v>
      </c>
      <c r="I6804" s="61">
        <v>42.595960000000005</v>
      </c>
    </row>
    <row r="6805" spans="1:9" s="71" customFormat="1" ht="24" hidden="1" customHeight="1" outlineLevel="1" x14ac:dyDescent="0.25">
      <c r="A6805" s="74">
        <v>1214</v>
      </c>
      <c r="B6805" s="45" t="s">
        <v>664</v>
      </c>
      <c r="C6805" s="60" t="s">
        <v>6330</v>
      </c>
      <c r="D6805" s="60"/>
      <c r="E6805" s="74">
        <v>2023</v>
      </c>
      <c r="F6805" s="74" t="s">
        <v>489</v>
      </c>
      <c r="G6805" s="61">
        <v>1</v>
      </c>
      <c r="H6805" s="61">
        <v>12</v>
      </c>
      <c r="I6805" s="61">
        <v>42.595960000000005</v>
      </c>
    </row>
    <row r="6806" spans="1:9" s="71" customFormat="1" ht="24" hidden="1" customHeight="1" outlineLevel="1" x14ac:dyDescent="0.25">
      <c r="A6806" s="74">
        <v>5244</v>
      </c>
      <c r="B6806" s="45" t="s">
        <v>664</v>
      </c>
      <c r="C6806" s="60" t="s">
        <v>6331</v>
      </c>
      <c r="D6806" s="60"/>
      <c r="E6806" s="74">
        <v>2023</v>
      </c>
      <c r="F6806" s="74" t="s">
        <v>489</v>
      </c>
      <c r="G6806" s="61">
        <v>1</v>
      </c>
      <c r="H6806" s="61">
        <v>10</v>
      </c>
      <c r="I6806" s="61">
        <v>42.595960000000005</v>
      </c>
    </row>
    <row r="6807" spans="1:9" s="71" customFormat="1" ht="24" hidden="1" customHeight="1" outlineLevel="1" x14ac:dyDescent="0.25">
      <c r="A6807" s="74">
        <v>995</v>
      </c>
      <c r="B6807" s="45" t="s">
        <v>664</v>
      </c>
      <c r="C6807" s="60" t="s">
        <v>6332</v>
      </c>
      <c r="D6807" s="60"/>
      <c r="E6807" s="74">
        <v>2023</v>
      </c>
      <c r="F6807" s="74" t="s">
        <v>489</v>
      </c>
      <c r="G6807" s="61">
        <v>1</v>
      </c>
      <c r="H6807" s="61">
        <v>12</v>
      </c>
      <c r="I6807" s="61">
        <v>42.595960000000005</v>
      </c>
    </row>
    <row r="6808" spans="1:9" s="71" customFormat="1" ht="24" hidden="1" customHeight="1" outlineLevel="1" x14ac:dyDescent="0.25">
      <c r="A6808" s="74">
        <v>1196</v>
      </c>
      <c r="B6808" s="45" t="s">
        <v>664</v>
      </c>
      <c r="C6808" s="60" t="s">
        <v>6333</v>
      </c>
      <c r="D6808" s="60"/>
      <c r="E6808" s="74">
        <v>2023</v>
      </c>
      <c r="F6808" s="74" t="s">
        <v>489</v>
      </c>
      <c r="G6808" s="61">
        <v>1</v>
      </c>
      <c r="H6808" s="61">
        <v>15</v>
      </c>
      <c r="I6808" s="61">
        <v>42.595960000000005</v>
      </c>
    </row>
    <row r="6809" spans="1:9" s="71" customFormat="1" ht="24" hidden="1" customHeight="1" outlineLevel="1" x14ac:dyDescent="0.25">
      <c r="A6809" s="74">
        <v>5245</v>
      </c>
      <c r="B6809" s="45" t="s">
        <v>664</v>
      </c>
      <c r="C6809" s="60" t="s">
        <v>6334</v>
      </c>
      <c r="D6809" s="60"/>
      <c r="E6809" s="74">
        <v>2023</v>
      </c>
      <c r="F6809" s="74" t="s">
        <v>489</v>
      </c>
      <c r="G6809" s="61">
        <v>1</v>
      </c>
      <c r="H6809" s="61">
        <v>15</v>
      </c>
      <c r="I6809" s="61">
        <v>42.595960000000005</v>
      </c>
    </row>
    <row r="6810" spans="1:9" s="71" customFormat="1" ht="24" hidden="1" customHeight="1" outlineLevel="1" x14ac:dyDescent="0.25">
      <c r="A6810" s="74">
        <v>1283</v>
      </c>
      <c r="B6810" s="45" t="s">
        <v>664</v>
      </c>
      <c r="C6810" s="60" t="s">
        <v>6335</v>
      </c>
      <c r="D6810" s="60"/>
      <c r="E6810" s="74">
        <v>2023</v>
      </c>
      <c r="F6810" s="74" t="s">
        <v>489</v>
      </c>
      <c r="G6810" s="61">
        <v>1</v>
      </c>
      <c r="H6810" s="61">
        <v>10</v>
      </c>
      <c r="I6810" s="61">
        <v>42.595960000000005</v>
      </c>
    </row>
    <row r="6811" spans="1:9" s="71" customFormat="1" ht="24" hidden="1" customHeight="1" outlineLevel="1" x14ac:dyDescent="0.25">
      <c r="A6811" s="74">
        <v>5246</v>
      </c>
      <c r="B6811" s="45" t="s">
        <v>664</v>
      </c>
      <c r="C6811" s="60" t="s">
        <v>6336</v>
      </c>
      <c r="D6811" s="60"/>
      <c r="E6811" s="74">
        <v>2023</v>
      </c>
      <c r="F6811" s="74" t="s">
        <v>489</v>
      </c>
      <c r="G6811" s="61">
        <v>1</v>
      </c>
      <c r="H6811" s="61">
        <v>10</v>
      </c>
      <c r="I6811" s="61">
        <v>42.595960000000005</v>
      </c>
    </row>
    <row r="6812" spans="1:9" s="71" customFormat="1" ht="24" hidden="1" customHeight="1" outlineLevel="1" x14ac:dyDescent="0.25">
      <c r="A6812" s="74">
        <v>5247</v>
      </c>
      <c r="B6812" s="45" t="s">
        <v>664</v>
      </c>
      <c r="C6812" s="60" t="s">
        <v>6337</v>
      </c>
      <c r="D6812" s="60"/>
      <c r="E6812" s="74">
        <v>2023</v>
      </c>
      <c r="F6812" s="74" t="s">
        <v>489</v>
      </c>
      <c r="G6812" s="61">
        <v>1</v>
      </c>
      <c r="H6812" s="61">
        <v>15</v>
      </c>
      <c r="I6812" s="61">
        <v>42.595960000000005</v>
      </c>
    </row>
    <row r="6813" spans="1:9" s="71" customFormat="1" ht="24" hidden="1" customHeight="1" outlineLevel="1" x14ac:dyDescent="0.25">
      <c r="A6813" s="74">
        <v>1498</v>
      </c>
      <c r="B6813" s="45" t="s">
        <v>664</v>
      </c>
      <c r="C6813" s="60" t="s">
        <v>6338</v>
      </c>
      <c r="D6813" s="60"/>
      <c r="E6813" s="74">
        <v>2023</v>
      </c>
      <c r="F6813" s="74" t="s">
        <v>489</v>
      </c>
      <c r="G6813" s="61">
        <v>1</v>
      </c>
      <c r="H6813" s="61">
        <v>15</v>
      </c>
      <c r="I6813" s="61">
        <v>42.595960000000005</v>
      </c>
    </row>
    <row r="6814" spans="1:9" s="71" customFormat="1" ht="24" hidden="1" customHeight="1" outlineLevel="1" x14ac:dyDescent="0.25">
      <c r="A6814" s="74">
        <v>5248</v>
      </c>
      <c r="B6814" s="45" t="s">
        <v>664</v>
      </c>
      <c r="C6814" s="60" t="s">
        <v>6339</v>
      </c>
      <c r="D6814" s="60"/>
      <c r="E6814" s="74">
        <v>2023</v>
      </c>
      <c r="F6814" s="74" t="s">
        <v>489</v>
      </c>
      <c r="G6814" s="61">
        <v>1</v>
      </c>
      <c r="H6814" s="61">
        <v>15</v>
      </c>
      <c r="I6814" s="61">
        <v>42.595960000000005</v>
      </c>
    </row>
    <row r="6815" spans="1:9" s="71" customFormat="1" ht="24" hidden="1" customHeight="1" outlineLevel="1" x14ac:dyDescent="0.25">
      <c r="A6815" s="74">
        <v>766</v>
      </c>
      <c r="B6815" s="45" t="s">
        <v>664</v>
      </c>
      <c r="C6815" s="60" t="s">
        <v>6340</v>
      </c>
      <c r="D6815" s="60"/>
      <c r="E6815" s="74">
        <v>2023</v>
      </c>
      <c r="F6815" s="74" t="s">
        <v>489</v>
      </c>
      <c r="G6815" s="61">
        <v>1</v>
      </c>
      <c r="H6815" s="61">
        <v>15</v>
      </c>
      <c r="I6815" s="61">
        <v>42.392660000000006</v>
      </c>
    </row>
    <row r="6816" spans="1:9" s="71" customFormat="1" ht="24" hidden="1" customHeight="1" outlineLevel="1" x14ac:dyDescent="0.25">
      <c r="A6816" s="74">
        <v>804</v>
      </c>
      <c r="B6816" s="45" t="s">
        <v>664</v>
      </c>
      <c r="C6816" s="60" t="s">
        <v>6341</v>
      </c>
      <c r="D6816" s="60"/>
      <c r="E6816" s="74">
        <v>2023</v>
      </c>
      <c r="F6816" s="74" t="s">
        <v>489</v>
      </c>
      <c r="G6816" s="61">
        <v>1</v>
      </c>
      <c r="H6816" s="61">
        <v>15</v>
      </c>
      <c r="I6816" s="61">
        <v>42.392660000000006</v>
      </c>
    </row>
    <row r="6817" spans="1:9" s="71" customFormat="1" ht="24" hidden="1" customHeight="1" outlineLevel="1" x14ac:dyDescent="0.25">
      <c r="A6817" s="74">
        <v>1002</v>
      </c>
      <c r="B6817" s="45" t="s">
        <v>664</v>
      </c>
      <c r="C6817" s="60" t="s">
        <v>6342</v>
      </c>
      <c r="D6817" s="60"/>
      <c r="E6817" s="74">
        <v>2023</v>
      </c>
      <c r="F6817" s="74" t="s">
        <v>489</v>
      </c>
      <c r="G6817" s="61">
        <v>1</v>
      </c>
      <c r="H6817" s="61">
        <v>15</v>
      </c>
      <c r="I6817" s="61">
        <v>42.392660000000006</v>
      </c>
    </row>
    <row r="6818" spans="1:9" s="71" customFormat="1" ht="24" hidden="1" customHeight="1" outlineLevel="1" x14ac:dyDescent="0.25">
      <c r="A6818" s="74">
        <v>996</v>
      </c>
      <c r="B6818" s="45" t="s">
        <v>664</v>
      </c>
      <c r="C6818" s="60" t="s">
        <v>6343</v>
      </c>
      <c r="D6818" s="60"/>
      <c r="E6818" s="74">
        <v>2023</v>
      </c>
      <c r="F6818" s="74" t="s">
        <v>489</v>
      </c>
      <c r="G6818" s="61">
        <v>1</v>
      </c>
      <c r="H6818" s="61">
        <v>7</v>
      </c>
      <c r="I6818" s="61">
        <v>42.392660000000006</v>
      </c>
    </row>
    <row r="6819" spans="1:9" s="71" customFormat="1" ht="24" hidden="1" customHeight="1" outlineLevel="1" x14ac:dyDescent="0.25">
      <c r="A6819" s="74">
        <v>957</v>
      </c>
      <c r="B6819" s="45" t="s">
        <v>664</v>
      </c>
      <c r="C6819" s="60" t="s">
        <v>6344</v>
      </c>
      <c r="D6819" s="60"/>
      <c r="E6819" s="74">
        <v>2023</v>
      </c>
      <c r="F6819" s="74" t="s">
        <v>489</v>
      </c>
      <c r="G6819" s="61">
        <v>1</v>
      </c>
      <c r="H6819" s="61">
        <v>15</v>
      </c>
      <c r="I6819" s="61">
        <v>42.392660000000006</v>
      </c>
    </row>
    <row r="6820" spans="1:9" s="71" customFormat="1" ht="24" hidden="1" customHeight="1" outlineLevel="1" x14ac:dyDescent="0.25">
      <c r="A6820" s="74">
        <v>968</v>
      </c>
      <c r="B6820" s="45" t="s">
        <v>664</v>
      </c>
      <c r="C6820" s="60" t="s">
        <v>6345</v>
      </c>
      <c r="D6820" s="60"/>
      <c r="E6820" s="74">
        <v>2023</v>
      </c>
      <c r="F6820" s="74" t="s">
        <v>489</v>
      </c>
      <c r="G6820" s="61">
        <v>1</v>
      </c>
      <c r="H6820" s="61">
        <v>4</v>
      </c>
      <c r="I6820" s="61">
        <v>42.392660000000006</v>
      </c>
    </row>
    <row r="6821" spans="1:9" s="71" customFormat="1" ht="24" hidden="1" customHeight="1" outlineLevel="1" x14ac:dyDescent="0.25">
      <c r="A6821" s="74">
        <v>1048</v>
      </c>
      <c r="B6821" s="45" t="s">
        <v>664</v>
      </c>
      <c r="C6821" s="60" t="s">
        <v>6346</v>
      </c>
      <c r="D6821" s="60"/>
      <c r="E6821" s="74">
        <v>2023</v>
      </c>
      <c r="F6821" s="74" t="s">
        <v>489</v>
      </c>
      <c r="G6821" s="61">
        <v>1</v>
      </c>
      <c r="H6821" s="61">
        <v>10</v>
      </c>
      <c r="I6821" s="61">
        <v>42.392660000000006</v>
      </c>
    </row>
    <row r="6822" spans="1:9" s="71" customFormat="1" ht="24" hidden="1" customHeight="1" outlineLevel="1" x14ac:dyDescent="0.25">
      <c r="A6822" s="74">
        <v>1131</v>
      </c>
      <c r="B6822" s="45" t="s">
        <v>664</v>
      </c>
      <c r="C6822" s="60" t="s">
        <v>6347</v>
      </c>
      <c r="D6822" s="60"/>
      <c r="E6822" s="74">
        <v>2023</v>
      </c>
      <c r="F6822" s="74" t="s">
        <v>489</v>
      </c>
      <c r="G6822" s="61">
        <v>1</v>
      </c>
      <c r="H6822" s="61">
        <v>15</v>
      </c>
      <c r="I6822" s="61">
        <v>42.392660000000006</v>
      </c>
    </row>
    <row r="6823" spans="1:9" s="71" customFormat="1" ht="24" hidden="1" customHeight="1" outlineLevel="1" x14ac:dyDescent="0.25">
      <c r="A6823" s="74">
        <v>1036</v>
      </c>
      <c r="B6823" s="45" t="s">
        <v>664</v>
      </c>
      <c r="C6823" s="60" t="s">
        <v>6348</v>
      </c>
      <c r="D6823" s="60"/>
      <c r="E6823" s="74">
        <v>2023</v>
      </c>
      <c r="F6823" s="74" t="s">
        <v>489</v>
      </c>
      <c r="G6823" s="61">
        <v>1</v>
      </c>
      <c r="H6823" s="61">
        <v>15</v>
      </c>
      <c r="I6823" s="61">
        <v>42.392660000000006</v>
      </c>
    </row>
    <row r="6824" spans="1:9" s="71" customFormat="1" ht="24" hidden="1" customHeight="1" outlineLevel="1" x14ac:dyDescent="0.25">
      <c r="A6824" s="74">
        <v>1097</v>
      </c>
      <c r="B6824" s="45" t="s">
        <v>664</v>
      </c>
      <c r="C6824" s="60" t="s">
        <v>6349</v>
      </c>
      <c r="D6824" s="60"/>
      <c r="E6824" s="74">
        <v>2023</v>
      </c>
      <c r="F6824" s="74" t="s">
        <v>489</v>
      </c>
      <c r="G6824" s="61">
        <v>1</v>
      </c>
      <c r="H6824" s="61">
        <v>15</v>
      </c>
      <c r="I6824" s="61">
        <v>42.392660000000006</v>
      </c>
    </row>
    <row r="6825" spans="1:9" s="71" customFormat="1" ht="24" hidden="1" customHeight="1" outlineLevel="1" x14ac:dyDescent="0.25">
      <c r="A6825" s="74">
        <v>1201</v>
      </c>
      <c r="B6825" s="45" t="s">
        <v>664</v>
      </c>
      <c r="C6825" s="60" t="s">
        <v>6350</v>
      </c>
      <c r="D6825" s="60"/>
      <c r="E6825" s="74">
        <v>2023</v>
      </c>
      <c r="F6825" s="74" t="s">
        <v>489</v>
      </c>
      <c r="G6825" s="61">
        <v>1</v>
      </c>
      <c r="H6825" s="61">
        <v>12</v>
      </c>
      <c r="I6825" s="61">
        <v>42.392660000000006</v>
      </c>
    </row>
    <row r="6826" spans="1:9" s="71" customFormat="1" ht="24" hidden="1" customHeight="1" outlineLevel="1" x14ac:dyDescent="0.25">
      <c r="A6826" s="74">
        <v>1211</v>
      </c>
      <c r="B6826" s="45" t="s">
        <v>664</v>
      </c>
      <c r="C6826" s="60" t="s">
        <v>6351</v>
      </c>
      <c r="D6826" s="60"/>
      <c r="E6826" s="74">
        <v>2023</v>
      </c>
      <c r="F6826" s="74" t="s">
        <v>489</v>
      </c>
      <c r="G6826" s="61">
        <v>1</v>
      </c>
      <c r="H6826" s="61">
        <v>15</v>
      </c>
      <c r="I6826" s="61">
        <v>42.392660000000006</v>
      </c>
    </row>
    <row r="6827" spans="1:9" s="71" customFormat="1" ht="24" hidden="1" customHeight="1" outlineLevel="1" x14ac:dyDescent="0.25">
      <c r="A6827" s="74">
        <v>1198</v>
      </c>
      <c r="B6827" s="45" t="s">
        <v>664</v>
      </c>
      <c r="C6827" s="60" t="s">
        <v>6352</v>
      </c>
      <c r="D6827" s="60"/>
      <c r="E6827" s="74">
        <v>2023</v>
      </c>
      <c r="F6827" s="74" t="s">
        <v>489</v>
      </c>
      <c r="G6827" s="61">
        <v>1</v>
      </c>
      <c r="H6827" s="61">
        <v>12</v>
      </c>
      <c r="I6827" s="61">
        <v>42.392660000000006</v>
      </c>
    </row>
    <row r="6828" spans="1:9" s="71" customFormat="1" ht="24" hidden="1" customHeight="1" outlineLevel="1" x14ac:dyDescent="0.25">
      <c r="A6828" s="74">
        <v>5253</v>
      </c>
      <c r="B6828" s="45" t="s">
        <v>664</v>
      </c>
      <c r="C6828" s="60" t="s">
        <v>6353</v>
      </c>
      <c r="D6828" s="60"/>
      <c r="E6828" s="74">
        <v>2023</v>
      </c>
      <c r="F6828" s="74" t="s">
        <v>489</v>
      </c>
      <c r="G6828" s="61">
        <v>1</v>
      </c>
      <c r="H6828" s="61">
        <v>20</v>
      </c>
      <c r="I6828" s="61">
        <v>42.392660000000006</v>
      </c>
    </row>
    <row r="6829" spans="1:9" s="71" customFormat="1" ht="24" hidden="1" customHeight="1" outlineLevel="1" x14ac:dyDescent="0.25">
      <c r="A6829" s="74">
        <v>5254</v>
      </c>
      <c r="B6829" s="45" t="s">
        <v>664</v>
      </c>
      <c r="C6829" s="60" t="s">
        <v>6354</v>
      </c>
      <c r="D6829" s="60"/>
      <c r="E6829" s="74">
        <v>2023</v>
      </c>
      <c r="F6829" s="74" t="s">
        <v>489</v>
      </c>
      <c r="G6829" s="61">
        <v>1</v>
      </c>
      <c r="H6829" s="61">
        <v>15</v>
      </c>
      <c r="I6829" s="61">
        <v>42.392660000000006</v>
      </c>
    </row>
    <row r="6830" spans="1:9" s="71" customFormat="1" ht="24" hidden="1" customHeight="1" outlineLevel="1" x14ac:dyDescent="0.25">
      <c r="A6830" s="74">
        <v>5255</v>
      </c>
      <c r="B6830" s="45" t="s">
        <v>664</v>
      </c>
      <c r="C6830" s="60" t="s">
        <v>6355</v>
      </c>
      <c r="D6830" s="60"/>
      <c r="E6830" s="74">
        <v>2023</v>
      </c>
      <c r="F6830" s="74" t="s">
        <v>489</v>
      </c>
      <c r="G6830" s="61">
        <v>1</v>
      </c>
      <c r="H6830" s="61">
        <v>10</v>
      </c>
      <c r="I6830" s="61">
        <v>42.392660000000006</v>
      </c>
    </row>
    <row r="6831" spans="1:9" s="71" customFormat="1" ht="24" hidden="1" customHeight="1" outlineLevel="1" x14ac:dyDescent="0.25">
      <c r="A6831" s="74">
        <v>5256</v>
      </c>
      <c r="B6831" s="45" t="s">
        <v>664</v>
      </c>
      <c r="C6831" s="60" t="s">
        <v>6356</v>
      </c>
      <c r="D6831" s="60"/>
      <c r="E6831" s="74">
        <v>2023</v>
      </c>
      <c r="F6831" s="74" t="s">
        <v>489</v>
      </c>
      <c r="G6831" s="61">
        <v>1</v>
      </c>
      <c r="H6831" s="61">
        <v>15</v>
      </c>
      <c r="I6831" s="61">
        <v>42.392660000000006</v>
      </c>
    </row>
    <row r="6832" spans="1:9" s="71" customFormat="1" ht="24" hidden="1" customHeight="1" outlineLevel="1" x14ac:dyDescent="0.25">
      <c r="A6832" s="74">
        <v>5257</v>
      </c>
      <c r="B6832" s="45" t="s">
        <v>664</v>
      </c>
      <c r="C6832" s="60" t="s">
        <v>6357</v>
      </c>
      <c r="D6832" s="60"/>
      <c r="E6832" s="74">
        <v>2023</v>
      </c>
      <c r="F6832" s="74" t="s">
        <v>489</v>
      </c>
      <c r="G6832" s="61">
        <v>1</v>
      </c>
      <c r="H6832" s="61">
        <v>15</v>
      </c>
      <c r="I6832" s="61">
        <v>42.392660000000006</v>
      </c>
    </row>
    <row r="6833" spans="1:9" s="71" customFormat="1" ht="24" hidden="1" customHeight="1" outlineLevel="1" x14ac:dyDescent="0.25">
      <c r="A6833" s="74">
        <v>5258</v>
      </c>
      <c r="B6833" s="45" t="s">
        <v>664</v>
      </c>
      <c r="C6833" s="60" t="s">
        <v>6358</v>
      </c>
      <c r="D6833" s="60"/>
      <c r="E6833" s="74">
        <v>2023</v>
      </c>
      <c r="F6833" s="74" t="s">
        <v>489</v>
      </c>
      <c r="G6833" s="61">
        <v>1</v>
      </c>
      <c r="H6833" s="61">
        <v>15</v>
      </c>
      <c r="I6833" s="61">
        <v>42.392660000000006</v>
      </c>
    </row>
    <row r="6834" spans="1:9" s="71" customFormat="1" ht="24" hidden="1" customHeight="1" outlineLevel="1" x14ac:dyDescent="0.25">
      <c r="A6834" s="74">
        <v>5259</v>
      </c>
      <c r="B6834" s="45" t="s">
        <v>664</v>
      </c>
      <c r="C6834" s="60" t="s">
        <v>6359</v>
      </c>
      <c r="D6834" s="60"/>
      <c r="E6834" s="74">
        <v>2023</v>
      </c>
      <c r="F6834" s="74" t="s">
        <v>489</v>
      </c>
      <c r="G6834" s="61">
        <v>1</v>
      </c>
      <c r="H6834" s="61">
        <v>15</v>
      </c>
      <c r="I6834" s="61">
        <v>42.392660000000006</v>
      </c>
    </row>
    <row r="6835" spans="1:9" s="71" customFormat="1" ht="24" hidden="1" customHeight="1" outlineLevel="1" x14ac:dyDescent="0.25">
      <c r="A6835" s="74">
        <v>5260</v>
      </c>
      <c r="B6835" s="45" t="s">
        <v>664</v>
      </c>
      <c r="C6835" s="60" t="s">
        <v>6360</v>
      </c>
      <c r="D6835" s="60"/>
      <c r="E6835" s="74">
        <v>2023</v>
      </c>
      <c r="F6835" s="74" t="s">
        <v>489</v>
      </c>
      <c r="G6835" s="61">
        <v>1</v>
      </c>
      <c r="H6835" s="61">
        <v>15</v>
      </c>
      <c r="I6835" s="61">
        <v>42.392660000000006</v>
      </c>
    </row>
    <row r="6836" spans="1:9" s="71" customFormat="1" ht="24" hidden="1" customHeight="1" outlineLevel="1" x14ac:dyDescent="0.25">
      <c r="A6836" s="74">
        <v>5261</v>
      </c>
      <c r="B6836" s="45" t="s">
        <v>664</v>
      </c>
      <c r="C6836" s="60" t="s">
        <v>6361</v>
      </c>
      <c r="D6836" s="60"/>
      <c r="E6836" s="74">
        <v>2023</v>
      </c>
      <c r="F6836" s="74" t="s">
        <v>489</v>
      </c>
      <c r="G6836" s="61">
        <v>1</v>
      </c>
      <c r="H6836" s="61">
        <v>12</v>
      </c>
      <c r="I6836" s="61">
        <v>42.392660000000006</v>
      </c>
    </row>
    <row r="6837" spans="1:9" s="71" customFormat="1" ht="24" hidden="1" customHeight="1" outlineLevel="1" x14ac:dyDescent="0.25">
      <c r="A6837" s="74">
        <v>5262</v>
      </c>
      <c r="B6837" s="45" t="s">
        <v>664</v>
      </c>
      <c r="C6837" s="60" t="s">
        <v>6362</v>
      </c>
      <c r="D6837" s="60"/>
      <c r="E6837" s="74">
        <v>2023</v>
      </c>
      <c r="F6837" s="74" t="s">
        <v>489</v>
      </c>
      <c r="G6837" s="61">
        <v>1</v>
      </c>
      <c r="H6837" s="61">
        <v>15</v>
      </c>
      <c r="I6837" s="61">
        <v>42.392660000000006</v>
      </c>
    </row>
    <row r="6838" spans="1:9" s="71" customFormat="1" ht="24" hidden="1" customHeight="1" outlineLevel="1" x14ac:dyDescent="0.25">
      <c r="A6838" s="74">
        <v>5396</v>
      </c>
      <c r="B6838" s="45" t="s">
        <v>664</v>
      </c>
      <c r="C6838" s="60" t="s">
        <v>6363</v>
      </c>
      <c r="D6838" s="60"/>
      <c r="E6838" s="74">
        <v>2023</v>
      </c>
      <c r="F6838" s="74" t="s">
        <v>489</v>
      </c>
      <c r="G6838" s="61">
        <v>1</v>
      </c>
      <c r="H6838" s="61">
        <v>15</v>
      </c>
      <c r="I6838" s="61">
        <v>43.466080000000005</v>
      </c>
    </row>
    <row r="6839" spans="1:9" s="71" customFormat="1" ht="24" hidden="1" customHeight="1" outlineLevel="1" x14ac:dyDescent="0.25">
      <c r="A6839" s="74">
        <v>5397</v>
      </c>
      <c r="B6839" s="45" t="s">
        <v>664</v>
      </c>
      <c r="C6839" s="60" t="s">
        <v>6364</v>
      </c>
      <c r="D6839" s="60"/>
      <c r="E6839" s="74">
        <v>2023</v>
      </c>
      <c r="F6839" s="74" t="s">
        <v>489</v>
      </c>
      <c r="G6839" s="61">
        <v>1</v>
      </c>
      <c r="H6839" s="61">
        <v>8</v>
      </c>
      <c r="I6839" s="61">
        <v>31.322299999999998</v>
      </c>
    </row>
    <row r="6840" spans="1:9" s="71" customFormat="1" ht="24" hidden="1" customHeight="1" outlineLevel="1" x14ac:dyDescent="0.25">
      <c r="A6840" s="74">
        <v>5398</v>
      </c>
      <c r="B6840" s="45" t="s">
        <v>664</v>
      </c>
      <c r="C6840" s="60" t="s">
        <v>6365</v>
      </c>
      <c r="D6840" s="60"/>
      <c r="E6840" s="74">
        <v>2023</v>
      </c>
      <c r="F6840" s="74" t="s">
        <v>489</v>
      </c>
      <c r="G6840" s="61">
        <v>1</v>
      </c>
      <c r="H6840" s="61">
        <v>15</v>
      </c>
      <c r="I6840" s="61">
        <v>31.32235</v>
      </c>
    </row>
    <row r="6841" spans="1:9" s="71" customFormat="1" ht="24" hidden="1" customHeight="1" outlineLevel="1" x14ac:dyDescent="0.25">
      <c r="A6841" s="74">
        <v>1216</v>
      </c>
      <c r="B6841" s="45" t="s">
        <v>664</v>
      </c>
      <c r="C6841" s="60" t="s">
        <v>6366</v>
      </c>
      <c r="D6841" s="60"/>
      <c r="E6841" s="74">
        <v>2023</v>
      </c>
      <c r="F6841" s="74" t="s">
        <v>489</v>
      </c>
      <c r="G6841" s="61">
        <v>1</v>
      </c>
      <c r="H6841" s="61">
        <v>15</v>
      </c>
      <c r="I6841" s="61">
        <v>31.322299999999998</v>
      </c>
    </row>
    <row r="6842" spans="1:9" s="71" customFormat="1" ht="24" hidden="1" customHeight="1" outlineLevel="1" x14ac:dyDescent="0.25">
      <c r="A6842" s="74">
        <v>1101</v>
      </c>
      <c r="B6842" s="45" t="s">
        <v>664</v>
      </c>
      <c r="C6842" s="60" t="s">
        <v>6367</v>
      </c>
      <c r="D6842" s="60"/>
      <c r="E6842" s="74">
        <v>2023</v>
      </c>
      <c r="F6842" s="74" t="s">
        <v>489</v>
      </c>
      <c r="G6842" s="61">
        <v>1</v>
      </c>
      <c r="H6842" s="61">
        <v>3</v>
      </c>
      <c r="I6842" s="61">
        <v>43.615730000000006</v>
      </c>
    </row>
    <row r="6843" spans="1:9" s="71" customFormat="1" ht="24" hidden="1" customHeight="1" outlineLevel="1" x14ac:dyDescent="0.25">
      <c r="A6843" s="74">
        <v>5399</v>
      </c>
      <c r="B6843" s="45" t="s">
        <v>664</v>
      </c>
      <c r="C6843" s="60" t="s">
        <v>6368</v>
      </c>
      <c r="D6843" s="60"/>
      <c r="E6843" s="74">
        <v>2023</v>
      </c>
      <c r="F6843" s="74" t="s">
        <v>489</v>
      </c>
      <c r="G6843" s="61">
        <v>1</v>
      </c>
      <c r="H6843" s="61">
        <v>15</v>
      </c>
      <c r="I6843" s="61">
        <v>43.615679999999998</v>
      </c>
    </row>
    <row r="6844" spans="1:9" s="71" customFormat="1" ht="24" hidden="1" customHeight="1" outlineLevel="1" x14ac:dyDescent="0.25">
      <c r="A6844" s="74">
        <v>5400</v>
      </c>
      <c r="B6844" s="45" t="s">
        <v>664</v>
      </c>
      <c r="C6844" s="60" t="s">
        <v>6369</v>
      </c>
      <c r="D6844" s="60"/>
      <c r="E6844" s="74">
        <v>2023</v>
      </c>
      <c r="F6844" s="74" t="s">
        <v>489</v>
      </c>
      <c r="G6844" s="61">
        <v>1</v>
      </c>
      <c r="H6844" s="61">
        <v>15</v>
      </c>
      <c r="I6844" s="61">
        <v>43.615730000000006</v>
      </c>
    </row>
    <row r="6845" spans="1:9" s="71" customFormat="1" ht="24" hidden="1" customHeight="1" outlineLevel="1" x14ac:dyDescent="0.25">
      <c r="A6845" s="74">
        <v>5401</v>
      </c>
      <c r="B6845" s="45" t="s">
        <v>664</v>
      </c>
      <c r="C6845" s="60" t="s">
        <v>6370</v>
      </c>
      <c r="D6845" s="60"/>
      <c r="E6845" s="74">
        <v>2023</v>
      </c>
      <c r="F6845" s="74" t="s">
        <v>489</v>
      </c>
      <c r="G6845" s="61">
        <v>1</v>
      </c>
      <c r="H6845" s="61">
        <v>10</v>
      </c>
      <c r="I6845" s="61">
        <v>43.615679999999998</v>
      </c>
    </row>
    <row r="6846" spans="1:9" s="71" customFormat="1" ht="24" hidden="1" customHeight="1" outlineLevel="1" x14ac:dyDescent="0.25">
      <c r="A6846" s="74">
        <v>1269</v>
      </c>
      <c r="B6846" s="45" t="s">
        <v>664</v>
      </c>
      <c r="C6846" s="60" t="s">
        <v>6371</v>
      </c>
      <c r="D6846" s="60"/>
      <c r="E6846" s="74">
        <v>2023</v>
      </c>
      <c r="F6846" s="74" t="s">
        <v>489</v>
      </c>
      <c r="G6846" s="61">
        <v>1</v>
      </c>
      <c r="H6846" s="61">
        <v>3</v>
      </c>
      <c r="I6846" s="61">
        <v>43.6158</v>
      </c>
    </row>
    <row r="6847" spans="1:9" s="71" customFormat="1" ht="24" hidden="1" customHeight="1" outlineLevel="1" x14ac:dyDescent="0.25">
      <c r="A6847" s="74">
        <v>5402</v>
      </c>
      <c r="B6847" s="45" t="s">
        <v>664</v>
      </c>
      <c r="C6847" s="60" t="s">
        <v>6372</v>
      </c>
      <c r="D6847" s="60"/>
      <c r="E6847" s="74">
        <v>2023</v>
      </c>
      <c r="F6847" s="74" t="s">
        <v>489</v>
      </c>
      <c r="G6847" s="61">
        <v>1</v>
      </c>
      <c r="H6847" s="61">
        <v>15</v>
      </c>
      <c r="I6847" s="61">
        <v>43.615679999999998</v>
      </c>
    </row>
    <row r="6848" spans="1:9" s="71" customFormat="1" ht="24" hidden="1" customHeight="1" outlineLevel="1" x14ac:dyDescent="0.25">
      <c r="A6848" s="74">
        <v>5403</v>
      </c>
      <c r="B6848" s="45" t="s">
        <v>664</v>
      </c>
      <c r="C6848" s="60" t="s">
        <v>6373</v>
      </c>
      <c r="D6848" s="60"/>
      <c r="E6848" s="74">
        <v>2023</v>
      </c>
      <c r="F6848" s="74" t="s">
        <v>489</v>
      </c>
      <c r="G6848" s="61">
        <v>1</v>
      </c>
      <c r="H6848" s="61">
        <v>11</v>
      </c>
      <c r="I6848" s="61">
        <v>43.615730000000006</v>
      </c>
    </row>
    <row r="6849" spans="1:9" s="71" customFormat="1" ht="24" hidden="1" customHeight="1" outlineLevel="1" x14ac:dyDescent="0.25">
      <c r="A6849" s="74">
        <v>5404</v>
      </c>
      <c r="B6849" s="45" t="s">
        <v>664</v>
      </c>
      <c r="C6849" s="60" t="s">
        <v>6374</v>
      </c>
      <c r="D6849" s="60"/>
      <c r="E6849" s="74">
        <v>2023</v>
      </c>
      <c r="F6849" s="74" t="s">
        <v>489</v>
      </c>
      <c r="G6849" s="61">
        <v>1</v>
      </c>
      <c r="H6849" s="61">
        <v>7</v>
      </c>
      <c r="I6849" s="61">
        <v>43.615679999999998</v>
      </c>
    </row>
    <row r="6850" spans="1:9" s="71" customFormat="1" ht="24" hidden="1" customHeight="1" outlineLevel="1" x14ac:dyDescent="0.25">
      <c r="A6850" s="74">
        <v>5405</v>
      </c>
      <c r="B6850" s="45" t="s">
        <v>664</v>
      </c>
      <c r="C6850" s="60" t="s">
        <v>6375</v>
      </c>
      <c r="D6850" s="60"/>
      <c r="E6850" s="74">
        <v>2023</v>
      </c>
      <c r="F6850" s="74" t="s">
        <v>489</v>
      </c>
      <c r="G6850" s="61">
        <v>1</v>
      </c>
      <c r="H6850" s="61">
        <v>15</v>
      </c>
      <c r="I6850" s="61">
        <v>43.615730000000006</v>
      </c>
    </row>
    <row r="6851" spans="1:9" s="71" customFormat="1" ht="24" hidden="1" customHeight="1" outlineLevel="1" x14ac:dyDescent="0.25">
      <c r="A6851" s="74">
        <v>1246</v>
      </c>
      <c r="B6851" s="45" t="s">
        <v>664</v>
      </c>
      <c r="C6851" s="60" t="s">
        <v>6376</v>
      </c>
      <c r="D6851" s="60"/>
      <c r="E6851" s="74">
        <v>2023</v>
      </c>
      <c r="F6851" s="74" t="s">
        <v>489</v>
      </c>
      <c r="G6851" s="61">
        <v>1</v>
      </c>
      <c r="H6851" s="61">
        <v>3</v>
      </c>
      <c r="I6851" s="61">
        <v>43.615679999999998</v>
      </c>
    </row>
    <row r="6852" spans="1:9" s="71" customFormat="1" ht="24" hidden="1" customHeight="1" outlineLevel="1" x14ac:dyDescent="0.25">
      <c r="A6852" s="74">
        <v>5406</v>
      </c>
      <c r="B6852" s="45" t="s">
        <v>664</v>
      </c>
      <c r="C6852" s="60" t="s">
        <v>6377</v>
      </c>
      <c r="D6852" s="60"/>
      <c r="E6852" s="74">
        <v>2023</v>
      </c>
      <c r="F6852" s="74" t="s">
        <v>489</v>
      </c>
      <c r="G6852" s="61">
        <v>1</v>
      </c>
      <c r="H6852" s="61">
        <v>15</v>
      </c>
      <c r="I6852" s="61">
        <v>43.615730000000006</v>
      </c>
    </row>
    <row r="6853" spans="1:9" s="71" customFormat="1" ht="24" hidden="1" customHeight="1" outlineLevel="1" x14ac:dyDescent="0.25">
      <c r="A6853" s="74">
        <v>5407</v>
      </c>
      <c r="B6853" s="45" t="s">
        <v>664</v>
      </c>
      <c r="C6853" s="60" t="s">
        <v>6378</v>
      </c>
      <c r="D6853" s="60"/>
      <c r="E6853" s="74">
        <v>2023</v>
      </c>
      <c r="F6853" s="74" t="s">
        <v>489</v>
      </c>
      <c r="G6853" s="61">
        <v>1</v>
      </c>
      <c r="H6853" s="61">
        <v>15</v>
      </c>
      <c r="I6853" s="61">
        <v>43.615679999999998</v>
      </c>
    </row>
    <row r="6854" spans="1:9" s="71" customFormat="1" ht="24" hidden="1" customHeight="1" outlineLevel="1" x14ac:dyDescent="0.25">
      <c r="A6854" s="74">
        <v>5408</v>
      </c>
      <c r="B6854" s="45" t="s">
        <v>664</v>
      </c>
      <c r="C6854" s="60" t="s">
        <v>6379</v>
      </c>
      <c r="D6854" s="60"/>
      <c r="E6854" s="74">
        <v>2023</v>
      </c>
      <c r="F6854" s="74" t="s">
        <v>489</v>
      </c>
      <c r="G6854" s="61">
        <v>1</v>
      </c>
      <c r="H6854" s="61">
        <v>15</v>
      </c>
      <c r="I6854" s="61">
        <v>43.615730000000006</v>
      </c>
    </row>
    <row r="6855" spans="1:9" s="71" customFormat="1" ht="24" hidden="1" customHeight="1" outlineLevel="1" x14ac:dyDescent="0.25">
      <c r="A6855" s="74">
        <v>5409</v>
      </c>
      <c r="B6855" s="45" t="s">
        <v>664</v>
      </c>
      <c r="C6855" s="60" t="s">
        <v>6380</v>
      </c>
      <c r="D6855" s="60"/>
      <c r="E6855" s="74">
        <v>2023</v>
      </c>
      <c r="F6855" s="74" t="s">
        <v>489</v>
      </c>
      <c r="G6855" s="61">
        <v>1</v>
      </c>
      <c r="H6855" s="61">
        <v>15</v>
      </c>
      <c r="I6855" s="61">
        <v>43.615679999999998</v>
      </c>
    </row>
    <row r="6856" spans="1:9" s="71" customFormat="1" ht="24" hidden="1" customHeight="1" outlineLevel="1" x14ac:dyDescent="0.25">
      <c r="A6856" s="74">
        <v>5410</v>
      </c>
      <c r="B6856" s="45" t="s">
        <v>664</v>
      </c>
      <c r="C6856" s="60" t="s">
        <v>6381</v>
      </c>
      <c r="D6856" s="60"/>
      <c r="E6856" s="74">
        <v>2023</v>
      </c>
      <c r="F6856" s="74" t="s">
        <v>489</v>
      </c>
      <c r="G6856" s="61">
        <v>1</v>
      </c>
      <c r="H6856" s="61">
        <v>15</v>
      </c>
      <c r="I6856" s="61">
        <v>36.252900000000004</v>
      </c>
    </row>
    <row r="6857" spans="1:9" s="71" customFormat="1" ht="24" hidden="1" customHeight="1" outlineLevel="1" x14ac:dyDescent="0.25">
      <c r="A6857" s="74">
        <v>5411</v>
      </c>
      <c r="B6857" s="45" t="s">
        <v>664</v>
      </c>
      <c r="C6857" s="60" t="s">
        <v>6382</v>
      </c>
      <c r="D6857" s="60"/>
      <c r="E6857" s="74">
        <v>2023</v>
      </c>
      <c r="F6857" s="74" t="s">
        <v>489</v>
      </c>
      <c r="G6857" s="61">
        <v>1</v>
      </c>
      <c r="H6857" s="61">
        <v>15</v>
      </c>
      <c r="I6857" s="61">
        <v>36.252849999999995</v>
      </c>
    </row>
    <row r="6858" spans="1:9" s="71" customFormat="1" ht="24" hidden="1" customHeight="1" outlineLevel="1" x14ac:dyDescent="0.25">
      <c r="A6858" s="74">
        <v>5412</v>
      </c>
      <c r="B6858" s="45" t="s">
        <v>664</v>
      </c>
      <c r="C6858" s="60" t="s">
        <v>6383</v>
      </c>
      <c r="D6858" s="60"/>
      <c r="E6858" s="74">
        <v>2023</v>
      </c>
      <c r="F6858" s="74" t="s">
        <v>489</v>
      </c>
      <c r="G6858" s="61">
        <v>1</v>
      </c>
      <c r="H6858" s="61">
        <v>15</v>
      </c>
      <c r="I6858" s="61">
        <v>36.252900000000004</v>
      </c>
    </row>
    <row r="6859" spans="1:9" s="71" customFormat="1" ht="24" hidden="1" customHeight="1" outlineLevel="1" x14ac:dyDescent="0.25">
      <c r="A6859" s="74">
        <v>3441</v>
      </c>
      <c r="B6859" s="45" t="s">
        <v>664</v>
      </c>
      <c r="C6859" s="60" t="s">
        <v>6384</v>
      </c>
      <c r="D6859" s="60"/>
      <c r="E6859" s="74">
        <v>2023</v>
      </c>
      <c r="F6859" s="74" t="s">
        <v>489</v>
      </c>
      <c r="G6859" s="61">
        <v>1</v>
      </c>
      <c r="H6859" s="61">
        <v>12</v>
      </c>
      <c r="I6859" s="61">
        <v>36.252849999999995</v>
      </c>
    </row>
    <row r="6860" spans="1:9" s="71" customFormat="1" ht="24" hidden="1" customHeight="1" outlineLevel="1" x14ac:dyDescent="0.25">
      <c r="A6860" s="74">
        <v>5413</v>
      </c>
      <c r="B6860" s="45" t="s">
        <v>664</v>
      </c>
      <c r="C6860" s="60" t="s">
        <v>6385</v>
      </c>
      <c r="D6860" s="60"/>
      <c r="E6860" s="74">
        <v>2023</v>
      </c>
      <c r="F6860" s="74" t="s">
        <v>489</v>
      </c>
      <c r="G6860" s="61">
        <v>1</v>
      </c>
      <c r="H6860" s="61">
        <v>5</v>
      </c>
      <c r="I6860" s="61">
        <v>36.252900000000004</v>
      </c>
    </row>
    <row r="6861" spans="1:9" s="71" customFormat="1" ht="24" hidden="1" customHeight="1" outlineLevel="1" x14ac:dyDescent="0.25">
      <c r="A6861" s="74">
        <v>5414</v>
      </c>
      <c r="B6861" s="45" t="s">
        <v>664</v>
      </c>
      <c r="C6861" s="60" t="s">
        <v>6386</v>
      </c>
      <c r="D6861" s="60"/>
      <c r="E6861" s="74">
        <v>2023</v>
      </c>
      <c r="F6861" s="74" t="s">
        <v>489</v>
      </c>
      <c r="G6861" s="61">
        <v>1</v>
      </c>
      <c r="H6861" s="61">
        <v>15</v>
      </c>
      <c r="I6861" s="61">
        <v>36.252849999999995</v>
      </c>
    </row>
    <row r="6862" spans="1:9" s="71" customFormat="1" ht="24" hidden="1" customHeight="1" outlineLevel="1" x14ac:dyDescent="0.25">
      <c r="A6862" s="74">
        <v>5415</v>
      </c>
      <c r="B6862" s="45" t="s">
        <v>664</v>
      </c>
      <c r="C6862" s="60" t="s">
        <v>6387</v>
      </c>
      <c r="D6862" s="60"/>
      <c r="E6862" s="74">
        <v>2023</v>
      </c>
      <c r="F6862" s="74" t="s">
        <v>489</v>
      </c>
      <c r="G6862" s="61">
        <v>1</v>
      </c>
      <c r="H6862" s="61">
        <v>15</v>
      </c>
      <c r="I6862" s="61">
        <v>36.252900000000004</v>
      </c>
    </row>
    <row r="6863" spans="1:9" s="71" customFormat="1" ht="24" hidden="1" customHeight="1" outlineLevel="1" x14ac:dyDescent="0.25">
      <c r="A6863" s="74">
        <v>5416</v>
      </c>
      <c r="B6863" s="45" t="s">
        <v>664</v>
      </c>
      <c r="C6863" s="60" t="s">
        <v>6388</v>
      </c>
      <c r="D6863" s="60"/>
      <c r="E6863" s="74">
        <v>2023</v>
      </c>
      <c r="F6863" s="74" t="s">
        <v>489</v>
      </c>
      <c r="G6863" s="61">
        <v>1</v>
      </c>
      <c r="H6863" s="61">
        <v>15</v>
      </c>
      <c r="I6863" s="61">
        <v>36.252849999999995</v>
      </c>
    </row>
    <row r="6864" spans="1:9" s="71" customFormat="1" ht="24" hidden="1" customHeight="1" outlineLevel="1" x14ac:dyDescent="0.25">
      <c r="A6864" s="74">
        <v>3488</v>
      </c>
      <c r="B6864" s="45" t="s">
        <v>664</v>
      </c>
      <c r="C6864" s="60" t="s">
        <v>6389</v>
      </c>
      <c r="D6864" s="60"/>
      <c r="E6864" s="74">
        <v>2023</v>
      </c>
      <c r="F6864" s="74" t="s">
        <v>489</v>
      </c>
      <c r="G6864" s="61">
        <v>1</v>
      </c>
      <c r="H6864" s="61">
        <v>15</v>
      </c>
      <c r="I6864" s="61">
        <v>36.252900000000004</v>
      </c>
    </row>
    <row r="6865" spans="1:9" s="71" customFormat="1" ht="24" hidden="1" customHeight="1" outlineLevel="1" x14ac:dyDescent="0.25">
      <c r="A6865" s="74">
        <v>3489</v>
      </c>
      <c r="B6865" s="45" t="s">
        <v>664</v>
      </c>
      <c r="C6865" s="60" t="s">
        <v>6390</v>
      </c>
      <c r="D6865" s="60"/>
      <c r="E6865" s="74">
        <v>2023</v>
      </c>
      <c r="F6865" s="74" t="s">
        <v>489</v>
      </c>
      <c r="G6865" s="61">
        <v>1</v>
      </c>
      <c r="H6865" s="61">
        <v>15</v>
      </c>
      <c r="I6865" s="61">
        <v>36.252849999999995</v>
      </c>
    </row>
    <row r="6866" spans="1:9" s="71" customFormat="1" ht="24" hidden="1" customHeight="1" outlineLevel="1" x14ac:dyDescent="0.25">
      <c r="A6866" s="74">
        <v>3490</v>
      </c>
      <c r="B6866" s="45" t="s">
        <v>664</v>
      </c>
      <c r="C6866" s="60" t="s">
        <v>6391</v>
      </c>
      <c r="D6866" s="60"/>
      <c r="E6866" s="74">
        <v>2023</v>
      </c>
      <c r="F6866" s="74" t="s">
        <v>489</v>
      </c>
      <c r="G6866" s="61">
        <v>1</v>
      </c>
      <c r="H6866" s="61">
        <v>12</v>
      </c>
      <c r="I6866" s="61">
        <v>36.252900000000004</v>
      </c>
    </row>
    <row r="6867" spans="1:9" s="71" customFormat="1" ht="24" hidden="1" customHeight="1" outlineLevel="1" x14ac:dyDescent="0.25">
      <c r="A6867" s="74">
        <v>3491</v>
      </c>
      <c r="B6867" s="45" t="s">
        <v>664</v>
      </c>
      <c r="C6867" s="60" t="s">
        <v>6392</v>
      </c>
      <c r="D6867" s="60"/>
      <c r="E6867" s="74">
        <v>2023</v>
      </c>
      <c r="F6867" s="74" t="s">
        <v>489</v>
      </c>
      <c r="G6867" s="61">
        <v>1</v>
      </c>
      <c r="H6867" s="61">
        <v>15</v>
      </c>
      <c r="I6867" s="61">
        <v>36.252849999999995</v>
      </c>
    </row>
    <row r="6868" spans="1:9" s="71" customFormat="1" ht="24" hidden="1" customHeight="1" outlineLevel="1" x14ac:dyDescent="0.25">
      <c r="A6868" s="74">
        <v>3492</v>
      </c>
      <c r="B6868" s="45" t="s">
        <v>664</v>
      </c>
      <c r="C6868" s="60" t="s">
        <v>6393</v>
      </c>
      <c r="D6868" s="60"/>
      <c r="E6868" s="74">
        <v>2023</v>
      </c>
      <c r="F6868" s="74" t="s">
        <v>489</v>
      </c>
      <c r="G6868" s="61">
        <v>1</v>
      </c>
      <c r="H6868" s="61">
        <v>15</v>
      </c>
      <c r="I6868" s="61">
        <v>36.252900000000004</v>
      </c>
    </row>
    <row r="6869" spans="1:9" s="71" customFormat="1" ht="24" hidden="1" customHeight="1" outlineLevel="1" x14ac:dyDescent="0.25">
      <c r="A6869" s="74">
        <v>3495</v>
      </c>
      <c r="B6869" s="45" t="s">
        <v>664</v>
      </c>
      <c r="C6869" s="60" t="s">
        <v>6394</v>
      </c>
      <c r="D6869" s="60"/>
      <c r="E6869" s="74">
        <v>2023</v>
      </c>
      <c r="F6869" s="74" t="s">
        <v>489</v>
      </c>
      <c r="G6869" s="61">
        <v>1</v>
      </c>
      <c r="H6869" s="61">
        <v>15</v>
      </c>
      <c r="I6869" s="61">
        <v>36.252849999999995</v>
      </c>
    </row>
    <row r="6870" spans="1:9" s="71" customFormat="1" ht="24" hidden="1" customHeight="1" outlineLevel="1" x14ac:dyDescent="0.25">
      <c r="A6870" s="74">
        <v>938</v>
      </c>
      <c r="B6870" s="45" t="s">
        <v>664</v>
      </c>
      <c r="C6870" s="60" t="s">
        <v>6395</v>
      </c>
      <c r="D6870" s="60"/>
      <c r="E6870" s="74">
        <v>2023</v>
      </c>
      <c r="F6870" s="74" t="s">
        <v>489</v>
      </c>
      <c r="G6870" s="61">
        <v>1</v>
      </c>
      <c r="H6870" s="61">
        <v>15</v>
      </c>
      <c r="I6870" s="61">
        <v>36.252900000000004</v>
      </c>
    </row>
    <row r="6871" spans="1:9" s="71" customFormat="1" ht="24" hidden="1" customHeight="1" outlineLevel="1" x14ac:dyDescent="0.25">
      <c r="A6871" s="74">
        <v>3500</v>
      </c>
      <c r="B6871" s="45" t="s">
        <v>664</v>
      </c>
      <c r="C6871" s="60" t="s">
        <v>6396</v>
      </c>
      <c r="D6871" s="60"/>
      <c r="E6871" s="74">
        <v>2023</v>
      </c>
      <c r="F6871" s="74" t="s">
        <v>489</v>
      </c>
      <c r="G6871" s="61">
        <v>1</v>
      </c>
      <c r="H6871" s="61">
        <v>15</v>
      </c>
      <c r="I6871" s="61">
        <v>36.252849999999995</v>
      </c>
    </row>
    <row r="6872" spans="1:9" s="71" customFormat="1" ht="24" hidden="1" customHeight="1" outlineLevel="1" x14ac:dyDescent="0.25">
      <c r="A6872" s="74">
        <v>3501</v>
      </c>
      <c r="B6872" s="45" t="s">
        <v>664</v>
      </c>
      <c r="C6872" s="60" t="s">
        <v>6397</v>
      </c>
      <c r="D6872" s="60"/>
      <c r="E6872" s="74">
        <v>2023</v>
      </c>
      <c r="F6872" s="74" t="s">
        <v>489</v>
      </c>
      <c r="G6872" s="61">
        <v>1</v>
      </c>
      <c r="H6872" s="61">
        <v>14</v>
      </c>
      <c r="I6872" s="61">
        <v>36.252900000000004</v>
      </c>
    </row>
    <row r="6873" spans="1:9" s="71" customFormat="1" ht="24" hidden="1" customHeight="1" outlineLevel="1" x14ac:dyDescent="0.25">
      <c r="A6873" s="74">
        <v>3565</v>
      </c>
      <c r="B6873" s="45" t="s">
        <v>664</v>
      </c>
      <c r="C6873" s="60" t="s">
        <v>6398</v>
      </c>
      <c r="D6873" s="60"/>
      <c r="E6873" s="74">
        <v>2023</v>
      </c>
      <c r="F6873" s="74" t="s">
        <v>489</v>
      </c>
      <c r="G6873" s="61">
        <v>1</v>
      </c>
      <c r="H6873" s="61">
        <v>8</v>
      </c>
      <c r="I6873" s="61">
        <v>36.252849999999995</v>
      </c>
    </row>
    <row r="6874" spans="1:9" s="71" customFormat="1" ht="24" hidden="1" customHeight="1" outlineLevel="1" x14ac:dyDescent="0.25">
      <c r="A6874" s="74">
        <v>3576</v>
      </c>
      <c r="B6874" s="45" t="s">
        <v>664</v>
      </c>
      <c r="C6874" s="60" t="s">
        <v>6399</v>
      </c>
      <c r="D6874" s="60"/>
      <c r="E6874" s="74">
        <v>2023</v>
      </c>
      <c r="F6874" s="74" t="s">
        <v>489</v>
      </c>
      <c r="G6874" s="61">
        <v>1</v>
      </c>
      <c r="H6874" s="61">
        <v>35</v>
      </c>
      <c r="I6874" s="61">
        <v>36.252900000000004</v>
      </c>
    </row>
    <row r="6875" spans="1:9" s="71" customFormat="1" ht="24" hidden="1" customHeight="1" outlineLevel="1" x14ac:dyDescent="0.25">
      <c r="A6875" s="74">
        <v>3588</v>
      </c>
      <c r="B6875" s="45" t="s">
        <v>664</v>
      </c>
      <c r="C6875" s="60" t="s">
        <v>6400</v>
      </c>
      <c r="D6875" s="60"/>
      <c r="E6875" s="74">
        <v>2023</v>
      </c>
      <c r="F6875" s="74" t="s">
        <v>489</v>
      </c>
      <c r="G6875" s="61">
        <v>1</v>
      </c>
      <c r="H6875" s="61">
        <v>15</v>
      </c>
      <c r="I6875" s="61">
        <v>36.252849999999995</v>
      </c>
    </row>
    <row r="6876" spans="1:9" s="71" customFormat="1" ht="24" hidden="1" customHeight="1" outlineLevel="1" x14ac:dyDescent="0.25">
      <c r="A6876" s="74">
        <v>3595</v>
      </c>
      <c r="B6876" s="45" t="s">
        <v>664</v>
      </c>
      <c r="C6876" s="60" t="s">
        <v>6401</v>
      </c>
      <c r="D6876" s="60"/>
      <c r="E6876" s="74">
        <v>2023</v>
      </c>
      <c r="F6876" s="74" t="s">
        <v>489</v>
      </c>
      <c r="G6876" s="61">
        <v>1</v>
      </c>
      <c r="H6876" s="61">
        <v>10</v>
      </c>
      <c r="I6876" s="61">
        <v>36.208100000000002</v>
      </c>
    </row>
    <row r="6877" spans="1:9" s="71" customFormat="1" ht="24" hidden="1" customHeight="1" outlineLevel="1" x14ac:dyDescent="0.25">
      <c r="A6877" s="74">
        <v>3597</v>
      </c>
      <c r="B6877" s="45" t="s">
        <v>664</v>
      </c>
      <c r="C6877" s="60" t="s">
        <v>6402</v>
      </c>
      <c r="D6877" s="60"/>
      <c r="E6877" s="74">
        <v>2023</v>
      </c>
      <c r="F6877" s="74" t="s">
        <v>489</v>
      </c>
      <c r="G6877" s="61">
        <v>1</v>
      </c>
      <c r="H6877" s="61">
        <v>15</v>
      </c>
      <c r="I6877" s="61">
        <v>36.431940000000004</v>
      </c>
    </row>
    <row r="6878" spans="1:9" s="71" customFormat="1" ht="24" hidden="1" customHeight="1" outlineLevel="1" x14ac:dyDescent="0.25">
      <c r="A6878" s="74">
        <v>3600</v>
      </c>
      <c r="B6878" s="45" t="s">
        <v>664</v>
      </c>
      <c r="C6878" s="60" t="s">
        <v>6403</v>
      </c>
      <c r="D6878" s="60"/>
      <c r="E6878" s="74">
        <v>2023</v>
      </c>
      <c r="F6878" s="74" t="s">
        <v>489</v>
      </c>
      <c r="G6878" s="61">
        <v>1</v>
      </c>
      <c r="H6878" s="61">
        <v>15</v>
      </c>
      <c r="I6878" s="61">
        <v>36.208100000000002</v>
      </c>
    </row>
    <row r="6879" spans="1:9" s="71" customFormat="1" ht="24" hidden="1" customHeight="1" outlineLevel="1" x14ac:dyDescent="0.25">
      <c r="A6879" s="74">
        <v>3618</v>
      </c>
      <c r="B6879" s="45" t="s">
        <v>664</v>
      </c>
      <c r="C6879" s="60" t="s">
        <v>6404</v>
      </c>
      <c r="D6879" s="60"/>
      <c r="E6879" s="74">
        <v>2023</v>
      </c>
      <c r="F6879" s="74" t="s">
        <v>489</v>
      </c>
      <c r="G6879" s="61">
        <v>1</v>
      </c>
      <c r="H6879" s="61">
        <v>15</v>
      </c>
      <c r="I6879" s="61">
        <v>36.431940000000004</v>
      </c>
    </row>
    <row r="6880" spans="1:9" s="71" customFormat="1" ht="24" hidden="1" customHeight="1" outlineLevel="1" x14ac:dyDescent="0.25">
      <c r="A6880" s="74">
        <v>3646</v>
      </c>
      <c r="B6880" s="45" t="s">
        <v>664</v>
      </c>
      <c r="C6880" s="60" t="s">
        <v>6405</v>
      </c>
      <c r="D6880" s="60"/>
      <c r="E6880" s="74">
        <v>2023</v>
      </c>
      <c r="F6880" s="74" t="s">
        <v>489</v>
      </c>
      <c r="G6880" s="61">
        <v>1</v>
      </c>
      <c r="H6880" s="61">
        <v>14</v>
      </c>
      <c r="I6880" s="61">
        <v>36.208100000000002</v>
      </c>
    </row>
    <row r="6881" spans="1:9" s="71" customFormat="1" ht="24" hidden="1" customHeight="1" outlineLevel="1" x14ac:dyDescent="0.25">
      <c r="A6881" s="74">
        <v>3661</v>
      </c>
      <c r="B6881" s="45" t="s">
        <v>664</v>
      </c>
      <c r="C6881" s="60" t="s">
        <v>6406</v>
      </c>
      <c r="D6881" s="60"/>
      <c r="E6881" s="74">
        <v>2023</v>
      </c>
      <c r="F6881" s="74" t="s">
        <v>489</v>
      </c>
      <c r="G6881" s="61">
        <v>1</v>
      </c>
      <c r="H6881" s="61">
        <v>12</v>
      </c>
      <c r="I6881" s="61">
        <v>36.431940000000004</v>
      </c>
    </row>
    <row r="6882" spans="1:9" s="71" customFormat="1" ht="24" hidden="1" customHeight="1" outlineLevel="1" x14ac:dyDescent="0.25">
      <c r="A6882" s="74">
        <v>3664</v>
      </c>
      <c r="B6882" s="45" t="s">
        <v>664</v>
      </c>
      <c r="C6882" s="60" t="s">
        <v>6407</v>
      </c>
      <c r="D6882" s="60"/>
      <c r="E6882" s="74">
        <v>2023</v>
      </c>
      <c r="F6882" s="74" t="s">
        <v>489</v>
      </c>
      <c r="G6882" s="61">
        <v>1</v>
      </c>
      <c r="H6882" s="61">
        <v>15</v>
      </c>
      <c r="I6882" s="61">
        <v>36.208100000000002</v>
      </c>
    </row>
    <row r="6883" spans="1:9" s="71" customFormat="1" ht="24" hidden="1" customHeight="1" outlineLevel="1" x14ac:dyDescent="0.25">
      <c r="A6883" s="74">
        <v>3665</v>
      </c>
      <c r="B6883" s="45" t="s">
        <v>664</v>
      </c>
      <c r="C6883" s="60" t="s">
        <v>6408</v>
      </c>
      <c r="D6883" s="60"/>
      <c r="E6883" s="74">
        <v>2023</v>
      </c>
      <c r="F6883" s="74" t="s">
        <v>489</v>
      </c>
      <c r="G6883" s="61">
        <v>1</v>
      </c>
      <c r="H6883" s="61">
        <v>15</v>
      </c>
      <c r="I6883" s="61">
        <v>36.431930000000001</v>
      </c>
    </row>
    <row r="6884" spans="1:9" s="71" customFormat="1" ht="24" hidden="1" customHeight="1" outlineLevel="1" x14ac:dyDescent="0.25">
      <c r="A6884" s="74">
        <v>3670</v>
      </c>
      <c r="B6884" s="45" t="s">
        <v>664</v>
      </c>
      <c r="C6884" s="60" t="s">
        <v>6409</v>
      </c>
      <c r="D6884" s="60"/>
      <c r="E6884" s="74">
        <v>2023</v>
      </c>
      <c r="F6884" s="74" t="s">
        <v>489</v>
      </c>
      <c r="G6884" s="61">
        <v>1</v>
      </c>
      <c r="H6884" s="61">
        <v>15</v>
      </c>
      <c r="I6884" s="61">
        <v>36.208100000000002</v>
      </c>
    </row>
    <row r="6885" spans="1:9" s="71" customFormat="1" ht="24" hidden="1" customHeight="1" outlineLevel="1" x14ac:dyDescent="0.25">
      <c r="A6885" s="74">
        <v>3671</v>
      </c>
      <c r="B6885" s="45" t="s">
        <v>664</v>
      </c>
      <c r="C6885" s="60" t="s">
        <v>6410</v>
      </c>
      <c r="D6885" s="60"/>
      <c r="E6885" s="74">
        <v>2023</v>
      </c>
      <c r="F6885" s="74" t="s">
        <v>489</v>
      </c>
      <c r="G6885" s="61">
        <v>1</v>
      </c>
      <c r="H6885" s="61">
        <v>15</v>
      </c>
      <c r="I6885" s="61">
        <v>36.431930000000001</v>
      </c>
    </row>
    <row r="6886" spans="1:9" s="71" customFormat="1" ht="24" hidden="1" customHeight="1" outlineLevel="1" x14ac:dyDescent="0.25">
      <c r="A6886" s="74">
        <v>5417</v>
      </c>
      <c r="B6886" s="45" t="s">
        <v>664</v>
      </c>
      <c r="C6886" s="60" t="s">
        <v>6411</v>
      </c>
      <c r="D6886" s="60"/>
      <c r="E6886" s="74">
        <v>2023</v>
      </c>
      <c r="F6886" s="74" t="s">
        <v>489</v>
      </c>
      <c r="G6886" s="61">
        <v>1</v>
      </c>
      <c r="H6886" s="61">
        <v>120</v>
      </c>
      <c r="I6886" s="61">
        <v>37.148519999999998</v>
      </c>
    </row>
    <row r="6887" spans="1:9" s="71" customFormat="1" ht="24" hidden="1" customHeight="1" outlineLevel="1" x14ac:dyDescent="0.25">
      <c r="A6887" s="74">
        <v>3698</v>
      </c>
      <c r="B6887" s="45" t="s">
        <v>664</v>
      </c>
      <c r="C6887" s="60" t="s">
        <v>6412</v>
      </c>
      <c r="D6887" s="60"/>
      <c r="E6887" s="74">
        <v>2023</v>
      </c>
      <c r="F6887" s="74" t="s">
        <v>489</v>
      </c>
      <c r="G6887" s="61">
        <v>1</v>
      </c>
      <c r="H6887" s="61">
        <v>15</v>
      </c>
      <c r="I6887" s="61">
        <v>36.431930000000001</v>
      </c>
    </row>
    <row r="6888" spans="1:9" s="71" customFormat="1" ht="24" hidden="1" customHeight="1" outlineLevel="1" x14ac:dyDescent="0.25">
      <c r="A6888" s="74">
        <v>3711</v>
      </c>
      <c r="B6888" s="45" t="s">
        <v>664</v>
      </c>
      <c r="C6888" s="60" t="s">
        <v>6413</v>
      </c>
      <c r="D6888" s="60"/>
      <c r="E6888" s="74">
        <v>2023</v>
      </c>
      <c r="F6888" s="74" t="s">
        <v>489</v>
      </c>
      <c r="G6888" s="61">
        <v>1</v>
      </c>
      <c r="H6888" s="61">
        <v>8</v>
      </c>
      <c r="I6888" s="61">
        <v>36.208100000000002</v>
      </c>
    </row>
    <row r="6889" spans="1:9" s="71" customFormat="1" ht="24" hidden="1" customHeight="1" outlineLevel="1" x14ac:dyDescent="0.25">
      <c r="A6889" s="74">
        <v>5418</v>
      </c>
      <c r="B6889" s="45" t="s">
        <v>664</v>
      </c>
      <c r="C6889" s="60" t="s">
        <v>6414</v>
      </c>
      <c r="D6889" s="60"/>
      <c r="E6889" s="74">
        <v>2023</v>
      </c>
      <c r="F6889" s="74" t="s">
        <v>489</v>
      </c>
      <c r="G6889" s="61">
        <v>1</v>
      </c>
      <c r="H6889" s="61">
        <v>45</v>
      </c>
      <c r="I6889" s="61">
        <v>36.431930000000001</v>
      </c>
    </row>
    <row r="6890" spans="1:9" s="71" customFormat="1" ht="24" hidden="1" customHeight="1" outlineLevel="1" x14ac:dyDescent="0.25">
      <c r="A6890" s="74">
        <v>3746</v>
      </c>
      <c r="B6890" s="45" t="s">
        <v>664</v>
      </c>
      <c r="C6890" s="60" t="s">
        <v>6415</v>
      </c>
      <c r="D6890" s="60"/>
      <c r="E6890" s="74">
        <v>2023</v>
      </c>
      <c r="F6890" s="74" t="s">
        <v>489</v>
      </c>
      <c r="G6890" s="61">
        <v>1</v>
      </c>
      <c r="H6890" s="61">
        <v>15</v>
      </c>
      <c r="I6890" s="61">
        <v>36.208100000000002</v>
      </c>
    </row>
    <row r="6891" spans="1:9" s="71" customFormat="1" ht="24" hidden="1" customHeight="1" outlineLevel="1" x14ac:dyDescent="0.25">
      <c r="A6891" s="74">
        <v>3772</v>
      </c>
      <c r="B6891" s="45" t="s">
        <v>664</v>
      </c>
      <c r="C6891" s="60" t="s">
        <v>6416</v>
      </c>
      <c r="D6891" s="60"/>
      <c r="E6891" s="74">
        <v>2023</v>
      </c>
      <c r="F6891" s="74" t="s">
        <v>489</v>
      </c>
      <c r="G6891" s="61">
        <v>1</v>
      </c>
      <c r="H6891" s="61">
        <v>15</v>
      </c>
      <c r="I6891" s="61">
        <v>36.357300000000002</v>
      </c>
    </row>
    <row r="6892" spans="1:9" s="71" customFormat="1" ht="24" hidden="1" customHeight="1" outlineLevel="1" x14ac:dyDescent="0.25">
      <c r="A6892" s="74">
        <v>3773</v>
      </c>
      <c r="B6892" s="45" t="s">
        <v>664</v>
      </c>
      <c r="C6892" s="60" t="s">
        <v>6417</v>
      </c>
      <c r="D6892" s="60"/>
      <c r="E6892" s="74">
        <v>2023</v>
      </c>
      <c r="F6892" s="74" t="s">
        <v>489</v>
      </c>
      <c r="G6892" s="61">
        <v>1</v>
      </c>
      <c r="H6892" s="61">
        <v>15</v>
      </c>
      <c r="I6892" s="61">
        <v>37.118660000000006</v>
      </c>
    </row>
    <row r="6893" spans="1:9" s="71" customFormat="1" ht="24" hidden="1" customHeight="1" outlineLevel="1" x14ac:dyDescent="0.25">
      <c r="A6893" s="74">
        <v>3783</v>
      </c>
      <c r="B6893" s="45" t="s">
        <v>664</v>
      </c>
      <c r="C6893" s="60" t="s">
        <v>6418</v>
      </c>
      <c r="D6893" s="60"/>
      <c r="E6893" s="74">
        <v>2023</v>
      </c>
      <c r="F6893" s="74" t="s">
        <v>489</v>
      </c>
      <c r="G6893" s="61">
        <v>1</v>
      </c>
      <c r="H6893" s="61">
        <v>15</v>
      </c>
      <c r="I6893" s="61">
        <v>37.118600000000001</v>
      </c>
    </row>
    <row r="6894" spans="1:9" s="71" customFormat="1" ht="24" hidden="1" customHeight="1" outlineLevel="1" x14ac:dyDescent="0.25">
      <c r="A6894" s="74">
        <v>3838</v>
      </c>
      <c r="B6894" s="45" t="s">
        <v>664</v>
      </c>
      <c r="C6894" s="60" t="s">
        <v>6419</v>
      </c>
      <c r="D6894" s="60"/>
      <c r="E6894" s="74">
        <v>2023</v>
      </c>
      <c r="F6894" s="74" t="s">
        <v>489</v>
      </c>
      <c r="G6894" s="61">
        <v>1</v>
      </c>
      <c r="H6894" s="61">
        <v>12</v>
      </c>
      <c r="I6894" s="61">
        <v>37.101790000000001</v>
      </c>
    </row>
    <row r="6895" spans="1:9" s="71" customFormat="1" ht="24" hidden="1" customHeight="1" outlineLevel="1" x14ac:dyDescent="0.25">
      <c r="A6895" s="74">
        <v>3845</v>
      </c>
      <c r="B6895" s="45" t="s">
        <v>664</v>
      </c>
      <c r="C6895" s="60" t="s">
        <v>6420</v>
      </c>
      <c r="D6895" s="60"/>
      <c r="E6895" s="74">
        <v>2023</v>
      </c>
      <c r="F6895" s="74" t="s">
        <v>489</v>
      </c>
      <c r="G6895" s="61">
        <v>1</v>
      </c>
      <c r="H6895" s="61">
        <v>12</v>
      </c>
      <c r="I6895" s="61">
        <v>37.101770000000002</v>
      </c>
    </row>
    <row r="6896" spans="1:9" s="71" customFormat="1" ht="24" hidden="1" customHeight="1" outlineLevel="1" x14ac:dyDescent="0.25">
      <c r="A6896" s="74">
        <v>3937</v>
      </c>
      <c r="B6896" s="45" t="s">
        <v>664</v>
      </c>
      <c r="C6896" s="60" t="s">
        <v>6421</v>
      </c>
      <c r="D6896" s="60"/>
      <c r="E6896" s="74">
        <v>2023</v>
      </c>
      <c r="F6896" s="74" t="s">
        <v>489</v>
      </c>
      <c r="G6896" s="61">
        <v>13</v>
      </c>
      <c r="H6896" s="61">
        <v>146</v>
      </c>
      <c r="I6896" s="61">
        <v>445.87054999999998</v>
      </c>
    </row>
    <row r="6897" spans="1:9" s="71" customFormat="1" ht="24" hidden="1" customHeight="1" outlineLevel="1" x14ac:dyDescent="0.25">
      <c r="A6897" s="74">
        <v>439</v>
      </c>
      <c r="B6897" s="45" t="s">
        <v>664</v>
      </c>
      <c r="C6897" s="60" t="s">
        <v>6422</v>
      </c>
      <c r="D6897" s="60"/>
      <c r="E6897" s="74">
        <v>2023</v>
      </c>
      <c r="F6897" s="74" t="s">
        <v>489</v>
      </c>
      <c r="G6897" s="61">
        <v>5</v>
      </c>
      <c r="H6897" s="61">
        <v>78</v>
      </c>
      <c r="I6897" s="61">
        <v>168.65764999999999</v>
      </c>
    </row>
    <row r="6898" spans="1:9" s="71" customFormat="1" ht="24" hidden="1" customHeight="1" outlineLevel="1" x14ac:dyDescent="0.25">
      <c r="A6898" s="74">
        <v>403</v>
      </c>
      <c r="B6898" s="45" t="s">
        <v>664</v>
      </c>
      <c r="C6898" s="60" t="s">
        <v>6423</v>
      </c>
      <c r="D6898" s="60"/>
      <c r="E6898" s="74">
        <v>2023</v>
      </c>
      <c r="F6898" s="74" t="s">
        <v>489</v>
      </c>
      <c r="G6898" s="61">
        <v>10</v>
      </c>
      <c r="H6898" s="61">
        <v>138</v>
      </c>
      <c r="I6898" s="61">
        <v>325.38385999999997</v>
      </c>
    </row>
    <row r="6899" spans="1:9" s="71" customFormat="1" ht="24" hidden="1" customHeight="1" outlineLevel="1" x14ac:dyDescent="0.25">
      <c r="A6899" s="74">
        <v>3962</v>
      </c>
      <c r="B6899" s="45" t="s">
        <v>664</v>
      </c>
      <c r="C6899" s="60" t="s">
        <v>6424</v>
      </c>
      <c r="D6899" s="60"/>
      <c r="E6899" s="74">
        <v>2023</v>
      </c>
      <c r="F6899" s="74" t="s">
        <v>489</v>
      </c>
      <c r="G6899" s="61">
        <v>7</v>
      </c>
      <c r="H6899" s="61">
        <v>110</v>
      </c>
      <c r="I6899" s="61">
        <v>229.25516000000002</v>
      </c>
    </row>
    <row r="6900" spans="1:9" s="71" customFormat="1" ht="24" hidden="1" customHeight="1" outlineLevel="1" x14ac:dyDescent="0.25">
      <c r="A6900" s="74">
        <v>3969</v>
      </c>
      <c r="B6900" s="45" t="s">
        <v>664</v>
      </c>
      <c r="C6900" s="60" t="s">
        <v>6425</v>
      </c>
      <c r="D6900" s="60"/>
      <c r="E6900" s="74">
        <v>2023</v>
      </c>
      <c r="F6900" s="74" t="s">
        <v>489</v>
      </c>
      <c r="G6900" s="61">
        <v>7</v>
      </c>
      <c r="H6900" s="61">
        <v>102.5</v>
      </c>
      <c r="I6900" s="61">
        <v>229.57778999999999</v>
      </c>
    </row>
    <row r="6901" spans="1:9" s="71" customFormat="1" ht="24" hidden="1" customHeight="1" outlineLevel="1" x14ac:dyDescent="0.25">
      <c r="A6901" s="74">
        <v>3979</v>
      </c>
      <c r="B6901" s="45" t="s">
        <v>664</v>
      </c>
      <c r="C6901" s="60" t="s">
        <v>6426</v>
      </c>
      <c r="D6901" s="60"/>
      <c r="E6901" s="74">
        <v>2023</v>
      </c>
      <c r="F6901" s="74" t="s">
        <v>489</v>
      </c>
      <c r="G6901" s="61">
        <v>18</v>
      </c>
      <c r="H6901" s="61">
        <v>263</v>
      </c>
      <c r="I6901" s="61">
        <v>600.63500999999997</v>
      </c>
    </row>
    <row r="6902" spans="1:9" s="71" customFormat="1" ht="24" hidden="1" customHeight="1" outlineLevel="1" x14ac:dyDescent="0.25">
      <c r="A6902" s="74">
        <v>5498</v>
      </c>
      <c r="B6902" s="45" t="s">
        <v>664</v>
      </c>
      <c r="C6902" s="60" t="s">
        <v>6427</v>
      </c>
      <c r="D6902" s="60"/>
      <c r="E6902" s="74">
        <v>2023</v>
      </c>
      <c r="F6902" s="74" t="s">
        <v>489</v>
      </c>
      <c r="G6902" s="61">
        <v>1</v>
      </c>
      <c r="H6902" s="61">
        <v>2</v>
      </c>
      <c r="I6902" s="61">
        <v>41.612389999999998</v>
      </c>
    </row>
    <row r="6903" spans="1:9" s="71" customFormat="1" ht="24" hidden="1" customHeight="1" outlineLevel="1" x14ac:dyDescent="0.25">
      <c r="A6903" s="74">
        <v>5507</v>
      </c>
      <c r="B6903" s="45" t="s">
        <v>664</v>
      </c>
      <c r="C6903" s="60" t="s">
        <v>6428</v>
      </c>
      <c r="D6903" s="60"/>
      <c r="E6903" s="74">
        <v>2023</v>
      </c>
      <c r="F6903" s="74" t="s">
        <v>489</v>
      </c>
      <c r="G6903" s="61">
        <v>4</v>
      </c>
      <c r="H6903" s="61">
        <v>73</v>
      </c>
      <c r="I6903" s="61">
        <v>143.34332000000001</v>
      </c>
    </row>
    <row r="6904" spans="1:9" s="71" customFormat="1" ht="24" hidden="1" customHeight="1" outlineLevel="1" x14ac:dyDescent="0.25">
      <c r="A6904" s="74">
        <v>3981</v>
      </c>
      <c r="B6904" s="45" t="s">
        <v>664</v>
      </c>
      <c r="C6904" s="60" t="s">
        <v>6429</v>
      </c>
      <c r="D6904" s="60"/>
      <c r="E6904" s="74">
        <v>2023</v>
      </c>
      <c r="F6904" s="74" t="s">
        <v>489</v>
      </c>
      <c r="G6904" s="61">
        <v>4</v>
      </c>
      <c r="H6904" s="61">
        <v>62</v>
      </c>
      <c r="I6904" s="61">
        <v>132.91570000000002</v>
      </c>
    </row>
    <row r="6905" spans="1:9" s="71" customFormat="1" ht="24" hidden="1" customHeight="1" outlineLevel="1" x14ac:dyDescent="0.25">
      <c r="A6905" s="74">
        <v>672</v>
      </c>
      <c r="B6905" s="45" t="s">
        <v>664</v>
      </c>
      <c r="C6905" s="60" t="s">
        <v>6430</v>
      </c>
      <c r="D6905" s="60"/>
      <c r="E6905" s="74">
        <v>2023</v>
      </c>
      <c r="F6905" s="74" t="s">
        <v>489</v>
      </c>
      <c r="G6905" s="61">
        <v>1</v>
      </c>
      <c r="H6905" s="61">
        <v>15</v>
      </c>
      <c r="I6905" s="61">
        <v>36.191369999999999</v>
      </c>
    </row>
    <row r="6906" spans="1:9" s="71" customFormat="1" ht="24" hidden="1" customHeight="1" outlineLevel="1" x14ac:dyDescent="0.25">
      <c r="A6906" s="74">
        <v>828</v>
      </c>
      <c r="B6906" s="45" t="s">
        <v>664</v>
      </c>
      <c r="C6906" s="60" t="s">
        <v>6431</v>
      </c>
      <c r="D6906" s="60"/>
      <c r="E6906" s="74">
        <v>2023</v>
      </c>
      <c r="F6906" s="74" t="s">
        <v>489</v>
      </c>
      <c r="G6906" s="61">
        <v>1</v>
      </c>
      <c r="H6906" s="61">
        <v>15</v>
      </c>
      <c r="I6906" s="61">
        <v>36.713719999999995</v>
      </c>
    </row>
    <row r="6907" spans="1:9" s="71" customFormat="1" ht="24" hidden="1" customHeight="1" outlineLevel="1" x14ac:dyDescent="0.25">
      <c r="A6907" s="74">
        <v>869</v>
      </c>
      <c r="B6907" s="45" t="s">
        <v>664</v>
      </c>
      <c r="C6907" s="60" t="s">
        <v>6432</v>
      </c>
      <c r="D6907" s="60"/>
      <c r="E6907" s="74">
        <v>2023</v>
      </c>
      <c r="F6907" s="74" t="s">
        <v>489</v>
      </c>
      <c r="G6907" s="61">
        <v>1</v>
      </c>
      <c r="H6907" s="61">
        <v>15</v>
      </c>
      <c r="I6907" s="61">
        <v>36.191250000000004</v>
      </c>
    </row>
    <row r="6908" spans="1:9" s="71" customFormat="1" ht="24" hidden="1" customHeight="1" outlineLevel="1" x14ac:dyDescent="0.25">
      <c r="A6908" s="74">
        <v>732</v>
      </c>
      <c r="B6908" s="45" t="s">
        <v>664</v>
      </c>
      <c r="C6908" s="60" t="s">
        <v>6433</v>
      </c>
      <c r="D6908" s="60"/>
      <c r="E6908" s="74">
        <v>2023</v>
      </c>
      <c r="F6908" s="74" t="s">
        <v>489</v>
      </c>
      <c r="G6908" s="61">
        <v>1</v>
      </c>
      <c r="H6908" s="61">
        <v>15</v>
      </c>
      <c r="I6908" s="61">
        <v>42.392660000000006</v>
      </c>
    </row>
    <row r="6909" spans="1:9" s="71" customFormat="1" ht="24" hidden="1" customHeight="1" outlineLevel="1" x14ac:dyDescent="0.25">
      <c r="A6909" s="74">
        <v>709</v>
      </c>
      <c r="B6909" s="45" t="s">
        <v>664</v>
      </c>
      <c r="C6909" s="60" t="s">
        <v>6434</v>
      </c>
      <c r="D6909" s="60"/>
      <c r="E6909" s="74">
        <v>2023</v>
      </c>
      <c r="F6909" s="74" t="s">
        <v>489</v>
      </c>
      <c r="G6909" s="61">
        <v>1</v>
      </c>
      <c r="H6909" s="61">
        <v>15</v>
      </c>
      <c r="I6909" s="61">
        <v>42.392660000000006</v>
      </c>
    </row>
    <row r="6910" spans="1:9" s="71" customFormat="1" ht="24" hidden="1" customHeight="1" outlineLevel="1" x14ac:dyDescent="0.25">
      <c r="A6910" s="74">
        <v>2824</v>
      </c>
      <c r="B6910" s="45" t="s">
        <v>664</v>
      </c>
      <c r="C6910" s="60" t="s">
        <v>6435</v>
      </c>
      <c r="D6910" s="60"/>
      <c r="E6910" s="74">
        <v>2023</v>
      </c>
      <c r="F6910" s="74" t="s">
        <v>489</v>
      </c>
      <c r="G6910" s="61">
        <v>1</v>
      </c>
      <c r="H6910" s="61">
        <v>15</v>
      </c>
      <c r="I6910" s="61">
        <v>86.623859999999993</v>
      </c>
    </row>
    <row r="6911" spans="1:9" s="71" customFormat="1" ht="24" hidden="1" customHeight="1" outlineLevel="1" x14ac:dyDescent="0.25">
      <c r="A6911" s="74">
        <v>350</v>
      </c>
      <c r="B6911" s="45" t="s">
        <v>664</v>
      </c>
      <c r="C6911" s="60" t="s">
        <v>6436</v>
      </c>
      <c r="D6911" s="60"/>
      <c r="E6911" s="74">
        <v>2023</v>
      </c>
      <c r="F6911" s="74" t="s">
        <v>489</v>
      </c>
      <c r="G6911" s="61">
        <v>1</v>
      </c>
      <c r="H6911" s="61">
        <v>15</v>
      </c>
      <c r="I6911" s="61">
        <v>62.085479999999997</v>
      </c>
    </row>
    <row r="6912" spans="1:9" s="71" customFormat="1" ht="24" hidden="1" customHeight="1" outlineLevel="1" x14ac:dyDescent="0.25">
      <c r="A6912" s="74">
        <v>360</v>
      </c>
      <c r="B6912" s="45" t="s">
        <v>664</v>
      </c>
      <c r="C6912" s="60" t="s">
        <v>6437</v>
      </c>
      <c r="D6912" s="60"/>
      <c r="E6912" s="74">
        <v>2023</v>
      </c>
      <c r="F6912" s="74" t="s">
        <v>489</v>
      </c>
      <c r="G6912" s="61">
        <v>1</v>
      </c>
      <c r="H6912" s="61">
        <v>20</v>
      </c>
      <c r="I6912" s="61">
        <v>131.33297999999999</v>
      </c>
    </row>
    <row r="6913" spans="1:9" s="71" customFormat="1" ht="24" hidden="1" customHeight="1" outlineLevel="1" x14ac:dyDescent="0.25">
      <c r="A6913" s="74">
        <v>377</v>
      </c>
      <c r="B6913" s="45" t="s">
        <v>664</v>
      </c>
      <c r="C6913" s="60" t="s">
        <v>6438</v>
      </c>
      <c r="D6913" s="60"/>
      <c r="E6913" s="74">
        <v>2023</v>
      </c>
      <c r="F6913" s="74" t="s">
        <v>489</v>
      </c>
      <c r="G6913" s="61">
        <v>1</v>
      </c>
      <c r="H6913" s="61">
        <v>15</v>
      </c>
      <c r="I6913" s="61">
        <v>66.298460000000006</v>
      </c>
    </row>
    <row r="6914" spans="1:9" s="71" customFormat="1" ht="24" hidden="1" customHeight="1" outlineLevel="1" x14ac:dyDescent="0.25">
      <c r="A6914" s="74">
        <v>390</v>
      </c>
      <c r="B6914" s="45" t="s">
        <v>664</v>
      </c>
      <c r="C6914" s="60" t="s">
        <v>6439</v>
      </c>
      <c r="D6914" s="60"/>
      <c r="E6914" s="74">
        <v>2023</v>
      </c>
      <c r="F6914" s="74" t="s">
        <v>489</v>
      </c>
      <c r="G6914" s="61">
        <v>1</v>
      </c>
      <c r="H6914" s="61">
        <v>15</v>
      </c>
      <c r="I6914" s="61">
        <v>64.806730000000002</v>
      </c>
    </row>
    <row r="6915" spans="1:9" s="71" customFormat="1" ht="24" hidden="1" customHeight="1" outlineLevel="1" x14ac:dyDescent="0.25">
      <c r="A6915" s="74">
        <v>358</v>
      </c>
      <c r="B6915" s="45" t="s">
        <v>664</v>
      </c>
      <c r="C6915" s="60" t="s">
        <v>6440</v>
      </c>
      <c r="D6915" s="60"/>
      <c r="E6915" s="74">
        <v>2023</v>
      </c>
      <c r="F6915" s="74" t="s">
        <v>489</v>
      </c>
      <c r="G6915" s="61">
        <v>1</v>
      </c>
      <c r="H6915" s="61">
        <v>15</v>
      </c>
      <c r="I6915" s="61">
        <v>75.138689999999997</v>
      </c>
    </row>
    <row r="6916" spans="1:9" s="71" customFormat="1" ht="24" hidden="1" customHeight="1" outlineLevel="1" x14ac:dyDescent="0.25">
      <c r="A6916" s="74">
        <v>416</v>
      </c>
      <c r="B6916" s="45" t="s">
        <v>664</v>
      </c>
      <c r="C6916" s="60" t="s">
        <v>6441</v>
      </c>
      <c r="D6916" s="60"/>
      <c r="E6916" s="74">
        <v>2023</v>
      </c>
      <c r="F6916" s="74" t="s">
        <v>489</v>
      </c>
      <c r="G6916" s="61">
        <v>1</v>
      </c>
      <c r="H6916" s="61">
        <v>14</v>
      </c>
      <c r="I6916" s="61">
        <v>61.655769999999997</v>
      </c>
    </row>
    <row r="6917" spans="1:9" s="71" customFormat="1" ht="24" hidden="1" customHeight="1" outlineLevel="1" x14ac:dyDescent="0.25">
      <c r="A6917" s="74">
        <v>3898</v>
      </c>
      <c r="B6917" s="45" t="s">
        <v>664</v>
      </c>
      <c r="C6917" s="60" t="s">
        <v>6442</v>
      </c>
      <c r="D6917" s="60"/>
      <c r="E6917" s="74">
        <v>2023</v>
      </c>
      <c r="F6917" s="74" t="s">
        <v>489</v>
      </c>
      <c r="G6917" s="61">
        <v>1</v>
      </c>
      <c r="H6917" s="61">
        <v>15</v>
      </c>
      <c r="I6917" s="61">
        <v>63.23798</v>
      </c>
    </row>
    <row r="6918" spans="1:9" s="71" customFormat="1" ht="24" hidden="1" customHeight="1" outlineLevel="1" x14ac:dyDescent="0.25">
      <c r="A6918" s="74">
        <v>3218</v>
      </c>
      <c r="B6918" s="45" t="s">
        <v>664</v>
      </c>
      <c r="C6918" s="60" t="s">
        <v>6443</v>
      </c>
      <c r="D6918" s="60"/>
      <c r="E6918" s="74">
        <v>2023</v>
      </c>
      <c r="F6918" s="74" t="s">
        <v>489</v>
      </c>
      <c r="G6918" s="61">
        <v>1</v>
      </c>
      <c r="H6918" s="61">
        <v>15</v>
      </c>
      <c r="I6918" s="61">
        <v>57.594540000000002</v>
      </c>
    </row>
    <row r="6919" spans="1:9" s="71" customFormat="1" ht="24" hidden="1" customHeight="1" outlineLevel="1" x14ac:dyDescent="0.25">
      <c r="A6919" s="74">
        <v>761</v>
      </c>
      <c r="B6919" s="45" t="s">
        <v>664</v>
      </c>
      <c r="C6919" s="60" t="s">
        <v>6444</v>
      </c>
      <c r="D6919" s="60"/>
      <c r="E6919" s="74">
        <v>2023</v>
      </c>
      <c r="F6919" s="74" t="s">
        <v>489</v>
      </c>
      <c r="G6919" s="61">
        <v>1</v>
      </c>
      <c r="H6919" s="61">
        <v>10</v>
      </c>
      <c r="I6919" s="61">
        <v>47.50629</v>
      </c>
    </row>
    <row r="6920" spans="1:9" s="71" customFormat="1" ht="24" hidden="1" customHeight="1" outlineLevel="1" x14ac:dyDescent="0.25">
      <c r="A6920" s="74">
        <v>3101</v>
      </c>
      <c r="B6920" s="45" t="s">
        <v>664</v>
      </c>
      <c r="C6920" s="60" t="s">
        <v>233</v>
      </c>
      <c r="D6920" s="60"/>
      <c r="E6920" s="74">
        <v>2023</v>
      </c>
      <c r="F6920" s="74" t="s">
        <v>489</v>
      </c>
      <c r="G6920" s="61">
        <v>2</v>
      </c>
      <c r="H6920" s="61">
        <v>150</v>
      </c>
      <c r="I6920" s="61">
        <v>117.17442</v>
      </c>
    </row>
    <row r="6921" spans="1:9" s="71" customFormat="1" ht="24" hidden="1" customHeight="1" outlineLevel="1" x14ac:dyDescent="0.25">
      <c r="A6921" s="74">
        <v>3097</v>
      </c>
      <c r="B6921" s="45" t="s">
        <v>664</v>
      </c>
      <c r="C6921" s="60" t="s">
        <v>234</v>
      </c>
      <c r="D6921" s="60"/>
      <c r="E6921" s="74">
        <v>2023</v>
      </c>
      <c r="F6921" s="74" t="s">
        <v>489</v>
      </c>
      <c r="G6921" s="61">
        <v>1</v>
      </c>
      <c r="H6921" s="61">
        <v>150</v>
      </c>
      <c r="I6921" s="61">
        <v>200.42418000000001</v>
      </c>
    </row>
    <row r="6922" spans="1:9" s="71" customFormat="1" ht="24" hidden="1" customHeight="1" outlineLevel="1" x14ac:dyDescent="0.25">
      <c r="A6922" s="74">
        <v>3046</v>
      </c>
      <c r="B6922" s="45" t="s">
        <v>664</v>
      </c>
      <c r="C6922" s="60" t="s">
        <v>6445</v>
      </c>
      <c r="D6922" s="60"/>
      <c r="E6922" s="74">
        <v>2023</v>
      </c>
      <c r="F6922" s="74" t="s">
        <v>489</v>
      </c>
      <c r="G6922" s="61">
        <v>1</v>
      </c>
      <c r="H6922" s="61">
        <v>65</v>
      </c>
      <c r="I6922" s="61">
        <v>156.23992000000001</v>
      </c>
    </row>
    <row r="6923" spans="1:9" s="71" customFormat="1" ht="24" hidden="1" customHeight="1" outlineLevel="1" x14ac:dyDescent="0.25">
      <c r="A6923" s="74">
        <v>5609</v>
      </c>
      <c r="B6923" s="45" t="s">
        <v>664</v>
      </c>
      <c r="C6923" s="60" t="s">
        <v>6446</v>
      </c>
      <c r="D6923" s="60"/>
      <c r="E6923" s="74">
        <v>2023</v>
      </c>
      <c r="F6923" s="74" t="s">
        <v>489</v>
      </c>
      <c r="G6923" s="61">
        <v>1</v>
      </c>
      <c r="H6923" s="61">
        <v>10</v>
      </c>
      <c r="I6923" s="61">
        <v>42.26679</v>
      </c>
    </row>
    <row r="6924" spans="1:9" s="71" customFormat="1" ht="24" hidden="1" customHeight="1" outlineLevel="1" x14ac:dyDescent="0.25">
      <c r="A6924" s="74">
        <v>5610</v>
      </c>
      <c r="B6924" s="45" t="s">
        <v>664</v>
      </c>
      <c r="C6924" s="60" t="s">
        <v>6447</v>
      </c>
      <c r="D6924" s="60"/>
      <c r="E6924" s="74">
        <v>2023</v>
      </c>
      <c r="F6924" s="74" t="s">
        <v>489</v>
      </c>
      <c r="G6924" s="61">
        <v>1</v>
      </c>
      <c r="H6924" s="61">
        <v>25</v>
      </c>
      <c r="I6924" s="61">
        <v>42.26679</v>
      </c>
    </row>
    <row r="6925" spans="1:9" s="71" customFormat="1" ht="24" hidden="1" customHeight="1" outlineLevel="1" x14ac:dyDescent="0.25">
      <c r="A6925" s="74">
        <v>1423</v>
      </c>
      <c r="B6925" s="45" t="s">
        <v>664</v>
      </c>
      <c r="C6925" s="60" t="s">
        <v>6448</v>
      </c>
      <c r="D6925" s="60"/>
      <c r="E6925" s="74">
        <v>2023</v>
      </c>
      <c r="F6925" s="74" t="s">
        <v>489</v>
      </c>
      <c r="G6925" s="61">
        <v>1</v>
      </c>
      <c r="H6925" s="61">
        <v>8</v>
      </c>
      <c r="I6925" s="61">
        <v>42.26679</v>
      </c>
    </row>
    <row r="6926" spans="1:9" s="71" customFormat="1" ht="24" hidden="1" customHeight="1" outlineLevel="1" x14ac:dyDescent="0.25">
      <c r="A6926" s="74">
        <v>5611</v>
      </c>
      <c r="B6926" s="45" t="s">
        <v>664</v>
      </c>
      <c r="C6926" s="60" t="s">
        <v>6449</v>
      </c>
      <c r="D6926" s="60"/>
      <c r="E6926" s="74">
        <v>2023</v>
      </c>
      <c r="F6926" s="74" t="s">
        <v>489</v>
      </c>
      <c r="G6926" s="61">
        <v>1</v>
      </c>
      <c r="H6926" s="61">
        <v>15</v>
      </c>
      <c r="I6926" s="61">
        <v>42.26679</v>
      </c>
    </row>
    <row r="6927" spans="1:9" s="71" customFormat="1" ht="24" hidden="1" customHeight="1" outlineLevel="1" x14ac:dyDescent="0.25">
      <c r="A6927" s="74">
        <v>5612</v>
      </c>
      <c r="B6927" s="45" t="s">
        <v>664</v>
      </c>
      <c r="C6927" s="60" t="s">
        <v>6450</v>
      </c>
      <c r="D6927" s="60"/>
      <c r="E6927" s="74">
        <v>2023</v>
      </c>
      <c r="F6927" s="74" t="s">
        <v>489</v>
      </c>
      <c r="G6927" s="61">
        <v>1</v>
      </c>
      <c r="H6927" s="61">
        <v>15</v>
      </c>
      <c r="I6927" s="61">
        <v>42.26679</v>
      </c>
    </row>
    <row r="6928" spans="1:9" s="71" customFormat="1" ht="24" hidden="1" customHeight="1" outlineLevel="1" x14ac:dyDescent="0.25">
      <c r="A6928" s="74">
        <v>5621</v>
      </c>
      <c r="B6928" s="45" t="s">
        <v>664</v>
      </c>
      <c r="C6928" s="60" t="s">
        <v>6451</v>
      </c>
      <c r="D6928" s="60"/>
      <c r="E6928" s="74">
        <v>2023</v>
      </c>
      <c r="F6928" s="74" t="s">
        <v>489</v>
      </c>
      <c r="G6928" s="61">
        <v>4</v>
      </c>
      <c r="H6928" s="61">
        <v>51</v>
      </c>
      <c r="I6928" s="61">
        <v>1921.9504400000001</v>
      </c>
    </row>
    <row r="6929" spans="1:9" s="71" customFormat="1" ht="24" hidden="1" customHeight="1" outlineLevel="1" x14ac:dyDescent="0.25">
      <c r="A6929" s="74">
        <v>765</v>
      </c>
      <c r="B6929" s="45" t="s">
        <v>664</v>
      </c>
      <c r="C6929" s="60" t="s">
        <v>6452</v>
      </c>
      <c r="D6929" s="60"/>
      <c r="E6929" s="74">
        <v>2023</v>
      </c>
      <c r="F6929" s="74" t="s">
        <v>489</v>
      </c>
      <c r="G6929" s="61">
        <v>1</v>
      </c>
      <c r="H6929" s="61">
        <v>15</v>
      </c>
      <c r="I6929" s="61">
        <v>97.618429999999989</v>
      </c>
    </row>
    <row r="6930" spans="1:9" s="71" customFormat="1" ht="24" hidden="1" customHeight="1" outlineLevel="1" x14ac:dyDescent="0.25">
      <c r="A6930" s="74">
        <v>5626</v>
      </c>
      <c r="B6930" s="45" t="s">
        <v>664</v>
      </c>
      <c r="C6930" s="60" t="s">
        <v>6453</v>
      </c>
      <c r="D6930" s="60"/>
      <c r="E6930" s="74">
        <v>2023</v>
      </c>
      <c r="F6930" s="74" t="s">
        <v>489</v>
      </c>
      <c r="G6930" s="61">
        <v>1</v>
      </c>
      <c r="H6930" s="61">
        <v>14</v>
      </c>
      <c r="I6930" s="61">
        <v>35.449339999999992</v>
      </c>
    </row>
    <row r="6931" spans="1:9" s="71" customFormat="1" ht="24" hidden="1" customHeight="1" outlineLevel="1" x14ac:dyDescent="0.25">
      <c r="A6931" s="74">
        <v>594</v>
      </c>
      <c r="B6931" s="45" t="s">
        <v>664</v>
      </c>
      <c r="C6931" s="60" t="s">
        <v>6454</v>
      </c>
      <c r="D6931" s="60"/>
      <c r="E6931" s="74">
        <v>2023</v>
      </c>
      <c r="F6931" s="74" t="s">
        <v>489</v>
      </c>
      <c r="G6931" s="61">
        <v>1</v>
      </c>
      <c r="H6931" s="61">
        <v>15</v>
      </c>
      <c r="I6931" s="61">
        <v>97.618449999999996</v>
      </c>
    </row>
    <row r="6932" spans="1:9" s="71" customFormat="1" ht="24" hidden="1" customHeight="1" outlineLevel="1" x14ac:dyDescent="0.25">
      <c r="A6932" s="74">
        <v>502</v>
      </c>
      <c r="B6932" s="45" t="s">
        <v>664</v>
      </c>
      <c r="C6932" s="60" t="s">
        <v>6455</v>
      </c>
      <c r="D6932" s="60"/>
      <c r="E6932" s="74">
        <v>2023</v>
      </c>
      <c r="F6932" s="74" t="s">
        <v>489</v>
      </c>
      <c r="G6932" s="61">
        <v>1</v>
      </c>
      <c r="H6932" s="61">
        <v>5</v>
      </c>
      <c r="I6932" s="61">
        <v>35.449339999999992</v>
      </c>
    </row>
    <row r="6933" spans="1:9" s="71" customFormat="1" ht="24" hidden="1" customHeight="1" outlineLevel="1" x14ac:dyDescent="0.25">
      <c r="A6933" s="74">
        <v>872</v>
      </c>
      <c r="B6933" s="45" t="s">
        <v>664</v>
      </c>
      <c r="C6933" s="60" t="s">
        <v>6456</v>
      </c>
      <c r="D6933" s="60"/>
      <c r="E6933" s="74">
        <v>2023</v>
      </c>
      <c r="F6933" s="74" t="s">
        <v>489</v>
      </c>
      <c r="G6933" s="61">
        <v>1</v>
      </c>
      <c r="H6933" s="61">
        <v>15</v>
      </c>
      <c r="I6933" s="61">
        <v>35.449359999999999</v>
      </c>
    </row>
    <row r="6934" spans="1:9" s="71" customFormat="1" ht="24" hidden="1" customHeight="1" outlineLevel="1" x14ac:dyDescent="0.25">
      <c r="A6934" s="74">
        <v>955</v>
      </c>
      <c r="B6934" s="45" t="s">
        <v>664</v>
      </c>
      <c r="C6934" s="60" t="s">
        <v>6457</v>
      </c>
      <c r="D6934" s="60"/>
      <c r="E6934" s="74">
        <v>2023</v>
      </c>
      <c r="F6934" s="74" t="s">
        <v>489</v>
      </c>
      <c r="G6934" s="61">
        <v>1</v>
      </c>
      <c r="H6934" s="61">
        <v>15</v>
      </c>
      <c r="I6934" s="61">
        <v>10.70983</v>
      </c>
    </row>
    <row r="6935" spans="1:9" s="71" customFormat="1" ht="24" hidden="1" customHeight="1" outlineLevel="1" x14ac:dyDescent="0.25">
      <c r="A6935" s="74">
        <v>956</v>
      </c>
      <c r="B6935" s="45" t="s">
        <v>664</v>
      </c>
      <c r="C6935" s="60" t="s">
        <v>6458</v>
      </c>
      <c r="D6935" s="60"/>
      <c r="E6935" s="74">
        <v>2023</v>
      </c>
      <c r="F6935" s="74" t="s">
        <v>489</v>
      </c>
      <c r="G6935" s="61">
        <v>1</v>
      </c>
      <c r="H6935" s="61">
        <v>15</v>
      </c>
      <c r="I6935" s="61">
        <v>35.449339999999992</v>
      </c>
    </row>
    <row r="6936" spans="1:9" s="71" customFormat="1" ht="24" hidden="1" customHeight="1" outlineLevel="1" x14ac:dyDescent="0.25">
      <c r="A6936" s="74">
        <v>981</v>
      </c>
      <c r="B6936" s="45" t="s">
        <v>664</v>
      </c>
      <c r="C6936" s="60" t="s">
        <v>6459</v>
      </c>
      <c r="D6936" s="60"/>
      <c r="E6936" s="74">
        <v>2023</v>
      </c>
      <c r="F6936" s="74" t="s">
        <v>489</v>
      </c>
      <c r="G6936" s="61">
        <v>1</v>
      </c>
      <c r="H6936" s="61">
        <v>15</v>
      </c>
      <c r="I6936" s="61">
        <v>35.449349999999995</v>
      </c>
    </row>
    <row r="6937" spans="1:9" s="71" customFormat="1" ht="24" hidden="1" customHeight="1" outlineLevel="1" x14ac:dyDescent="0.25">
      <c r="A6937" s="74">
        <v>5629</v>
      </c>
      <c r="B6937" s="45" t="s">
        <v>664</v>
      </c>
      <c r="C6937" s="60" t="s">
        <v>6460</v>
      </c>
      <c r="D6937" s="60"/>
      <c r="E6937" s="74">
        <v>2023</v>
      </c>
      <c r="F6937" s="74" t="s">
        <v>489</v>
      </c>
      <c r="G6937" s="61">
        <v>1</v>
      </c>
      <c r="H6937" s="61">
        <v>2.1</v>
      </c>
      <c r="I6937" s="61">
        <v>35.449349999999995</v>
      </c>
    </row>
    <row r="6938" spans="1:9" s="71" customFormat="1" ht="24" hidden="1" customHeight="1" outlineLevel="1" x14ac:dyDescent="0.25">
      <c r="A6938" s="74">
        <v>1072</v>
      </c>
      <c r="B6938" s="45" t="s">
        <v>664</v>
      </c>
      <c r="C6938" s="60" t="s">
        <v>6461</v>
      </c>
      <c r="D6938" s="60"/>
      <c r="E6938" s="74">
        <v>2023</v>
      </c>
      <c r="F6938" s="74" t="s">
        <v>489</v>
      </c>
      <c r="G6938" s="61">
        <v>1</v>
      </c>
      <c r="H6938" s="61">
        <v>15</v>
      </c>
      <c r="I6938" s="61">
        <v>35.449339999999992</v>
      </c>
    </row>
    <row r="6939" spans="1:9" s="71" customFormat="1" ht="24" hidden="1" customHeight="1" outlineLevel="1" x14ac:dyDescent="0.25">
      <c r="A6939" s="74">
        <v>1104</v>
      </c>
      <c r="B6939" s="45" t="s">
        <v>664</v>
      </c>
      <c r="C6939" s="60" t="s">
        <v>6462</v>
      </c>
      <c r="D6939" s="60"/>
      <c r="E6939" s="74">
        <v>2023</v>
      </c>
      <c r="F6939" s="74" t="s">
        <v>489</v>
      </c>
      <c r="G6939" s="61">
        <v>1</v>
      </c>
      <c r="H6939" s="61">
        <v>15</v>
      </c>
      <c r="I6939" s="61">
        <v>35.682569999999998</v>
      </c>
    </row>
    <row r="6940" spans="1:9" s="71" customFormat="1" ht="24" hidden="1" customHeight="1" outlineLevel="1" x14ac:dyDescent="0.25">
      <c r="A6940" s="74">
        <v>1169</v>
      </c>
      <c r="B6940" s="45" t="s">
        <v>664</v>
      </c>
      <c r="C6940" s="60" t="s">
        <v>6463</v>
      </c>
      <c r="D6940" s="60"/>
      <c r="E6940" s="74">
        <v>2023</v>
      </c>
      <c r="F6940" s="74" t="s">
        <v>489</v>
      </c>
      <c r="G6940" s="61">
        <v>1</v>
      </c>
      <c r="H6940" s="61">
        <v>15</v>
      </c>
      <c r="I6940" s="61">
        <v>35.449349999999995</v>
      </c>
    </row>
    <row r="6941" spans="1:9" s="71" customFormat="1" ht="24" hidden="1" customHeight="1" outlineLevel="1" x14ac:dyDescent="0.25">
      <c r="A6941" s="74">
        <v>1136</v>
      </c>
      <c r="B6941" s="45" t="s">
        <v>664</v>
      </c>
      <c r="C6941" s="60" t="s">
        <v>6464</v>
      </c>
      <c r="D6941" s="60"/>
      <c r="E6941" s="74">
        <v>2023</v>
      </c>
      <c r="F6941" s="74" t="s">
        <v>489</v>
      </c>
      <c r="G6941" s="61">
        <v>1</v>
      </c>
      <c r="H6941" s="61">
        <v>15</v>
      </c>
      <c r="I6941" s="61">
        <v>35.449330000000003</v>
      </c>
    </row>
    <row r="6942" spans="1:9" s="71" customFormat="1" ht="24" hidden="1" customHeight="1" outlineLevel="1" x14ac:dyDescent="0.25">
      <c r="A6942" s="74">
        <v>1477</v>
      </c>
      <c r="B6942" s="45" t="s">
        <v>664</v>
      </c>
      <c r="C6942" s="60" t="s">
        <v>6465</v>
      </c>
      <c r="D6942" s="60"/>
      <c r="E6942" s="74">
        <v>2023</v>
      </c>
      <c r="F6942" s="74" t="s">
        <v>489</v>
      </c>
      <c r="G6942" s="61">
        <v>1</v>
      </c>
      <c r="H6942" s="61">
        <v>15</v>
      </c>
      <c r="I6942" s="61">
        <v>35.449359999999999</v>
      </c>
    </row>
    <row r="6943" spans="1:9" s="71" customFormat="1" ht="24" hidden="1" customHeight="1" outlineLevel="1" x14ac:dyDescent="0.25">
      <c r="A6943" s="74">
        <v>5637</v>
      </c>
      <c r="B6943" s="45" t="s">
        <v>664</v>
      </c>
      <c r="C6943" s="60" t="s">
        <v>6466</v>
      </c>
      <c r="D6943" s="60"/>
      <c r="E6943" s="74">
        <v>2023</v>
      </c>
      <c r="F6943" s="74" t="s">
        <v>489</v>
      </c>
      <c r="G6943" s="61">
        <v>1</v>
      </c>
      <c r="H6943" s="61">
        <v>15</v>
      </c>
      <c r="I6943" s="61">
        <v>10.943069999999999</v>
      </c>
    </row>
    <row r="6944" spans="1:9" s="71" customFormat="1" ht="24" hidden="1" customHeight="1" outlineLevel="1" x14ac:dyDescent="0.25">
      <c r="A6944" s="74">
        <v>5638</v>
      </c>
      <c r="B6944" s="45" t="s">
        <v>664</v>
      </c>
      <c r="C6944" s="60" t="s">
        <v>6467</v>
      </c>
      <c r="D6944" s="60"/>
      <c r="E6944" s="74">
        <v>2023</v>
      </c>
      <c r="F6944" s="74" t="s">
        <v>489</v>
      </c>
      <c r="G6944" s="61">
        <v>1</v>
      </c>
      <c r="H6944" s="61">
        <v>10</v>
      </c>
      <c r="I6944" s="61">
        <v>35.449330000000003</v>
      </c>
    </row>
    <row r="6945" spans="1:9" s="71" customFormat="1" ht="24" hidden="1" customHeight="1" outlineLevel="1" x14ac:dyDescent="0.25">
      <c r="A6945" s="74">
        <v>5641</v>
      </c>
      <c r="B6945" s="45" t="s">
        <v>664</v>
      </c>
      <c r="C6945" s="60" t="s">
        <v>6468</v>
      </c>
      <c r="D6945" s="60"/>
      <c r="E6945" s="74">
        <v>2023</v>
      </c>
      <c r="F6945" s="74" t="s">
        <v>489</v>
      </c>
      <c r="G6945" s="61">
        <v>1</v>
      </c>
      <c r="H6945" s="61">
        <v>15</v>
      </c>
      <c r="I6945" s="61">
        <v>35.449330000000003</v>
      </c>
    </row>
    <row r="6946" spans="1:9" s="71" customFormat="1" ht="24" hidden="1" customHeight="1" outlineLevel="1" x14ac:dyDescent="0.25">
      <c r="A6946" s="74">
        <v>5645</v>
      </c>
      <c r="B6946" s="45" t="s">
        <v>664</v>
      </c>
      <c r="C6946" s="60" t="s">
        <v>6469</v>
      </c>
      <c r="D6946" s="60"/>
      <c r="E6946" s="74">
        <v>2023</v>
      </c>
      <c r="F6946" s="74" t="s">
        <v>489</v>
      </c>
      <c r="G6946" s="61">
        <v>1</v>
      </c>
      <c r="H6946" s="61">
        <v>15</v>
      </c>
      <c r="I6946" s="61">
        <v>35.682680000000005</v>
      </c>
    </row>
    <row r="6947" spans="1:9" s="71" customFormat="1" ht="24" hidden="1" customHeight="1" outlineLevel="1" x14ac:dyDescent="0.25">
      <c r="A6947" s="74">
        <v>5646</v>
      </c>
      <c r="B6947" s="45" t="s">
        <v>664</v>
      </c>
      <c r="C6947" s="60" t="s">
        <v>6470</v>
      </c>
      <c r="D6947" s="60"/>
      <c r="E6947" s="74">
        <v>2023</v>
      </c>
      <c r="F6947" s="74" t="s">
        <v>489</v>
      </c>
      <c r="G6947" s="61">
        <v>1</v>
      </c>
      <c r="H6947" s="61">
        <v>5</v>
      </c>
      <c r="I6947" s="61">
        <v>35.682559999999995</v>
      </c>
    </row>
    <row r="6948" spans="1:9" s="71" customFormat="1" ht="24" hidden="1" customHeight="1" outlineLevel="1" x14ac:dyDescent="0.25">
      <c r="A6948" s="74">
        <v>1027</v>
      </c>
      <c r="B6948" s="45" t="s">
        <v>664</v>
      </c>
      <c r="C6948" s="60" t="s">
        <v>6471</v>
      </c>
      <c r="D6948" s="60"/>
      <c r="E6948" s="74">
        <v>2023</v>
      </c>
      <c r="F6948" s="74" t="s">
        <v>489</v>
      </c>
      <c r="G6948" s="61">
        <v>1</v>
      </c>
      <c r="H6948" s="61">
        <v>15</v>
      </c>
      <c r="I6948" s="61">
        <v>98.081670000000003</v>
      </c>
    </row>
    <row r="6949" spans="1:9" s="71" customFormat="1" ht="24" hidden="1" customHeight="1" outlineLevel="1" x14ac:dyDescent="0.25">
      <c r="A6949" s="74">
        <v>1011</v>
      </c>
      <c r="B6949" s="45" t="s">
        <v>664</v>
      </c>
      <c r="C6949" s="60" t="s">
        <v>6472</v>
      </c>
      <c r="D6949" s="60"/>
      <c r="E6949" s="74">
        <v>2023</v>
      </c>
      <c r="F6949" s="74" t="s">
        <v>489</v>
      </c>
      <c r="G6949" s="61">
        <v>1</v>
      </c>
      <c r="H6949" s="61">
        <v>15</v>
      </c>
      <c r="I6949" s="61">
        <v>11.173080000000001</v>
      </c>
    </row>
    <row r="6950" spans="1:9" s="71" customFormat="1" ht="24" hidden="1" customHeight="1" outlineLevel="1" x14ac:dyDescent="0.25">
      <c r="A6950" s="74">
        <v>688</v>
      </c>
      <c r="B6950" s="45" t="s">
        <v>664</v>
      </c>
      <c r="C6950" s="60" t="s">
        <v>6473</v>
      </c>
      <c r="D6950" s="60"/>
      <c r="E6950" s="74">
        <v>2023</v>
      </c>
      <c r="F6950" s="74" t="s">
        <v>489</v>
      </c>
      <c r="G6950" s="61">
        <v>1</v>
      </c>
      <c r="H6950" s="61">
        <v>15</v>
      </c>
      <c r="I6950" s="61">
        <v>98.081670000000003</v>
      </c>
    </row>
    <row r="6951" spans="1:9" s="71" customFormat="1" ht="24" hidden="1" customHeight="1" outlineLevel="1" x14ac:dyDescent="0.25">
      <c r="A6951" s="74">
        <v>5650</v>
      </c>
      <c r="B6951" s="45" t="s">
        <v>664</v>
      </c>
      <c r="C6951" s="60" t="s">
        <v>6474</v>
      </c>
      <c r="D6951" s="60"/>
      <c r="E6951" s="74">
        <v>2023</v>
      </c>
      <c r="F6951" s="74" t="s">
        <v>489</v>
      </c>
      <c r="G6951" s="61">
        <v>1</v>
      </c>
      <c r="H6951" s="61">
        <v>15</v>
      </c>
      <c r="I6951" s="61">
        <v>98.081699999999998</v>
      </c>
    </row>
    <row r="6952" spans="1:9" s="71" customFormat="1" ht="24" hidden="1" customHeight="1" outlineLevel="1" x14ac:dyDescent="0.25">
      <c r="A6952" s="74">
        <v>5653</v>
      </c>
      <c r="B6952" s="45" t="s">
        <v>664</v>
      </c>
      <c r="C6952" s="60" t="s">
        <v>6475</v>
      </c>
      <c r="D6952" s="60"/>
      <c r="E6952" s="74">
        <v>2023</v>
      </c>
      <c r="F6952" s="74" t="s">
        <v>489</v>
      </c>
      <c r="G6952" s="61">
        <v>1</v>
      </c>
      <c r="H6952" s="61">
        <v>15</v>
      </c>
      <c r="I6952" s="61">
        <v>36.221850000000003</v>
      </c>
    </row>
    <row r="6953" spans="1:9" s="71" customFormat="1" ht="24" hidden="1" customHeight="1" outlineLevel="1" x14ac:dyDescent="0.25">
      <c r="A6953" s="74">
        <v>663</v>
      </c>
      <c r="B6953" s="45" t="s">
        <v>664</v>
      </c>
      <c r="C6953" s="60" t="s">
        <v>6476</v>
      </c>
      <c r="D6953" s="60"/>
      <c r="E6953" s="74">
        <v>2023</v>
      </c>
      <c r="F6953" s="74" t="s">
        <v>489</v>
      </c>
      <c r="G6953" s="61">
        <v>1</v>
      </c>
      <c r="H6953" s="61">
        <v>15</v>
      </c>
      <c r="I6953" s="61">
        <v>36.221830000000004</v>
      </c>
    </row>
    <row r="6954" spans="1:9" s="71" customFormat="1" ht="24" hidden="1" customHeight="1" outlineLevel="1" x14ac:dyDescent="0.25">
      <c r="A6954" s="74">
        <v>478</v>
      </c>
      <c r="B6954" s="45" t="s">
        <v>664</v>
      </c>
      <c r="C6954" s="60" t="s">
        <v>6477</v>
      </c>
      <c r="D6954" s="60"/>
      <c r="E6954" s="74">
        <v>2023</v>
      </c>
      <c r="F6954" s="74" t="s">
        <v>489</v>
      </c>
      <c r="G6954" s="61">
        <v>1</v>
      </c>
      <c r="H6954" s="61">
        <v>15</v>
      </c>
      <c r="I6954" s="61">
        <v>36.050589999999993</v>
      </c>
    </row>
    <row r="6955" spans="1:9" s="71" customFormat="1" ht="24" hidden="1" customHeight="1" outlineLevel="1" x14ac:dyDescent="0.25">
      <c r="A6955" s="74">
        <v>849</v>
      </c>
      <c r="B6955" s="45" t="s">
        <v>664</v>
      </c>
      <c r="C6955" s="60" t="s">
        <v>6478</v>
      </c>
      <c r="D6955" s="60"/>
      <c r="E6955" s="74">
        <v>2023</v>
      </c>
      <c r="F6955" s="74" t="s">
        <v>489</v>
      </c>
      <c r="G6955" s="61">
        <v>1</v>
      </c>
      <c r="H6955" s="61">
        <v>15</v>
      </c>
      <c r="I6955" s="61">
        <v>36.05057</v>
      </c>
    </row>
    <row r="6956" spans="1:9" s="71" customFormat="1" ht="24" hidden="1" customHeight="1" outlineLevel="1" x14ac:dyDescent="0.25">
      <c r="A6956" s="74">
        <v>913</v>
      </c>
      <c r="B6956" s="45" t="s">
        <v>664</v>
      </c>
      <c r="C6956" s="60" t="s">
        <v>6479</v>
      </c>
      <c r="D6956" s="60"/>
      <c r="E6956" s="74">
        <v>2023</v>
      </c>
      <c r="F6956" s="74" t="s">
        <v>489</v>
      </c>
      <c r="G6956" s="61">
        <v>1</v>
      </c>
      <c r="H6956" s="61">
        <v>15</v>
      </c>
      <c r="I6956" s="61">
        <v>36.050589999999993</v>
      </c>
    </row>
    <row r="6957" spans="1:9" s="71" customFormat="1" ht="24" hidden="1" customHeight="1" outlineLevel="1" x14ac:dyDescent="0.25">
      <c r="A6957" s="74">
        <v>1677</v>
      </c>
      <c r="B6957" s="45" t="s">
        <v>664</v>
      </c>
      <c r="C6957" s="60" t="s">
        <v>6480</v>
      </c>
      <c r="D6957" s="60"/>
      <c r="E6957" s="74">
        <v>2023</v>
      </c>
      <c r="F6957" s="74" t="s">
        <v>489</v>
      </c>
      <c r="G6957" s="61">
        <v>1</v>
      </c>
      <c r="H6957" s="61">
        <v>5</v>
      </c>
      <c r="I6957" s="61">
        <v>36.05057</v>
      </c>
    </row>
    <row r="6958" spans="1:9" s="71" customFormat="1" ht="24" hidden="1" customHeight="1" outlineLevel="1" x14ac:dyDescent="0.25">
      <c r="A6958" s="74">
        <v>1670</v>
      </c>
      <c r="B6958" s="45" t="s">
        <v>664</v>
      </c>
      <c r="C6958" s="60" t="s">
        <v>6481</v>
      </c>
      <c r="D6958" s="60"/>
      <c r="E6958" s="74">
        <v>2023</v>
      </c>
      <c r="F6958" s="74" t="s">
        <v>489</v>
      </c>
      <c r="G6958" s="61">
        <v>1</v>
      </c>
      <c r="H6958" s="61">
        <v>10</v>
      </c>
      <c r="I6958" s="61">
        <v>36.050589999999993</v>
      </c>
    </row>
    <row r="6959" spans="1:9" s="71" customFormat="1" ht="24" hidden="1" customHeight="1" outlineLevel="1" x14ac:dyDescent="0.25">
      <c r="A6959" s="74">
        <v>5661</v>
      </c>
      <c r="B6959" s="45" t="s">
        <v>664</v>
      </c>
      <c r="C6959" s="60" t="s">
        <v>6482</v>
      </c>
      <c r="D6959" s="60"/>
      <c r="E6959" s="74">
        <v>2023</v>
      </c>
      <c r="F6959" s="74" t="s">
        <v>489</v>
      </c>
      <c r="G6959" s="61">
        <v>1</v>
      </c>
      <c r="H6959" s="61">
        <v>15</v>
      </c>
      <c r="I6959" s="61">
        <v>35.879330000000003</v>
      </c>
    </row>
    <row r="6960" spans="1:9" s="71" customFormat="1" ht="24" hidden="1" customHeight="1" outlineLevel="1" x14ac:dyDescent="0.25">
      <c r="A6960" s="74">
        <v>1819</v>
      </c>
      <c r="B6960" s="45" t="s">
        <v>664</v>
      </c>
      <c r="C6960" s="60" t="s">
        <v>6483</v>
      </c>
      <c r="D6960" s="60"/>
      <c r="E6960" s="74">
        <v>2023</v>
      </c>
      <c r="F6960" s="74" t="s">
        <v>489</v>
      </c>
      <c r="G6960" s="61">
        <v>1</v>
      </c>
      <c r="H6960" s="61">
        <v>3</v>
      </c>
      <c r="I6960" s="61">
        <v>35.879349999999995</v>
      </c>
    </row>
    <row r="6961" spans="1:9" s="71" customFormat="1" ht="24" hidden="1" customHeight="1" outlineLevel="1" x14ac:dyDescent="0.25">
      <c r="A6961" s="74">
        <v>5665</v>
      </c>
      <c r="B6961" s="45" t="s">
        <v>664</v>
      </c>
      <c r="C6961" s="60" t="s">
        <v>6484</v>
      </c>
      <c r="D6961" s="60"/>
      <c r="E6961" s="74">
        <v>2023</v>
      </c>
      <c r="F6961" s="74" t="s">
        <v>489</v>
      </c>
      <c r="G6961" s="61">
        <v>1</v>
      </c>
      <c r="H6961" s="61">
        <v>15</v>
      </c>
      <c r="I6961" s="61">
        <v>35.879330000000003</v>
      </c>
    </row>
    <row r="6962" spans="1:9" s="71" customFormat="1" ht="24" hidden="1" customHeight="1" outlineLevel="1" x14ac:dyDescent="0.25">
      <c r="A6962" s="74">
        <v>5667</v>
      </c>
      <c r="B6962" s="45" t="s">
        <v>664</v>
      </c>
      <c r="C6962" s="60" t="s">
        <v>6485</v>
      </c>
      <c r="D6962" s="60"/>
      <c r="E6962" s="74">
        <v>2023</v>
      </c>
      <c r="F6962" s="74" t="s">
        <v>489</v>
      </c>
      <c r="G6962" s="61">
        <v>1</v>
      </c>
      <c r="H6962" s="61">
        <v>15</v>
      </c>
      <c r="I6962" s="61">
        <v>35.879349999999995</v>
      </c>
    </row>
    <row r="6963" spans="1:9" s="71" customFormat="1" ht="24" hidden="1" customHeight="1" outlineLevel="1" x14ac:dyDescent="0.25">
      <c r="A6963" s="74">
        <v>5668</v>
      </c>
      <c r="B6963" s="45" t="s">
        <v>664</v>
      </c>
      <c r="C6963" s="60" t="s">
        <v>6486</v>
      </c>
      <c r="D6963" s="60"/>
      <c r="E6963" s="74">
        <v>2023</v>
      </c>
      <c r="F6963" s="74" t="s">
        <v>489</v>
      </c>
      <c r="G6963" s="61">
        <v>1</v>
      </c>
      <c r="H6963" s="61">
        <v>15</v>
      </c>
      <c r="I6963" s="61">
        <v>35.879330000000003</v>
      </c>
    </row>
    <row r="6964" spans="1:9" s="71" customFormat="1" ht="24" hidden="1" customHeight="1" outlineLevel="1" x14ac:dyDescent="0.25">
      <c r="A6964" s="74">
        <v>562</v>
      </c>
      <c r="B6964" s="45" t="s">
        <v>664</v>
      </c>
      <c r="C6964" s="60" t="s">
        <v>6487</v>
      </c>
      <c r="D6964" s="60"/>
      <c r="E6964" s="74">
        <v>2023</v>
      </c>
      <c r="F6964" s="74" t="s">
        <v>489</v>
      </c>
      <c r="G6964" s="61">
        <v>1</v>
      </c>
      <c r="H6964" s="61">
        <v>15</v>
      </c>
      <c r="I6964" s="61">
        <v>35.77657</v>
      </c>
    </row>
    <row r="6965" spans="1:9" s="71" customFormat="1" ht="24" hidden="1" customHeight="1" outlineLevel="1" x14ac:dyDescent="0.25">
      <c r="A6965" s="74">
        <v>513</v>
      </c>
      <c r="B6965" s="45" t="s">
        <v>664</v>
      </c>
      <c r="C6965" s="60" t="s">
        <v>6488</v>
      </c>
      <c r="D6965" s="60"/>
      <c r="E6965" s="74">
        <v>2023</v>
      </c>
      <c r="F6965" s="74" t="s">
        <v>489</v>
      </c>
      <c r="G6965" s="61">
        <v>1</v>
      </c>
      <c r="H6965" s="61">
        <v>15</v>
      </c>
      <c r="I6965" s="61">
        <v>35.879330000000003</v>
      </c>
    </row>
    <row r="6966" spans="1:9" s="71" customFormat="1" ht="24" hidden="1" customHeight="1" outlineLevel="1" x14ac:dyDescent="0.25">
      <c r="A6966" s="74">
        <v>506</v>
      </c>
      <c r="B6966" s="45" t="s">
        <v>664</v>
      </c>
      <c r="C6966" s="60" t="s">
        <v>6489</v>
      </c>
      <c r="D6966" s="60"/>
      <c r="E6966" s="74">
        <v>2023</v>
      </c>
      <c r="F6966" s="74" t="s">
        <v>489</v>
      </c>
      <c r="G6966" s="61">
        <v>1</v>
      </c>
      <c r="H6966" s="61">
        <v>15</v>
      </c>
      <c r="I6966" s="61">
        <v>35.77657</v>
      </c>
    </row>
    <row r="6967" spans="1:9" s="71" customFormat="1" ht="24" hidden="1" customHeight="1" outlineLevel="1" x14ac:dyDescent="0.25">
      <c r="A6967" s="74">
        <v>5669</v>
      </c>
      <c r="B6967" s="45" t="s">
        <v>664</v>
      </c>
      <c r="C6967" s="60" t="s">
        <v>6490</v>
      </c>
      <c r="D6967" s="60"/>
      <c r="E6967" s="74">
        <v>2023</v>
      </c>
      <c r="F6967" s="74" t="s">
        <v>489</v>
      </c>
      <c r="G6967" s="61">
        <v>1</v>
      </c>
      <c r="H6967" s="61">
        <v>10</v>
      </c>
      <c r="I6967" s="61">
        <v>35.742330000000003</v>
      </c>
    </row>
    <row r="6968" spans="1:9" s="71" customFormat="1" ht="24" hidden="1" customHeight="1" outlineLevel="1" x14ac:dyDescent="0.25">
      <c r="A6968" s="74">
        <v>5670</v>
      </c>
      <c r="B6968" s="45" t="s">
        <v>664</v>
      </c>
      <c r="C6968" s="60" t="s">
        <v>6491</v>
      </c>
      <c r="D6968" s="60"/>
      <c r="E6968" s="74">
        <v>2023</v>
      </c>
      <c r="F6968" s="74" t="s">
        <v>489</v>
      </c>
      <c r="G6968" s="61">
        <v>1</v>
      </c>
      <c r="H6968" s="61">
        <v>15</v>
      </c>
      <c r="I6968" s="61">
        <v>35.77657</v>
      </c>
    </row>
    <row r="6969" spans="1:9" s="71" customFormat="1" ht="24" hidden="1" customHeight="1" outlineLevel="1" x14ac:dyDescent="0.25">
      <c r="A6969" s="74">
        <v>5671</v>
      </c>
      <c r="B6969" s="45" t="s">
        <v>664</v>
      </c>
      <c r="C6969" s="60" t="s">
        <v>6492</v>
      </c>
      <c r="D6969" s="60"/>
      <c r="E6969" s="74">
        <v>2023</v>
      </c>
      <c r="F6969" s="74" t="s">
        <v>489</v>
      </c>
      <c r="G6969" s="61">
        <v>1</v>
      </c>
      <c r="H6969" s="61">
        <v>15</v>
      </c>
      <c r="I6969" s="61">
        <v>35.776550000000007</v>
      </c>
    </row>
    <row r="6970" spans="1:9" s="71" customFormat="1" ht="24" hidden="1" customHeight="1" outlineLevel="1" x14ac:dyDescent="0.25">
      <c r="A6970" s="74">
        <v>5672</v>
      </c>
      <c r="B6970" s="45" t="s">
        <v>664</v>
      </c>
      <c r="C6970" s="60" t="s">
        <v>6493</v>
      </c>
      <c r="D6970" s="60"/>
      <c r="E6970" s="74">
        <v>2023</v>
      </c>
      <c r="F6970" s="74" t="s">
        <v>489</v>
      </c>
      <c r="G6970" s="61">
        <v>1</v>
      </c>
      <c r="H6970" s="61">
        <v>15</v>
      </c>
      <c r="I6970" s="61">
        <v>35.879349999999995</v>
      </c>
    </row>
    <row r="6971" spans="1:9" s="71" customFormat="1" ht="24" hidden="1" customHeight="1" outlineLevel="1" x14ac:dyDescent="0.25">
      <c r="A6971" s="74">
        <v>5678</v>
      </c>
      <c r="B6971" s="45" t="s">
        <v>664</v>
      </c>
      <c r="C6971" s="60" t="s">
        <v>6494</v>
      </c>
      <c r="D6971" s="60"/>
      <c r="E6971" s="74">
        <v>2023</v>
      </c>
      <c r="F6971" s="74" t="s">
        <v>489</v>
      </c>
      <c r="G6971" s="61">
        <v>1</v>
      </c>
      <c r="H6971" s="61">
        <v>10</v>
      </c>
      <c r="I6971" s="61">
        <v>37.777799999999999</v>
      </c>
    </row>
    <row r="6972" spans="1:9" s="71" customFormat="1" ht="24" hidden="1" customHeight="1" outlineLevel="1" x14ac:dyDescent="0.25">
      <c r="A6972" s="74">
        <v>5679</v>
      </c>
      <c r="B6972" s="45" t="s">
        <v>664</v>
      </c>
      <c r="C6972" s="60" t="s">
        <v>6495</v>
      </c>
      <c r="D6972" s="60"/>
      <c r="E6972" s="74">
        <v>2023</v>
      </c>
      <c r="F6972" s="74" t="s">
        <v>489</v>
      </c>
      <c r="G6972" s="61">
        <v>1</v>
      </c>
      <c r="H6972" s="61">
        <v>50</v>
      </c>
      <c r="I6972" s="61">
        <v>37.073089999999993</v>
      </c>
    </row>
    <row r="6973" spans="1:9" s="71" customFormat="1" ht="24" hidden="1" customHeight="1" outlineLevel="1" x14ac:dyDescent="0.25">
      <c r="A6973" s="74">
        <v>5680</v>
      </c>
      <c r="B6973" s="45" t="s">
        <v>664</v>
      </c>
      <c r="C6973" s="60" t="s">
        <v>6496</v>
      </c>
      <c r="D6973" s="60"/>
      <c r="E6973" s="74">
        <v>2023</v>
      </c>
      <c r="F6973" s="74" t="s">
        <v>489</v>
      </c>
      <c r="G6973" s="61">
        <v>1</v>
      </c>
      <c r="H6973" s="61">
        <v>15</v>
      </c>
      <c r="I6973" s="61">
        <v>36.848440000000004</v>
      </c>
    </row>
    <row r="6974" spans="1:9" s="71" customFormat="1" ht="24" hidden="1" customHeight="1" outlineLevel="1" x14ac:dyDescent="0.25">
      <c r="A6974" s="74">
        <v>2053</v>
      </c>
      <c r="B6974" s="45" t="s">
        <v>664</v>
      </c>
      <c r="C6974" s="60" t="s">
        <v>6497</v>
      </c>
      <c r="D6974" s="60"/>
      <c r="E6974" s="74">
        <v>2023</v>
      </c>
      <c r="F6974" s="74" t="s">
        <v>489</v>
      </c>
      <c r="G6974" s="61">
        <v>1</v>
      </c>
      <c r="H6974" s="61">
        <v>15</v>
      </c>
      <c r="I6974" s="61">
        <v>36.846050000000005</v>
      </c>
    </row>
    <row r="6975" spans="1:9" s="71" customFormat="1" ht="24" hidden="1" customHeight="1" outlineLevel="1" x14ac:dyDescent="0.25">
      <c r="A6975" s="74">
        <v>5681</v>
      </c>
      <c r="B6975" s="45" t="s">
        <v>664</v>
      </c>
      <c r="C6975" s="60" t="s">
        <v>6498</v>
      </c>
      <c r="D6975" s="60"/>
      <c r="E6975" s="74">
        <v>2023</v>
      </c>
      <c r="F6975" s="74" t="s">
        <v>489</v>
      </c>
      <c r="G6975" s="61">
        <v>1</v>
      </c>
      <c r="H6975" s="61">
        <v>15</v>
      </c>
      <c r="I6975" s="61">
        <v>36.846040000000002</v>
      </c>
    </row>
    <row r="6976" spans="1:9" s="71" customFormat="1" ht="24" hidden="1" customHeight="1" outlineLevel="1" x14ac:dyDescent="0.25">
      <c r="A6976" s="74">
        <v>5683</v>
      </c>
      <c r="B6976" s="45" t="s">
        <v>664</v>
      </c>
      <c r="C6976" s="60" t="s">
        <v>6499</v>
      </c>
      <c r="D6976" s="60"/>
      <c r="E6976" s="74">
        <v>2023</v>
      </c>
      <c r="F6976" s="74" t="s">
        <v>489</v>
      </c>
      <c r="G6976" s="61">
        <v>1</v>
      </c>
      <c r="H6976" s="61">
        <v>15</v>
      </c>
      <c r="I6976" s="61">
        <v>36.846050000000005</v>
      </c>
    </row>
    <row r="6977" spans="1:9" s="71" customFormat="1" ht="24" hidden="1" customHeight="1" outlineLevel="1" x14ac:dyDescent="0.25">
      <c r="A6977" s="74">
        <v>5684</v>
      </c>
      <c r="B6977" s="45" t="s">
        <v>664</v>
      </c>
      <c r="C6977" s="60" t="s">
        <v>6500</v>
      </c>
      <c r="D6977" s="60"/>
      <c r="E6977" s="74">
        <v>2023</v>
      </c>
      <c r="F6977" s="74" t="s">
        <v>489</v>
      </c>
      <c r="G6977" s="61">
        <v>1</v>
      </c>
      <c r="H6977" s="61">
        <v>15</v>
      </c>
      <c r="I6977" s="61">
        <v>36.846029999999999</v>
      </c>
    </row>
    <row r="6978" spans="1:9" s="71" customFormat="1" ht="24" hidden="1" customHeight="1" outlineLevel="1" x14ac:dyDescent="0.25">
      <c r="A6978" s="74">
        <v>5685</v>
      </c>
      <c r="B6978" s="45" t="s">
        <v>664</v>
      </c>
      <c r="C6978" s="60" t="s">
        <v>6501</v>
      </c>
      <c r="D6978" s="60"/>
      <c r="E6978" s="74">
        <v>2023</v>
      </c>
      <c r="F6978" s="74" t="s">
        <v>489</v>
      </c>
      <c r="G6978" s="61">
        <v>1</v>
      </c>
      <c r="H6978" s="61">
        <v>15</v>
      </c>
      <c r="I6978" s="61">
        <v>36.846040000000002</v>
      </c>
    </row>
    <row r="6979" spans="1:9" s="71" customFormat="1" ht="24" hidden="1" customHeight="1" outlineLevel="1" x14ac:dyDescent="0.25">
      <c r="A6979" s="74">
        <v>5686</v>
      </c>
      <c r="B6979" s="45" t="s">
        <v>664</v>
      </c>
      <c r="C6979" s="60" t="s">
        <v>6502</v>
      </c>
      <c r="D6979" s="60"/>
      <c r="E6979" s="74">
        <v>2023</v>
      </c>
      <c r="F6979" s="74" t="s">
        <v>489</v>
      </c>
      <c r="G6979" s="61">
        <v>1</v>
      </c>
      <c r="H6979" s="61">
        <v>15</v>
      </c>
      <c r="I6979" s="61">
        <v>36.846029999999999</v>
      </c>
    </row>
    <row r="6980" spans="1:9" s="71" customFormat="1" ht="24" hidden="1" customHeight="1" outlineLevel="1" x14ac:dyDescent="0.25">
      <c r="A6980" s="74">
        <v>5687</v>
      </c>
      <c r="B6980" s="45" t="s">
        <v>664</v>
      </c>
      <c r="C6980" s="60" t="s">
        <v>6503</v>
      </c>
      <c r="D6980" s="60"/>
      <c r="E6980" s="74">
        <v>2023</v>
      </c>
      <c r="F6980" s="74" t="s">
        <v>489</v>
      </c>
      <c r="G6980" s="61">
        <v>1</v>
      </c>
      <c r="H6980" s="61">
        <v>15</v>
      </c>
      <c r="I6980" s="61">
        <v>36.846040000000002</v>
      </c>
    </row>
    <row r="6981" spans="1:9" s="71" customFormat="1" ht="24" hidden="1" customHeight="1" outlineLevel="1" x14ac:dyDescent="0.25">
      <c r="A6981" s="74">
        <v>2225</v>
      </c>
      <c r="B6981" s="45" t="s">
        <v>664</v>
      </c>
      <c r="C6981" s="60" t="s">
        <v>6504</v>
      </c>
      <c r="D6981" s="60"/>
      <c r="E6981" s="74">
        <v>2023</v>
      </c>
      <c r="F6981" s="74" t="s">
        <v>489</v>
      </c>
      <c r="G6981" s="61">
        <v>1</v>
      </c>
      <c r="H6981" s="61">
        <v>5</v>
      </c>
      <c r="I6981" s="61">
        <v>36.846040000000002</v>
      </c>
    </row>
    <row r="6982" spans="1:9" s="71" customFormat="1" ht="24" hidden="1" customHeight="1" outlineLevel="1" x14ac:dyDescent="0.25">
      <c r="A6982" s="74">
        <v>5688</v>
      </c>
      <c r="B6982" s="45" t="s">
        <v>664</v>
      </c>
      <c r="C6982" s="60" t="s">
        <v>6505</v>
      </c>
      <c r="D6982" s="60"/>
      <c r="E6982" s="74">
        <v>2023</v>
      </c>
      <c r="F6982" s="74" t="s">
        <v>489</v>
      </c>
      <c r="G6982" s="61">
        <v>1</v>
      </c>
      <c r="H6982" s="61">
        <v>20</v>
      </c>
      <c r="I6982" s="61">
        <v>37.106359999999995</v>
      </c>
    </row>
    <row r="6983" spans="1:9" s="71" customFormat="1" ht="24" hidden="1" customHeight="1" outlineLevel="1" x14ac:dyDescent="0.25">
      <c r="A6983" s="74">
        <v>5689</v>
      </c>
      <c r="B6983" s="45" t="s">
        <v>664</v>
      </c>
      <c r="C6983" s="60" t="s">
        <v>6506</v>
      </c>
      <c r="D6983" s="60"/>
      <c r="E6983" s="74">
        <v>2023</v>
      </c>
      <c r="F6983" s="74" t="s">
        <v>489</v>
      </c>
      <c r="G6983" s="61">
        <v>1</v>
      </c>
      <c r="H6983" s="61">
        <v>15</v>
      </c>
      <c r="I6983" s="61">
        <v>37.268520000000002</v>
      </c>
    </row>
    <row r="6984" spans="1:9" s="71" customFormat="1" ht="24" hidden="1" customHeight="1" outlineLevel="1" x14ac:dyDescent="0.25">
      <c r="A6984" s="74">
        <v>5690</v>
      </c>
      <c r="B6984" s="45" t="s">
        <v>664</v>
      </c>
      <c r="C6984" s="60" t="s">
        <v>6507</v>
      </c>
      <c r="D6984" s="60"/>
      <c r="E6984" s="74">
        <v>2023</v>
      </c>
      <c r="F6984" s="74" t="s">
        <v>489</v>
      </c>
      <c r="G6984" s="61">
        <v>1</v>
      </c>
      <c r="H6984" s="61">
        <v>150</v>
      </c>
      <c r="I6984" s="61">
        <v>37.649339999999995</v>
      </c>
    </row>
    <row r="6985" spans="1:9" s="71" customFormat="1" ht="24" hidden="1" customHeight="1" outlineLevel="1" x14ac:dyDescent="0.25">
      <c r="A6985" s="74">
        <v>1710</v>
      </c>
      <c r="B6985" s="45" t="s">
        <v>664</v>
      </c>
      <c r="C6985" s="60" t="s">
        <v>6508</v>
      </c>
      <c r="D6985" s="60"/>
      <c r="E6985" s="74">
        <v>2023</v>
      </c>
      <c r="F6985" s="74" t="s">
        <v>489</v>
      </c>
      <c r="G6985" s="61">
        <v>1</v>
      </c>
      <c r="H6985" s="61">
        <v>15</v>
      </c>
      <c r="I6985" s="61">
        <v>37.660609999999998</v>
      </c>
    </row>
    <row r="6986" spans="1:9" s="71" customFormat="1" ht="24" hidden="1" customHeight="1" outlineLevel="1" x14ac:dyDescent="0.25">
      <c r="A6986" s="74">
        <v>1434</v>
      </c>
      <c r="B6986" s="45" t="s">
        <v>664</v>
      </c>
      <c r="C6986" s="60" t="s">
        <v>6509</v>
      </c>
      <c r="D6986" s="60"/>
      <c r="E6986" s="74">
        <v>2023</v>
      </c>
      <c r="F6986" s="74" t="s">
        <v>489</v>
      </c>
      <c r="G6986" s="61">
        <v>1</v>
      </c>
      <c r="H6986" s="61">
        <v>6</v>
      </c>
      <c r="I6986" s="61">
        <v>37.660609999999998</v>
      </c>
    </row>
    <row r="6987" spans="1:9" s="71" customFormat="1" ht="24" hidden="1" customHeight="1" outlineLevel="1" x14ac:dyDescent="0.25">
      <c r="A6987" s="74">
        <v>1440</v>
      </c>
      <c r="B6987" s="45" t="s">
        <v>664</v>
      </c>
      <c r="C6987" s="60" t="s">
        <v>6510</v>
      </c>
      <c r="D6987" s="60"/>
      <c r="E6987" s="74">
        <v>2023</v>
      </c>
      <c r="F6987" s="74" t="s">
        <v>489</v>
      </c>
      <c r="G6987" s="61">
        <v>1</v>
      </c>
      <c r="H6987" s="61">
        <v>15</v>
      </c>
      <c r="I6987" s="61">
        <v>37.217109999999998</v>
      </c>
    </row>
    <row r="6988" spans="1:9" s="71" customFormat="1" ht="24" hidden="1" customHeight="1" outlineLevel="1" x14ac:dyDescent="0.25">
      <c r="A6988" s="74">
        <v>2992</v>
      </c>
      <c r="B6988" s="45" t="s">
        <v>664</v>
      </c>
      <c r="C6988" s="60" t="s">
        <v>6511</v>
      </c>
      <c r="D6988" s="60"/>
      <c r="E6988" s="74">
        <v>2023</v>
      </c>
      <c r="F6988" s="74" t="s">
        <v>489</v>
      </c>
      <c r="G6988" s="61">
        <v>1</v>
      </c>
      <c r="H6988" s="61">
        <v>150</v>
      </c>
      <c r="I6988" s="61">
        <v>189.86922999999999</v>
      </c>
    </row>
    <row r="6989" spans="1:9" s="71" customFormat="1" ht="24" hidden="1" customHeight="1" outlineLevel="1" x14ac:dyDescent="0.25">
      <c r="A6989" s="74">
        <v>382</v>
      </c>
      <c r="B6989" s="45" t="s">
        <v>664</v>
      </c>
      <c r="C6989" s="60" t="s">
        <v>6512</v>
      </c>
      <c r="D6989" s="60"/>
      <c r="E6989" s="74">
        <v>2023</v>
      </c>
      <c r="F6989" s="74" t="s">
        <v>489</v>
      </c>
      <c r="G6989" s="61">
        <v>1</v>
      </c>
      <c r="H6989" s="61">
        <v>15</v>
      </c>
      <c r="I6989" s="61">
        <v>63.712299999999999</v>
      </c>
    </row>
    <row r="6990" spans="1:9" s="71" customFormat="1" ht="24" hidden="1" customHeight="1" outlineLevel="1" x14ac:dyDescent="0.25">
      <c r="A6990" s="74">
        <v>396</v>
      </c>
      <c r="B6990" s="45" t="s">
        <v>664</v>
      </c>
      <c r="C6990" s="60" t="s">
        <v>6513</v>
      </c>
      <c r="D6990" s="60"/>
      <c r="E6990" s="74">
        <v>2023</v>
      </c>
      <c r="F6990" s="74" t="s">
        <v>489</v>
      </c>
      <c r="G6990" s="61">
        <v>1</v>
      </c>
      <c r="H6990" s="61">
        <v>15</v>
      </c>
      <c r="I6990" s="61">
        <v>65.438209999999998</v>
      </c>
    </row>
    <row r="6991" spans="1:9" s="71" customFormat="1" ht="24" hidden="1" customHeight="1" outlineLevel="1" x14ac:dyDescent="0.25">
      <c r="A6991" s="74">
        <v>399</v>
      </c>
      <c r="B6991" s="45" t="s">
        <v>664</v>
      </c>
      <c r="C6991" s="60" t="s">
        <v>6514</v>
      </c>
      <c r="D6991" s="60"/>
      <c r="E6991" s="74">
        <v>2023</v>
      </c>
      <c r="F6991" s="74" t="s">
        <v>489</v>
      </c>
      <c r="G6991" s="61">
        <v>1</v>
      </c>
      <c r="H6991" s="61">
        <v>12</v>
      </c>
      <c r="I6991" s="61">
        <v>62.848869999999998</v>
      </c>
    </row>
    <row r="6992" spans="1:9" s="71" customFormat="1" ht="24" hidden="1" customHeight="1" outlineLevel="1" x14ac:dyDescent="0.25">
      <c r="A6992" s="74">
        <v>5048</v>
      </c>
      <c r="B6992" s="45" t="s">
        <v>664</v>
      </c>
      <c r="C6992" s="60" t="s">
        <v>6515</v>
      </c>
      <c r="D6992" s="60"/>
      <c r="E6992" s="74">
        <v>2023</v>
      </c>
      <c r="F6992" s="74" t="s">
        <v>489</v>
      </c>
      <c r="G6992" s="61">
        <v>1</v>
      </c>
      <c r="H6992" s="61">
        <v>15</v>
      </c>
      <c r="I6992" s="61">
        <v>61.746859999999998</v>
      </c>
    </row>
    <row r="6993" spans="1:9" s="71" customFormat="1" ht="24" hidden="1" customHeight="1" outlineLevel="1" x14ac:dyDescent="0.25">
      <c r="A6993" s="74">
        <v>555</v>
      </c>
      <c r="B6993" s="45" t="s">
        <v>664</v>
      </c>
      <c r="C6993" s="60" t="s">
        <v>6516</v>
      </c>
      <c r="D6993" s="60"/>
      <c r="E6993" s="74">
        <v>2023</v>
      </c>
      <c r="F6993" s="74" t="s">
        <v>489</v>
      </c>
      <c r="G6993" s="61">
        <v>1</v>
      </c>
      <c r="H6993" s="61">
        <v>15</v>
      </c>
      <c r="I6993" s="61">
        <v>54.361820000000002</v>
      </c>
    </row>
    <row r="6994" spans="1:9" s="71" customFormat="1" ht="24" hidden="1" customHeight="1" outlineLevel="1" x14ac:dyDescent="0.25">
      <c r="A6994" s="74">
        <v>3856</v>
      </c>
      <c r="B6994" s="45" t="s">
        <v>664</v>
      </c>
      <c r="C6994" s="60" t="s">
        <v>6517</v>
      </c>
      <c r="D6994" s="60"/>
      <c r="E6994" s="74">
        <v>2023</v>
      </c>
      <c r="F6994" s="74" t="s">
        <v>489</v>
      </c>
      <c r="G6994" s="61">
        <v>1</v>
      </c>
      <c r="H6994" s="61">
        <v>15</v>
      </c>
      <c r="I6994" s="61">
        <v>54.779350000000001</v>
      </c>
    </row>
    <row r="6995" spans="1:9" s="71" customFormat="1" ht="24" hidden="1" customHeight="1" outlineLevel="1" x14ac:dyDescent="0.25">
      <c r="A6995" s="74">
        <v>615</v>
      </c>
      <c r="B6995" s="45" t="s">
        <v>664</v>
      </c>
      <c r="C6995" s="60" t="s">
        <v>6518</v>
      </c>
      <c r="D6995" s="60"/>
      <c r="E6995" s="74">
        <v>2023</v>
      </c>
      <c r="F6995" s="74" t="s">
        <v>489</v>
      </c>
      <c r="G6995" s="61">
        <v>1</v>
      </c>
      <c r="H6995" s="61">
        <v>7.5</v>
      </c>
      <c r="I6995" s="61">
        <v>58.461410000000001</v>
      </c>
    </row>
    <row r="6996" spans="1:9" s="71" customFormat="1" ht="24" hidden="1" customHeight="1" outlineLevel="1" x14ac:dyDescent="0.25">
      <c r="A6996" s="74">
        <v>791</v>
      </c>
      <c r="B6996" s="45" t="s">
        <v>664</v>
      </c>
      <c r="C6996" s="60" t="s">
        <v>6519</v>
      </c>
      <c r="D6996" s="60"/>
      <c r="E6996" s="74">
        <v>2023</v>
      </c>
      <c r="F6996" s="74" t="s">
        <v>489</v>
      </c>
      <c r="G6996" s="61">
        <v>1</v>
      </c>
      <c r="H6996" s="61">
        <v>15</v>
      </c>
      <c r="I6996" s="61">
        <v>54.996339999999996</v>
      </c>
    </row>
    <row r="6997" spans="1:9" s="71" customFormat="1" ht="24" hidden="1" customHeight="1" outlineLevel="1" x14ac:dyDescent="0.25">
      <c r="A6997" s="74">
        <v>3355</v>
      </c>
      <c r="B6997" s="45" t="s">
        <v>664</v>
      </c>
      <c r="C6997" s="60" t="s">
        <v>6520</v>
      </c>
      <c r="D6997" s="60"/>
      <c r="E6997" s="74">
        <v>2023</v>
      </c>
      <c r="F6997" s="74" t="s">
        <v>489</v>
      </c>
      <c r="G6997" s="61">
        <v>1</v>
      </c>
      <c r="H6997" s="61">
        <v>45</v>
      </c>
      <c r="I6997" s="61">
        <v>67.018599999999992</v>
      </c>
    </row>
    <row r="6998" spans="1:9" s="71" customFormat="1" ht="24" hidden="1" customHeight="1" outlineLevel="1" x14ac:dyDescent="0.25">
      <c r="A6998" s="74">
        <v>3130</v>
      </c>
      <c r="B6998" s="45" t="s">
        <v>664</v>
      </c>
      <c r="C6998" s="60" t="s">
        <v>236</v>
      </c>
      <c r="D6998" s="60"/>
      <c r="E6998" s="74">
        <v>2023</v>
      </c>
      <c r="F6998" s="74" t="s">
        <v>489</v>
      </c>
      <c r="G6998" s="61">
        <v>1</v>
      </c>
      <c r="H6998" s="61">
        <v>100</v>
      </c>
      <c r="I6998" s="61">
        <v>101.61922</v>
      </c>
    </row>
    <row r="6999" spans="1:9" s="71" customFormat="1" ht="24" hidden="1" customHeight="1" outlineLevel="1" x14ac:dyDescent="0.25">
      <c r="A6999" s="74">
        <v>3081</v>
      </c>
      <c r="B6999" s="45" t="s">
        <v>664</v>
      </c>
      <c r="C6999" s="60" t="s">
        <v>237</v>
      </c>
      <c r="D6999" s="60"/>
      <c r="E6999" s="74">
        <v>2023</v>
      </c>
      <c r="F6999" s="74" t="s">
        <v>489</v>
      </c>
      <c r="G6999" s="61">
        <v>1</v>
      </c>
      <c r="H6999" s="61">
        <v>150</v>
      </c>
      <c r="I6999" s="61">
        <v>234.4699</v>
      </c>
    </row>
    <row r="7000" spans="1:9" s="71" customFormat="1" ht="24" hidden="1" customHeight="1" outlineLevel="1" x14ac:dyDescent="0.25">
      <c r="A7000" s="74">
        <v>1200</v>
      </c>
      <c r="B7000" s="45" t="s">
        <v>664</v>
      </c>
      <c r="C7000" s="60" t="s">
        <v>6521</v>
      </c>
      <c r="D7000" s="60"/>
      <c r="E7000" s="74">
        <v>2023</v>
      </c>
      <c r="F7000" s="74" t="s">
        <v>489</v>
      </c>
      <c r="G7000" s="61">
        <v>1</v>
      </c>
      <c r="H7000" s="61">
        <v>15</v>
      </c>
      <c r="I7000" s="61">
        <v>169.70015000000001</v>
      </c>
    </row>
    <row r="7001" spans="1:9" s="71" customFormat="1" ht="24" hidden="1" customHeight="1" outlineLevel="1" x14ac:dyDescent="0.25">
      <c r="A7001" s="74">
        <v>5512</v>
      </c>
      <c r="B7001" s="45" t="s">
        <v>664</v>
      </c>
      <c r="C7001" s="60" t="s">
        <v>238</v>
      </c>
      <c r="D7001" s="60"/>
      <c r="E7001" s="74">
        <v>2023</v>
      </c>
      <c r="F7001" s="74" t="s">
        <v>489</v>
      </c>
      <c r="G7001" s="61">
        <v>2</v>
      </c>
      <c r="H7001" s="61">
        <v>138</v>
      </c>
      <c r="I7001" s="61">
        <v>343.14724000000001</v>
      </c>
    </row>
    <row r="7002" spans="1:9" s="71" customFormat="1" ht="24" hidden="1" customHeight="1" outlineLevel="1" x14ac:dyDescent="0.25">
      <c r="A7002" s="74">
        <v>3049</v>
      </c>
      <c r="B7002" s="45" t="s">
        <v>664</v>
      </c>
      <c r="C7002" s="60" t="s">
        <v>239</v>
      </c>
      <c r="D7002" s="60"/>
      <c r="E7002" s="74">
        <v>2023</v>
      </c>
      <c r="F7002" s="74" t="s">
        <v>489</v>
      </c>
      <c r="G7002" s="61">
        <v>1</v>
      </c>
      <c r="H7002" s="61">
        <v>150</v>
      </c>
      <c r="I7002" s="61">
        <v>246.04230999999999</v>
      </c>
    </row>
    <row r="7003" spans="1:9" s="71" customFormat="1" ht="24" hidden="1" customHeight="1" outlineLevel="1" x14ac:dyDescent="0.25">
      <c r="A7003" s="74">
        <v>5024</v>
      </c>
      <c r="B7003" s="45" t="s">
        <v>664</v>
      </c>
      <c r="C7003" s="60" t="s">
        <v>6522</v>
      </c>
      <c r="D7003" s="60"/>
      <c r="E7003" s="74">
        <v>2023</v>
      </c>
      <c r="F7003" s="74" t="s">
        <v>489</v>
      </c>
      <c r="G7003" s="61">
        <v>1</v>
      </c>
      <c r="H7003" s="61">
        <v>15</v>
      </c>
      <c r="I7003" s="61">
        <v>66.126260000000002</v>
      </c>
    </row>
    <row r="7004" spans="1:9" s="71" customFormat="1" ht="24" hidden="1" customHeight="1" outlineLevel="1" x14ac:dyDescent="0.25">
      <c r="A7004" s="74">
        <v>2819</v>
      </c>
      <c r="B7004" s="45" t="s">
        <v>664</v>
      </c>
      <c r="C7004" s="60" t="s">
        <v>6523</v>
      </c>
      <c r="D7004" s="60"/>
      <c r="E7004" s="74">
        <v>2023</v>
      </c>
      <c r="F7004" s="74" t="s">
        <v>489</v>
      </c>
      <c r="G7004" s="61">
        <v>1</v>
      </c>
      <c r="H7004" s="61">
        <v>10</v>
      </c>
      <c r="I7004" s="61">
        <v>64.024900000000002</v>
      </c>
    </row>
    <row r="7005" spans="1:9" s="71" customFormat="1" ht="24" hidden="1" customHeight="1" outlineLevel="1" x14ac:dyDescent="0.25">
      <c r="A7005" s="74">
        <v>2984</v>
      </c>
      <c r="B7005" s="45" t="s">
        <v>664</v>
      </c>
      <c r="C7005" s="60" t="s">
        <v>577</v>
      </c>
      <c r="D7005" s="60"/>
      <c r="E7005" s="74">
        <v>2023</v>
      </c>
      <c r="F7005" s="74" t="s">
        <v>489</v>
      </c>
      <c r="G7005" s="61">
        <v>1</v>
      </c>
      <c r="H7005" s="61">
        <v>30</v>
      </c>
      <c r="I7005" s="61">
        <v>76.77949000000001</v>
      </c>
    </row>
    <row r="7006" spans="1:9" s="71" customFormat="1" ht="24" hidden="1" customHeight="1" outlineLevel="1" x14ac:dyDescent="0.25">
      <c r="A7006" s="74">
        <v>2987</v>
      </c>
      <c r="B7006" s="45" t="s">
        <v>664</v>
      </c>
      <c r="C7006" s="60" t="s">
        <v>6524</v>
      </c>
      <c r="D7006" s="60"/>
      <c r="E7006" s="74">
        <v>2023</v>
      </c>
      <c r="F7006" s="74" t="s">
        <v>489</v>
      </c>
      <c r="G7006" s="61">
        <v>1</v>
      </c>
      <c r="H7006" s="61">
        <v>150</v>
      </c>
      <c r="I7006" s="61">
        <v>92.907149999999987</v>
      </c>
    </row>
    <row r="7007" spans="1:9" s="71" customFormat="1" ht="24" hidden="1" customHeight="1" outlineLevel="1" x14ac:dyDescent="0.25">
      <c r="A7007" s="74">
        <v>373</v>
      </c>
      <c r="B7007" s="45" t="s">
        <v>664</v>
      </c>
      <c r="C7007" s="60" t="s">
        <v>6525</v>
      </c>
      <c r="D7007" s="60"/>
      <c r="E7007" s="74">
        <v>2023</v>
      </c>
      <c r="F7007" s="74" t="s">
        <v>489</v>
      </c>
      <c r="G7007" s="61">
        <v>1</v>
      </c>
      <c r="H7007" s="61">
        <v>30</v>
      </c>
      <c r="I7007" s="61">
        <v>87.09939</v>
      </c>
    </row>
    <row r="7008" spans="1:9" s="71" customFormat="1" ht="24" hidden="1" customHeight="1" outlineLevel="1" x14ac:dyDescent="0.25">
      <c r="A7008" s="74">
        <v>5045</v>
      </c>
      <c r="B7008" s="45" t="s">
        <v>664</v>
      </c>
      <c r="C7008" s="60" t="s">
        <v>6526</v>
      </c>
      <c r="D7008" s="60"/>
      <c r="E7008" s="74">
        <v>2023</v>
      </c>
      <c r="F7008" s="74" t="s">
        <v>489</v>
      </c>
      <c r="G7008" s="61">
        <v>1</v>
      </c>
      <c r="H7008" s="61">
        <v>15</v>
      </c>
      <c r="I7008" s="61">
        <v>71.431489999999997</v>
      </c>
    </row>
    <row r="7009" spans="1:9" s="71" customFormat="1" ht="24" hidden="1" customHeight="1" outlineLevel="1" x14ac:dyDescent="0.25">
      <c r="A7009" s="74">
        <v>3951</v>
      </c>
      <c r="B7009" s="45" t="s">
        <v>664</v>
      </c>
      <c r="C7009" s="60" t="s">
        <v>6527</v>
      </c>
      <c r="D7009" s="60"/>
      <c r="E7009" s="74">
        <v>2023</v>
      </c>
      <c r="F7009" s="74" t="s">
        <v>489</v>
      </c>
      <c r="G7009" s="61">
        <v>1</v>
      </c>
      <c r="H7009" s="61">
        <v>15</v>
      </c>
      <c r="I7009" s="61">
        <v>70.159599999999998</v>
      </c>
    </row>
    <row r="7010" spans="1:9" s="71" customFormat="1" ht="24" hidden="1" customHeight="1" outlineLevel="1" x14ac:dyDescent="0.25">
      <c r="A7010" s="74">
        <v>649</v>
      </c>
      <c r="B7010" s="45" t="s">
        <v>664</v>
      </c>
      <c r="C7010" s="60" t="s">
        <v>6528</v>
      </c>
      <c r="D7010" s="60"/>
      <c r="E7010" s="74">
        <v>2023</v>
      </c>
      <c r="F7010" s="74" t="s">
        <v>489</v>
      </c>
      <c r="G7010" s="61">
        <v>1</v>
      </c>
      <c r="H7010" s="61">
        <v>25</v>
      </c>
      <c r="I7010" s="61">
        <v>59.82893</v>
      </c>
    </row>
    <row r="7011" spans="1:9" s="71" customFormat="1" ht="24" hidden="1" customHeight="1" outlineLevel="1" x14ac:dyDescent="0.25">
      <c r="A7011" s="74">
        <v>740</v>
      </c>
      <c r="B7011" s="45" t="s">
        <v>664</v>
      </c>
      <c r="C7011" s="60" t="s">
        <v>6529</v>
      </c>
      <c r="D7011" s="60"/>
      <c r="E7011" s="74">
        <v>2023</v>
      </c>
      <c r="F7011" s="74" t="s">
        <v>489</v>
      </c>
      <c r="G7011" s="61">
        <v>1</v>
      </c>
      <c r="H7011" s="61">
        <v>15</v>
      </c>
      <c r="I7011" s="61">
        <v>56.652210000000004</v>
      </c>
    </row>
    <row r="7012" spans="1:9" s="71" customFormat="1" ht="24" hidden="1" customHeight="1" outlineLevel="1" x14ac:dyDescent="0.25">
      <c r="A7012" s="74">
        <v>5745</v>
      </c>
      <c r="B7012" s="45" t="s">
        <v>664</v>
      </c>
      <c r="C7012" s="60" t="s">
        <v>6530</v>
      </c>
      <c r="D7012" s="60"/>
      <c r="E7012" s="74">
        <v>2023</v>
      </c>
      <c r="F7012" s="74" t="s">
        <v>489</v>
      </c>
      <c r="G7012" s="61">
        <v>1</v>
      </c>
      <c r="H7012" s="61">
        <v>399</v>
      </c>
      <c r="I7012" s="61">
        <v>61.144370000000002</v>
      </c>
    </row>
    <row r="7013" spans="1:9" s="71" customFormat="1" ht="24" hidden="1" customHeight="1" outlineLevel="1" x14ac:dyDescent="0.25">
      <c r="A7013" s="74">
        <v>5746</v>
      </c>
      <c r="B7013" s="45" t="s">
        <v>664</v>
      </c>
      <c r="C7013" s="60" t="s">
        <v>241</v>
      </c>
      <c r="D7013" s="60"/>
      <c r="E7013" s="74">
        <v>2023</v>
      </c>
      <c r="F7013" s="74" t="s">
        <v>489</v>
      </c>
      <c r="G7013" s="61">
        <v>2</v>
      </c>
      <c r="H7013" s="61">
        <v>300</v>
      </c>
      <c r="I7013" s="61">
        <v>386.42379999999997</v>
      </c>
    </row>
    <row r="7014" spans="1:9" s="71" customFormat="1" ht="24" hidden="1" customHeight="1" outlineLevel="1" x14ac:dyDescent="0.25">
      <c r="A7014" s="74">
        <v>558</v>
      </c>
      <c r="B7014" s="45" t="s">
        <v>664</v>
      </c>
      <c r="C7014" s="60" t="s">
        <v>6531</v>
      </c>
      <c r="D7014" s="60"/>
      <c r="E7014" s="74">
        <v>2023</v>
      </c>
      <c r="F7014" s="74" t="s">
        <v>489</v>
      </c>
      <c r="G7014" s="61">
        <v>1</v>
      </c>
      <c r="H7014" s="61">
        <v>15</v>
      </c>
      <c r="I7014" s="61">
        <v>179.25695999999999</v>
      </c>
    </row>
    <row r="7015" spans="1:9" s="71" customFormat="1" ht="24" hidden="1" customHeight="1" outlineLevel="1" x14ac:dyDescent="0.25">
      <c r="A7015" s="74">
        <v>5753</v>
      </c>
      <c r="B7015" s="45" t="s">
        <v>664</v>
      </c>
      <c r="C7015" s="60" t="s">
        <v>6532</v>
      </c>
      <c r="D7015" s="60"/>
      <c r="E7015" s="74">
        <v>2023</v>
      </c>
      <c r="F7015" s="74" t="s">
        <v>489</v>
      </c>
      <c r="G7015" s="61">
        <v>1</v>
      </c>
      <c r="H7015" s="61">
        <v>15</v>
      </c>
      <c r="I7015" s="61">
        <v>37.119489999999999</v>
      </c>
    </row>
    <row r="7016" spans="1:9" s="71" customFormat="1" ht="24" hidden="1" customHeight="1" outlineLevel="1" x14ac:dyDescent="0.25">
      <c r="A7016" s="74">
        <v>2567</v>
      </c>
      <c r="B7016" s="45" t="s">
        <v>664</v>
      </c>
      <c r="C7016" s="60" t="s">
        <v>6533</v>
      </c>
      <c r="D7016" s="60"/>
      <c r="E7016" s="74">
        <v>2023</v>
      </c>
      <c r="F7016" s="74" t="s">
        <v>489</v>
      </c>
      <c r="G7016" s="61">
        <v>1</v>
      </c>
      <c r="H7016" s="61">
        <v>15</v>
      </c>
      <c r="I7016" s="61">
        <v>37.119500000000002</v>
      </c>
    </row>
    <row r="7017" spans="1:9" s="71" customFormat="1" ht="24" hidden="1" customHeight="1" outlineLevel="1" x14ac:dyDescent="0.25">
      <c r="A7017" s="74">
        <v>5756</v>
      </c>
      <c r="B7017" s="45" t="s">
        <v>664</v>
      </c>
      <c r="C7017" s="60" t="s">
        <v>6534</v>
      </c>
      <c r="D7017" s="60"/>
      <c r="E7017" s="74">
        <v>2023</v>
      </c>
      <c r="F7017" s="74" t="s">
        <v>489</v>
      </c>
      <c r="G7017" s="61">
        <v>1</v>
      </c>
      <c r="H7017" s="61">
        <v>15</v>
      </c>
      <c r="I7017" s="61">
        <v>37.119489999999999</v>
      </c>
    </row>
    <row r="7018" spans="1:9" s="71" customFormat="1" ht="24" hidden="1" customHeight="1" outlineLevel="1" x14ac:dyDescent="0.25">
      <c r="A7018" s="74">
        <v>5757</v>
      </c>
      <c r="B7018" s="45" t="s">
        <v>664</v>
      </c>
      <c r="C7018" s="60" t="s">
        <v>6535</v>
      </c>
      <c r="D7018" s="60"/>
      <c r="E7018" s="74">
        <v>2023</v>
      </c>
      <c r="F7018" s="74" t="s">
        <v>489</v>
      </c>
      <c r="G7018" s="61">
        <v>1</v>
      </c>
      <c r="H7018" s="61">
        <v>15</v>
      </c>
      <c r="I7018" s="61">
        <v>37.119489999999999</v>
      </c>
    </row>
    <row r="7019" spans="1:9" s="71" customFormat="1" ht="24" hidden="1" customHeight="1" outlineLevel="1" x14ac:dyDescent="0.25">
      <c r="A7019" s="74">
        <v>2505</v>
      </c>
      <c r="B7019" s="45" t="s">
        <v>664</v>
      </c>
      <c r="C7019" s="60" t="s">
        <v>6536</v>
      </c>
      <c r="D7019" s="60"/>
      <c r="E7019" s="74">
        <v>2023</v>
      </c>
      <c r="F7019" s="74" t="s">
        <v>489</v>
      </c>
      <c r="G7019" s="61">
        <v>1</v>
      </c>
      <c r="H7019" s="61">
        <v>15</v>
      </c>
      <c r="I7019" s="61">
        <v>37.605269999999997</v>
      </c>
    </row>
    <row r="7020" spans="1:9" s="71" customFormat="1" ht="24" hidden="1" customHeight="1" outlineLevel="1" x14ac:dyDescent="0.25">
      <c r="A7020" s="74">
        <v>5759</v>
      </c>
      <c r="B7020" s="45" t="s">
        <v>664</v>
      </c>
      <c r="C7020" s="60" t="s">
        <v>6537</v>
      </c>
      <c r="D7020" s="60"/>
      <c r="E7020" s="74">
        <v>2023</v>
      </c>
      <c r="F7020" s="74" t="s">
        <v>489</v>
      </c>
      <c r="G7020" s="61">
        <v>1</v>
      </c>
      <c r="H7020" s="61">
        <v>15</v>
      </c>
      <c r="I7020" s="61">
        <v>36.876620000000003</v>
      </c>
    </row>
    <row r="7021" spans="1:9" s="71" customFormat="1" ht="24" hidden="1" customHeight="1" outlineLevel="1" x14ac:dyDescent="0.25">
      <c r="A7021" s="74">
        <v>2455</v>
      </c>
      <c r="B7021" s="45" t="s">
        <v>664</v>
      </c>
      <c r="C7021" s="60" t="s">
        <v>6538</v>
      </c>
      <c r="D7021" s="60"/>
      <c r="E7021" s="74">
        <v>2023</v>
      </c>
      <c r="F7021" s="74" t="s">
        <v>489</v>
      </c>
      <c r="G7021" s="61">
        <v>1</v>
      </c>
      <c r="H7021" s="61">
        <v>8</v>
      </c>
      <c r="I7021" s="61">
        <v>37.119500000000002</v>
      </c>
    </row>
    <row r="7022" spans="1:9" s="71" customFormat="1" ht="24" hidden="1" customHeight="1" outlineLevel="1" x14ac:dyDescent="0.25">
      <c r="A7022" s="74">
        <v>5763</v>
      </c>
      <c r="B7022" s="45" t="s">
        <v>664</v>
      </c>
      <c r="C7022" s="60" t="s">
        <v>6539</v>
      </c>
      <c r="D7022" s="60"/>
      <c r="E7022" s="74">
        <v>2023</v>
      </c>
      <c r="F7022" s="74" t="s">
        <v>489</v>
      </c>
      <c r="G7022" s="61">
        <v>1</v>
      </c>
      <c r="H7022" s="61">
        <v>15</v>
      </c>
      <c r="I7022" s="61">
        <v>37.119489999999999</v>
      </c>
    </row>
    <row r="7023" spans="1:9" s="71" customFormat="1" ht="24" hidden="1" customHeight="1" outlineLevel="1" x14ac:dyDescent="0.25">
      <c r="A7023" s="74">
        <v>5766</v>
      </c>
      <c r="B7023" s="45" t="s">
        <v>664</v>
      </c>
      <c r="C7023" s="60" t="s">
        <v>6540</v>
      </c>
      <c r="D7023" s="60"/>
      <c r="E7023" s="74">
        <v>2023</v>
      </c>
      <c r="F7023" s="74" t="s">
        <v>489</v>
      </c>
      <c r="G7023" s="61">
        <v>1</v>
      </c>
      <c r="H7023" s="61">
        <v>15</v>
      </c>
      <c r="I7023" s="61">
        <v>37.119489999999999</v>
      </c>
    </row>
    <row r="7024" spans="1:9" s="71" customFormat="1" ht="24" hidden="1" customHeight="1" outlineLevel="1" x14ac:dyDescent="0.25">
      <c r="A7024" s="74">
        <v>5773</v>
      </c>
      <c r="B7024" s="45" t="s">
        <v>664</v>
      </c>
      <c r="C7024" s="60" t="s">
        <v>6541</v>
      </c>
      <c r="D7024" s="60"/>
      <c r="E7024" s="74">
        <v>2023</v>
      </c>
      <c r="F7024" s="74" t="s">
        <v>489</v>
      </c>
      <c r="G7024" s="61">
        <v>1</v>
      </c>
      <c r="H7024" s="61">
        <v>15</v>
      </c>
      <c r="I7024" s="61">
        <v>36.003160000000008</v>
      </c>
    </row>
    <row r="7025" spans="1:9" s="71" customFormat="1" ht="24" hidden="1" customHeight="1" outlineLevel="1" x14ac:dyDescent="0.25">
      <c r="A7025" s="74">
        <v>1995</v>
      </c>
      <c r="B7025" s="45" t="s">
        <v>664</v>
      </c>
      <c r="C7025" s="60" t="s">
        <v>6542</v>
      </c>
      <c r="D7025" s="60"/>
      <c r="E7025" s="74">
        <v>2023</v>
      </c>
      <c r="F7025" s="74" t="s">
        <v>489</v>
      </c>
      <c r="G7025" s="61">
        <v>1</v>
      </c>
      <c r="H7025" s="61">
        <v>5</v>
      </c>
      <c r="I7025" s="61">
        <v>36.76737</v>
      </c>
    </row>
    <row r="7026" spans="1:9" s="71" customFormat="1" ht="24" hidden="1" customHeight="1" outlineLevel="1" x14ac:dyDescent="0.25">
      <c r="A7026" s="74">
        <v>5783</v>
      </c>
      <c r="B7026" s="45" t="s">
        <v>664</v>
      </c>
      <c r="C7026" s="60" t="s">
        <v>6543</v>
      </c>
      <c r="D7026" s="60"/>
      <c r="E7026" s="74">
        <v>2023</v>
      </c>
      <c r="F7026" s="74" t="s">
        <v>489</v>
      </c>
      <c r="G7026" s="61">
        <v>1</v>
      </c>
      <c r="H7026" s="61">
        <v>15</v>
      </c>
      <c r="I7026" s="61">
        <v>37.10277</v>
      </c>
    </row>
    <row r="7027" spans="1:9" s="71" customFormat="1" ht="24" hidden="1" customHeight="1" outlineLevel="1" x14ac:dyDescent="0.25">
      <c r="A7027" s="74">
        <v>5784</v>
      </c>
      <c r="B7027" s="45" t="s">
        <v>664</v>
      </c>
      <c r="C7027" s="60" t="s">
        <v>6544</v>
      </c>
      <c r="D7027" s="60"/>
      <c r="E7027" s="74">
        <v>2023</v>
      </c>
      <c r="F7027" s="74" t="s">
        <v>489</v>
      </c>
      <c r="G7027" s="61">
        <v>1</v>
      </c>
      <c r="H7027" s="61">
        <v>15</v>
      </c>
      <c r="I7027" s="61">
        <v>37.10277</v>
      </c>
    </row>
    <row r="7028" spans="1:9" s="71" customFormat="1" ht="24" hidden="1" customHeight="1" outlineLevel="1" x14ac:dyDescent="0.25">
      <c r="A7028" s="74">
        <v>5785</v>
      </c>
      <c r="B7028" s="45" t="s">
        <v>664</v>
      </c>
      <c r="C7028" s="60" t="s">
        <v>6545</v>
      </c>
      <c r="D7028" s="60"/>
      <c r="E7028" s="74">
        <v>2023</v>
      </c>
      <c r="F7028" s="74" t="s">
        <v>489</v>
      </c>
      <c r="G7028" s="61">
        <v>1</v>
      </c>
      <c r="H7028" s="61">
        <v>15</v>
      </c>
      <c r="I7028" s="61">
        <v>37.10277</v>
      </c>
    </row>
    <row r="7029" spans="1:9" s="71" customFormat="1" ht="24" hidden="1" customHeight="1" outlineLevel="1" x14ac:dyDescent="0.25">
      <c r="A7029" s="74">
        <v>2829</v>
      </c>
      <c r="B7029" s="45" t="s">
        <v>664</v>
      </c>
      <c r="C7029" s="60" t="s">
        <v>6546</v>
      </c>
      <c r="D7029" s="60"/>
      <c r="E7029" s="74">
        <v>2023</v>
      </c>
      <c r="F7029" s="74" t="s">
        <v>489</v>
      </c>
      <c r="G7029" s="61">
        <v>1</v>
      </c>
      <c r="H7029" s="61">
        <v>20</v>
      </c>
      <c r="I7029" s="61">
        <v>65.581459999999993</v>
      </c>
    </row>
    <row r="7030" spans="1:9" s="71" customFormat="1" ht="24" hidden="1" customHeight="1" outlineLevel="1" x14ac:dyDescent="0.25">
      <c r="A7030" s="74">
        <v>295</v>
      </c>
      <c r="B7030" s="45" t="s">
        <v>664</v>
      </c>
      <c r="C7030" s="60" t="s">
        <v>6547</v>
      </c>
      <c r="D7030" s="60"/>
      <c r="E7030" s="74">
        <v>2023</v>
      </c>
      <c r="F7030" s="74" t="s">
        <v>489</v>
      </c>
      <c r="G7030" s="61">
        <v>1</v>
      </c>
      <c r="H7030" s="61">
        <v>10</v>
      </c>
      <c r="I7030" s="61">
        <v>79.754850000000005</v>
      </c>
    </row>
    <row r="7031" spans="1:9" s="71" customFormat="1" ht="24" hidden="1" customHeight="1" outlineLevel="1" x14ac:dyDescent="0.25">
      <c r="A7031" s="74">
        <v>333</v>
      </c>
      <c r="B7031" s="45" t="s">
        <v>664</v>
      </c>
      <c r="C7031" s="60" t="s">
        <v>6548</v>
      </c>
      <c r="D7031" s="60"/>
      <c r="E7031" s="74">
        <v>2023</v>
      </c>
      <c r="F7031" s="74" t="s">
        <v>489</v>
      </c>
      <c r="G7031" s="61">
        <v>1</v>
      </c>
      <c r="H7031" s="61">
        <v>15</v>
      </c>
      <c r="I7031" s="61">
        <v>59.792989999999996</v>
      </c>
    </row>
    <row r="7032" spans="1:9" s="71" customFormat="1" ht="24" hidden="1" customHeight="1" outlineLevel="1" x14ac:dyDescent="0.25">
      <c r="A7032" s="74">
        <v>323</v>
      </c>
      <c r="B7032" s="45" t="s">
        <v>664</v>
      </c>
      <c r="C7032" s="60" t="s">
        <v>6549</v>
      </c>
      <c r="D7032" s="60"/>
      <c r="E7032" s="74">
        <v>2023</v>
      </c>
      <c r="F7032" s="74" t="s">
        <v>489</v>
      </c>
      <c r="G7032" s="61">
        <v>1</v>
      </c>
      <c r="H7032" s="61">
        <v>15</v>
      </c>
      <c r="I7032" s="61">
        <v>66.702830000000006</v>
      </c>
    </row>
    <row r="7033" spans="1:9" s="71" customFormat="1" ht="24" hidden="1" customHeight="1" outlineLevel="1" x14ac:dyDescent="0.25">
      <c r="A7033" s="74">
        <v>2996</v>
      </c>
      <c r="B7033" s="45" t="s">
        <v>664</v>
      </c>
      <c r="C7033" s="60" t="s">
        <v>6550</v>
      </c>
      <c r="D7033" s="60"/>
      <c r="E7033" s="74">
        <v>2023</v>
      </c>
      <c r="F7033" s="74" t="s">
        <v>489</v>
      </c>
      <c r="G7033" s="61">
        <v>1</v>
      </c>
      <c r="H7033" s="61">
        <v>150</v>
      </c>
      <c r="I7033" s="61">
        <v>50</v>
      </c>
    </row>
    <row r="7034" spans="1:9" s="71" customFormat="1" ht="24" hidden="1" customHeight="1" outlineLevel="1" x14ac:dyDescent="0.25">
      <c r="A7034" s="74">
        <v>425</v>
      </c>
      <c r="B7034" s="45" t="s">
        <v>664</v>
      </c>
      <c r="C7034" s="60" t="s">
        <v>6551</v>
      </c>
      <c r="D7034" s="60"/>
      <c r="E7034" s="74">
        <v>2023</v>
      </c>
      <c r="F7034" s="74" t="s">
        <v>489</v>
      </c>
      <c r="G7034" s="61">
        <v>1</v>
      </c>
      <c r="H7034" s="61">
        <v>45</v>
      </c>
      <c r="I7034" s="61">
        <v>184.00910000000002</v>
      </c>
    </row>
    <row r="7035" spans="1:9" s="71" customFormat="1" ht="24" hidden="1" customHeight="1" outlineLevel="1" x14ac:dyDescent="0.25">
      <c r="A7035" s="74">
        <v>5042</v>
      </c>
      <c r="B7035" s="45" t="s">
        <v>664</v>
      </c>
      <c r="C7035" s="60" t="s">
        <v>6552</v>
      </c>
      <c r="D7035" s="60"/>
      <c r="E7035" s="74">
        <v>2023</v>
      </c>
      <c r="F7035" s="74" t="s">
        <v>489</v>
      </c>
      <c r="G7035" s="61">
        <v>1</v>
      </c>
      <c r="H7035" s="61">
        <v>150</v>
      </c>
      <c r="I7035" s="61">
        <v>102.13503999999999</v>
      </c>
    </row>
    <row r="7036" spans="1:9" s="71" customFormat="1" ht="24" hidden="1" customHeight="1" outlineLevel="1" x14ac:dyDescent="0.25">
      <c r="A7036" s="74">
        <v>482</v>
      </c>
      <c r="B7036" s="45" t="s">
        <v>664</v>
      </c>
      <c r="C7036" s="60" t="s">
        <v>6553</v>
      </c>
      <c r="D7036" s="60"/>
      <c r="E7036" s="74">
        <v>2023</v>
      </c>
      <c r="F7036" s="74" t="s">
        <v>489</v>
      </c>
      <c r="G7036" s="61">
        <v>1</v>
      </c>
      <c r="H7036" s="61">
        <v>12</v>
      </c>
      <c r="I7036" s="61">
        <v>68.391110000000012</v>
      </c>
    </row>
    <row r="7037" spans="1:9" s="71" customFormat="1" ht="24" hidden="1" customHeight="1" outlineLevel="1" x14ac:dyDescent="0.25">
      <c r="A7037" s="74">
        <v>467</v>
      </c>
      <c r="B7037" s="45" t="s">
        <v>664</v>
      </c>
      <c r="C7037" s="60" t="s">
        <v>6554</v>
      </c>
      <c r="D7037" s="60"/>
      <c r="E7037" s="74">
        <v>2023</v>
      </c>
      <c r="F7037" s="74" t="s">
        <v>489</v>
      </c>
      <c r="G7037" s="61">
        <v>1</v>
      </c>
      <c r="H7037" s="61">
        <v>18</v>
      </c>
      <c r="I7037" s="61">
        <v>67.754480000000001</v>
      </c>
    </row>
    <row r="7038" spans="1:9" s="71" customFormat="1" ht="24" hidden="1" customHeight="1" outlineLevel="1" x14ac:dyDescent="0.25">
      <c r="A7038" s="74">
        <v>5056</v>
      </c>
      <c r="B7038" s="45" t="s">
        <v>664</v>
      </c>
      <c r="C7038" s="60" t="s">
        <v>6555</v>
      </c>
      <c r="D7038" s="60"/>
      <c r="E7038" s="74">
        <v>2023</v>
      </c>
      <c r="F7038" s="74" t="s">
        <v>489</v>
      </c>
      <c r="G7038" s="61">
        <v>1</v>
      </c>
      <c r="H7038" s="61">
        <v>15</v>
      </c>
      <c r="I7038" s="61">
        <v>58.665309999999998</v>
      </c>
    </row>
    <row r="7039" spans="1:9" s="71" customFormat="1" ht="24" hidden="1" customHeight="1" outlineLevel="1" x14ac:dyDescent="0.25">
      <c r="A7039" s="74">
        <v>3028</v>
      </c>
      <c r="B7039" s="45" t="s">
        <v>664</v>
      </c>
      <c r="C7039" s="60" t="s">
        <v>614</v>
      </c>
      <c r="D7039" s="60"/>
      <c r="E7039" s="74">
        <v>2023</v>
      </c>
      <c r="F7039" s="74" t="s">
        <v>489</v>
      </c>
      <c r="G7039" s="61">
        <v>1</v>
      </c>
      <c r="H7039" s="61">
        <v>50</v>
      </c>
      <c r="I7039" s="61">
        <v>86.311030000000002</v>
      </c>
    </row>
    <row r="7040" spans="1:9" s="71" customFormat="1" ht="24" hidden="1" customHeight="1" outlineLevel="1" x14ac:dyDescent="0.25">
      <c r="A7040" s="74">
        <v>1028</v>
      </c>
      <c r="B7040" s="45" t="s">
        <v>664</v>
      </c>
      <c r="C7040" s="60" t="s">
        <v>6556</v>
      </c>
      <c r="D7040" s="60"/>
      <c r="E7040" s="74">
        <v>2023</v>
      </c>
      <c r="F7040" s="74" t="s">
        <v>489</v>
      </c>
      <c r="G7040" s="61">
        <v>1</v>
      </c>
      <c r="H7040" s="61">
        <v>15</v>
      </c>
      <c r="I7040" s="61">
        <v>69.659929999999989</v>
      </c>
    </row>
    <row r="7041" spans="1:9" s="71" customFormat="1" ht="24" hidden="1" customHeight="1" outlineLevel="1" x14ac:dyDescent="0.25">
      <c r="A7041" s="74">
        <v>2257</v>
      </c>
      <c r="B7041" s="45" t="s">
        <v>664</v>
      </c>
      <c r="C7041" s="60" t="s">
        <v>6557</v>
      </c>
      <c r="D7041" s="60"/>
      <c r="E7041" s="74">
        <v>2023</v>
      </c>
      <c r="F7041" s="74" t="s">
        <v>489</v>
      </c>
      <c r="G7041" s="61">
        <v>1</v>
      </c>
      <c r="H7041" s="61">
        <v>12</v>
      </c>
      <c r="I7041" s="61">
        <v>158.76053999999999</v>
      </c>
    </row>
    <row r="7042" spans="1:9" s="71" customFormat="1" ht="24" hidden="1" customHeight="1" outlineLevel="1" x14ac:dyDescent="0.25">
      <c r="A7042" s="74">
        <v>5800</v>
      </c>
      <c r="B7042" s="45" t="s">
        <v>664</v>
      </c>
      <c r="C7042" s="60" t="s">
        <v>242</v>
      </c>
      <c r="D7042" s="60"/>
      <c r="E7042" s="74">
        <v>2023</v>
      </c>
      <c r="F7042" s="74" t="s">
        <v>489</v>
      </c>
      <c r="G7042" s="61">
        <v>1</v>
      </c>
      <c r="H7042" s="61">
        <v>100</v>
      </c>
      <c r="I7042" s="61">
        <v>205.05239</v>
      </c>
    </row>
    <row r="7043" spans="1:9" s="71" customFormat="1" ht="24" hidden="1" customHeight="1" outlineLevel="1" x14ac:dyDescent="0.25">
      <c r="A7043" s="74">
        <v>5799</v>
      </c>
      <c r="B7043" s="45" t="s">
        <v>664</v>
      </c>
      <c r="C7043" s="60" t="s">
        <v>6558</v>
      </c>
      <c r="D7043" s="60"/>
      <c r="E7043" s="74">
        <v>2023</v>
      </c>
      <c r="F7043" s="74" t="s">
        <v>489</v>
      </c>
      <c r="G7043" s="61">
        <v>1</v>
      </c>
      <c r="H7043" s="61">
        <v>80</v>
      </c>
      <c r="I7043" s="61">
        <v>41.16527</v>
      </c>
    </row>
    <row r="7044" spans="1:9" s="71" customFormat="1" ht="24" hidden="1" customHeight="1" outlineLevel="1" x14ac:dyDescent="0.25">
      <c r="A7044" s="74">
        <v>1852</v>
      </c>
      <c r="B7044" s="45" t="s">
        <v>664</v>
      </c>
      <c r="C7044" s="60" t="s">
        <v>6559</v>
      </c>
      <c r="D7044" s="60"/>
      <c r="E7044" s="74">
        <v>2023</v>
      </c>
      <c r="F7044" s="74" t="s">
        <v>489</v>
      </c>
      <c r="G7044" s="61">
        <v>1</v>
      </c>
      <c r="H7044" s="61">
        <v>5</v>
      </c>
      <c r="I7044" s="61">
        <v>37.919129999999996</v>
      </c>
    </row>
    <row r="7045" spans="1:9" s="71" customFormat="1" ht="24" hidden="1" customHeight="1" outlineLevel="1" x14ac:dyDescent="0.25">
      <c r="A7045" s="74">
        <v>5803</v>
      </c>
      <c r="B7045" s="45" t="s">
        <v>664</v>
      </c>
      <c r="C7045" s="60" t="s">
        <v>6560</v>
      </c>
      <c r="D7045" s="60"/>
      <c r="E7045" s="74">
        <v>2023</v>
      </c>
      <c r="F7045" s="74" t="s">
        <v>489</v>
      </c>
      <c r="G7045" s="61">
        <v>1</v>
      </c>
      <c r="H7045" s="61">
        <v>45</v>
      </c>
      <c r="I7045" s="61">
        <v>37.32638</v>
      </c>
    </row>
    <row r="7046" spans="1:9" s="71" customFormat="1" ht="24" hidden="1" customHeight="1" outlineLevel="1" x14ac:dyDescent="0.25">
      <c r="A7046" s="74">
        <v>2596</v>
      </c>
      <c r="B7046" s="45" t="s">
        <v>664</v>
      </c>
      <c r="C7046" s="60" t="s">
        <v>6561</v>
      </c>
      <c r="D7046" s="60"/>
      <c r="E7046" s="74">
        <v>2023</v>
      </c>
      <c r="F7046" s="74" t="s">
        <v>489</v>
      </c>
      <c r="G7046" s="61">
        <v>1</v>
      </c>
      <c r="H7046" s="61">
        <v>7</v>
      </c>
      <c r="I7046" s="61">
        <v>37.919129999999996</v>
      </c>
    </row>
    <row r="7047" spans="1:9" s="71" customFormat="1" ht="24" hidden="1" customHeight="1" outlineLevel="1" x14ac:dyDescent="0.25">
      <c r="A7047" s="74">
        <v>5804</v>
      </c>
      <c r="B7047" s="45" t="s">
        <v>664</v>
      </c>
      <c r="C7047" s="60" t="s">
        <v>6562</v>
      </c>
      <c r="D7047" s="60"/>
      <c r="E7047" s="74">
        <v>2023</v>
      </c>
      <c r="F7047" s="74" t="s">
        <v>489</v>
      </c>
      <c r="G7047" s="61">
        <v>1</v>
      </c>
      <c r="H7047" s="61">
        <v>16</v>
      </c>
      <c r="I7047" s="61">
        <v>39.966929999999998</v>
      </c>
    </row>
    <row r="7048" spans="1:9" s="71" customFormat="1" ht="24" hidden="1" customHeight="1" outlineLevel="1" x14ac:dyDescent="0.25">
      <c r="A7048" s="74">
        <v>5805</v>
      </c>
      <c r="B7048" s="45" t="s">
        <v>664</v>
      </c>
      <c r="C7048" s="60" t="s">
        <v>6563</v>
      </c>
      <c r="D7048" s="60"/>
      <c r="E7048" s="74">
        <v>2023</v>
      </c>
      <c r="F7048" s="74" t="s">
        <v>489</v>
      </c>
      <c r="G7048" s="61">
        <v>1</v>
      </c>
      <c r="H7048" s="61">
        <v>24</v>
      </c>
      <c r="I7048" s="61">
        <v>39.96716</v>
      </c>
    </row>
    <row r="7049" spans="1:9" s="71" customFormat="1" ht="24" hidden="1" customHeight="1" outlineLevel="1" x14ac:dyDescent="0.25">
      <c r="A7049" s="74">
        <v>1856</v>
      </c>
      <c r="B7049" s="45" t="s">
        <v>664</v>
      </c>
      <c r="C7049" s="60" t="s">
        <v>6564</v>
      </c>
      <c r="D7049" s="60"/>
      <c r="E7049" s="74">
        <v>2023</v>
      </c>
      <c r="F7049" s="74" t="s">
        <v>489</v>
      </c>
      <c r="G7049" s="61">
        <v>1</v>
      </c>
      <c r="H7049" s="61">
        <v>5</v>
      </c>
      <c r="I7049" s="61">
        <v>36.056669999999997</v>
      </c>
    </row>
    <row r="7050" spans="1:9" s="71" customFormat="1" ht="24" hidden="1" customHeight="1" outlineLevel="1" x14ac:dyDescent="0.25">
      <c r="A7050" s="74">
        <v>5806</v>
      </c>
      <c r="B7050" s="45" t="s">
        <v>664</v>
      </c>
      <c r="C7050" s="60" t="s">
        <v>6565</v>
      </c>
      <c r="D7050" s="60"/>
      <c r="E7050" s="74">
        <v>2023</v>
      </c>
      <c r="F7050" s="74" t="s">
        <v>489</v>
      </c>
      <c r="G7050" s="61">
        <v>1</v>
      </c>
      <c r="H7050" s="61">
        <v>7</v>
      </c>
      <c r="I7050" s="61">
        <v>36.056669999999997</v>
      </c>
    </row>
    <row r="7051" spans="1:9" s="71" customFormat="1" ht="24" hidden="1" customHeight="1" outlineLevel="1" x14ac:dyDescent="0.25">
      <c r="A7051" s="74">
        <v>2001</v>
      </c>
      <c r="B7051" s="45" t="s">
        <v>664</v>
      </c>
      <c r="C7051" s="60" t="s">
        <v>6566</v>
      </c>
      <c r="D7051" s="60"/>
      <c r="E7051" s="74">
        <v>2023</v>
      </c>
      <c r="F7051" s="74" t="s">
        <v>489</v>
      </c>
      <c r="G7051" s="61">
        <v>1</v>
      </c>
      <c r="H7051" s="61">
        <v>7</v>
      </c>
      <c r="I7051" s="61">
        <v>36.056660000000001</v>
      </c>
    </row>
    <row r="7052" spans="1:9" s="71" customFormat="1" ht="24" hidden="1" customHeight="1" outlineLevel="1" x14ac:dyDescent="0.25">
      <c r="A7052" s="74">
        <v>2044</v>
      </c>
      <c r="B7052" s="45" t="s">
        <v>664</v>
      </c>
      <c r="C7052" s="60" t="s">
        <v>6567</v>
      </c>
      <c r="D7052" s="60"/>
      <c r="E7052" s="74">
        <v>2023</v>
      </c>
      <c r="F7052" s="74" t="s">
        <v>489</v>
      </c>
      <c r="G7052" s="61">
        <v>1</v>
      </c>
      <c r="H7052" s="61">
        <v>5</v>
      </c>
      <c r="I7052" s="61">
        <v>36.056660000000001</v>
      </c>
    </row>
    <row r="7053" spans="1:9" s="71" customFormat="1" ht="24" hidden="1" customHeight="1" outlineLevel="1" x14ac:dyDescent="0.25">
      <c r="A7053" s="74">
        <v>1899</v>
      </c>
      <c r="B7053" s="45" t="s">
        <v>664</v>
      </c>
      <c r="C7053" s="60" t="s">
        <v>6568</v>
      </c>
      <c r="D7053" s="60"/>
      <c r="E7053" s="74">
        <v>2023</v>
      </c>
      <c r="F7053" s="74" t="s">
        <v>489</v>
      </c>
      <c r="G7053" s="61">
        <v>1</v>
      </c>
      <c r="H7053" s="61">
        <v>15</v>
      </c>
      <c r="I7053" s="61">
        <v>36.109790000000004</v>
      </c>
    </row>
    <row r="7054" spans="1:9" s="71" customFormat="1" ht="24" hidden="1" customHeight="1" outlineLevel="1" x14ac:dyDescent="0.25">
      <c r="A7054" s="74">
        <v>5820</v>
      </c>
      <c r="B7054" s="45" t="s">
        <v>664</v>
      </c>
      <c r="C7054" s="60" t="s">
        <v>6569</v>
      </c>
      <c r="D7054" s="60"/>
      <c r="E7054" s="74">
        <v>2023</v>
      </c>
      <c r="F7054" s="74" t="s">
        <v>489</v>
      </c>
      <c r="G7054" s="61">
        <v>1</v>
      </c>
      <c r="H7054" s="61">
        <v>15</v>
      </c>
      <c r="I7054" s="61">
        <v>35.854910000000004</v>
      </c>
    </row>
    <row r="7055" spans="1:9" s="71" customFormat="1" ht="24" hidden="1" customHeight="1" outlineLevel="1" x14ac:dyDescent="0.25">
      <c r="A7055" s="74">
        <v>5821</v>
      </c>
      <c r="B7055" s="45" t="s">
        <v>664</v>
      </c>
      <c r="C7055" s="60" t="s">
        <v>6570</v>
      </c>
      <c r="D7055" s="60"/>
      <c r="E7055" s="74">
        <v>2023</v>
      </c>
      <c r="F7055" s="74" t="s">
        <v>489</v>
      </c>
      <c r="G7055" s="61">
        <v>1</v>
      </c>
      <c r="H7055" s="61">
        <v>15</v>
      </c>
      <c r="I7055" s="61">
        <v>35.103519999999996</v>
      </c>
    </row>
    <row r="7056" spans="1:9" s="71" customFormat="1" ht="24" hidden="1" customHeight="1" outlineLevel="1" x14ac:dyDescent="0.25">
      <c r="A7056" s="74">
        <v>1998</v>
      </c>
      <c r="B7056" s="45" t="s">
        <v>664</v>
      </c>
      <c r="C7056" s="60" t="s">
        <v>6571</v>
      </c>
      <c r="D7056" s="60"/>
      <c r="E7056" s="74">
        <v>2023</v>
      </c>
      <c r="F7056" s="74" t="s">
        <v>489</v>
      </c>
      <c r="G7056" s="61">
        <v>1</v>
      </c>
      <c r="H7056" s="61">
        <v>5</v>
      </c>
      <c r="I7056" s="61">
        <v>35.103519999999996</v>
      </c>
    </row>
    <row r="7057" spans="1:9" s="71" customFormat="1" ht="24" hidden="1" customHeight="1" outlineLevel="1" x14ac:dyDescent="0.25">
      <c r="A7057" s="74">
        <v>5822</v>
      </c>
      <c r="B7057" s="45" t="s">
        <v>664</v>
      </c>
      <c r="C7057" s="60" t="s">
        <v>6572</v>
      </c>
      <c r="D7057" s="60"/>
      <c r="E7057" s="74">
        <v>2023</v>
      </c>
      <c r="F7057" s="74" t="s">
        <v>489</v>
      </c>
      <c r="G7057" s="61">
        <v>1</v>
      </c>
      <c r="H7057" s="61">
        <v>15</v>
      </c>
      <c r="I7057" s="61">
        <v>35.103379999999994</v>
      </c>
    </row>
    <row r="7058" spans="1:9" s="71" customFormat="1" ht="24" hidden="1" customHeight="1" outlineLevel="1" x14ac:dyDescent="0.25">
      <c r="A7058" s="74">
        <v>5835</v>
      </c>
      <c r="B7058" s="45" t="s">
        <v>664</v>
      </c>
      <c r="C7058" s="60" t="s">
        <v>6573</v>
      </c>
      <c r="D7058" s="60"/>
      <c r="E7058" s="74">
        <v>2023</v>
      </c>
      <c r="F7058" s="74" t="s">
        <v>489</v>
      </c>
      <c r="G7058" s="61">
        <v>1</v>
      </c>
      <c r="H7058" s="61">
        <v>10</v>
      </c>
      <c r="I7058" s="61">
        <v>35.180289999999999</v>
      </c>
    </row>
    <row r="7059" spans="1:9" s="71" customFormat="1" ht="24" hidden="1" customHeight="1" outlineLevel="1" x14ac:dyDescent="0.25">
      <c r="A7059" s="74">
        <v>5841</v>
      </c>
      <c r="B7059" s="45" t="s">
        <v>664</v>
      </c>
      <c r="C7059" s="60" t="s">
        <v>6574</v>
      </c>
      <c r="D7059" s="60"/>
      <c r="E7059" s="74">
        <v>2023</v>
      </c>
      <c r="F7059" s="74" t="s">
        <v>489</v>
      </c>
      <c r="G7059" s="61">
        <v>1</v>
      </c>
      <c r="H7059" s="61">
        <v>15</v>
      </c>
      <c r="I7059" s="61">
        <v>35.024720000000002</v>
      </c>
    </row>
    <row r="7060" spans="1:9" s="71" customFormat="1" ht="24" hidden="1" customHeight="1" outlineLevel="1" x14ac:dyDescent="0.25">
      <c r="A7060" s="74">
        <v>3997</v>
      </c>
      <c r="B7060" s="45" t="s">
        <v>664</v>
      </c>
      <c r="C7060" s="60" t="s">
        <v>6575</v>
      </c>
      <c r="D7060" s="60"/>
      <c r="E7060" s="74">
        <v>2023</v>
      </c>
      <c r="F7060" s="74" t="s">
        <v>489</v>
      </c>
      <c r="G7060" s="61">
        <v>1</v>
      </c>
      <c r="H7060" s="61">
        <v>25</v>
      </c>
      <c r="I7060" s="61">
        <v>71.045010000000005</v>
      </c>
    </row>
    <row r="7061" spans="1:9" s="71" customFormat="1" ht="24" hidden="1" customHeight="1" outlineLevel="1" x14ac:dyDescent="0.25">
      <c r="A7061" s="74">
        <v>3916</v>
      </c>
      <c r="B7061" s="45" t="s">
        <v>664</v>
      </c>
      <c r="C7061" s="60" t="s">
        <v>6576</v>
      </c>
      <c r="D7061" s="60"/>
      <c r="E7061" s="74">
        <v>2023</v>
      </c>
      <c r="F7061" s="74" t="s">
        <v>489</v>
      </c>
      <c r="G7061" s="61">
        <v>2</v>
      </c>
      <c r="H7061" s="61">
        <v>28</v>
      </c>
      <c r="I7061" s="61">
        <v>78.278120000000001</v>
      </c>
    </row>
    <row r="7062" spans="1:9" s="71" customFormat="1" ht="24" hidden="1" customHeight="1" outlineLevel="1" x14ac:dyDescent="0.25">
      <c r="A7062" s="74">
        <v>3025</v>
      </c>
      <c r="B7062" s="45" t="s">
        <v>664</v>
      </c>
      <c r="C7062" s="60" t="s">
        <v>243</v>
      </c>
      <c r="D7062" s="60"/>
      <c r="E7062" s="74">
        <v>2023</v>
      </c>
      <c r="F7062" s="74" t="s">
        <v>489</v>
      </c>
      <c r="G7062" s="61">
        <v>2</v>
      </c>
      <c r="H7062" s="61">
        <v>50</v>
      </c>
      <c r="I7062" s="61">
        <v>107.3725</v>
      </c>
    </row>
    <row r="7063" spans="1:9" s="71" customFormat="1" ht="24" hidden="1" customHeight="1" outlineLevel="1" x14ac:dyDescent="0.25">
      <c r="A7063" s="74">
        <v>925</v>
      </c>
      <c r="B7063" s="45" t="s">
        <v>664</v>
      </c>
      <c r="C7063" s="60" t="s">
        <v>6577</v>
      </c>
      <c r="D7063" s="60"/>
      <c r="E7063" s="74">
        <v>2023</v>
      </c>
      <c r="F7063" s="74" t="s">
        <v>489</v>
      </c>
      <c r="G7063" s="61">
        <v>1</v>
      </c>
      <c r="H7063" s="61">
        <v>7</v>
      </c>
      <c r="I7063" s="61">
        <v>63.438999999999993</v>
      </c>
    </row>
    <row r="7064" spans="1:9" s="71" customFormat="1" ht="24" hidden="1" customHeight="1" outlineLevel="1" x14ac:dyDescent="0.25">
      <c r="A7064" s="74">
        <v>1150</v>
      </c>
      <c r="B7064" s="45" t="s">
        <v>664</v>
      </c>
      <c r="C7064" s="60" t="s">
        <v>6578</v>
      </c>
      <c r="D7064" s="60"/>
      <c r="E7064" s="74">
        <v>2023</v>
      </c>
      <c r="F7064" s="74" t="s">
        <v>489</v>
      </c>
      <c r="G7064" s="61">
        <v>1</v>
      </c>
      <c r="H7064" s="61">
        <v>12</v>
      </c>
      <c r="I7064" s="61">
        <v>63.34769</v>
      </c>
    </row>
    <row r="7065" spans="1:9" s="71" customFormat="1" ht="24" hidden="1" customHeight="1" outlineLevel="1" x14ac:dyDescent="0.25">
      <c r="A7065" s="74">
        <v>3102</v>
      </c>
      <c r="B7065" s="45" t="s">
        <v>664</v>
      </c>
      <c r="C7065" s="60" t="s">
        <v>244</v>
      </c>
      <c r="D7065" s="60"/>
      <c r="E7065" s="74">
        <v>2023</v>
      </c>
      <c r="F7065" s="74" t="s">
        <v>489</v>
      </c>
      <c r="G7065" s="61">
        <v>1</v>
      </c>
      <c r="H7065" s="61">
        <v>147</v>
      </c>
      <c r="I7065" s="61">
        <v>96.658460000000005</v>
      </c>
    </row>
    <row r="7066" spans="1:9" s="71" customFormat="1" ht="24" hidden="1" customHeight="1" outlineLevel="1" x14ac:dyDescent="0.25">
      <c r="A7066" s="74">
        <v>3098</v>
      </c>
      <c r="B7066" s="45" t="s">
        <v>664</v>
      </c>
      <c r="C7066" s="60" t="s">
        <v>245</v>
      </c>
      <c r="D7066" s="60"/>
      <c r="E7066" s="74">
        <v>2023</v>
      </c>
      <c r="F7066" s="74" t="s">
        <v>489</v>
      </c>
      <c r="G7066" s="61">
        <v>4</v>
      </c>
      <c r="H7066" s="61">
        <v>500</v>
      </c>
      <c r="I7066" s="61">
        <v>588.15229999999997</v>
      </c>
    </row>
    <row r="7067" spans="1:9" s="71" customFormat="1" ht="24" hidden="1" customHeight="1" outlineLevel="1" x14ac:dyDescent="0.25">
      <c r="A7067" s="74">
        <v>5014</v>
      </c>
      <c r="B7067" s="45" t="s">
        <v>664</v>
      </c>
      <c r="C7067" s="60" t="s">
        <v>246</v>
      </c>
      <c r="D7067" s="60"/>
      <c r="E7067" s="74">
        <v>2023</v>
      </c>
      <c r="F7067" s="74" t="s">
        <v>489</v>
      </c>
      <c r="G7067" s="61">
        <v>2</v>
      </c>
      <c r="H7067" s="61">
        <v>149</v>
      </c>
      <c r="I7067" s="61">
        <v>293.88080000000002</v>
      </c>
    </row>
    <row r="7068" spans="1:9" s="71" customFormat="1" ht="24" hidden="1" customHeight="1" outlineLevel="1" x14ac:dyDescent="0.25">
      <c r="A7068" s="74">
        <v>5801</v>
      </c>
      <c r="B7068" s="45" t="s">
        <v>664</v>
      </c>
      <c r="C7068" s="60" t="s">
        <v>247</v>
      </c>
      <c r="D7068" s="60"/>
      <c r="E7068" s="74">
        <v>2023</v>
      </c>
      <c r="F7068" s="74" t="s">
        <v>489</v>
      </c>
      <c r="G7068" s="61">
        <v>1</v>
      </c>
      <c r="H7068" s="61">
        <v>149</v>
      </c>
      <c r="I7068" s="61">
        <v>279.15378000000004</v>
      </c>
    </row>
    <row r="7069" spans="1:9" s="71" customFormat="1" ht="24" hidden="1" customHeight="1" outlineLevel="1" x14ac:dyDescent="0.25">
      <c r="A7069" s="74">
        <v>1848</v>
      </c>
      <c r="B7069" s="45" t="s">
        <v>664</v>
      </c>
      <c r="C7069" s="60" t="s">
        <v>6579</v>
      </c>
      <c r="D7069" s="60"/>
      <c r="E7069" s="74">
        <v>2023</v>
      </c>
      <c r="F7069" s="74" t="s">
        <v>489</v>
      </c>
      <c r="G7069" s="61">
        <v>1</v>
      </c>
      <c r="H7069" s="61">
        <v>10</v>
      </c>
      <c r="I7069" s="61">
        <v>159.23051999999998</v>
      </c>
    </row>
    <row r="7070" spans="1:9" s="71" customFormat="1" ht="24" hidden="1" customHeight="1" outlineLevel="1" x14ac:dyDescent="0.25">
      <c r="A7070" s="74">
        <v>801</v>
      </c>
      <c r="B7070" s="45" t="s">
        <v>664</v>
      </c>
      <c r="C7070" s="60" t="s">
        <v>6580</v>
      </c>
      <c r="D7070" s="60"/>
      <c r="E7070" s="74">
        <v>2023</v>
      </c>
      <c r="F7070" s="74" t="s">
        <v>489</v>
      </c>
      <c r="G7070" s="61">
        <v>5</v>
      </c>
      <c r="H7070" s="61">
        <v>75</v>
      </c>
      <c r="I7070" s="61">
        <v>499.89011999999997</v>
      </c>
    </row>
    <row r="7071" spans="1:9" s="71" customFormat="1" ht="24" hidden="1" customHeight="1" outlineLevel="1" x14ac:dyDescent="0.25">
      <c r="A7071" s="74">
        <v>3199</v>
      </c>
      <c r="B7071" s="45" t="s">
        <v>664</v>
      </c>
      <c r="C7071" s="60" t="s">
        <v>6581</v>
      </c>
      <c r="D7071" s="60"/>
      <c r="E7071" s="74">
        <v>2023</v>
      </c>
      <c r="F7071" s="74" t="s">
        <v>489</v>
      </c>
      <c r="G7071" s="61">
        <v>1</v>
      </c>
      <c r="H7071" s="61">
        <v>15</v>
      </c>
      <c r="I7071" s="61">
        <v>65.622</v>
      </c>
    </row>
    <row r="7072" spans="1:9" s="71" customFormat="1" ht="24" hidden="1" customHeight="1" outlineLevel="1" x14ac:dyDescent="0.25">
      <c r="A7072" s="74">
        <v>316</v>
      </c>
      <c r="B7072" s="45" t="s">
        <v>664</v>
      </c>
      <c r="C7072" s="60" t="s">
        <v>6582</v>
      </c>
      <c r="D7072" s="60"/>
      <c r="E7072" s="74">
        <v>2023</v>
      </c>
      <c r="F7072" s="74" t="s">
        <v>489</v>
      </c>
      <c r="G7072" s="61">
        <v>1</v>
      </c>
      <c r="H7072" s="61">
        <v>15</v>
      </c>
      <c r="I7072" s="61">
        <v>77.111000000000004</v>
      </c>
    </row>
    <row r="7073" spans="1:9" s="71" customFormat="1" ht="24" hidden="1" customHeight="1" outlineLevel="1" x14ac:dyDescent="0.25">
      <c r="A7073" s="74">
        <v>5037</v>
      </c>
      <c r="B7073" s="45" t="s">
        <v>664</v>
      </c>
      <c r="C7073" s="60" t="s">
        <v>6583</v>
      </c>
      <c r="D7073" s="60"/>
      <c r="E7073" s="74">
        <v>2023</v>
      </c>
      <c r="F7073" s="74" t="s">
        <v>489</v>
      </c>
      <c r="G7073" s="61">
        <v>1</v>
      </c>
      <c r="H7073" s="61">
        <v>15</v>
      </c>
      <c r="I7073" s="61">
        <v>69.586999999999989</v>
      </c>
    </row>
    <row r="7074" spans="1:9" s="71" customFormat="1" ht="24" hidden="1" customHeight="1" outlineLevel="1" x14ac:dyDescent="0.25">
      <c r="A7074" s="74">
        <v>5038</v>
      </c>
      <c r="B7074" s="45" t="s">
        <v>664</v>
      </c>
      <c r="C7074" s="60" t="s">
        <v>6584</v>
      </c>
      <c r="D7074" s="60"/>
      <c r="E7074" s="74">
        <v>2023</v>
      </c>
      <c r="F7074" s="74" t="s">
        <v>489</v>
      </c>
      <c r="G7074" s="61">
        <v>1</v>
      </c>
      <c r="H7074" s="61">
        <v>150</v>
      </c>
      <c r="I7074" s="61">
        <v>115.98700000000001</v>
      </c>
    </row>
    <row r="7075" spans="1:9" s="71" customFormat="1" ht="24" hidden="1" customHeight="1" outlineLevel="1" x14ac:dyDescent="0.25">
      <c r="A7075" s="74">
        <v>463</v>
      </c>
      <c r="B7075" s="45" t="s">
        <v>664</v>
      </c>
      <c r="C7075" s="60" t="s">
        <v>6585</v>
      </c>
      <c r="D7075" s="60"/>
      <c r="E7075" s="74">
        <v>2023</v>
      </c>
      <c r="F7075" s="74" t="s">
        <v>489</v>
      </c>
      <c r="G7075" s="61">
        <v>1</v>
      </c>
      <c r="H7075" s="61">
        <v>15</v>
      </c>
      <c r="I7075" s="61">
        <v>64.172999999999988</v>
      </c>
    </row>
    <row r="7076" spans="1:9" s="71" customFormat="1" ht="24" hidden="1" customHeight="1" outlineLevel="1" x14ac:dyDescent="0.25">
      <c r="A7076" s="74">
        <v>480</v>
      </c>
      <c r="B7076" s="45" t="s">
        <v>664</v>
      </c>
      <c r="C7076" s="60" t="s">
        <v>6586</v>
      </c>
      <c r="D7076" s="60"/>
      <c r="E7076" s="74">
        <v>2023</v>
      </c>
      <c r="F7076" s="74" t="s">
        <v>489</v>
      </c>
      <c r="G7076" s="61">
        <v>1</v>
      </c>
      <c r="H7076" s="61">
        <v>12</v>
      </c>
      <c r="I7076" s="61">
        <v>69.38900000000001</v>
      </c>
    </row>
    <row r="7077" spans="1:9" s="71" customFormat="1" ht="24" hidden="1" customHeight="1" outlineLevel="1" x14ac:dyDescent="0.25">
      <c r="A7077" s="74">
        <v>481</v>
      </c>
      <c r="B7077" s="45" t="s">
        <v>664</v>
      </c>
      <c r="C7077" s="60" t="s">
        <v>6587</v>
      </c>
      <c r="D7077" s="60"/>
      <c r="E7077" s="74">
        <v>2023</v>
      </c>
      <c r="F7077" s="74" t="s">
        <v>489</v>
      </c>
      <c r="G7077" s="61">
        <v>1</v>
      </c>
      <c r="H7077" s="61">
        <v>15</v>
      </c>
      <c r="I7077" s="61">
        <v>66.893000000000001</v>
      </c>
    </row>
    <row r="7078" spans="1:9" s="71" customFormat="1" ht="24" hidden="1" customHeight="1" outlineLevel="1" x14ac:dyDescent="0.25">
      <c r="A7078" s="74">
        <v>863</v>
      </c>
      <c r="B7078" s="45" t="s">
        <v>664</v>
      </c>
      <c r="C7078" s="60" t="s">
        <v>6588</v>
      </c>
      <c r="D7078" s="60"/>
      <c r="E7078" s="74">
        <v>2023</v>
      </c>
      <c r="F7078" s="74" t="s">
        <v>489</v>
      </c>
      <c r="G7078" s="61">
        <v>1</v>
      </c>
      <c r="H7078" s="61">
        <v>15</v>
      </c>
      <c r="I7078" s="61">
        <v>61.21</v>
      </c>
    </row>
    <row r="7079" spans="1:9" s="71" customFormat="1" ht="24" hidden="1" customHeight="1" outlineLevel="1" x14ac:dyDescent="0.25">
      <c r="A7079" s="74">
        <v>3228</v>
      </c>
      <c r="B7079" s="45" t="s">
        <v>664</v>
      </c>
      <c r="C7079" s="60" t="s">
        <v>6589</v>
      </c>
      <c r="D7079" s="60"/>
      <c r="E7079" s="74">
        <v>2023</v>
      </c>
      <c r="F7079" s="74" t="s">
        <v>489</v>
      </c>
      <c r="G7079" s="61">
        <v>1</v>
      </c>
      <c r="H7079" s="61">
        <v>14</v>
      </c>
      <c r="I7079" s="61">
        <v>54.119</v>
      </c>
    </row>
    <row r="7080" spans="1:9" s="71" customFormat="1" ht="24" hidden="1" customHeight="1" outlineLevel="1" x14ac:dyDescent="0.25">
      <c r="A7080" s="74">
        <v>5055</v>
      </c>
      <c r="B7080" s="45" t="s">
        <v>664</v>
      </c>
      <c r="C7080" s="60" t="s">
        <v>6590</v>
      </c>
      <c r="D7080" s="60"/>
      <c r="E7080" s="74">
        <v>2023</v>
      </c>
      <c r="F7080" s="74" t="s">
        <v>489</v>
      </c>
      <c r="G7080" s="61">
        <v>1</v>
      </c>
      <c r="H7080" s="61">
        <v>15</v>
      </c>
      <c r="I7080" s="61">
        <v>60.99</v>
      </c>
    </row>
    <row r="7081" spans="1:9" s="71" customFormat="1" ht="24" hidden="1" customHeight="1" outlineLevel="1" x14ac:dyDescent="0.25">
      <c r="A7081" s="74">
        <v>5057</v>
      </c>
      <c r="B7081" s="45" t="s">
        <v>664</v>
      </c>
      <c r="C7081" s="60" t="s">
        <v>6591</v>
      </c>
      <c r="D7081" s="60"/>
      <c r="E7081" s="74">
        <v>2023</v>
      </c>
      <c r="F7081" s="74" t="s">
        <v>489</v>
      </c>
      <c r="G7081" s="61">
        <v>1</v>
      </c>
      <c r="H7081" s="61">
        <v>15</v>
      </c>
      <c r="I7081" s="61">
        <v>59.585999999999999</v>
      </c>
    </row>
    <row r="7082" spans="1:9" s="71" customFormat="1" ht="24" hidden="1" customHeight="1" outlineLevel="1" x14ac:dyDescent="0.25">
      <c r="A7082" s="74">
        <v>5058</v>
      </c>
      <c r="B7082" s="45" t="s">
        <v>664</v>
      </c>
      <c r="C7082" s="60" t="s">
        <v>6592</v>
      </c>
      <c r="D7082" s="60"/>
      <c r="E7082" s="74">
        <v>2023</v>
      </c>
      <c r="F7082" s="74" t="s">
        <v>489</v>
      </c>
      <c r="G7082" s="61">
        <v>1</v>
      </c>
      <c r="H7082" s="61">
        <v>15</v>
      </c>
      <c r="I7082" s="61">
        <v>60.274000000000001</v>
      </c>
    </row>
    <row r="7083" spans="1:9" s="71" customFormat="1" ht="24" hidden="1" customHeight="1" outlineLevel="1" x14ac:dyDescent="0.25">
      <c r="A7083" s="74">
        <v>5059</v>
      </c>
      <c r="B7083" s="45" t="s">
        <v>664</v>
      </c>
      <c r="C7083" s="60" t="s">
        <v>6593</v>
      </c>
      <c r="D7083" s="60"/>
      <c r="E7083" s="74">
        <v>2023</v>
      </c>
      <c r="F7083" s="74" t="s">
        <v>489</v>
      </c>
      <c r="G7083" s="61">
        <v>1</v>
      </c>
      <c r="H7083" s="61">
        <v>15</v>
      </c>
      <c r="I7083" s="61">
        <v>60.691000000000003</v>
      </c>
    </row>
    <row r="7084" spans="1:9" s="71" customFormat="1" ht="24" hidden="1" customHeight="1" outlineLevel="1" x14ac:dyDescent="0.25">
      <c r="A7084" s="74">
        <v>5060</v>
      </c>
      <c r="B7084" s="45" t="s">
        <v>664</v>
      </c>
      <c r="C7084" s="60" t="s">
        <v>6594</v>
      </c>
      <c r="D7084" s="60"/>
      <c r="E7084" s="74">
        <v>2023</v>
      </c>
      <c r="F7084" s="74" t="s">
        <v>489</v>
      </c>
      <c r="G7084" s="61">
        <v>1</v>
      </c>
      <c r="H7084" s="61">
        <v>15</v>
      </c>
      <c r="I7084" s="61">
        <v>61.372999999999998</v>
      </c>
    </row>
    <row r="7085" spans="1:9" s="71" customFormat="1" ht="24" hidden="1" customHeight="1" outlineLevel="1" x14ac:dyDescent="0.25">
      <c r="A7085" s="74">
        <v>313</v>
      </c>
      <c r="B7085" s="45" t="s">
        <v>664</v>
      </c>
      <c r="C7085" s="60" t="s">
        <v>248</v>
      </c>
      <c r="D7085" s="60"/>
      <c r="E7085" s="74">
        <v>2023</v>
      </c>
      <c r="F7085" s="74" t="s">
        <v>489</v>
      </c>
      <c r="G7085" s="61">
        <v>1</v>
      </c>
      <c r="H7085" s="61">
        <v>30</v>
      </c>
      <c r="I7085" s="61">
        <v>134.858</v>
      </c>
    </row>
    <row r="7086" spans="1:9" s="71" customFormat="1" ht="24" hidden="1" customHeight="1" outlineLevel="1" x14ac:dyDescent="0.25">
      <c r="A7086" s="74">
        <v>5148</v>
      </c>
      <c r="B7086" s="45" t="s">
        <v>664</v>
      </c>
      <c r="C7086" s="60" t="s">
        <v>6595</v>
      </c>
      <c r="D7086" s="60"/>
      <c r="E7086" s="74">
        <v>2023</v>
      </c>
      <c r="F7086" s="74" t="s">
        <v>489</v>
      </c>
      <c r="G7086" s="61">
        <v>1</v>
      </c>
      <c r="H7086" s="61">
        <v>10</v>
      </c>
      <c r="I7086" s="61">
        <v>71.983000000000004</v>
      </c>
    </row>
    <row r="7087" spans="1:9" s="71" customFormat="1" ht="24" hidden="1" customHeight="1" outlineLevel="1" x14ac:dyDescent="0.25">
      <c r="A7087" s="74">
        <v>5149</v>
      </c>
      <c r="B7087" s="45" t="s">
        <v>664</v>
      </c>
      <c r="C7087" s="60" t="s">
        <v>6596</v>
      </c>
      <c r="D7087" s="60"/>
      <c r="E7087" s="74">
        <v>2023</v>
      </c>
      <c r="F7087" s="74" t="s">
        <v>489</v>
      </c>
      <c r="G7087" s="61">
        <v>1</v>
      </c>
      <c r="H7087" s="61">
        <v>45</v>
      </c>
      <c r="I7087" s="61">
        <v>71.983199999999997</v>
      </c>
    </row>
    <row r="7088" spans="1:9" s="71" customFormat="1" ht="24" hidden="1" customHeight="1" outlineLevel="1" x14ac:dyDescent="0.25">
      <c r="A7088" s="74">
        <v>960</v>
      </c>
      <c r="B7088" s="45" t="s">
        <v>664</v>
      </c>
      <c r="C7088" s="60" t="s">
        <v>6597</v>
      </c>
      <c r="D7088" s="60"/>
      <c r="E7088" s="74">
        <v>2023</v>
      </c>
      <c r="F7088" s="74" t="s">
        <v>489</v>
      </c>
      <c r="G7088" s="61">
        <v>1</v>
      </c>
      <c r="H7088" s="61">
        <v>15</v>
      </c>
      <c r="I7088" s="61">
        <v>108.086</v>
      </c>
    </row>
    <row r="7089" spans="1:9" s="71" customFormat="1" ht="24" hidden="1" customHeight="1" outlineLevel="1" x14ac:dyDescent="0.25">
      <c r="A7089" s="74">
        <v>1222</v>
      </c>
      <c r="B7089" s="45" t="s">
        <v>664</v>
      </c>
      <c r="C7089" s="60" t="s">
        <v>6598</v>
      </c>
      <c r="D7089" s="60"/>
      <c r="E7089" s="74">
        <v>2023</v>
      </c>
      <c r="F7089" s="74" t="s">
        <v>489</v>
      </c>
      <c r="G7089" s="61">
        <v>1</v>
      </c>
      <c r="H7089" s="61">
        <v>1</v>
      </c>
      <c r="I7089" s="61">
        <v>70.876999999999995</v>
      </c>
    </row>
    <row r="7090" spans="1:9" s="71" customFormat="1" ht="24" hidden="1" customHeight="1" outlineLevel="1" x14ac:dyDescent="0.25">
      <c r="A7090" s="74">
        <v>3252</v>
      </c>
      <c r="B7090" s="45" t="s">
        <v>664</v>
      </c>
      <c r="C7090" s="60" t="s">
        <v>6599</v>
      </c>
      <c r="D7090" s="60"/>
      <c r="E7090" s="74">
        <v>2023</v>
      </c>
      <c r="F7090" s="74" t="s">
        <v>489</v>
      </c>
      <c r="G7090" s="61">
        <v>1</v>
      </c>
      <c r="H7090" s="61">
        <v>15</v>
      </c>
      <c r="I7090" s="61">
        <v>65.73975999999999</v>
      </c>
    </row>
    <row r="7091" spans="1:9" s="71" customFormat="1" ht="24" hidden="1" customHeight="1" outlineLevel="1" x14ac:dyDescent="0.25">
      <c r="A7091" s="74">
        <v>5150</v>
      </c>
      <c r="B7091" s="45" t="s">
        <v>664</v>
      </c>
      <c r="C7091" s="60" t="s">
        <v>6600</v>
      </c>
      <c r="D7091" s="60"/>
      <c r="E7091" s="74">
        <v>2023</v>
      </c>
      <c r="F7091" s="74" t="s">
        <v>489</v>
      </c>
      <c r="G7091" s="61">
        <v>1</v>
      </c>
      <c r="H7091" s="61">
        <v>15</v>
      </c>
      <c r="I7091" s="61">
        <v>88.216999999999999</v>
      </c>
    </row>
    <row r="7092" spans="1:9" s="71" customFormat="1" ht="24" hidden="1" customHeight="1" outlineLevel="1" x14ac:dyDescent="0.25">
      <c r="A7092" s="74">
        <v>5151</v>
      </c>
      <c r="B7092" s="45" t="s">
        <v>664</v>
      </c>
      <c r="C7092" s="60" t="s">
        <v>6601</v>
      </c>
      <c r="D7092" s="60"/>
      <c r="E7092" s="74">
        <v>2023</v>
      </c>
      <c r="F7092" s="74" t="s">
        <v>489</v>
      </c>
      <c r="G7092" s="61">
        <v>1</v>
      </c>
      <c r="H7092" s="61">
        <v>7.5</v>
      </c>
      <c r="I7092" s="61">
        <v>67.926000000000002</v>
      </c>
    </row>
    <row r="7093" spans="1:9" s="71" customFormat="1" ht="24" hidden="1" customHeight="1" outlineLevel="1" x14ac:dyDescent="0.25">
      <c r="A7093" s="74">
        <v>3293</v>
      </c>
      <c r="B7093" s="45" t="s">
        <v>664</v>
      </c>
      <c r="C7093" s="60" t="s">
        <v>6602</v>
      </c>
      <c r="D7093" s="60"/>
      <c r="E7093" s="74">
        <v>2023</v>
      </c>
      <c r="F7093" s="74" t="s">
        <v>489</v>
      </c>
      <c r="G7093" s="61">
        <v>1</v>
      </c>
      <c r="H7093" s="61">
        <v>15</v>
      </c>
      <c r="I7093" s="61">
        <v>65.679000000000002</v>
      </c>
    </row>
    <row r="7094" spans="1:9" s="71" customFormat="1" ht="24" hidden="1" customHeight="1" outlineLevel="1" x14ac:dyDescent="0.25">
      <c r="A7094" s="74">
        <v>3298</v>
      </c>
      <c r="B7094" s="45" t="s">
        <v>664</v>
      </c>
      <c r="C7094" s="60" t="s">
        <v>6603</v>
      </c>
      <c r="D7094" s="60"/>
      <c r="E7094" s="74">
        <v>2023</v>
      </c>
      <c r="F7094" s="74" t="s">
        <v>489</v>
      </c>
      <c r="G7094" s="61">
        <v>1</v>
      </c>
      <c r="H7094" s="61">
        <v>15</v>
      </c>
      <c r="I7094" s="61">
        <v>69.033999999999992</v>
      </c>
    </row>
    <row r="7095" spans="1:9" s="71" customFormat="1" ht="24" hidden="1" customHeight="1" outlineLevel="1" x14ac:dyDescent="0.25">
      <c r="A7095" s="74">
        <v>758</v>
      </c>
      <c r="B7095" s="45" t="s">
        <v>664</v>
      </c>
      <c r="C7095" s="60" t="s">
        <v>6604</v>
      </c>
      <c r="D7095" s="60"/>
      <c r="E7095" s="74">
        <v>2023</v>
      </c>
      <c r="F7095" s="74" t="s">
        <v>489</v>
      </c>
      <c r="G7095" s="61">
        <v>1</v>
      </c>
      <c r="H7095" s="61">
        <v>15</v>
      </c>
      <c r="I7095" s="61">
        <v>65.67</v>
      </c>
    </row>
    <row r="7096" spans="1:9" s="71" customFormat="1" ht="24" hidden="1" customHeight="1" outlineLevel="1" x14ac:dyDescent="0.25">
      <c r="A7096" s="74">
        <v>1087</v>
      </c>
      <c r="B7096" s="45" t="s">
        <v>664</v>
      </c>
      <c r="C7096" s="60" t="s">
        <v>6605</v>
      </c>
      <c r="D7096" s="60"/>
      <c r="E7096" s="74">
        <v>2023</v>
      </c>
      <c r="F7096" s="74" t="s">
        <v>489</v>
      </c>
      <c r="G7096" s="61">
        <v>1</v>
      </c>
      <c r="H7096" s="61">
        <v>14</v>
      </c>
      <c r="I7096" s="61">
        <v>65.566000000000003</v>
      </c>
    </row>
    <row r="7097" spans="1:9" s="71" customFormat="1" ht="24" hidden="1" customHeight="1" outlineLevel="1" x14ac:dyDescent="0.25">
      <c r="A7097" s="74">
        <v>3107</v>
      </c>
      <c r="B7097" s="45" t="s">
        <v>664</v>
      </c>
      <c r="C7097" s="60" t="s">
        <v>6606</v>
      </c>
      <c r="D7097" s="60"/>
      <c r="E7097" s="74">
        <v>2023</v>
      </c>
      <c r="F7097" s="74" t="s">
        <v>489</v>
      </c>
      <c r="G7097" s="61">
        <v>1</v>
      </c>
      <c r="H7097" s="61">
        <v>70</v>
      </c>
      <c r="I7097" s="61">
        <v>110.053</v>
      </c>
    </row>
    <row r="7098" spans="1:9" s="71" customFormat="1" ht="24" hidden="1" customHeight="1" outlineLevel="1" x14ac:dyDescent="0.25">
      <c r="A7098" s="74">
        <v>5173</v>
      </c>
      <c r="B7098" s="45" t="s">
        <v>664</v>
      </c>
      <c r="C7098" s="60" t="s">
        <v>6607</v>
      </c>
      <c r="D7098" s="60"/>
      <c r="E7098" s="74">
        <v>2023</v>
      </c>
      <c r="F7098" s="74" t="s">
        <v>489</v>
      </c>
      <c r="G7098" s="61">
        <v>1</v>
      </c>
      <c r="H7098" s="61">
        <v>150</v>
      </c>
      <c r="I7098" s="61">
        <v>106.80000000000001</v>
      </c>
    </row>
    <row r="7099" spans="1:9" s="71" customFormat="1" ht="24" hidden="1" customHeight="1" outlineLevel="1" x14ac:dyDescent="0.25">
      <c r="A7099" s="74">
        <v>3115</v>
      </c>
      <c r="B7099" s="45" t="s">
        <v>664</v>
      </c>
      <c r="C7099" s="60" t="s">
        <v>249</v>
      </c>
      <c r="D7099" s="60"/>
      <c r="E7099" s="74">
        <v>2023</v>
      </c>
      <c r="F7099" s="74" t="s">
        <v>489</v>
      </c>
      <c r="G7099" s="61">
        <v>2</v>
      </c>
      <c r="H7099" s="61">
        <v>150</v>
      </c>
      <c r="I7099" s="61">
        <v>97.576999999999998</v>
      </c>
    </row>
    <row r="7100" spans="1:9" s="71" customFormat="1" ht="24" hidden="1" customHeight="1" outlineLevel="1" x14ac:dyDescent="0.25">
      <c r="A7100" s="74">
        <v>1894</v>
      </c>
      <c r="B7100" s="45" t="s">
        <v>664</v>
      </c>
      <c r="C7100" s="60" t="s">
        <v>6608</v>
      </c>
      <c r="D7100" s="60"/>
      <c r="E7100" s="74">
        <v>2023</v>
      </c>
      <c r="F7100" s="74" t="s">
        <v>489</v>
      </c>
      <c r="G7100" s="61">
        <v>1</v>
      </c>
      <c r="H7100" s="61">
        <v>7</v>
      </c>
      <c r="I7100" s="61">
        <v>47.107000000000006</v>
      </c>
    </row>
    <row r="7101" spans="1:9" s="71" customFormat="1" ht="24" hidden="1" customHeight="1" outlineLevel="1" x14ac:dyDescent="0.25">
      <c r="A7101" s="74">
        <v>1415</v>
      </c>
      <c r="B7101" s="45" t="s">
        <v>664</v>
      </c>
      <c r="C7101" s="60" t="s">
        <v>6609</v>
      </c>
      <c r="D7101" s="60"/>
      <c r="E7101" s="74">
        <v>2023</v>
      </c>
      <c r="F7101" s="74" t="s">
        <v>489</v>
      </c>
      <c r="G7101" s="61">
        <v>1</v>
      </c>
      <c r="H7101" s="61">
        <v>15</v>
      </c>
      <c r="I7101" s="61">
        <v>75.793369999999996</v>
      </c>
    </row>
    <row r="7102" spans="1:9" s="71" customFormat="1" ht="24" hidden="1" customHeight="1" outlineLevel="1" x14ac:dyDescent="0.25">
      <c r="A7102" s="74">
        <v>1632</v>
      </c>
      <c r="B7102" s="45" t="s">
        <v>664</v>
      </c>
      <c r="C7102" s="60" t="s">
        <v>6610</v>
      </c>
      <c r="D7102" s="60"/>
      <c r="E7102" s="74">
        <v>2023</v>
      </c>
      <c r="F7102" s="74" t="s">
        <v>489</v>
      </c>
      <c r="G7102" s="61">
        <v>1</v>
      </c>
      <c r="H7102" s="61">
        <v>15</v>
      </c>
      <c r="I7102" s="61">
        <v>67.585000000000008</v>
      </c>
    </row>
    <row r="7103" spans="1:9" s="71" customFormat="1" ht="24" hidden="1" customHeight="1" outlineLevel="1" x14ac:dyDescent="0.25">
      <c r="A7103" s="74">
        <v>5798</v>
      </c>
      <c r="B7103" s="45" t="s">
        <v>664</v>
      </c>
      <c r="C7103" s="60" t="s">
        <v>578</v>
      </c>
      <c r="D7103" s="60"/>
      <c r="E7103" s="74">
        <v>2023</v>
      </c>
      <c r="F7103" s="74" t="s">
        <v>489</v>
      </c>
      <c r="G7103" s="61">
        <v>1</v>
      </c>
      <c r="H7103" s="61">
        <v>35</v>
      </c>
      <c r="I7103" s="61">
        <v>88.977000000000004</v>
      </c>
    </row>
    <row r="7104" spans="1:9" s="71" customFormat="1" ht="24" hidden="1" customHeight="1" outlineLevel="1" x14ac:dyDescent="0.25">
      <c r="A7104" s="74">
        <v>993</v>
      </c>
      <c r="B7104" s="45" t="s">
        <v>664</v>
      </c>
      <c r="C7104" s="60" t="s">
        <v>6611</v>
      </c>
      <c r="D7104" s="60"/>
      <c r="E7104" s="74">
        <v>2023</v>
      </c>
      <c r="F7104" s="74" t="s">
        <v>489</v>
      </c>
      <c r="G7104" s="61">
        <v>1</v>
      </c>
      <c r="H7104" s="61">
        <v>15</v>
      </c>
      <c r="I7104" s="61">
        <v>69.801000000000002</v>
      </c>
    </row>
    <row r="7105" spans="1:9" s="71" customFormat="1" ht="24" hidden="1" customHeight="1" outlineLevel="1" x14ac:dyDescent="0.25">
      <c r="A7105" s="74">
        <v>3114</v>
      </c>
      <c r="B7105" s="45" t="s">
        <v>664</v>
      </c>
      <c r="C7105" s="60" t="s">
        <v>250</v>
      </c>
      <c r="D7105" s="60"/>
      <c r="E7105" s="74">
        <v>2023</v>
      </c>
      <c r="F7105" s="74" t="s">
        <v>489</v>
      </c>
      <c r="G7105" s="61">
        <v>2</v>
      </c>
      <c r="H7105" s="61">
        <v>190</v>
      </c>
      <c r="I7105" s="61">
        <v>319.17</v>
      </c>
    </row>
    <row r="7106" spans="1:9" s="71" customFormat="1" ht="24" hidden="1" customHeight="1" outlineLevel="1" x14ac:dyDescent="0.25">
      <c r="A7106" s="74">
        <v>1832</v>
      </c>
      <c r="B7106" s="45" t="s">
        <v>664</v>
      </c>
      <c r="C7106" s="60" t="s">
        <v>6612</v>
      </c>
      <c r="D7106" s="60"/>
      <c r="E7106" s="74">
        <v>2023</v>
      </c>
      <c r="F7106" s="74" t="s">
        <v>489</v>
      </c>
      <c r="G7106" s="61">
        <v>1</v>
      </c>
      <c r="H7106" s="61">
        <v>15</v>
      </c>
      <c r="I7106" s="61">
        <v>71.367999999999995</v>
      </c>
    </row>
    <row r="7107" spans="1:9" s="71" customFormat="1" ht="24" hidden="1" customHeight="1" outlineLevel="1" x14ac:dyDescent="0.25">
      <c r="A7107" s="74">
        <v>5855</v>
      </c>
      <c r="B7107" s="45" t="s">
        <v>664</v>
      </c>
      <c r="C7107" s="60" t="s">
        <v>6613</v>
      </c>
      <c r="D7107" s="60"/>
      <c r="E7107" s="74">
        <v>2023</v>
      </c>
      <c r="F7107" s="74" t="s">
        <v>489</v>
      </c>
      <c r="G7107" s="61">
        <v>1</v>
      </c>
      <c r="H7107" s="61">
        <v>15</v>
      </c>
      <c r="I7107" s="61">
        <v>37.983849999999997</v>
      </c>
    </row>
    <row r="7108" spans="1:9" s="71" customFormat="1" ht="24" hidden="1" customHeight="1" outlineLevel="1" x14ac:dyDescent="0.25">
      <c r="A7108" s="74">
        <v>5858</v>
      </c>
      <c r="B7108" s="45" t="s">
        <v>664</v>
      </c>
      <c r="C7108" s="60" t="s">
        <v>6614</v>
      </c>
      <c r="D7108" s="60"/>
      <c r="E7108" s="74">
        <v>2023</v>
      </c>
      <c r="F7108" s="74" t="s">
        <v>489</v>
      </c>
      <c r="G7108" s="61">
        <v>1</v>
      </c>
      <c r="H7108" s="61">
        <v>12</v>
      </c>
      <c r="I7108" s="61">
        <v>37.686239999999998</v>
      </c>
    </row>
    <row r="7109" spans="1:9" s="71" customFormat="1" ht="24" hidden="1" customHeight="1" outlineLevel="1" x14ac:dyDescent="0.25">
      <c r="A7109" s="74">
        <v>5859</v>
      </c>
      <c r="B7109" s="45" t="s">
        <v>664</v>
      </c>
      <c r="C7109" s="60" t="s">
        <v>6615</v>
      </c>
      <c r="D7109" s="60"/>
      <c r="E7109" s="74">
        <v>2023</v>
      </c>
      <c r="F7109" s="74" t="s">
        <v>489</v>
      </c>
      <c r="G7109" s="61">
        <v>1</v>
      </c>
      <c r="H7109" s="61">
        <v>15</v>
      </c>
      <c r="I7109" s="61">
        <v>37.686249999999994</v>
      </c>
    </row>
    <row r="7110" spans="1:9" s="71" customFormat="1" ht="24" hidden="1" customHeight="1" outlineLevel="1" x14ac:dyDescent="0.25">
      <c r="A7110" s="74">
        <v>5860</v>
      </c>
      <c r="B7110" s="45" t="s">
        <v>664</v>
      </c>
      <c r="C7110" s="60" t="s">
        <v>6616</v>
      </c>
      <c r="D7110" s="60"/>
      <c r="E7110" s="74">
        <v>2023</v>
      </c>
      <c r="F7110" s="74" t="s">
        <v>489</v>
      </c>
      <c r="G7110" s="61">
        <v>1</v>
      </c>
      <c r="H7110" s="61">
        <v>15</v>
      </c>
      <c r="I7110" s="61">
        <v>36.748820000000002</v>
      </c>
    </row>
    <row r="7111" spans="1:9" s="71" customFormat="1" ht="24" hidden="1" customHeight="1" outlineLevel="1" x14ac:dyDescent="0.25">
      <c r="A7111" s="74">
        <v>5864</v>
      </c>
      <c r="B7111" s="45" t="s">
        <v>664</v>
      </c>
      <c r="C7111" s="60" t="s">
        <v>6617</v>
      </c>
      <c r="D7111" s="60"/>
      <c r="E7111" s="74">
        <v>2023</v>
      </c>
      <c r="F7111" s="74" t="s">
        <v>489</v>
      </c>
      <c r="G7111" s="61">
        <v>1</v>
      </c>
      <c r="H7111" s="61">
        <v>10</v>
      </c>
      <c r="I7111" s="61">
        <v>36.748820000000002</v>
      </c>
    </row>
    <row r="7112" spans="1:9" s="71" customFormat="1" ht="24" hidden="1" customHeight="1" outlineLevel="1" x14ac:dyDescent="0.25">
      <c r="A7112" s="74">
        <v>5865</v>
      </c>
      <c r="B7112" s="45" t="s">
        <v>664</v>
      </c>
      <c r="C7112" s="60" t="s">
        <v>6618</v>
      </c>
      <c r="D7112" s="60"/>
      <c r="E7112" s="74">
        <v>2023</v>
      </c>
      <c r="F7112" s="74" t="s">
        <v>489</v>
      </c>
      <c r="G7112" s="61">
        <v>1</v>
      </c>
      <c r="H7112" s="61">
        <v>15</v>
      </c>
      <c r="I7112" s="61">
        <v>37.051500000000004</v>
      </c>
    </row>
    <row r="7113" spans="1:9" s="71" customFormat="1" ht="24" hidden="1" customHeight="1" outlineLevel="1" x14ac:dyDescent="0.25">
      <c r="A7113" s="74">
        <v>5867</v>
      </c>
      <c r="B7113" s="45" t="s">
        <v>664</v>
      </c>
      <c r="C7113" s="60" t="s">
        <v>6619</v>
      </c>
      <c r="D7113" s="60"/>
      <c r="E7113" s="74">
        <v>2023</v>
      </c>
      <c r="F7113" s="74" t="s">
        <v>489</v>
      </c>
      <c r="G7113" s="61">
        <v>1</v>
      </c>
      <c r="H7113" s="61">
        <v>15</v>
      </c>
      <c r="I7113" s="61">
        <v>37.051500000000004</v>
      </c>
    </row>
    <row r="7114" spans="1:9" s="71" customFormat="1" ht="24" hidden="1" customHeight="1" outlineLevel="1" x14ac:dyDescent="0.25">
      <c r="A7114" s="74">
        <v>5868</v>
      </c>
      <c r="B7114" s="45" t="s">
        <v>664</v>
      </c>
      <c r="C7114" s="60" t="s">
        <v>6620</v>
      </c>
      <c r="D7114" s="60"/>
      <c r="E7114" s="74">
        <v>2023</v>
      </c>
      <c r="F7114" s="74" t="s">
        <v>489</v>
      </c>
      <c r="G7114" s="61">
        <v>1</v>
      </c>
      <c r="H7114" s="61">
        <v>15</v>
      </c>
      <c r="I7114" s="61">
        <v>37.051500000000004</v>
      </c>
    </row>
    <row r="7115" spans="1:9" s="71" customFormat="1" ht="24" hidden="1" customHeight="1" outlineLevel="1" x14ac:dyDescent="0.25">
      <c r="A7115" s="74">
        <v>2274</v>
      </c>
      <c r="B7115" s="45" t="s">
        <v>664</v>
      </c>
      <c r="C7115" s="60" t="s">
        <v>6621</v>
      </c>
      <c r="D7115" s="60"/>
      <c r="E7115" s="74">
        <v>2023</v>
      </c>
      <c r="F7115" s="74" t="s">
        <v>489</v>
      </c>
      <c r="G7115" s="61">
        <v>1</v>
      </c>
      <c r="H7115" s="61">
        <v>15</v>
      </c>
      <c r="I7115" s="61">
        <v>37.051500000000004</v>
      </c>
    </row>
    <row r="7116" spans="1:9" s="71" customFormat="1" ht="24" hidden="1" customHeight="1" outlineLevel="1" x14ac:dyDescent="0.25">
      <c r="A7116" s="74">
        <v>5870</v>
      </c>
      <c r="B7116" s="45" t="s">
        <v>664</v>
      </c>
      <c r="C7116" s="60" t="s">
        <v>6622</v>
      </c>
      <c r="D7116" s="60"/>
      <c r="E7116" s="74">
        <v>2023</v>
      </c>
      <c r="F7116" s="74" t="s">
        <v>489</v>
      </c>
      <c r="G7116" s="61">
        <v>1</v>
      </c>
      <c r="H7116" s="61">
        <v>15</v>
      </c>
      <c r="I7116" s="61">
        <v>37.051500000000004</v>
      </c>
    </row>
    <row r="7117" spans="1:9" s="71" customFormat="1" ht="24" hidden="1" customHeight="1" outlineLevel="1" x14ac:dyDescent="0.25">
      <c r="A7117" s="74">
        <v>5875</v>
      </c>
      <c r="B7117" s="45" t="s">
        <v>664</v>
      </c>
      <c r="C7117" s="60" t="s">
        <v>6623</v>
      </c>
      <c r="D7117" s="60"/>
      <c r="E7117" s="74">
        <v>2023</v>
      </c>
      <c r="F7117" s="74" t="s">
        <v>489</v>
      </c>
      <c r="G7117" s="61">
        <v>1</v>
      </c>
      <c r="H7117" s="61">
        <v>15</v>
      </c>
      <c r="I7117" s="61">
        <v>36.954569999999997</v>
      </c>
    </row>
    <row r="7118" spans="1:9" s="71" customFormat="1" ht="24" hidden="1" customHeight="1" outlineLevel="1" x14ac:dyDescent="0.25">
      <c r="A7118" s="74">
        <v>5877</v>
      </c>
      <c r="B7118" s="45" t="s">
        <v>664</v>
      </c>
      <c r="C7118" s="60" t="s">
        <v>6624</v>
      </c>
      <c r="D7118" s="60"/>
      <c r="E7118" s="74">
        <v>2023</v>
      </c>
      <c r="F7118" s="74" t="s">
        <v>489</v>
      </c>
      <c r="G7118" s="61">
        <v>1</v>
      </c>
      <c r="H7118" s="61">
        <v>15</v>
      </c>
      <c r="I7118" s="61">
        <v>36.954610000000002</v>
      </c>
    </row>
    <row r="7119" spans="1:9" s="71" customFormat="1" ht="24" hidden="1" customHeight="1" outlineLevel="1" x14ac:dyDescent="0.25">
      <c r="A7119" s="74">
        <v>5878</v>
      </c>
      <c r="B7119" s="45" t="s">
        <v>664</v>
      </c>
      <c r="C7119" s="60" t="s">
        <v>6625</v>
      </c>
      <c r="D7119" s="60"/>
      <c r="E7119" s="74">
        <v>2023</v>
      </c>
      <c r="F7119" s="74" t="s">
        <v>489</v>
      </c>
      <c r="G7119" s="61">
        <v>1</v>
      </c>
      <c r="H7119" s="61">
        <v>15</v>
      </c>
      <c r="I7119" s="61">
        <v>36.954610000000002</v>
      </c>
    </row>
    <row r="7120" spans="1:9" s="71" customFormat="1" ht="24" hidden="1" customHeight="1" outlineLevel="1" x14ac:dyDescent="0.25">
      <c r="A7120" s="74">
        <v>5879</v>
      </c>
      <c r="B7120" s="45" t="s">
        <v>664</v>
      </c>
      <c r="C7120" s="60" t="s">
        <v>6626</v>
      </c>
      <c r="D7120" s="60"/>
      <c r="E7120" s="74">
        <v>2023</v>
      </c>
      <c r="F7120" s="74" t="s">
        <v>489</v>
      </c>
      <c r="G7120" s="61">
        <v>1</v>
      </c>
      <c r="H7120" s="61">
        <v>15</v>
      </c>
      <c r="I7120" s="61">
        <v>36.954610000000002</v>
      </c>
    </row>
    <row r="7121" spans="1:9" s="71" customFormat="1" ht="24" hidden="1" customHeight="1" outlineLevel="1" x14ac:dyDescent="0.25">
      <c r="A7121" s="74">
        <v>5880</v>
      </c>
      <c r="B7121" s="45" t="s">
        <v>664</v>
      </c>
      <c r="C7121" s="60" t="s">
        <v>6627</v>
      </c>
      <c r="D7121" s="60"/>
      <c r="E7121" s="74">
        <v>2023</v>
      </c>
      <c r="F7121" s="74" t="s">
        <v>489</v>
      </c>
      <c r="G7121" s="61">
        <v>1</v>
      </c>
      <c r="H7121" s="61">
        <v>15</v>
      </c>
      <c r="I7121" s="61">
        <v>36.651919999999997</v>
      </c>
    </row>
    <row r="7122" spans="1:9" s="71" customFormat="1" ht="24" hidden="1" customHeight="1" outlineLevel="1" x14ac:dyDescent="0.25">
      <c r="A7122" s="74">
        <v>2087</v>
      </c>
      <c r="B7122" s="45" t="s">
        <v>664</v>
      </c>
      <c r="C7122" s="60" t="s">
        <v>6628</v>
      </c>
      <c r="D7122" s="60"/>
      <c r="E7122" s="74">
        <v>2023</v>
      </c>
      <c r="F7122" s="74" t="s">
        <v>489</v>
      </c>
      <c r="G7122" s="61">
        <v>1</v>
      </c>
      <c r="H7122" s="61">
        <v>9</v>
      </c>
      <c r="I7122" s="61">
        <v>36.954610000000002</v>
      </c>
    </row>
    <row r="7123" spans="1:9" s="71" customFormat="1" ht="24" hidden="1" customHeight="1" outlineLevel="1" x14ac:dyDescent="0.25">
      <c r="A7123" s="74">
        <v>5881</v>
      </c>
      <c r="B7123" s="45" t="s">
        <v>664</v>
      </c>
      <c r="C7123" s="60" t="s">
        <v>6629</v>
      </c>
      <c r="D7123" s="60"/>
      <c r="E7123" s="74">
        <v>2023</v>
      </c>
      <c r="F7123" s="74" t="s">
        <v>489</v>
      </c>
      <c r="G7123" s="61">
        <v>1</v>
      </c>
      <c r="H7123" s="61">
        <v>15</v>
      </c>
      <c r="I7123" s="61">
        <v>36.656939999999999</v>
      </c>
    </row>
    <row r="7124" spans="1:9" s="71" customFormat="1" ht="24" hidden="1" customHeight="1" outlineLevel="1" x14ac:dyDescent="0.25">
      <c r="A7124" s="74">
        <v>5885</v>
      </c>
      <c r="B7124" s="45" t="s">
        <v>664</v>
      </c>
      <c r="C7124" s="60" t="s">
        <v>6630</v>
      </c>
      <c r="D7124" s="60"/>
      <c r="E7124" s="74">
        <v>2023</v>
      </c>
      <c r="F7124" s="74" t="s">
        <v>489</v>
      </c>
      <c r="G7124" s="61">
        <v>1</v>
      </c>
      <c r="H7124" s="61">
        <v>15</v>
      </c>
      <c r="I7124" s="61">
        <v>36.966569999999997</v>
      </c>
    </row>
    <row r="7125" spans="1:9" s="71" customFormat="1" ht="24" hidden="1" customHeight="1" outlineLevel="1" x14ac:dyDescent="0.25">
      <c r="A7125" s="74">
        <v>2179</v>
      </c>
      <c r="B7125" s="45" t="s">
        <v>664</v>
      </c>
      <c r="C7125" s="60" t="s">
        <v>6631</v>
      </c>
      <c r="D7125" s="60"/>
      <c r="E7125" s="74">
        <v>2023</v>
      </c>
      <c r="F7125" s="74" t="s">
        <v>489</v>
      </c>
      <c r="G7125" s="61">
        <v>1</v>
      </c>
      <c r="H7125" s="61">
        <v>6</v>
      </c>
      <c r="I7125" s="61">
        <v>36.966569999999997</v>
      </c>
    </row>
    <row r="7126" spans="1:9" s="71" customFormat="1" ht="24" hidden="1" customHeight="1" outlineLevel="1" x14ac:dyDescent="0.25">
      <c r="A7126" s="74">
        <v>2085</v>
      </c>
      <c r="B7126" s="45" t="s">
        <v>664</v>
      </c>
      <c r="C7126" s="60" t="s">
        <v>6632</v>
      </c>
      <c r="D7126" s="60"/>
      <c r="E7126" s="74">
        <v>2023</v>
      </c>
      <c r="F7126" s="74" t="s">
        <v>489</v>
      </c>
      <c r="G7126" s="61">
        <v>1</v>
      </c>
      <c r="H7126" s="61">
        <v>8</v>
      </c>
      <c r="I7126" s="61">
        <v>36.966549999999998</v>
      </c>
    </row>
    <row r="7127" spans="1:9" s="71" customFormat="1" ht="24" hidden="1" customHeight="1" outlineLevel="1" x14ac:dyDescent="0.25">
      <c r="A7127" s="74">
        <v>5889</v>
      </c>
      <c r="B7127" s="45" t="s">
        <v>664</v>
      </c>
      <c r="C7127" s="60" t="s">
        <v>6633</v>
      </c>
      <c r="D7127" s="60"/>
      <c r="E7127" s="74">
        <v>2023</v>
      </c>
      <c r="F7127" s="74" t="s">
        <v>489</v>
      </c>
      <c r="G7127" s="61">
        <v>1</v>
      </c>
      <c r="H7127" s="61">
        <v>15</v>
      </c>
      <c r="I7127" s="61">
        <v>37.962209999999999</v>
      </c>
    </row>
    <row r="7128" spans="1:9" s="71" customFormat="1" ht="24" hidden="1" customHeight="1" outlineLevel="1" x14ac:dyDescent="0.25">
      <c r="A7128" s="74">
        <v>5892</v>
      </c>
      <c r="B7128" s="45" t="s">
        <v>664</v>
      </c>
      <c r="C7128" s="60" t="s">
        <v>6634</v>
      </c>
      <c r="D7128" s="60"/>
      <c r="E7128" s="74">
        <v>2023</v>
      </c>
      <c r="F7128" s="74" t="s">
        <v>489</v>
      </c>
      <c r="G7128" s="61">
        <v>1</v>
      </c>
      <c r="H7128" s="61">
        <v>15</v>
      </c>
      <c r="I7128" s="61">
        <v>37.962209999999999</v>
      </c>
    </row>
    <row r="7129" spans="1:9" s="71" customFormat="1" ht="24" hidden="1" customHeight="1" outlineLevel="1" x14ac:dyDescent="0.25">
      <c r="A7129" s="74">
        <v>2630</v>
      </c>
      <c r="B7129" s="45" t="s">
        <v>664</v>
      </c>
      <c r="C7129" s="60" t="s">
        <v>6635</v>
      </c>
      <c r="D7129" s="60"/>
      <c r="E7129" s="74">
        <v>2023</v>
      </c>
      <c r="F7129" s="74" t="s">
        <v>489</v>
      </c>
      <c r="G7129" s="61">
        <v>1</v>
      </c>
      <c r="H7129" s="61">
        <v>10</v>
      </c>
      <c r="I7129" s="61">
        <v>37.962209999999999</v>
      </c>
    </row>
    <row r="7130" spans="1:9" s="71" customFormat="1" ht="24" hidden="1" customHeight="1" outlineLevel="1" x14ac:dyDescent="0.25">
      <c r="A7130" s="74">
        <v>5907</v>
      </c>
      <c r="B7130" s="45" t="s">
        <v>664</v>
      </c>
      <c r="C7130" s="60" t="s">
        <v>6636</v>
      </c>
      <c r="D7130" s="60"/>
      <c r="E7130" s="74">
        <v>2023</v>
      </c>
      <c r="F7130" s="74" t="s">
        <v>489</v>
      </c>
      <c r="G7130" s="61">
        <v>1</v>
      </c>
      <c r="H7130" s="61">
        <v>15</v>
      </c>
      <c r="I7130" s="61">
        <v>38.54607</v>
      </c>
    </row>
    <row r="7131" spans="1:9" s="71" customFormat="1" ht="24" hidden="1" customHeight="1" outlineLevel="1" x14ac:dyDescent="0.25">
      <c r="A7131" s="74">
        <v>5918</v>
      </c>
      <c r="B7131" s="45" t="s">
        <v>664</v>
      </c>
      <c r="C7131" s="60" t="s">
        <v>6637</v>
      </c>
      <c r="D7131" s="60"/>
      <c r="E7131" s="74">
        <v>2023</v>
      </c>
      <c r="F7131" s="74" t="s">
        <v>489</v>
      </c>
      <c r="G7131" s="61">
        <v>1</v>
      </c>
      <c r="H7131" s="61">
        <v>12</v>
      </c>
      <c r="I7131" s="61">
        <v>38.371560000000002</v>
      </c>
    </row>
    <row r="7132" spans="1:9" s="71" customFormat="1" ht="24" hidden="1" customHeight="1" outlineLevel="1" x14ac:dyDescent="0.25">
      <c r="A7132" s="74">
        <v>2224</v>
      </c>
      <c r="B7132" s="45" t="s">
        <v>664</v>
      </c>
      <c r="C7132" s="60" t="s">
        <v>6638</v>
      </c>
      <c r="D7132" s="60"/>
      <c r="E7132" s="74">
        <v>2023</v>
      </c>
      <c r="F7132" s="74" t="s">
        <v>489</v>
      </c>
      <c r="G7132" s="61">
        <v>1</v>
      </c>
      <c r="H7132" s="61">
        <v>15</v>
      </c>
      <c r="I7132" s="61">
        <v>37.704389999999997</v>
      </c>
    </row>
    <row r="7133" spans="1:9" s="71" customFormat="1" ht="24" hidden="1" customHeight="1" outlineLevel="1" x14ac:dyDescent="0.25">
      <c r="A7133" s="74">
        <v>5938</v>
      </c>
      <c r="B7133" s="45" t="s">
        <v>664</v>
      </c>
      <c r="C7133" s="60" t="s">
        <v>6639</v>
      </c>
      <c r="D7133" s="60"/>
      <c r="E7133" s="74">
        <v>2023</v>
      </c>
      <c r="F7133" s="74" t="s">
        <v>489</v>
      </c>
      <c r="G7133" s="61">
        <v>1</v>
      </c>
      <c r="H7133" s="61">
        <v>15</v>
      </c>
      <c r="I7133" s="61">
        <v>37.962150000000001</v>
      </c>
    </row>
    <row r="7134" spans="1:9" s="71" customFormat="1" ht="24" hidden="1" customHeight="1" outlineLevel="1" x14ac:dyDescent="0.25">
      <c r="A7134" s="74">
        <v>5939</v>
      </c>
      <c r="B7134" s="45" t="s">
        <v>664</v>
      </c>
      <c r="C7134" s="60" t="s">
        <v>6640</v>
      </c>
      <c r="D7134" s="60"/>
      <c r="E7134" s="74">
        <v>2023</v>
      </c>
      <c r="F7134" s="74" t="s">
        <v>489</v>
      </c>
      <c r="G7134" s="61">
        <v>1</v>
      </c>
      <c r="H7134" s="61">
        <v>15</v>
      </c>
      <c r="I7134" s="61">
        <v>37.962219999999995</v>
      </c>
    </row>
    <row r="7135" spans="1:9" s="71" customFormat="1" ht="24" hidden="1" customHeight="1" outlineLevel="1" x14ac:dyDescent="0.25">
      <c r="A7135" s="74">
        <v>5941</v>
      </c>
      <c r="B7135" s="45" t="s">
        <v>664</v>
      </c>
      <c r="C7135" s="60" t="s">
        <v>6641</v>
      </c>
      <c r="D7135" s="60"/>
      <c r="E7135" s="74">
        <v>2023</v>
      </c>
      <c r="F7135" s="74" t="s">
        <v>489</v>
      </c>
      <c r="G7135" s="61">
        <v>1</v>
      </c>
      <c r="H7135" s="61">
        <v>15</v>
      </c>
      <c r="I7135" s="61">
        <v>37.962160000000004</v>
      </c>
    </row>
    <row r="7136" spans="1:9" s="71" customFormat="1" ht="24" hidden="1" customHeight="1" outlineLevel="1" x14ac:dyDescent="0.25">
      <c r="A7136" s="74">
        <v>2120</v>
      </c>
      <c r="B7136" s="45" t="s">
        <v>664</v>
      </c>
      <c r="C7136" s="60" t="s">
        <v>6642</v>
      </c>
      <c r="D7136" s="60"/>
      <c r="E7136" s="74">
        <v>2023</v>
      </c>
      <c r="F7136" s="74" t="s">
        <v>489</v>
      </c>
      <c r="G7136" s="61">
        <v>1</v>
      </c>
      <c r="H7136" s="61">
        <v>3</v>
      </c>
      <c r="I7136" s="61">
        <v>37.962219999999995</v>
      </c>
    </row>
    <row r="7137" spans="1:9" s="71" customFormat="1" ht="24" hidden="1" customHeight="1" outlineLevel="1" x14ac:dyDescent="0.25">
      <c r="A7137" s="74">
        <v>2122</v>
      </c>
      <c r="B7137" s="45" t="s">
        <v>664</v>
      </c>
      <c r="C7137" s="60" t="s">
        <v>6643</v>
      </c>
      <c r="D7137" s="60"/>
      <c r="E7137" s="74">
        <v>2023</v>
      </c>
      <c r="F7137" s="74" t="s">
        <v>489</v>
      </c>
      <c r="G7137" s="61">
        <v>1</v>
      </c>
      <c r="H7137" s="61">
        <v>7</v>
      </c>
      <c r="I7137" s="61">
        <v>37.962209999999999</v>
      </c>
    </row>
    <row r="7138" spans="1:9" s="71" customFormat="1" ht="24" hidden="1" customHeight="1" outlineLevel="1" x14ac:dyDescent="0.25">
      <c r="A7138" s="74">
        <v>5949</v>
      </c>
      <c r="B7138" s="45" t="s">
        <v>664</v>
      </c>
      <c r="C7138" s="60" t="s">
        <v>6644</v>
      </c>
      <c r="D7138" s="60"/>
      <c r="E7138" s="74">
        <v>2023</v>
      </c>
      <c r="F7138" s="74" t="s">
        <v>489</v>
      </c>
      <c r="G7138" s="61">
        <v>1</v>
      </c>
      <c r="H7138" s="61">
        <v>15</v>
      </c>
      <c r="I7138" s="61">
        <v>37.962219999999995</v>
      </c>
    </row>
    <row r="7139" spans="1:9" s="71" customFormat="1" ht="24" hidden="1" customHeight="1" outlineLevel="1" x14ac:dyDescent="0.25">
      <c r="A7139" s="74">
        <v>5958</v>
      </c>
      <c r="B7139" s="45" t="s">
        <v>664</v>
      </c>
      <c r="C7139" s="60" t="s">
        <v>6645</v>
      </c>
      <c r="D7139" s="60"/>
      <c r="E7139" s="74">
        <v>2023</v>
      </c>
      <c r="F7139" s="74" t="s">
        <v>489</v>
      </c>
      <c r="G7139" s="61">
        <v>1</v>
      </c>
      <c r="H7139" s="61">
        <v>15</v>
      </c>
      <c r="I7139" s="61">
        <v>37.962139999999998</v>
      </c>
    </row>
    <row r="7140" spans="1:9" s="71" customFormat="1" ht="24" hidden="1" customHeight="1" outlineLevel="1" x14ac:dyDescent="0.25">
      <c r="A7140" s="74">
        <v>5959</v>
      </c>
      <c r="B7140" s="45" t="s">
        <v>664</v>
      </c>
      <c r="C7140" s="60" t="s">
        <v>6646</v>
      </c>
      <c r="D7140" s="60"/>
      <c r="E7140" s="74">
        <v>2023</v>
      </c>
      <c r="F7140" s="74" t="s">
        <v>489</v>
      </c>
      <c r="G7140" s="61">
        <v>1</v>
      </c>
      <c r="H7140" s="61">
        <v>15</v>
      </c>
      <c r="I7140" s="61">
        <v>38.254169999999995</v>
      </c>
    </row>
    <row r="7141" spans="1:9" s="71" customFormat="1" ht="24" hidden="1" customHeight="1" outlineLevel="1" x14ac:dyDescent="0.25">
      <c r="A7141" s="74">
        <v>2275</v>
      </c>
      <c r="B7141" s="45" t="s">
        <v>664</v>
      </c>
      <c r="C7141" s="60" t="s">
        <v>6647</v>
      </c>
      <c r="D7141" s="60"/>
      <c r="E7141" s="74">
        <v>2023</v>
      </c>
      <c r="F7141" s="74" t="s">
        <v>489</v>
      </c>
      <c r="G7141" s="61">
        <v>1</v>
      </c>
      <c r="H7141" s="61">
        <v>10</v>
      </c>
      <c r="I7141" s="61">
        <v>37.045519999999996</v>
      </c>
    </row>
    <row r="7142" spans="1:9" s="71" customFormat="1" ht="24" hidden="1" customHeight="1" outlineLevel="1" x14ac:dyDescent="0.25">
      <c r="A7142" s="74">
        <v>5965</v>
      </c>
      <c r="B7142" s="45" t="s">
        <v>664</v>
      </c>
      <c r="C7142" s="60" t="s">
        <v>6648</v>
      </c>
      <c r="D7142" s="60"/>
      <c r="E7142" s="74">
        <v>2023</v>
      </c>
      <c r="F7142" s="74" t="s">
        <v>489</v>
      </c>
      <c r="G7142" s="61">
        <v>1</v>
      </c>
      <c r="H7142" s="61">
        <v>13.5</v>
      </c>
      <c r="I7142" s="61">
        <v>37.201889999999999</v>
      </c>
    </row>
    <row r="7143" spans="1:9" s="71" customFormat="1" ht="24" hidden="1" customHeight="1" outlineLevel="1" x14ac:dyDescent="0.25">
      <c r="A7143" s="74">
        <v>2209</v>
      </c>
      <c r="B7143" s="45" t="s">
        <v>664</v>
      </c>
      <c r="C7143" s="60" t="s">
        <v>6649</v>
      </c>
      <c r="D7143" s="60"/>
      <c r="E7143" s="74">
        <v>2023</v>
      </c>
      <c r="F7143" s="74" t="s">
        <v>489</v>
      </c>
      <c r="G7143" s="61">
        <v>1</v>
      </c>
      <c r="H7143" s="61">
        <v>7</v>
      </c>
      <c r="I7143" s="61">
        <v>37.045519999999996</v>
      </c>
    </row>
    <row r="7144" spans="1:9" s="71" customFormat="1" ht="24" hidden="1" customHeight="1" outlineLevel="1" x14ac:dyDescent="0.25">
      <c r="A7144" s="74">
        <v>5966</v>
      </c>
      <c r="B7144" s="45" t="s">
        <v>664</v>
      </c>
      <c r="C7144" s="60" t="s">
        <v>6650</v>
      </c>
      <c r="D7144" s="60"/>
      <c r="E7144" s="74">
        <v>2023</v>
      </c>
      <c r="F7144" s="74" t="s">
        <v>489</v>
      </c>
      <c r="G7144" s="61">
        <v>1</v>
      </c>
      <c r="H7144" s="61">
        <v>10</v>
      </c>
      <c r="I7144" s="61">
        <v>37.358280000000001</v>
      </c>
    </row>
    <row r="7145" spans="1:9" s="71" customFormat="1" ht="24" hidden="1" customHeight="1" outlineLevel="1" x14ac:dyDescent="0.25">
      <c r="A7145" s="74">
        <v>1258</v>
      </c>
      <c r="B7145" s="45" t="s">
        <v>664</v>
      </c>
      <c r="C7145" s="60" t="s">
        <v>6651</v>
      </c>
      <c r="D7145" s="60"/>
      <c r="E7145" s="74">
        <v>2023</v>
      </c>
      <c r="F7145" s="74" t="s">
        <v>489</v>
      </c>
      <c r="G7145" s="61">
        <v>1</v>
      </c>
      <c r="H7145" s="61">
        <v>15</v>
      </c>
      <c r="I7145" s="61">
        <v>37.045900000000003</v>
      </c>
    </row>
    <row r="7146" spans="1:9" s="71" customFormat="1" ht="24" hidden="1" customHeight="1" outlineLevel="1" x14ac:dyDescent="0.25">
      <c r="A7146" s="74">
        <v>5968</v>
      </c>
      <c r="B7146" s="45" t="s">
        <v>664</v>
      </c>
      <c r="C7146" s="60" t="s">
        <v>6652</v>
      </c>
      <c r="D7146" s="60"/>
      <c r="E7146" s="74">
        <v>2023</v>
      </c>
      <c r="F7146" s="74" t="s">
        <v>489</v>
      </c>
      <c r="G7146" s="61">
        <v>1</v>
      </c>
      <c r="H7146" s="61">
        <v>15</v>
      </c>
      <c r="I7146" s="61">
        <v>37.840890000000002</v>
      </c>
    </row>
    <row r="7147" spans="1:9" s="71" customFormat="1" ht="24" hidden="1" customHeight="1" outlineLevel="1" x14ac:dyDescent="0.25">
      <c r="A7147" s="74">
        <v>5969</v>
      </c>
      <c r="B7147" s="45" t="s">
        <v>664</v>
      </c>
      <c r="C7147" s="60" t="s">
        <v>6653</v>
      </c>
      <c r="D7147" s="60"/>
      <c r="E7147" s="74">
        <v>2023</v>
      </c>
      <c r="F7147" s="74" t="s">
        <v>489</v>
      </c>
      <c r="G7147" s="61">
        <v>1</v>
      </c>
      <c r="H7147" s="61">
        <v>15</v>
      </c>
      <c r="I7147" s="61">
        <v>38.099889999999995</v>
      </c>
    </row>
    <row r="7148" spans="1:9" s="71" customFormat="1" ht="24" hidden="1" customHeight="1" outlineLevel="1" x14ac:dyDescent="0.25">
      <c r="A7148" s="74">
        <v>5971</v>
      </c>
      <c r="B7148" s="45" t="s">
        <v>664</v>
      </c>
      <c r="C7148" s="60" t="s">
        <v>6654</v>
      </c>
      <c r="D7148" s="60"/>
      <c r="E7148" s="74">
        <v>2023</v>
      </c>
      <c r="F7148" s="74" t="s">
        <v>489</v>
      </c>
      <c r="G7148" s="61">
        <v>1</v>
      </c>
      <c r="H7148" s="61">
        <v>15</v>
      </c>
      <c r="I7148" s="61">
        <v>37.840890000000002</v>
      </c>
    </row>
    <row r="7149" spans="1:9" s="71" customFormat="1" ht="24" hidden="1" customHeight="1" outlineLevel="1" x14ac:dyDescent="0.25">
      <c r="A7149" s="74">
        <v>2653</v>
      </c>
      <c r="B7149" s="45" t="s">
        <v>664</v>
      </c>
      <c r="C7149" s="60" t="s">
        <v>6655</v>
      </c>
      <c r="D7149" s="60"/>
      <c r="E7149" s="74">
        <v>2023</v>
      </c>
      <c r="F7149" s="74" t="s">
        <v>489</v>
      </c>
      <c r="G7149" s="61">
        <v>1</v>
      </c>
      <c r="H7149" s="61">
        <v>1</v>
      </c>
      <c r="I7149" s="61">
        <v>37.840890000000002</v>
      </c>
    </row>
    <row r="7150" spans="1:9" s="71" customFormat="1" ht="24" hidden="1" customHeight="1" outlineLevel="1" x14ac:dyDescent="0.25">
      <c r="A7150" s="74">
        <v>5972</v>
      </c>
      <c r="B7150" s="45" t="s">
        <v>664</v>
      </c>
      <c r="C7150" s="60" t="s">
        <v>6656</v>
      </c>
      <c r="D7150" s="60"/>
      <c r="E7150" s="74">
        <v>2023</v>
      </c>
      <c r="F7150" s="74" t="s">
        <v>489</v>
      </c>
      <c r="G7150" s="61">
        <v>1</v>
      </c>
      <c r="H7150" s="61">
        <v>14.1</v>
      </c>
      <c r="I7150" s="61">
        <v>37.840890000000002</v>
      </c>
    </row>
    <row r="7151" spans="1:9" s="71" customFormat="1" ht="24" hidden="1" customHeight="1" outlineLevel="1" x14ac:dyDescent="0.25">
      <c r="A7151" s="74">
        <v>5973</v>
      </c>
      <c r="B7151" s="45" t="s">
        <v>664</v>
      </c>
      <c r="C7151" s="60" t="s">
        <v>6657</v>
      </c>
      <c r="D7151" s="60"/>
      <c r="E7151" s="74">
        <v>2023</v>
      </c>
      <c r="F7151" s="74" t="s">
        <v>489</v>
      </c>
      <c r="G7151" s="61">
        <v>1</v>
      </c>
      <c r="H7151" s="61">
        <v>15</v>
      </c>
      <c r="I7151" s="61">
        <v>37.840890000000002</v>
      </c>
    </row>
    <row r="7152" spans="1:9" s="71" customFormat="1" ht="24" hidden="1" customHeight="1" outlineLevel="1" x14ac:dyDescent="0.25">
      <c r="A7152" s="74">
        <v>5975</v>
      </c>
      <c r="B7152" s="45" t="s">
        <v>664</v>
      </c>
      <c r="C7152" s="60" t="s">
        <v>6658</v>
      </c>
      <c r="D7152" s="60"/>
      <c r="E7152" s="74">
        <v>2023</v>
      </c>
      <c r="F7152" s="74" t="s">
        <v>489</v>
      </c>
      <c r="G7152" s="61">
        <v>1</v>
      </c>
      <c r="H7152" s="61">
        <v>12</v>
      </c>
      <c r="I7152" s="61">
        <v>37.840879999999999</v>
      </c>
    </row>
    <row r="7153" spans="1:9" s="71" customFormat="1" ht="24" hidden="1" customHeight="1" outlineLevel="1" x14ac:dyDescent="0.25">
      <c r="A7153" s="74">
        <v>5979</v>
      </c>
      <c r="B7153" s="45" t="s">
        <v>664</v>
      </c>
      <c r="C7153" s="60" t="s">
        <v>6659</v>
      </c>
      <c r="D7153" s="60"/>
      <c r="E7153" s="74">
        <v>2023</v>
      </c>
      <c r="F7153" s="74" t="s">
        <v>489</v>
      </c>
      <c r="G7153" s="61">
        <v>1</v>
      </c>
      <c r="H7153" s="61">
        <v>7.5</v>
      </c>
      <c r="I7153" s="61">
        <v>36.748820000000002</v>
      </c>
    </row>
    <row r="7154" spans="1:9" s="71" customFormat="1" ht="24" hidden="1" customHeight="1" outlineLevel="1" x14ac:dyDescent="0.25">
      <c r="A7154" s="74">
        <v>5981</v>
      </c>
      <c r="B7154" s="45" t="s">
        <v>664</v>
      </c>
      <c r="C7154" s="60" t="s">
        <v>6660</v>
      </c>
      <c r="D7154" s="60"/>
      <c r="E7154" s="74">
        <v>2023</v>
      </c>
      <c r="F7154" s="74" t="s">
        <v>489</v>
      </c>
      <c r="G7154" s="61">
        <v>1</v>
      </c>
      <c r="H7154" s="61">
        <v>15</v>
      </c>
      <c r="I7154" s="61">
        <v>36.748809999999999</v>
      </c>
    </row>
    <row r="7155" spans="1:9" s="71" customFormat="1" ht="24" hidden="1" customHeight="1" outlineLevel="1" x14ac:dyDescent="0.25">
      <c r="A7155" s="74">
        <v>5988</v>
      </c>
      <c r="B7155" s="45" t="s">
        <v>664</v>
      </c>
      <c r="C7155" s="60" t="s">
        <v>6661</v>
      </c>
      <c r="D7155" s="60"/>
      <c r="E7155" s="74">
        <v>2023</v>
      </c>
      <c r="F7155" s="74" t="s">
        <v>489</v>
      </c>
      <c r="G7155" s="61">
        <v>1</v>
      </c>
      <c r="H7155" s="61">
        <v>50</v>
      </c>
      <c r="I7155" s="61">
        <v>36.574349999999995</v>
      </c>
    </row>
    <row r="7156" spans="1:9" s="71" customFormat="1" ht="24" hidden="1" customHeight="1" outlineLevel="1" x14ac:dyDescent="0.25">
      <c r="A7156" s="74">
        <v>5989</v>
      </c>
      <c r="B7156" s="45" t="s">
        <v>664</v>
      </c>
      <c r="C7156" s="60" t="s">
        <v>6662</v>
      </c>
      <c r="D7156" s="60"/>
      <c r="E7156" s="74">
        <v>2023</v>
      </c>
      <c r="F7156" s="74" t="s">
        <v>489</v>
      </c>
      <c r="G7156" s="61">
        <v>1</v>
      </c>
      <c r="H7156" s="61">
        <v>12</v>
      </c>
      <c r="I7156" s="61">
        <v>36.57441</v>
      </c>
    </row>
    <row r="7157" spans="1:9" s="71" customFormat="1" ht="24" hidden="1" customHeight="1" outlineLevel="1" x14ac:dyDescent="0.25">
      <c r="A7157" s="74">
        <v>5991</v>
      </c>
      <c r="B7157" s="45" t="s">
        <v>664</v>
      </c>
      <c r="C7157" s="60" t="s">
        <v>6663</v>
      </c>
      <c r="D7157" s="60"/>
      <c r="E7157" s="74">
        <v>2023</v>
      </c>
      <c r="F7157" s="74" t="s">
        <v>489</v>
      </c>
      <c r="G7157" s="61">
        <v>1</v>
      </c>
      <c r="H7157" s="61">
        <v>40</v>
      </c>
      <c r="I7157" s="61">
        <v>36.574419999999996</v>
      </c>
    </row>
    <row r="7158" spans="1:9" s="71" customFormat="1" ht="24" hidden="1" customHeight="1" outlineLevel="1" x14ac:dyDescent="0.25">
      <c r="A7158" s="74">
        <v>2725</v>
      </c>
      <c r="B7158" s="45" t="s">
        <v>664</v>
      </c>
      <c r="C7158" s="60" t="s">
        <v>6664</v>
      </c>
      <c r="D7158" s="60"/>
      <c r="E7158" s="74">
        <v>2023</v>
      </c>
      <c r="F7158" s="74" t="s">
        <v>489</v>
      </c>
      <c r="G7158" s="61">
        <v>1</v>
      </c>
      <c r="H7158" s="61">
        <v>5</v>
      </c>
      <c r="I7158" s="61">
        <v>37.835700000000003</v>
      </c>
    </row>
    <row r="7159" spans="1:9" s="71" customFormat="1" ht="24" hidden="1" customHeight="1" outlineLevel="1" x14ac:dyDescent="0.25">
      <c r="A7159" s="74">
        <v>5992</v>
      </c>
      <c r="B7159" s="45" t="s">
        <v>664</v>
      </c>
      <c r="C7159" s="60" t="s">
        <v>6665</v>
      </c>
      <c r="D7159" s="60"/>
      <c r="E7159" s="74">
        <v>2023</v>
      </c>
      <c r="F7159" s="74" t="s">
        <v>489</v>
      </c>
      <c r="G7159" s="61">
        <v>1</v>
      </c>
      <c r="H7159" s="61">
        <v>15</v>
      </c>
      <c r="I7159" s="61">
        <v>37.859620000000007</v>
      </c>
    </row>
    <row r="7160" spans="1:9" s="71" customFormat="1" ht="24" hidden="1" customHeight="1" outlineLevel="1" x14ac:dyDescent="0.25">
      <c r="A7160" s="74">
        <v>6001</v>
      </c>
      <c r="B7160" s="45" t="s">
        <v>664</v>
      </c>
      <c r="C7160" s="60" t="s">
        <v>6666</v>
      </c>
      <c r="D7160" s="60"/>
      <c r="E7160" s="74">
        <v>2023</v>
      </c>
      <c r="F7160" s="74" t="s">
        <v>489</v>
      </c>
      <c r="G7160" s="61">
        <v>1</v>
      </c>
      <c r="H7160" s="61">
        <v>15</v>
      </c>
      <c r="I7160" s="61">
        <v>38.01003</v>
      </c>
    </row>
    <row r="7161" spans="1:9" s="71" customFormat="1" ht="24" hidden="1" customHeight="1" outlineLevel="1" x14ac:dyDescent="0.25">
      <c r="A7161" s="74">
        <v>6010</v>
      </c>
      <c r="B7161" s="45" t="s">
        <v>664</v>
      </c>
      <c r="C7161" s="60" t="s">
        <v>6667</v>
      </c>
      <c r="D7161" s="60"/>
      <c r="E7161" s="74">
        <v>2023</v>
      </c>
      <c r="F7161" s="74" t="s">
        <v>489</v>
      </c>
      <c r="G7161" s="61">
        <v>1</v>
      </c>
      <c r="H7161" s="61">
        <v>15</v>
      </c>
      <c r="I7161" s="61">
        <v>38.17689</v>
      </c>
    </row>
    <row r="7162" spans="1:9" s="71" customFormat="1" ht="24" hidden="1" customHeight="1" outlineLevel="1" x14ac:dyDescent="0.25">
      <c r="A7162" s="74">
        <v>2014</v>
      </c>
      <c r="B7162" s="45" t="s">
        <v>664</v>
      </c>
      <c r="C7162" s="60" t="s">
        <v>6668</v>
      </c>
      <c r="D7162" s="60"/>
      <c r="E7162" s="74">
        <v>2023</v>
      </c>
      <c r="F7162" s="74" t="s">
        <v>489</v>
      </c>
      <c r="G7162" s="61">
        <v>1</v>
      </c>
      <c r="H7162" s="61">
        <v>7</v>
      </c>
      <c r="I7162" s="61">
        <v>38.010100000000001</v>
      </c>
    </row>
    <row r="7163" spans="1:9" s="71" customFormat="1" ht="24" hidden="1" customHeight="1" outlineLevel="1" x14ac:dyDescent="0.25">
      <c r="A7163" s="74">
        <v>6016</v>
      </c>
      <c r="B7163" s="45" t="s">
        <v>664</v>
      </c>
      <c r="C7163" s="60" t="s">
        <v>6669</v>
      </c>
      <c r="D7163" s="60"/>
      <c r="E7163" s="74">
        <v>2023</v>
      </c>
      <c r="F7163" s="74" t="s">
        <v>489</v>
      </c>
      <c r="G7163" s="61">
        <v>1</v>
      </c>
      <c r="H7163" s="61">
        <v>15</v>
      </c>
      <c r="I7163" s="61">
        <v>38.03398</v>
      </c>
    </row>
    <row r="7164" spans="1:9" s="71" customFormat="1" ht="24" hidden="1" customHeight="1" outlineLevel="1" x14ac:dyDescent="0.25">
      <c r="A7164" s="74">
        <v>6026</v>
      </c>
      <c r="B7164" s="45" t="s">
        <v>664</v>
      </c>
      <c r="C7164" s="60" t="s">
        <v>6670</v>
      </c>
      <c r="D7164" s="60"/>
      <c r="E7164" s="74">
        <v>2023</v>
      </c>
      <c r="F7164" s="74" t="s">
        <v>489</v>
      </c>
      <c r="G7164" s="61">
        <v>1</v>
      </c>
      <c r="H7164" s="61">
        <v>15</v>
      </c>
      <c r="I7164" s="61">
        <v>38.034019999999998</v>
      </c>
    </row>
    <row r="7165" spans="1:9" s="71" customFormat="1" ht="24" hidden="1" customHeight="1" outlineLevel="1" x14ac:dyDescent="0.25">
      <c r="A7165" s="74">
        <v>6027</v>
      </c>
      <c r="B7165" s="45" t="s">
        <v>664</v>
      </c>
      <c r="C7165" s="60" t="s">
        <v>6671</v>
      </c>
      <c r="D7165" s="60"/>
      <c r="E7165" s="74">
        <v>2023</v>
      </c>
      <c r="F7165" s="74" t="s">
        <v>489</v>
      </c>
      <c r="G7165" s="61">
        <v>1</v>
      </c>
      <c r="H7165" s="61">
        <v>15</v>
      </c>
      <c r="I7165" s="61">
        <v>38.033439999999999</v>
      </c>
    </row>
    <row r="7166" spans="1:9" s="71" customFormat="1" ht="24" hidden="1" customHeight="1" outlineLevel="1" x14ac:dyDescent="0.25">
      <c r="A7166" s="74">
        <v>5012</v>
      </c>
      <c r="B7166" s="45" t="s">
        <v>664</v>
      </c>
      <c r="C7166" s="60" t="s">
        <v>6672</v>
      </c>
      <c r="D7166" s="60"/>
      <c r="E7166" s="74">
        <v>2023</v>
      </c>
      <c r="F7166" s="74" t="s">
        <v>489</v>
      </c>
      <c r="G7166" s="61">
        <v>2</v>
      </c>
      <c r="H7166" s="61">
        <v>800</v>
      </c>
      <c r="I7166" s="61">
        <v>1604.5494699999999</v>
      </c>
    </row>
    <row r="7167" spans="1:9" s="71" customFormat="1" ht="24" hidden="1" customHeight="1" outlineLevel="1" x14ac:dyDescent="0.25">
      <c r="A7167" s="74">
        <v>2981</v>
      </c>
      <c r="B7167" s="45" t="s">
        <v>664</v>
      </c>
      <c r="C7167" s="60" t="s">
        <v>6673</v>
      </c>
      <c r="D7167" s="60"/>
      <c r="E7167" s="74">
        <v>2023</v>
      </c>
      <c r="F7167" s="74" t="s">
        <v>489</v>
      </c>
      <c r="G7167" s="61">
        <v>1</v>
      </c>
      <c r="H7167" s="61">
        <v>55</v>
      </c>
      <c r="I7167" s="61">
        <v>69.110510000000005</v>
      </c>
    </row>
    <row r="7168" spans="1:9" s="71" customFormat="1" ht="24" hidden="1" customHeight="1" outlineLevel="1" x14ac:dyDescent="0.25">
      <c r="A7168" s="74">
        <v>5034</v>
      </c>
      <c r="B7168" s="45" t="s">
        <v>664</v>
      </c>
      <c r="C7168" s="60" t="s">
        <v>6674</v>
      </c>
      <c r="D7168" s="60"/>
      <c r="E7168" s="74">
        <v>2023</v>
      </c>
      <c r="F7168" s="74" t="s">
        <v>489</v>
      </c>
      <c r="G7168" s="61">
        <v>1</v>
      </c>
      <c r="H7168" s="61">
        <v>15</v>
      </c>
      <c r="I7168" s="61">
        <v>67.156800000000004</v>
      </c>
    </row>
    <row r="7169" spans="1:9" s="71" customFormat="1" ht="24" hidden="1" customHeight="1" outlineLevel="1" x14ac:dyDescent="0.25">
      <c r="A7169" s="74">
        <v>445</v>
      </c>
      <c r="B7169" s="45" t="s">
        <v>664</v>
      </c>
      <c r="C7169" s="60" t="s">
        <v>6675</v>
      </c>
      <c r="D7169" s="60"/>
      <c r="E7169" s="74">
        <v>2023</v>
      </c>
      <c r="F7169" s="74" t="s">
        <v>489</v>
      </c>
      <c r="G7169" s="61">
        <v>2</v>
      </c>
      <c r="H7169" s="61">
        <v>30</v>
      </c>
      <c r="I7169" s="61">
        <v>74.832239999999999</v>
      </c>
    </row>
    <row r="7170" spans="1:9" s="71" customFormat="1" ht="24" hidden="1" customHeight="1" outlineLevel="1" x14ac:dyDescent="0.25">
      <c r="A7170" s="74">
        <v>3010</v>
      </c>
      <c r="B7170" s="45" t="s">
        <v>664</v>
      </c>
      <c r="C7170" s="60" t="s">
        <v>6676</v>
      </c>
      <c r="D7170" s="60"/>
      <c r="E7170" s="74">
        <v>2023</v>
      </c>
      <c r="F7170" s="74" t="s">
        <v>489</v>
      </c>
      <c r="G7170" s="61">
        <v>1</v>
      </c>
      <c r="H7170" s="61">
        <v>100</v>
      </c>
      <c r="I7170" s="61">
        <v>90.275829999999999</v>
      </c>
    </row>
    <row r="7171" spans="1:9" s="71" customFormat="1" ht="24" hidden="1" customHeight="1" outlineLevel="1" x14ac:dyDescent="0.25">
      <c r="A7171" s="74">
        <v>3922</v>
      </c>
      <c r="B7171" s="45" t="s">
        <v>664</v>
      </c>
      <c r="C7171" s="60" t="s">
        <v>6677</v>
      </c>
      <c r="D7171" s="60"/>
      <c r="E7171" s="74">
        <v>2023</v>
      </c>
      <c r="F7171" s="74" t="s">
        <v>489</v>
      </c>
      <c r="G7171" s="61">
        <v>1</v>
      </c>
      <c r="H7171" s="61">
        <v>15</v>
      </c>
      <c r="I7171" s="61">
        <v>48.782550000000001</v>
      </c>
    </row>
    <row r="7172" spans="1:9" s="71" customFormat="1" ht="24" hidden="1" customHeight="1" outlineLevel="1" x14ac:dyDescent="0.25">
      <c r="A7172" s="74">
        <v>3214</v>
      </c>
      <c r="B7172" s="45" t="s">
        <v>664</v>
      </c>
      <c r="C7172" s="60" t="s">
        <v>6678</v>
      </c>
      <c r="D7172" s="60"/>
      <c r="E7172" s="74">
        <v>2023</v>
      </c>
      <c r="F7172" s="74" t="s">
        <v>489</v>
      </c>
      <c r="G7172" s="61">
        <v>1</v>
      </c>
      <c r="H7172" s="61">
        <v>15</v>
      </c>
      <c r="I7172" s="61">
        <v>61.823059999999998</v>
      </c>
    </row>
    <row r="7173" spans="1:9" s="71" customFormat="1" ht="24" hidden="1" customHeight="1" outlineLevel="1" x14ac:dyDescent="0.25">
      <c r="A7173" s="74">
        <v>5049</v>
      </c>
      <c r="B7173" s="45" t="s">
        <v>664</v>
      </c>
      <c r="C7173" s="60" t="s">
        <v>6679</v>
      </c>
      <c r="D7173" s="60"/>
      <c r="E7173" s="74">
        <v>2023</v>
      </c>
      <c r="F7173" s="74" t="s">
        <v>489</v>
      </c>
      <c r="G7173" s="61">
        <v>1</v>
      </c>
      <c r="H7173" s="61">
        <v>70</v>
      </c>
      <c r="I7173" s="61">
        <v>68.412940000000006</v>
      </c>
    </row>
    <row r="7174" spans="1:9" s="71" customFormat="1" ht="24" hidden="1" customHeight="1" outlineLevel="1" x14ac:dyDescent="0.25">
      <c r="A7174" s="74">
        <v>3369</v>
      </c>
      <c r="B7174" s="45" t="s">
        <v>664</v>
      </c>
      <c r="C7174" s="60" t="s">
        <v>6680</v>
      </c>
      <c r="D7174" s="60"/>
      <c r="E7174" s="74">
        <v>2023</v>
      </c>
      <c r="F7174" s="74" t="s">
        <v>489</v>
      </c>
      <c r="G7174" s="61">
        <v>1</v>
      </c>
      <c r="H7174" s="61">
        <v>15</v>
      </c>
      <c r="I7174" s="61">
        <v>76.373380000000012</v>
      </c>
    </row>
    <row r="7175" spans="1:9" s="71" customFormat="1" ht="24" hidden="1" customHeight="1" outlineLevel="1" x14ac:dyDescent="0.25">
      <c r="A7175" s="74">
        <v>582</v>
      </c>
      <c r="B7175" s="45" t="s">
        <v>664</v>
      </c>
      <c r="C7175" s="60" t="s">
        <v>6681</v>
      </c>
      <c r="D7175" s="60"/>
      <c r="E7175" s="74">
        <v>2023</v>
      </c>
      <c r="F7175" s="74" t="s">
        <v>489</v>
      </c>
      <c r="G7175" s="61">
        <v>1</v>
      </c>
      <c r="H7175" s="61">
        <v>10</v>
      </c>
      <c r="I7175" s="61">
        <v>58.915339999999993</v>
      </c>
    </row>
    <row r="7176" spans="1:9" s="71" customFormat="1" ht="24" hidden="1" customHeight="1" outlineLevel="1" x14ac:dyDescent="0.25">
      <c r="A7176" s="74">
        <v>598</v>
      </c>
      <c r="B7176" s="45" t="s">
        <v>664</v>
      </c>
      <c r="C7176" s="60" t="s">
        <v>6682</v>
      </c>
      <c r="D7176" s="60"/>
      <c r="E7176" s="74">
        <v>2023</v>
      </c>
      <c r="F7176" s="74" t="s">
        <v>489</v>
      </c>
      <c r="G7176" s="61">
        <v>1</v>
      </c>
      <c r="H7176" s="61">
        <v>15</v>
      </c>
      <c r="I7176" s="61">
        <v>62.515310000000007</v>
      </c>
    </row>
    <row r="7177" spans="1:9" s="71" customFormat="1" ht="24" hidden="1" customHeight="1" outlineLevel="1" x14ac:dyDescent="0.25">
      <c r="A7177" s="74">
        <v>727</v>
      </c>
      <c r="B7177" s="45" t="s">
        <v>664</v>
      </c>
      <c r="C7177" s="60" t="s">
        <v>6683</v>
      </c>
      <c r="D7177" s="60"/>
      <c r="E7177" s="74">
        <v>2023</v>
      </c>
      <c r="F7177" s="74" t="s">
        <v>489</v>
      </c>
      <c r="G7177" s="61">
        <v>1</v>
      </c>
      <c r="H7177" s="61">
        <v>14</v>
      </c>
      <c r="I7177" s="61">
        <v>61.254089999999998</v>
      </c>
    </row>
    <row r="7178" spans="1:9" s="71" customFormat="1" ht="24" hidden="1" customHeight="1" outlineLevel="1" x14ac:dyDescent="0.25">
      <c r="A7178" s="74">
        <v>790</v>
      </c>
      <c r="B7178" s="45" t="s">
        <v>664</v>
      </c>
      <c r="C7178" s="60" t="s">
        <v>6684</v>
      </c>
      <c r="D7178" s="60"/>
      <c r="E7178" s="74">
        <v>2023</v>
      </c>
      <c r="F7178" s="74" t="s">
        <v>489</v>
      </c>
      <c r="G7178" s="61">
        <v>1</v>
      </c>
      <c r="H7178" s="61">
        <v>15</v>
      </c>
      <c r="I7178" s="61">
        <v>63.654060000000001</v>
      </c>
    </row>
    <row r="7179" spans="1:9" s="71" customFormat="1" ht="24" hidden="1" customHeight="1" outlineLevel="1" x14ac:dyDescent="0.25">
      <c r="A7179" s="74">
        <v>3056</v>
      </c>
      <c r="B7179" s="45" t="s">
        <v>664</v>
      </c>
      <c r="C7179" s="60" t="s">
        <v>6685</v>
      </c>
      <c r="D7179" s="60"/>
      <c r="E7179" s="74">
        <v>2023</v>
      </c>
      <c r="F7179" s="74" t="s">
        <v>489</v>
      </c>
      <c r="G7179" s="61">
        <v>1</v>
      </c>
      <c r="H7179" s="61">
        <v>100</v>
      </c>
      <c r="I7179" s="61">
        <v>81.327500000000001</v>
      </c>
    </row>
    <row r="7180" spans="1:9" s="71" customFormat="1" ht="24" hidden="1" customHeight="1" outlineLevel="1" x14ac:dyDescent="0.25">
      <c r="A7180" s="74">
        <v>3058</v>
      </c>
      <c r="B7180" s="45" t="s">
        <v>664</v>
      </c>
      <c r="C7180" s="60" t="s">
        <v>251</v>
      </c>
      <c r="D7180" s="60"/>
      <c r="E7180" s="74">
        <v>2023</v>
      </c>
      <c r="F7180" s="74" t="s">
        <v>489</v>
      </c>
      <c r="G7180" s="61">
        <v>1</v>
      </c>
      <c r="H7180" s="61">
        <v>85</v>
      </c>
      <c r="I7180" s="61">
        <v>74.907390000000007</v>
      </c>
    </row>
    <row r="7181" spans="1:9" s="71" customFormat="1" ht="24" hidden="1" customHeight="1" outlineLevel="1" x14ac:dyDescent="0.25">
      <c r="A7181" s="74">
        <v>1009</v>
      </c>
      <c r="B7181" s="45" t="s">
        <v>664</v>
      </c>
      <c r="C7181" s="60" t="s">
        <v>6686</v>
      </c>
      <c r="D7181" s="60"/>
      <c r="E7181" s="74">
        <v>2023</v>
      </c>
      <c r="F7181" s="74" t="s">
        <v>489</v>
      </c>
      <c r="G7181" s="61">
        <v>1</v>
      </c>
      <c r="H7181" s="61">
        <v>15</v>
      </c>
      <c r="I7181" s="61">
        <v>67.736909999999995</v>
      </c>
    </row>
    <row r="7182" spans="1:9" s="71" customFormat="1" ht="24" hidden="1" customHeight="1" outlineLevel="1" x14ac:dyDescent="0.25">
      <c r="A7182" s="74">
        <v>5152</v>
      </c>
      <c r="B7182" s="45" t="s">
        <v>664</v>
      </c>
      <c r="C7182" s="60" t="s">
        <v>579</v>
      </c>
      <c r="D7182" s="60"/>
      <c r="E7182" s="74">
        <v>2023</v>
      </c>
      <c r="F7182" s="74" t="s">
        <v>489</v>
      </c>
      <c r="G7182" s="61">
        <v>1</v>
      </c>
      <c r="H7182" s="61">
        <v>60</v>
      </c>
      <c r="I7182" s="61">
        <v>92.114779999999996</v>
      </c>
    </row>
    <row r="7183" spans="1:9" s="71" customFormat="1" ht="24" hidden="1" customHeight="1" outlineLevel="1" x14ac:dyDescent="0.25">
      <c r="A7183" s="74">
        <v>752</v>
      </c>
      <c r="B7183" s="45" t="s">
        <v>664</v>
      </c>
      <c r="C7183" s="60" t="s">
        <v>6687</v>
      </c>
      <c r="D7183" s="60"/>
      <c r="E7183" s="74">
        <v>2023</v>
      </c>
      <c r="F7183" s="74" t="s">
        <v>489</v>
      </c>
      <c r="G7183" s="61">
        <v>1</v>
      </c>
      <c r="H7183" s="61">
        <v>20</v>
      </c>
      <c r="I7183" s="61">
        <v>73.324029999999993</v>
      </c>
    </row>
    <row r="7184" spans="1:9" s="71" customFormat="1" ht="24" hidden="1" customHeight="1" outlineLevel="1" x14ac:dyDescent="0.25">
      <c r="A7184" s="74">
        <v>5511</v>
      </c>
      <c r="B7184" s="45" t="s">
        <v>664</v>
      </c>
      <c r="C7184" s="60" t="s">
        <v>252</v>
      </c>
      <c r="D7184" s="60"/>
      <c r="E7184" s="74">
        <v>2023</v>
      </c>
      <c r="F7184" s="74" t="s">
        <v>489</v>
      </c>
      <c r="G7184" s="61">
        <v>1</v>
      </c>
      <c r="H7184" s="61">
        <v>150</v>
      </c>
      <c r="I7184" s="61">
        <v>96.441810000000004</v>
      </c>
    </row>
    <row r="7185" spans="1:9" s="71" customFormat="1" ht="24" hidden="1" customHeight="1" outlineLevel="1" x14ac:dyDescent="0.25">
      <c r="A7185" s="74">
        <v>3300</v>
      </c>
      <c r="B7185" s="45" t="s">
        <v>664</v>
      </c>
      <c r="C7185" s="60" t="s">
        <v>6688</v>
      </c>
      <c r="D7185" s="60"/>
      <c r="E7185" s="74">
        <v>2023</v>
      </c>
      <c r="F7185" s="74" t="s">
        <v>489</v>
      </c>
      <c r="G7185" s="61">
        <v>1</v>
      </c>
      <c r="H7185" s="61">
        <v>15</v>
      </c>
      <c r="I7185" s="61">
        <v>70.616810000000001</v>
      </c>
    </row>
    <row r="7186" spans="1:9" s="71" customFormat="1" ht="24" hidden="1" customHeight="1" outlineLevel="1" x14ac:dyDescent="0.25">
      <c r="A7186" s="74">
        <v>3282</v>
      </c>
      <c r="B7186" s="45" t="s">
        <v>664</v>
      </c>
      <c r="C7186" s="60" t="s">
        <v>6689</v>
      </c>
      <c r="D7186" s="60"/>
      <c r="E7186" s="74">
        <v>2023</v>
      </c>
      <c r="F7186" s="74" t="s">
        <v>489</v>
      </c>
      <c r="G7186" s="61">
        <v>1</v>
      </c>
      <c r="H7186" s="61">
        <v>15</v>
      </c>
      <c r="I7186" s="61">
        <v>71.386769999999999</v>
      </c>
    </row>
    <row r="7187" spans="1:9" s="71" customFormat="1" ht="24" hidden="1" customHeight="1" outlineLevel="1" x14ac:dyDescent="0.25">
      <c r="A7187" s="74">
        <v>1993</v>
      </c>
      <c r="B7187" s="45" t="s">
        <v>664</v>
      </c>
      <c r="C7187" s="60" t="s">
        <v>6690</v>
      </c>
      <c r="D7187" s="60"/>
      <c r="E7187" s="74">
        <v>2023</v>
      </c>
      <c r="F7187" s="74" t="s">
        <v>489</v>
      </c>
      <c r="G7187" s="61">
        <v>1</v>
      </c>
      <c r="H7187" s="61">
        <v>7</v>
      </c>
      <c r="I7187" s="61">
        <v>51.768560000000001</v>
      </c>
    </row>
    <row r="7188" spans="1:9" s="71" customFormat="1" ht="24" hidden="1" customHeight="1" outlineLevel="1" x14ac:dyDescent="0.25">
      <c r="A7188" s="74">
        <v>3144</v>
      </c>
      <c r="B7188" s="45" t="s">
        <v>664</v>
      </c>
      <c r="C7188" s="60" t="s">
        <v>6691</v>
      </c>
      <c r="D7188" s="60"/>
      <c r="E7188" s="74">
        <v>2023</v>
      </c>
      <c r="F7188" s="74" t="s">
        <v>489</v>
      </c>
      <c r="G7188" s="61">
        <v>1</v>
      </c>
      <c r="H7188" s="61">
        <v>100</v>
      </c>
      <c r="I7188" s="61">
        <v>81.907530000000008</v>
      </c>
    </row>
    <row r="7189" spans="1:9" s="71" customFormat="1" ht="24" hidden="1" customHeight="1" outlineLevel="1" x14ac:dyDescent="0.25">
      <c r="A7189" s="74">
        <v>2204</v>
      </c>
      <c r="B7189" s="45" t="s">
        <v>664</v>
      </c>
      <c r="C7189" s="60" t="s">
        <v>6692</v>
      </c>
      <c r="D7189" s="60"/>
      <c r="E7189" s="74">
        <v>2023</v>
      </c>
      <c r="F7189" s="74" t="s">
        <v>489</v>
      </c>
      <c r="G7189" s="61">
        <v>1</v>
      </c>
      <c r="H7189" s="61">
        <v>20</v>
      </c>
      <c r="I7189" s="61">
        <v>119.85052</v>
      </c>
    </row>
    <row r="7190" spans="1:9" s="71" customFormat="1" ht="24" hidden="1" customHeight="1" outlineLevel="1" x14ac:dyDescent="0.25">
      <c r="A7190" s="74">
        <v>973</v>
      </c>
      <c r="B7190" s="45" t="s">
        <v>664</v>
      </c>
      <c r="C7190" s="60" t="s">
        <v>6693</v>
      </c>
      <c r="D7190" s="60"/>
      <c r="E7190" s="74">
        <v>2023</v>
      </c>
      <c r="F7190" s="74" t="s">
        <v>489</v>
      </c>
      <c r="G7190" s="61">
        <v>4</v>
      </c>
      <c r="H7190" s="61">
        <v>73</v>
      </c>
      <c r="I7190" s="61">
        <v>345.25711999999999</v>
      </c>
    </row>
    <row r="7191" spans="1:9" s="71" customFormat="1" ht="24" hidden="1" customHeight="1" outlineLevel="1" x14ac:dyDescent="0.25">
      <c r="A7191" s="74">
        <v>906</v>
      </c>
      <c r="B7191" s="45" t="s">
        <v>664</v>
      </c>
      <c r="C7191" s="60" t="s">
        <v>253</v>
      </c>
      <c r="D7191" s="60"/>
      <c r="E7191" s="74">
        <v>2023</v>
      </c>
      <c r="F7191" s="74" t="s">
        <v>489</v>
      </c>
      <c r="G7191" s="61">
        <v>2</v>
      </c>
      <c r="H7191" s="61">
        <v>24</v>
      </c>
      <c r="I7191" s="61">
        <v>239.64518000000001</v>
      </c>
    </row>
    <row r="7192" spans="1:9" s="71" customFormat="1" ht="24" hidden="1" customHeight="1" outlineLevel="1" x14ac:dyDescent="0.25">
      <c r="A7192" s="74">
        <v>3111</v>
      </c>
      <c r="B7192" s="45" t="s">
        <v>664</v>
      </c>
      <c r="C7192" s="60" t="s">
        <v>254</v>
      </c>
      <c r="D7192" s="60"/>
      <c r="E7192" s="74">
        <v>2023</v>
      </c>
      <c r="F7192" s="74" t="s">
        <v>489</v>
      </c>
      <c r="G7192" s="61">
        <v>1</v>
      </c>
      <c r="H7192" s="61">
        <v>150</v>
      </c>
      <c r="I7192" s="61">
        <v>87.193569999999994</v>
      </c>
    </row>
    <row r="7193" spans="1:9" s="71" customFormat="1" ht="24" hidden="1" customHeight="1" outlineLevel="1" x14ac:dyDescent="0.25">
      <c r="A7193" s="74">
        <v>5797</v>
      </c>
      <c r="B7193" s="45" t="s">
        <v>664</v>
      </c>
      <c r="C7193" s="60" t="s">
        <v>580</v>
      </c>
      <c r="D7193" s="60"/>
      <c r="E7193" s="74">
        <v>2023</v>
      </c>
      <c r="F7193" s="74" t="s">
        <v>489</v>
      </c>
      <c r="G7193" s="61">
        <v>1</v>
      </c>
      <c r="H7193" s="61">
        <v>35</v>
      </c>
      <c r="I7193" s="61">
        <v>73.79795</v>
      </c>
    </row>
    <row r="7194" spans="1:9" s="71" customFormat="1" ht="24" hidden="1" customHeight="1" outlineLevel="1" x14ac:dyDescent="0.25">
      <c r="A7194" s="74">
        <v>1878</v>
      </c>
      <c r="B7194" s="45" t="s">
        <v>664</v>
      </c>
      <c r="C7194" s="60" t="s">
        <v>6694</v>
      </c>
      <c r="D7194" s="60"/>
      <c r="E7194" s="74">
        <v>2023</v>
      </c>
      <c r="F7194" s="74" t="s">
        <v>489</v>
      </c>
      <c r="G7194" s="61">
        <v>1</v>
      </c>
      <c r="H7194" s="61">
        <v>15</v>
      </c>
      <c r="I7194" s="61">
        <v>65.241060000000004</v>
      </c>
    </row>
    <row r="7195" spans="1:9" s="71" customFormat="1" ht="24" hidden="1" customHeight="1" outlineLevel="1" x14ac:dyDescent="0.25">
      <c r="A7195" s="74">
        <v>5854</v>
      </c>
      <c r="B7195" s="45" t="s">
        <v>664</v>
      </c>
      <c r="C7195" s="60" t="s">
        <v>6695</v>
      </c>
      <c r="D7195" s="60"/>
      <c r="E7195" s="74">
        <v>2023</v>
      </c>
      <c r="F7195" s="74" t="s">
        <v>489</v>
      </c>
      <c r="G7195" s="61">
        <v>1</v>
      </c>
      <c r="H7195" s="61">
        <v>13</v>
      </c>
      <c r="I7195" s="61">
        <v>64.707419999999999</v>
      </c>
    </row>
    <row r="7196" spans="1:9" s="71" customFormat="1" ht="24" hidden="1" customHeight="1" outlineLevel="1" x14ac:dyDescent="0.25">
      <c r="A7196" s="74">
        <v>3314</v>
      </c>
      <c r="B7196" s="45" t="s">
        <v>664</v>
      </c>
      <c r="C7196" s="60" t="s">
        <v>6696</v>
      </c>
      <c r="D7196" s="60"/>
      <c r="E7196" s="74">
        <v>2023</v>
      </c>
      <c r="F7196" s="74" t="s">
        <v>489</v>
      </c>
      <c r="G7196" s="61">
        <v>1</v>
      </c>
      <c r="H7196" s="61">
        <v>15</v>
      </c>
      <c r="I7196" s="61">
        <v>66.606399999999994</v>
      </c>
    </row>
    <row r="7197" spans="1:9" s="71" customFormat="1" ht="24" hidden="1" customHeight="1" outlineLevel="1" x14ac:dyDescent="0.25">
      <c r="A7197" s="74">
        <v>2578</v>
      </c>
      <c r="B7197" s="45" t="s">
        <v>664</v>
      </c>
      <c r="C7197" s="60" t="s">
        <v>6697</v>
      </c>
      <c r="D7197" s="60"/>
      <c r="E7197" s="74">
        <v>2023</v>
      </c>
      <c r="F7197" s="74" t="s">
        <v>489</v>
      </c>
      <c r="G7197" s="61">
        <v>1</v>
      </c>
      <c r="H7197" s="61">
        <v>7</v>
      </c>
      <c r="I7197" s="61">
        <v>70.646789999999996</v>
      </c>
    </row>
    <row r="7198" spans="1:9" s="71" customFormat="1" ht="24" hidden="1" customHeight="1" outlineLevel="1" x14ac:dyDescent="0.25">
      <c r="A7198" s="74">
        <v>6034</v>
      </c>
      <c r="B7198" s="45" t="s">
        <v>664</v>
      </c>
      <c r="C7198" s="60" t="s">
        <v>6698</v>
      </c>
      <c r="D7198" s="60"/>
      <c r="E7198" s="74">
        <v>2023</v>
      </c>
      <c r="F7198" s="74" t="s">
        <v>489</v>
      </c>
      <c r="G7198" s="61">
        <v>1</v>
      </c>
      <c r="H7198" s="61">
        <v>15</v>
      </c>
      <c r="I7198" s="61">
        <v>39.331699999999998</v>
      </c>
    </row>
    <row r="7199" spans="1:9" s="71" customFormat="1" ht="24" hidden="1" customHeight="1" outlineLevel="1" x14ac:dyDescent="0.25">
      <c r="A7199" s="74">
        <v>6035</v>
      </c>
      <c r="B7199" s="45" t="s">
        <v>664</v>
      </c>
      <c r="C7199" s="60" t="s">
        <v>6699</v>
      </c>
      <c r="D7199" s="60"/>
      <c r="E7199" s="74">
        <v>2023</v>
      </c>
      <c r="F7199" s="74" t="s">
        <v>489</v>
      </c>
      <c r="G7199" s="61">
        <v>1</v>
      </c>
      <c r="H7199" s="61">
        <v>15</v>
      </c>
      <c r="I7199" s="61">
        <v>39.331699999999998</v>
      </c>
    </row>
    <row r="7200" spans="1:9" s="71" customFormat="1" ht="24" hidden="1" customHeight="1" outlineLevel="1" x14ac:dyDescent="0.25">
      <c r="A7200" s="74">
        <v>6036</v>
      </c>
      <c r="B7200" s="45" t="s">
        <v>664</v>
      </c>
      <c r="C7200" s="60" t="s">
        <v>6700</v>
      </c>
      <c r="D7200" s="60"/>
      <c r="E7200" s="74">
        <v>2023</v>
      </c>
      <c r="F7200" s="74" t="s">
        <v>489</v>
      </c>
      <c r="G7200" s="61">
        <v>1</v>
      </c>
      <c r="H7200" s="61">
        <v>24</v>
      </c>
      <c r="I7200" s="61">
        <v>38.288669999999996</v>
      </c>
    </row>
    <row r="7201" spans="1:9" s="71" customFormat="1" ht="24" hidden="1" customHeight="1" outlineLevel="1" x14ac:dyDescent="0.25">
      <c r="A7201" s="74">
        <v>6039</v>
      </c>
      <c r="B7201" s="45" t="s">
        <v>664</v>
      </c>
      <c r="C7201" s="60" t="s">
        <v>6701</v>
      </c>
      <c r="D7201" s="60"/>
      <c r="E7201" s="74">
        <v>2023</v>
      </c>
      <c r="F7201" s="74" t="s">
        <v>489</v>
      </c>
      <c r="G7201" s="61">
        <v>1</v>
      </c>
      <c r="H7201" s="61">
        <v>10</v>
      </c>
      <c r="I7201" s="61">
        <v>36.741839999999996</v>
      </c>
    </row>
    <row r="7202" spans="1:9" s="71" customFormat="1" ht="24" hidden="1" customHeight="1" outlineLevel="1" x14ac:dyDescent="0.25">
      <c r="A7202" s="74">
        <v>6043</v>
      </c>
      <c r="B7202" s="45" t="s">
        <v>664</v>
      </c>
      <c r="C7202" s="60" t="s">
        <v>6702</v>
      </c>
      <c r="D7202" s="60"/>
      <c r="E7202" s="74">
        <v>2023</v>
      </c>
      <c r="F7202" s="74" t="s">
        <v>489</v>
      </c>
      <c r="G7202" s="61">
        <v>1</v>
      </c>
      <c r="H7202" s="61">
        <v>15</v>
      </c>
      <c r="I7202" s="61">
        <v>37.551139999999997</v>
      </c>
    </row>
    <row r="7203" spans="1:9" s="71" customFormat="1" ht="24" hidden="1" customHeight="1" outlineLevel="1" x14ac:dyDescent="0.25">
      <c r="A7203" s="74">
        <v>6045</v>
      </c>
      <c r="B7203" s="45" t="s">
        <v>664</v>
      </c>
      <c r="C7203" s="60" t="s">
        <v>6703</v>
      </c>
      <c r="D7203" s="60"/>
      <c r="E7203" s="74">
        <v>2023</v>
      </c>
      <c r="F7203" s="74" t="s">
        <v>489</v>
      </c>
      <c r="G7203" s="61">
        <v>1</v>
      </c>
      <c r="H7203" s="61">
        <v>45</v>
      </c>
      <c r="I7203" s="61">
        <v>36.741839999999996</v>
      </c>
    </row>
    <row r="7204" spans="1:9" s="71" customFormat="1" ht="24" hidden="1" customHeight="1" outlineLevel="1" x14ac:dyDescent="0.25">
      <c r="A7204" s="74">
        <v>6046</v>
      </c>
      <c r="B7204" s="45" t="s">
        <v>664</v>
      </c>
      <c r="C7204" s="60" t="s">
        <v>6704</v>
      </c>
      <c r="D7204" s="60"/>
      <c r="E7204" s="74">
        <v>2023</v>
      </c>
      <c r="F7204" s="74" t="s">
        <v>489</v>
      </c>
      <c r="G7204" s="61">
        <v>1</v>
      </c>
      <c r="H7204" s="61">
        <v>15</v>
      </c>
      <c r="I7204" s="61">
        <v>36.741839999999996</v>
      </c>
    </row>
    <row r="7205" spans="1:9" s="71" customFormat="1" ht="24" hidden="1" customHeight="1" outlineLevel="1" x14ac:dyDescent="0.25">
      <c r="A7205" s="74">
        <v>6047</v>
      </c>
      <c r="B7205" s="45" t="s">
        <v>664</v>
      </c>
      <c r="C7205" s="60" t="s">
        <v>6705</v>
      </c>
      <c r="D7205" s="60"/>
      <c r="E7205" s="74">
        <v>2023</v>
      </c>
      <c r="F7205" s="74" t="s">
        <v>489</v>
      </c>
      <c r="G7205" s="61">
        <v>1</v>
      </c>
      <c r="H7205" s="61">
        <v>15</v>
      </c>
      <c r="I7205" s="61">
        <v>36.741839999999996</v>
      </c>
    </row>
    <row r="7206" spans="1:9" s="71" customFormat="1" ht="24" hidden="1" customHeight="1" outlineLevel="1" x14ac:dyDescent="0.25">
      <c r="A7206" s="74">
        <v>6057</v>
      </c>
      <c r="B7206" s="45" t="s">
        <v>664</v>
      </c>
      <c r="C7206" s="60" t="s">
        <v>6706</v>
      </c>
      <c r="D7206" s="60"/>
      <c r="E7206" s="74">
        <v>2023</v>
      </c>
      <c r="F7206" s="74" t="s">
        <v>489</v>
      </c>
      <c r="G7206" s="61">
        <v>1</v>
      </c>
      <c r="H7206" s="61">
        <v>12</v>
      </c>
      <c r="I7206" s="61">
        <v>36.741839999999996</v>
      </c>
    </row>
    <row r="7207" spans="1:9" s="71" customFormat="1" ht="24" hidden="1" customHeight="1" outlineLevel="1" x14ac:dyDescent="0.25">
      <c r="A7207" s="74">
        <v>2786</v>
      </c>
      <c r="B7207" s="45" t="s">
        <v>664</v>
      </c>
      <c r="C7207" s="60" t="s">
        <v>6707</v>
      </c>
      <c r="D7207" s="60"/>
      <c r="E7207" s="74">
        <v>2023</v>
      </c>
      <c r="F7207" s="74" t="s">
        <v>489</v>
      </c>
      <c r="G7207" s="61">
        <v>1</v>
      </c>
      <c r="H7207" s="61">
        <v>7</v>
      </c>
      <c r="I7207" s="61">
        <v>16.47411</v>
      </c>
    </row>
    <row r="7208" spans="1:9" s="71" customFormat="1" ht="24" hidden="1" customHeight="1" outlineLevel="1" x14ac:dyDescent="0.25">
      <c r="A7208" s="74">
        <v>6061</v>
      </c>
      <c r="B7208" s="45" t="s">
        <v>664</v>
      </c>
      <c r="C7208" s="60" t="s">
        <v>6708</v>
      </c>
      <c r="D7208" s="60"/>
      <c r="E7208" s="74">
        <v>2023</v>
      </c>
      <c r="F7208" s="74" t="s">
        <v>489</v>
      </c>
      <c r="G7208" s="61">
        <v>1</v>
      </c>
      <c r="H7208" s="61">
        <v>15</v>
      </c>
      <c r="I7208" s="61">
        <v>37.848309999999998</v>
      </c>
    </row>
    <row r="7209" spans="1:9" s="71" customFormat="1" ht="24" hidden="1" customHeight="1" outlineLevel="1" x14ac:dyDescent="0.25">
      <c r="A7209" s="74">
        <v>6062</v>
      </c>
      <c r="B7209" s="45" t="s">
        <v>664</v>
      </c>
      <c r="C7209" s="60" t="s">
        <v>6709</v>
      </c>
      <c r="D7209" s="60"/>
      <c r="E7209" s="74">
        <v>2023</v>
      </c>
      <c r="F7209" s="74" t="s">
        <v>489</v>
      </c>
      <c r="G7209" s="61">
        <v>1</v>
      </c>
      <c r="H7209" s="61">
        <v>50</v>
      </c>
      <c r="I7209" s="61">
        <v>37.61665</v>
      </c>
    </row>
    <row r="7210" spans="1:9" s="71" customFormat="1" ht="24" hidden="1" customHeight="1" outlineLevel="1" x14ac:dyDescent="0.25">
      <c r="A7210" s="74">
        <v>6063</v>
      </c>
      <c r="B7210" s="45" t="s">
        <v>664</v>
      </c>
      <c r="C7210" s="60" t="s">
        <v>6710</v>
      </c>
      <c r="D7210" s="60"/>
      <c r="E7210" s="74">
        <v>2023</v>
      </c>
      <c r="F7210" s="74" t="s">
        <v>489</v>
      </c>
      <c r="G7210" s="61">
        <v>1</v>
      </c>
      <c r="H7210" s="61">
        <v>15</v>
      </c>
      <c r="I7210" s="61">
        <v>37.610120000000002</v>
      </c>
    </row>
    <row r="7211" spans="1:9" s="71" customFormat="1" ht="24" hidden="1" customHeight="1" outlineLevel="1" x14ac:dyDescent="0.25">
      <c r="A7211" s="74">
        <v>2322</v>
      </c>
      <c r="B7211" s="45" t="s">
        <v>664</v>
      </c>
      <c r="C7211" s="60" t="s">
        <v>6711</v>
      </c>
      <c r="D7211" s="60"/>
      <c r="E7211" s="74">
        <v>2023</v>
      </c>
      <c r="F7211" s="74" t="s">
        <v>489</v>
      </c>
      <c r="G7211" s="61">
        <v>1</v>
      </c>
      <c r="H7211" s="61">
        <v>15</v>
      </c>
      <c r="I7211" s="61">
        <v>37.489889999999995</v>
      </c>
    </row>
    <row r="7212" spans="1:9" s="71" customFormat="1" ht="24" hidden="1" customHeight="1" outlineLevel="1" x14ac:dyDescent="0.25">
      <c r="A7212" s="74">
        <v>6088</v>
      </c>
      <c r="B7212" s="45" t="s">
        <v>664</v>
      </c>
      <c r="C7212" s="60" t="s">
        <v>6712</v>
      </c>
      <c r="D7212" s="60"/>
      <c r="E7212" s="74">
        <v>2023</v>
      </c>
      <c r="F7212" s="74" t="s">
        <v>489</v>
      </c>
      <c r="G7212" s="61">
        <v>1</v>
      </c>
      <c r="H7212" s="61">
        <v>15</v>
      </c>
      <c r="I7212" s="61">
        <v>37.494619999999998</v>
      </c>
    </row>
    <row r="7213" spans="1:9" s="71" customFormat="1" ht="24" hidden="1" customHeight="1" outlineLevel="1" x14ac:dyDescent="0.25">
      <c r="A7213" s="74">
        <v>2271</v>
      </c>
      <c r="B7213" s="45" t="s">
        <v>664</v>
      </c>
      <c r="C7213" s="60" t="s">
        <v>6713</v>
      </c>
      <c r="D7213" s="60"/>
      <c r="E7213" s="74">
        <v>2023</v>
      </c>
      <c r="F7213" s="74" t="s">
        <v>489</v>
      </c>
      <c r="G7213" s="61">
        <v>1</v>
      </c>
      <c r="H7213" s="61">
        <v>15</v>
      </c>
      <c r="I7213" s="61">
        <v>37.709240000000001</v>
      </c>
    </row>
    <row r="7214" spans="1:9" s="71" customFormat="1" ht="24" hidden="1" customHeight="1" outlineLevel="1" x14ac:dyDescent="0.25">
      <c r="A7214" s="74">
        <v>6110</v>
      </c>
      <c r="B7214" s="45" t="s">
        <v>664</v>
      </c>
      <c r="C7214" s="60" t="s">
        <v>6714</v>
      </c>
      <c r="D7214" s="60"/>
      <c r="E7214" s="74">
        <v>2023</v>
      </c>
      <c r="F7214" s="74" t="s">
        <v>489</v>
      </c>
      <c r="G7214" s="61">
        <v>1</v>
      </c>
      <c r="H7214" s="61">
        <v>15</v>
      </c>
      <c r="I7214" s="61">
        <v>37.524010000000004</v>
      </c>
    </row>
    <row r="7215" spans="1:9" s="71" customFormat="1" ht="24" hidden="1" customHeight="1" outlineLevel="1" x14ac:dyDescent="0.25">
      <c r="A7215" s="74">
        <v>6113</v>
      </c>
      <c r="B7215" s="45" t="s">
        <v>664</v>
      </c>
      <c r="C7215" s="60" t="s">
        <v>6715</v>
      </c>
      <c r="D7215" s="60"/>
      <c r="E7215" s="74">
        <v>2023</v>
      </c>
      <c r="F7215" s="74" t="s">
        <v>489</v>
      </c>
      <c r="G7215" s="61">
        <v>1</v>
      </c>
      <c r="H7215" s="61">
        <v>10</v>
      </c>
      <c r="I7215" s="61">
        <v>37.524010000000004</v>
      </c>
    </row>
    <row r="7216" spans="1:9" s="71" customFormat="1" ht="24" hidden="1" customHeight="1" outlineLevel="1" x14ac:dyDescent="0.25">
      <c r="A7216" s="74">
        <v>6115</v>
      </c>
      <c r="B7216" s="45" t="s">
        <v>664</v>
      </c>
      <c r="C7216" s="60" t="s">
        <v>6716</v>
      </c>
      <c r="D7216" s="60"/>
      <c r="E7216" s="74">
        <v>2023</v>
      </c>
      <c r="F7216" s="74" t="s">
        <v>489</v>
      </c>
      <c r="G7216" s="61">
        <v>1</v>
      </c>
      <c r="H7216" s="61">
        <v>15</v>
      </c>
      <c r="I7216" s="61">
        <v>37.570339999999995</v>
      </c>
    </row>
    <row r="7217" spans="1:9" s="71" customFormat="1" ht="24" hidden="1" customHeight="1" outlineLevel="1" x14ac:dyDescent="0.25">
      <c r="A7217" s="74">
        <v>6117</v>
      </c>
      <c r="B7217" s="45" t="s">
        <v>664</v>
      </c>
      <c r="C7217" s="60" t="s">
        <v>6717</v>
      </c>
      <c r="D7217" s="60"/>
      <c r="E7217" s="74">
        <v>2023</v>
      </c>
      <c r="F7217" s="74" t="s">
        <v>489</v>
      </c>
      <c r="G7217" s="61">
        <v>1</v>
      </c>
      <c r="H7217" s="61">
        <v>12</v>
      </c>
      <c r="I7217" s="61">
        <v>37.570339999999995</v>
      </c>
    </row>
    <row r="7218" spans="1:9" s="71" customFormat="1" ht="24" hidden="1" customHeight="1" outlineLevel="1" x14ac:dyDescent="0.25">
      <c r="A7218" s="74">
        <v>6118</v>
      </c>
      <c r="B7218" s="45" t="s">
        <v>664</v>
      </c>
      <c r="C7218" s="60" t="s">
        <v>6718</v>
      </c>
      <c r="D7218" s="60"/>
      <c r="E7218" s="74">
        <v>2023</v>
      </c>
      <c r="F7218" s="74" t="s">
        <v>489</v>
      </c>
      <c r="G7218" s="61">
        <v>1</v>
      </c>
      <c r="H7218" s="61">
        <v>15</v>
      </c>
      <c r="I7218" s="61">
        <v>37.570339999999995</v>
      </c>
    </row>
    <row r="7219" spans="1:9" s="71" customFormat="1" ht="24" hidden="1" customHeight="1" outlineLevel="1" x14ac:dyDescent="0.25">
      <c r="A7219" s="74">
        <v>575</v>
      </c>
      <c r="B7219" s="45" t="s">
        <v>664</v>
      </c>
      <c r="C7219" s="60" t="s">
        <v>6719</v>
      </c>
      <c r="D7219" s="60"/>
      <c r="E7219" s="74">
        <v>2023</v>
      </c>
      <c r="F7219" s="74" t="s">
        <v>489</v>
      </c>
      <c r="G7219" s="61">
        <v>1</v>
      </c>
      <c r="H7219" s="61">
        <v>15</v>
      </c>
      <c r="I7219" s="61">
        <v>36.606400000000001</v>
      </c>
    </row>
    <row r="7220" spans="1:9" s="71" customFormat="1" ht="24" hidden="1" customHeight="1" outlineLevel="1" x14ac:dyDescent="0.25">
      <c r="A7220" s="74">
        <v>6121</v>
      </c>
      <c r="B7220" s="45" t="s">
        <v>664</v>
      </c>
      <c r="C7220" s="60" t="s">
        <v>6720</v>
      </c>
      <c r="D7220" s="60"/>
      <c r="E7220" s="74">
        <v>2023</v>
      </c>
      <c r="F7220" s="74" t="s">
        <v>489</v>
      </c>
      <c r="G7220" s="61">
        <v>1</v>
      </c>
      <c r="H7220" s="61">
        <v>15</v>
      </c>
      <c r="I7220" s="61">
        <v>36.606400000000001</v>
      </c>
    </row>
    <row r="7221" spans="1:9" s="71" customFormat="1" ht="24" hidden="1" customHeight="1" outlineLevel="1" x14ac:dyDescent="0.25">
      <c r="A7221" s="74">
        <v>6129</v>
      </c>
      <c r="B7221" s="45" t="s">
        <v>664</v>
      </c>
      <c r="C7221" s="60" t="s">
        <v>6721</v>
      </c>
      <c r="D7221" s="60"/>
      <c r="E7221" s="74">
        <v>2023</v>
      </c>
      <c r="F7221" s="74" t="s">
        <v>489</v>
      </c>
      <c r="G7221" s="61">
        <v>1</v>
      </c>
      <c r="H7221" s="61">
        <v>13</v>
      </c>
      <c r="I7221" s="61">
        <v>13.530790000000001</v>
      </c>
    </row>
    <row r="7222" spans="1:9" s="71" customFormat="1" ht="24" hidden="1" customHeight="1" outlineLevel="1" x14ac:dyDescent="0.25">
      <c r="A7222" s="74">
        <v>6131</v>
      </c>
      <c r="B7222" s="45" t="s">
        <v>664</v>
      </c>
      <c r="C7222" s="60" t="s">
        <v>6722</v>
      </c>
      <c r="D7222" s="60"/>
      <c r="E7222" s="74">
        <v>2023</v>
      </c>
      <c r="F7222" s="74" t="s">
        <v>489</v>
      </c>
      <c r="G7222" s="61">
        <v>1</v>
      </c>
      <c r="H7222" s="61">
        <v>75</v>
      </c>
      <c r="I7222" s="61">
        <v>39.194989999999997</v>
      </c>
    </row>
    <row r="7223" spans="1:9" s="71" customFormat="1" ht="24" hidden="1" customHeight="1" outlineLevel="1" x14ac:dyDescent="0.25">
      <c r="A7223" s="74">
        <v>6132</v>
      </c>
      <c r="B7223" s="45" t="s">
        <v>664</v>
      </c>
      <c r="C7223" s="60" t="s">
        <v>6723</v>
      </c>
      <c r="D7223" s="60"/>
      <c r="E7223" s="74">
        <v>2023</v>
      </c>
      <c r="F7223" s="74" t="s">
        <v>489</v>
      </c>
      <c r="G7223" s="61">
        <v>1</v>
      </c>
      <c r="H7223" s="61">
        <v>15</v>
      </c>
      <c r="I7223" s="61">
        <v>37.023699999999998</v>
      </c>
    </row>
    <row r="7224" spans="1:9" s="71" customFormat="1" ht="24" hidden="1" customHeight="1" outlineLevel="1" x14ac:dyDescent="0.25">
      <c r="A7224" s="74">
        <v>2359</v>
      </c>
      <c r="B7224" s="45" t="s">
        <v>664</v>
      </c>
      <c r="C7224" s="60" t="s">
        <v>6724</v>
      </c>
      <c r="D7224" s="60"/>
      <c r="E7224" s="74">
        <v>2023</v>
      </c>
      <c r="F7224" s="74" t="s">
        <v>489</v>
      </c>
      <c r="G7224" s="61">
        <v>1</v>
      </c>
      <c r="H7224" s="61">
        <v>6</v>
      </c>
      <c r="I7224" s="61">
        <v>37.250749999999996</v>
      </c>
    </row>
    <row r="7225" spans="1:9" s="71" customFormat="1" ht="24" hidden="1" customHeight="1" outlineLevel="1" x14ac:dyDescent="0.25">
      <c r="A7225" s="74">
        <v>6139</v>
      </c>
      <c r="B7225" s="45" t="s">
        <v>664</v>
      </c>
      <c r="C7225" s="60" t="s">
        <v>6725</v>
      </c>
      <c r="D7225" s="60"/>
      <c r="E7225" s="74">
        <v>2023</v>
      </c>
      <c r="F7225" s="74" t="s">
        <v>489</v>
      </c>
      <c r="G7225" s="61">
        <v>1</v>
      </c>
      <c r="H7225" s="61">
        <v>15</v>
      </c>
      <c r="I7225" s="61">
        <v>36.972749999999998</v>
      </c>
    </row>
    <row r="7226" spans="1:9" s="71" customFormat="1" ht="24" hidden="1" customHeight="1" outlineLevel="1" x14ac:dyDescent="0.25">
      <c r="A7226" s="74">
        <v>6140</v>
      </c>
      <c r="B7226" s="45" t="s">
        <v>664</v>
      </c>
      <c r="C7226" s="60" t="s">
        <v>6726</v>
      </c>
      <c r="D7226" s="60"/>
      <c r="E7226" s="74">
        <v>2023</v>
      </c>
      <c r="F7226" s="74" t="s">
        <v>489</v>
      </c>
      <c r="G7226" s="61">
        <v>1</v>
      </c>
      <c r="H7226" s="61">
        <v>12</v>
      </c>
      <c r="I7226" s="61">
        <v>20.281970000000001</v>
      </c>
    </row>
    <row r="7227" spans="1:9" s="71" customFormat="1" ht="24" hidden="1" customHeight="1" outlineLevel="1" x14ac:dyDescent="0.25">
      <c r="A7227" s="74">
        <v>6156</v>
      </c>
      <c r="B7227" s="45" t="s">
        <v>664</v>
      </c>
      <c r="C7227" s="60" t="s">
        <v>6727</v>
      </c>
      <c r="D7227" s="60"/>
      <c r="E7227" s="74">
        <v>2023</v>
      </c>
      <c r="F7227" s="74" t="s">
        <v>489</v>
      </c>
      <c r="G7227" s="61">
        <v>1</v>
      </c>
      <c r="H7227" s="61">
        <v>15</v>
      </c>
      <c r="I7227" s="61">
        <v>37.047010000000007</v>
      </c>
    </row>
    <row r="7228" spans="1:9" s="71" customFormat="1" ht="24" hidden="1" customHeight="1" outlineLevel="1" x14ac:dyDescent="0.25">
      <c r="A7228" s="74">
        <v>6157</v>
      </c>
      <c r="B7228" s="45" t="s">
        <v>664</v>
      </c>
      <c r="C7228" s="60" t="s">
        <v>6728</v>
      </c>
      <c r="D7228" s="60"/>
      <c r="E7228" s="74">
        <v>2023</v>
      </c>
      <c r="F7228" s="74" t="s">
        <v>489</v>
      </c>
      <c r="G7228" s="61">
        <v>1</v>
      </c>
      <c r="H7228" s="61">
        <v>15</v>
      </c>
      <c r="I7228" s="61">
        <v>37.047089999999997</v>
      </c>
    </row>
    <row r="7229" spans="1:9" s="71" customFormat="1" ht="24" hidden="1" customHeight="1" outlineLevel="1" x14ac:dyDescent="0.25">
      <c r="A7229" s="74">
        <v>3975</v>
      </c>
      <c r="B7229" s="45" t="s">
        <v>664</v>
      </c>
      <c r="C7229" s="60" t="s">
        <v>6729</v>
      </c>
      <c r="D7229" s="60"/>
      <c r="E7229" s="74">
        <v>2023</v>
      </c>
      <c r="F7229" s="74" t="s">
        <v>489</v>
      </c>
      <c r="G7229" s="61">
        <v>3</v>
      </c>
      <c r="H7229" s="61">
        <v>37</v>
      </c>
      <c r="I7229" s="61">
        <v>56.099679999999999</v>
      </c>
    </row>
    <row r="7230" spans="1:9" s="71" customFormat="1" ht="24" hidden="1" customHeight="1" outlineLevel="1" x14ac:dyDescent="0.25">
      <c r="A7230" s="74">
        <v>6160</v>
      </c>
      <c r="B7230" s="45" t="s">
        <v>664</v>
      </c>
      <c r="C7230" s="60" t="s">
        <v>6730</v>
      </c>
      <c r="D7230" s="60"/>
      <c r="E7230" s="74">
        <v>2023</v>
      </c>
      <c r="F7230" s="74" t="s">
        <v>489</v>
      </c>
      <c r="G7230" s="61">
        <v>1</v>
      </c>
      <c r="H7230" s="61">
        <v>10</v>
      </c>
      <c r="I7230" s="61">
        <v>37.076430000000002</v>
      </c>
    </row>
    <row r="7231" spans="1:9" s="71" customFormat="1" ht="24" hidden="1" customHeight="1" outlineLevel="1" x14ac:dyDescent="0.25">
      <c r="A7231" s="74">
        <v>1045</v>
      </c>
      <c r="B7231" s="45" t="s">
        <v>664</v>
      </c>
      <c r="C7231" s="60" t="s">
        <v>6731</v>
      </c>
      <c r="D7231" s="60"/>
      <c r="E7231" s="74">
        <v>2023</v>
      </c>
      <c r="F7231" s="74" t="s">
        <v>489</v>
      </c>
      <c r="G7231" s="61">
        <v>1</v>
      </c>
      <c r="H7231" s="61">
        <v>15</v>
      </c>
      <c r="I7231" s="61">
        <v>36.968620000000001</v>
      </c>
    </row>
    <row r="7232" spans="1:9" s="71" customFormat="1" ht="24" hidden="1" customHeight="1" outlineLevel="1" x14ac:dyDescent="0.25">
      <c r="A7232" s="74">
        <v>4923</v>
      </c>
      <c r="B7232" s="45" t="s">
        <v>664</v>
      </c>
      <c r="C7232" s="60" t="s">
        <v>6732</v>
      </c>
      <c r="D7232" s="60"/>
      <c r="E7232" s="74">
        <v>2023</v>
      </c>
      <c r="F7232" s="74" t="s">
        <v>489</v>
      </c>
      <c r="G7232" s="61">
        <v>1</v>
      </c>
      <c r="H7232" s="61">
        <v>15</v>
      </c>
      <c r="I7232" s="61">
        <v>40.451309999999999</v>
      </c>
    </row>
    <row r="7233" spans="1:9" s="71" customFormat="1" ht="24" hidden="1" customHeight="1" outlineLevel="1" x14ac:dyDescent="0.25">
      <c r="A7233" s="74">
        <v>1166</v>
      </c>
      <c r="B7233" s="45" t="s">
        <v>664</v>
      </c>
      <c r="C7233" s="60" t="s">
        <v>6733</v>
      </c>
      <c r="D7233" s="60"/>
      <c r="E7233" s="74">
        <v>2023</v>
      </c>
      <c r="F7233" s="74" t="s">
        <v>489</v>
      </c>
      <c r="G7233" s="61">
        <v>1</v>
      </c>
      <c r="H7233" s="61">
        <v>13</v>
      </c>
      <c r="I7233" s="61">
        <v>38.736699999999999</v>
      </c>
    </row>
    <row r="7234" spans="1:9" s="71" customFormat="1" ht="24" hidden="1" customHeight="1" outlineLevel="1" x14ac:dyDescent="0.25">
      <c r="A7234" s="74">
        <v>4924</v>
      </c>
      <c r="B7234" s="45" t="s">
        <v>664</v>
      </c>
      <c r="C7234" s="60" t="s">
        <v>6734</v>
      </c>
      <c r="D7234" s="60"/>
      <c r="E7234" s="74">
        <v>2023</v>
      </c>
      <c r="F7234" s="74" t="s">
        <v>489</v>
      </c>
      <c r="G7234" s="61">
        <v>1</v>
      </c>
      <c r="H7234" s="61">
        <v>50</v>
      </c>
      <c r="I7234" s="61">
        <v>46.205860000000001</v>
      </c>
    </row>
    <row r="7235" spans="1:9" s="71" customFormat="1" ht="24" hidden="1" customHeight="1" outlineLevel="1" x14ac:dyDescent="0.25">
      <c r="A7235" s="74">
        <v>1139</v>
      </c>
      <c r="B7235" s="45" t="s">
        <v>664</v>
      </c>
      <c r="C7235" s="60" t="s">
        <v>6735</v>
      </c>
      <c r="D7235" s="60"/>
      <c r="E7235" s="74">
        <v>2023</v>
      </c>
      <c r="F7235" s="74" t="s">
        <v>489</v>
      </c>
      <c r="G7235" s="61">
        <v>1</v>
      </c>
      <c r="H7235" s="61">
        <v>15</v>
      </c>
      <c r="I7235" s="61">
        <v>38.015250000000002</v>
      </c>
    </row>
    <row r="7236" spans="1:9" s="71" customFormat="1" ht="24" hidden="1" customHeight="1" outlineLevel="1" x14ac:dyDescent="0.25">
      <c r="A7236" s="74">
        <v>1255</v>
      </c>
      <c r="B7236" s="45" t="s">
        <v>664</v>
      </c>
      <c r="C7236" s="60" t="s">
        <v>6736</v>
      </c>
      <c r="D7236" s="60"/>
      <c r="E7236" s="74">
        <v>2023</v>
      </c>
      <c r="F7236" s="74" t="s">
        <v>489</v>
      </c>
      <c r="G7236" s="61">
        <v>1</v>
      </c>
      <c r="H7236" s="61">
        <v>4</v>
      </c>
      <c r="I7236" s="61">
        <v>38.011670000000002</v>
      </c>
    </row>
    <row r="7237" spans="1:9" s="71" customFormat="1" ht="24" hidden="1" customHeight="1" outlineLevel="1" x14ac:dyDescent="0.25">
      <c r="A7237" s="74">
        <v>4928</v>
      </c>
      <c r="B7237" s="45" t="s">
        <v>664</v>
      </c>
      <c r="C7237" s="60" t="s">
        <v>6737</v>
      </c>
      <c r="D7237" s="60"/>
      <c r="E7237" s="74">
        <v>2023</v>
      </c>
      <c r="F7237" s="74" t="s">
        <v>489</v>
      </c>
      <c r="G7237" s="61">
        <v>1</v>
      </c>
      <c r="H7237" s="61">
        <v>1</v>
      </c>
      <c r="I7237" s="61">
        <v>38.011670000000002</v>
      </c>
    </row>
    <row r="7238" spans="1:9" s="71" customFormat="1" ht="24" hidden="1" customHeight="1" outlineLevel="1" x14ac:dyDescent="0.25">
      <c r="A7238" s="74">
        <v>4932</v>
      </c>
      <c r="B7238" s="45" t="s">
        <v>664</v>
      </c>
      <c r="C7238" s="60" t="s">
        <v>6738</v>
      </c>
      <c r="D7238" s="60"/>
      <c r="E7238" s="74">
        <v>2023</v>
      </c>
      <c r="F7238" s="74" t="s">
        <v>489</v>
      </c>
      <c r="G7238" s="61">
        <v>1</v>
      </c>
      <c r="H7238" s="61">
        <v>14</v>
      </c>
      <c r="I7238" s="61">
        <v>51.80641</v>
      </c>
    </row>
    <row r="7239" spans="1:9" s="71" customFormat="1" ht="24" hidden="1" customHeight="1" outlineLevel="1" x14ac:dyDescent="0.25">
      <c r="A7239" s="74">
        <v>4933</v>
      </c>
      <c r="B7239" s="45" t="s">
        <v>664</v>
      </c>
      <c r="C7239" s="60" t="s">
        <v>6739</v>
      </c>
      <c r="D7239" s="60"/>
      <c r="E7239" s="74">
        <v>2023</v>
      </c>
      <c r="F7239" s="74" t="s">
        <v>489</v>
      </c>
      <c r="G7239" s="61">
        <v>1</v>
      </c>
      <c r="H7239" s="61">
        <v>14</v>
      </c>
      <c r="I7239" s="61">
        <v>51.80641</v>
      </c>
    </row>
    <row r="7240" spans="1:9" s="71" customFormat="1" ht="24" hidden="1" customHeight="1" outlineLevel="1" x14ac:dyDescent="0.25">
      <c r="A7240" s="74">
        <v>714</v>
      </c>
      <c r="B7240" s="45" t="s">
        <v>664</v>
      </c>
      <c r="C7240" s="60" t="s">
        <v>6740</v>
      </c>
      <c r="D7240" s="60"/>
      <c r="E7240" s="74">
        <v>2023</v>
      </c>
      <c r="F7240" s="74" t="s">
        <v>489</v>
      </c>
      <c r="G7240" s="61">
        <v>1</v>
      </c>
      <c r="H7240" s="61">
        <v>15</v>
      </c>
      <c r="I7240" s="61">
        <v>51.81035</v>
      </c>
    </row>
    <row r="7241" spans="1:9" s="71" customFormat="1" ht="24" hidden="1" customHeight="1" outlineLevel="1" x14ac:dyDescent="0.25">
      <c r="A7241" s="74">
        <v>1338</v>
      </c>
      <c r="B7241" s="45" t="s">
        <v>664</v>
      </c>
      <c r="C7241" s="60" t="s">
        <v>6741</v>
      </c>
      <c r="D7241" s="60"/>
      <c r="E7241" s="74">
        <v>2023</v>
      </c>
      <c r="F7241" s="74" t="s">
        <v>489</v>
      </c>
      <c r="G7241" s="61">
        <v>1</v>
      </c>
      <c r="H7241" s="61">
        <v>5</v>
      </c>
      <c r="I7241" s="61">
        <v>51.825310000000002</v>
      </c>
    </row>
    <row r="7242" spans="1:9" s="71" customFormat="1" ht="24" hidden="1" customHeight="1" outlineLevel="1" x14ac:dyDescent="0.25">
      <c r="A7242" s="74">
        <v>4936</v>
      </c>
      <c r="B7242" s="45" t="s">
        <v>664</v>
      </c>
      <c r="C7242" s="60" t="s">
        <v>6742</v>
      </c>
      <c r="D7242" s="60"/>
      <c r="E7242" s="74">
        <v>2023</v>
      </c>
      <c r="F7242" s="74" t="s">
        <v>489</v>
      </c>
      <c r="G7242" s="61">
        <v>1</v>
      </c>
      <c r="H7242" s="61">
        <v>13</v>
      </c>
      <c r="I7242" s="61">
        <v>62.067680000000003</v>
      </c>
    </row>
    <row r="7243" spans="1:9" s="71" customFormat="1" ht="24" hidden="1" customHeight="1" outlineLevel="1" x14ac:dyDescent="0.25">
      <c r="A7243" s="74">
        <v>4937</v>
      </c>
      <c r="B7243" s="45" t="s">
        <v>664</v>
      </c>
      <c r="C7243" s="60" t="s">
        <v>6743</v>
      </c>
      <c r="D7243" s="60"/>
      <c r="E7243" s="74">
        <v>2023</v>
      </c>
      <c r="F7243" s="74" t="s">
        <v>489</v>
      </c>
      <c r="G7243" s="61">
        <v>1</v>
      </c>
      <c r="H7243" s="61">
        <v>15</v>
      </c>
      <c r="I7243" s="61">
        <v>44.899929999999998</v>
      </c>
    </row>
    <row r="7244" spans="1:9" s="71" customFormat="1" ht="24" hidden="1" customHeight="1" outlineLevel="1" x14ac:dyDescent="0.25">
      <c r="A7244" s="74">
        <v>4938</v>
      </c>
      <c r="B7244" s="45" t="s">
        <v>664</v>
      </c>
      <c r="C7244" s="60" t="s">
        <v>6744</v>
      </c>
      <c r="D7244" s="60"/>
      <c r="E7244" s="74">
        <v>2023</v>
      </c>
      <c r="F7244" s="74" t="s">
        <v>489</v>
      </c>
      <c r="G7244" s="61">
        <v>1</v>
      </c>
      <c r="H7244" s="61">
        <v>15</v>
      </c>
      <c r="I7244" s="61">
        <v>38</v>
      </c>
    </row>
    <row r="7245" spans="1:9" s="71" customFormat="1" ht="24" hidden="1" customHeight="1" outlineLevel="1" x14ac:dyDescent="0.25">
      <c r="A7245" s="74">
        <v>4939</v>
      </c>
      <c r="B7245" s="45" t="s">
        <v>664</v>
      </c>
      <c r="C7245" s="60" t="s">
        <v>6745</v>
      </c>
      <c r="D7245" s="60"/>
      <c r="E7245" s="74">
        <v>2023</v>
      </c>
      <c r="F7245" s="74" t="s">
        <v>489</v>
      </c>
      <c r="G7245" s="61">
        <v>1</v>
      </c>
      <c r="H7245" s="61">
        <v>12</v>
      </c>
      <c r="I7245" s="61">
        <v>38</v>
      </c>
    </row>
    <row r="7246" spans="1:9" s="71" customFormat="1" ht="24" hidden="1" customHeight="1" outlineLevel="1" x14ac:dyDescent="0.25">
      <c r="A7246" s="74">
        <v>1438</v>
      </c>
      <c r="B7246" s="45" t="s">
        <v>664</v>
      </c>
      <c r="C7246" s="60" t="s">
        <v>6746</v>
      </c>
      <c r="D7246" s="60"/>
      <c r="E7246" s="74">
        <v>2023</v>
      </c>
      <c r="F7246" s="74" t="s">
        <v>489</v>
      </c>
      <c r="G7246" s="61">
        <v>1</v>
      </c>
      <c r="H7246" s="61">
        <v>3</v>
      </c>
      <c r="I7246" s="61">
        <v>40</v>
      </c>
    </row>
    <row r="7247" spans="1:9" s="71" customFormat="1" ht="24" hidden="1" customHeight="1" outlineLevel="1" x14ac:dyDescent="0.25">
      <c r="A7247" s="74">
        <v>1377</v>
      </c>
      <c r="B7247" s="45" t="s">
        <v>664</v>
      </c>
      <c r="C7247" s="60" t="s">
        <v>6747</v>
      </c>
      <c r="D7247" s="60"/>
      <c r="E7247" s="74">
        <v>2023</v>
      </c>
      <c r="F7247" s="74" t="s">
        <v>489</v>
      </c>
      <c r="G7247" s="61">
        <v>1</v>
      </c>
      <c r="H7247" s="61">
        <v>3</v>
      </c>
      <c r="I7247" s="61">
        <v>36</v>
      </c>
    </row>
    <row r="7248" spans="1:9" s="71" customFormat="1" ht="24" hidden="1" customHeight="1" outlineLevel="1" x14ac:dyDescent="0.25">
      <c r="A7248" s="74">
        <v>4951</v>
      </c>
      <c r="B7248" s="45" t="s">
        <v>664</v>
      </c>
      <c r="C7248" s="60" t="s">
        <v>6748</v>
      </c>
      <c r="D7248" s="60"/>
      <c r="E7248" s="74">
        <v>2023</v>
      </c>
      <c r="F7248" s="74" t="s">
        <v>489</v>
      </c>
      <c r="G7248" s="61">
        <v>1</v>
      </c>
      <c r="H7248" s="61">
        <v>15</v>
      </c>
      <c r="I7248" s="61">
        <v>43</v>
      </c>
    </row>
    <row r="7249" spans="1:9" s="71" customFormat="1" ht="24" hidden="1" customHeight="1" outlineLevel="1" x14ac:dyDescent="0.25">
      <c r="A7249" s="74">
        <v>1358</v>
      </c>
      <c r="B7249" s="45" t="s">
        <v>664</v>
      </c>
      <c r="C7249" s="60" t="s">
        <v>6749</v>
      </c>
      <c r="D7249" s="60"/>
      <c r="E7249" s="74">
        <v>2023</v>
      </c>
      <c r="F7249" s="74" t="s">
        <v>489</v>
      </c>
      <c r="G7249" s="61">
        <v>1</v>
      </c>
      <c r="H7249" s="61">
        <v>15</v>
      </c>
      <c r="I7249" s="61">
        <v>38</v>
      </c>
    </row>
    <row r="7250" spans="1:9" s="71" customFormat="1" ht="24" hidden="1" customHeight="1" outlineLevel="1" x14ac:dyDescent="0.25">
      <c r="A7250" s="74">
        <v>4935</v>
      </c>
      <c r="B7250" s="45" t="s">
        <v>664</v>
      </c>
      <c r="C7250" s="60" t="s">
        <v>6750</v>
      </c>
      <c r="D7250" s="60"/>
      <c r="E7250" s="74">
        <v>2023</v>
      </c>
      <c r="F7250" s="74" t="s">
        <v>489</v>
      </c>
      <c r="G7250" s="61">
        <v>1</v>
      </c>
      <c r="H7250" s="61">
        <v>13</v>
      </c>
      <c r="I7250" s="61">
        <v>42</v>
      </c>
    </row>
    <row r="7251" spans="1:9" s="71" customFormat="1" ht="24" hidden="1" customHeight="1" outlineLevel="1" x14ac:dyDescent="0.25">
      <c r="A7251" s="74">
        <v>4952</v>
      </c>
      <c r="B7251" s="45" t="s">
        <v>664</v>
      </c>
      <c r="C7251" s="60" t="s">
        <v>6751</v>
      </c>
      <c r="D7251" s="60"/>
      <c r="E7251" s="74">
        <v>2023</v>
      </c>
      <c r="F7251" s="74" t="s">
        <v>489</v>
      </c>
      <c r="G7251" s="61">
        <v>1</v>
      </c>
      <c r="H7251" s="61">
        <v>50</v>
      </c>
      <c r="I7251" s="61">
        <v>37</v>
      </c>
    </row>
    <row r="7252" spans="1:9" s="71" customFormat="1" ht="24" hidden="1" customHeight="1" outlineLevel="1" x14ac:dyDescent="0.25">
      <c r="A7252" s="74">
        <v>4953</v>
      </c>
      <c r="B7252" s="45" t="s">
        <v>664</v>
      </c>
      <c r="C7252" s="60" t="s">
        <v>6752</v>
      </c>
      <c r="D7252" s="60"/>
      <c r="E7252" s="74">
        <v>2023</v>
      </c>
      <c r="F7252" s="74" t="s">
        <v>489</v>
      </c>
      <c r="G7252" s="61">
        <v>1</v>
      </c>
      <c r="H7252" s="61">
        <v>7.5</v>
      </c>
      <c r="I7252" s="61">
        <v>38</v>
      </c>
    </row>
    <row r="7253" spans="1:9" s="71" customFormat="1" ht="24" hidden="1" customHeight="1" outlineLevel="1" x14ac:dyDescent="0.25">
      <c r="A7253" s="74">
        <v>4954</v>
      </c>
      <c r="B7253" s="45" t="s">
        <v>664</v>
      </c>
      <c r="C7253" s="60" t="s">
        <v>6753</v>
      </c>
      <c r="D7253" s="60"/>
      <c r="E7253" s="74">
        <v>2023</v>
      </c>
      <c r="F7253" s="74" t="s">
        <v>489</v>
      </c>
      <c r="G7253" s="61">
        <v>1</v>
      </c>
      <c r="H7253" s="61">
        <v>15</v>
      </c>
      <c r="I7253" s="61">
        <v>38</v>
      </c>
    </row>
    <row r="7254" spans="1:9" s="71" customFormat="1" ht="24" hidden="1" customHeight="1" outlineLevel="1" x14ac:dyDescent="0.25">
      <c r="A7254" s="74">
        <v>876</v>
      </c>
      <c r="B7254" s="45" t="s">
        <v>664</v>
      </c>
      <c r="C7254" s="60" t="s">
        <v>6754</v>
      </c>
      <c r="D7254" s="60"/>
      <c r="E7254" s="74">
        <v>2023</v>
      </c>
      <c r="F7254" s="74" t="s">
        <v>489</v>
      </c>
      <c r="G7254" s="61">
        <v>1</v>
      </c>
      <c r="H7254" s="61">
        <v>15</v>
      </c>
      <c r="I7254" s="61">
        <v>38</v>
      </c>
    </row>
    <row r="7255" spans="1:9" s="71" customFormat="1" ht="24" hidden="1" customHeight="1" outlineLevel="1" x14ac:dyDescent="0.25">
      <c r="A7255" s="74">
        <v>1480</v>
      </c>
      <c r="B7255" s="45" t="s">
        <v>664</v>
      </c>
      <c r="C7255" s="60" t="s">
        <v>6755</v>
      </c>
      <c r="D7255" s="60"/>
      <c r="E7255" s="74">
        <v>2023</v>
      </c>
      <c r="F7255" s="74" t="s">
        <v>489</v>
      </c>
      <c r="G7255" s="61">
        <v>1</v>
      </c>
      <c r="H7255" s="61">
        <v>3</v>
      </c>
      <c r="I7255" s="61">
        <v>38</v>
      </c>
    </row>
    <row r="7256" spans="1:9" s="71" customFormat="1" ht="24" hidden="1" customHeight="1" outlineLevel="1" x14ac:dyDescent="0.25">
      <c r="A7256" s="74">
        <v>1481</v>
      </c>
      <c r="B7256" s="45" t="s">
        <v>664</v>
      </c>
      <c r="C7256" s="60" t="s">
        <v>6756</v>
      </c>
      <c r="D7256" s="60"/>
      <c r="E7256" s="74">
        <v>2023</v>
      </c>
      <c r="F7256" s="74" t="s">
        <v>489</v>
      </c>
      <c r="G7256" s="61">
        <v>1</v>
      </c>
      <c r="H7256" s="61">
        <v>3</v>
      </c>
      <c r="I7256" s="61">
        <v>38</v>
      </c>
    </row>
    <row r="7257" spans="1:9" s="71" customFormat="1" ht="24" hidden="1" customHeight="1" outlineLevel="1" x14ac:dyDescent="0.25">
      <c r="A7257" s="74">
        <v>4940</v>
      </c>
      <c r="B7257" s="45" t="s">
        <v>664</v>
      </c>
      <c r="C7257" s="60" t="s">
        <v>6757</v>
      </c>
      <c r="D7257" s="60"/>
      <c r="E7257" s="74">
        <v>2023</v>
      </c>
      <c r="F7257" s="74" t="s">
        <v>489</v>
      </c>
      <c r="G7257" s="61">
        <v>1</v>
      </c>
      <c r="H7257" s="61">
        <v>15</v>
      </c>
      <c r="I7257" s="61">
        <v>37</v>
      </c>
    </row>
    <row r="7258" spans="1:9" s="71" customFormat="1" ht="24" hidden="1" customHeight="1" outlineLevel="1" x14ac:dyDescent="0.25">
      <c r="A7258" s="74">
        <v>4941</v>
      </c>
      <c r="B7258" s="45" t="s">
        <v>664</v>
      </c>
      <c r="C7258" s="60" t="s">
        <v>6758</v>
      </c>
      <c r="D7258" s="60"/>
      <c r="E7258" s="74">
        <v>2023</v>
      </c>
      <c r="F7258" s="74" t="s">
        <v>489</v>
      </c>
      <c r="G7258" s="61">
        <v>1</v>
      </c>
      <c r="H7258" s="61">
        <v>10</v>
      </c>
      <c r="I7258" s="61">
        <v>37</v>
      </c>
    </row>
    <row r="7259" spans="1:9" s="71" customFormat="1" ht="24" hidden="1" customHeight="1" outlineLevel="1" x14ac:dyDescent="0.25">
      <c r="A7259" s="74">
        <v>4942</v>
      </c>
      <c r="B7259" s="45" t="s">
        <v>664</v>
      </c>
      <c r="C7259" s="60" t="s">
        <v>6759</v>
      </c>
      <c r="D7259" s="60"/>
      <c r="E7259" s="74">
        <v>2023</v>
      </c>
      <c r="F7259" s="74" t="s">
        <v>489</v>
      </c>
      <c r="G7259" s="61">
        <v>1</v>
      </c>
      <c r="H7259" s="61">
        <v>11</v>
      </c>
      <c r="I7259" s="61">
        <v>36</v>
      </c>
    </row>
    <row r="7260" spans="1:9" s="71" customFormat="1" ht="24" hidden="1" customHeight="1" outlineLevel="1" x14ac:dyDescent="0.25">
      <c r="A7260" s="74">
        <v>4943</v>
      </c>
      <c r="B7260" s="45" t="s">
        <v>664</v>
      </c>
      <c r="C7260" s="60" t="s">
        <v>6760</v>
      </c>
      <c r="D7260" s="60"/>
      <c r="E7260" s="74">
        <v>2023</v>
      </c>
      <c r="F7260" s="74" t="s">
        <v>489</v>
      </c>
      <c r="G7260" s="61">
        <v>1</v>
      </c>
      <c r="H7260" s="61">
        <v>14.85</v>
      </c>
      <c r="I7260" s="61">
        <v>36</v>
      </c>
    </row>
    <row r="7261" spans="1:9" s="71" customFormat="1" ht="24" hidden="1" customHeight="1" outlineLevel="1" x14ac:dyDescent="0.25">
      <c r="A7261" s="74">
        <v>1762</v>
      </c>
      <c r="B7261" s="45" t="s">
        <v>664</v>
      </c>
      <c r="C7261" s="60" t="s">
        <v>6761</v>
      </c>
      <c r="D7261" s="60"/>
      <c r="E7261" s="74">
        <v>2023</v>
      </c>
      <c r="F7261" s="74" t="s">
        <v>489</v>
      </c>
      <c r="G7261" s="61">
        <v>1</v>
      </c>
      <c r="H7261" s="61">
        <v>10</v>
      </c>
      <c r="I7261" s="61">
        <v>36</v>
      </c>
    </row>
    <row r="7262" spans="1:9" s="71" customFormat="1" ht="24" hidden="1" customHeight="1" outlineLevel="1" x14ac:dyDescent="0.25">
      <c r="A7262" s="74">
        <v>4944</v>
      </c>
      <c r="B7262" s="45" t="s">
        <v>664</v>
      </c>
      <c r="C7262" s="60" t="s">
        <v>6762</v>
      </c>
      <c r="D7262" s="60"/>
      <c r="E7262" s="74">
        <v>2023</v>
      </c>
      <c r="F7262" s="74" t="s">
        <v>489</v>
      </c>
      <c r="G7262" s="61">
        <v>1</v>
      </c>
      <c r="H7262" s="61">
        <v>10</v>
      </c>
      <c r="I7262" s="61">
        <v>37</v>
      </c>
    </row>
    <row r="7263" spans="1:9" s="71" customFormat="1" ht="24" hidden="1" customHeight="1" outlineLevel="1" x14ac:dyDescent="0.25">
      <c r="A7263" s="74">
        <v>2297</v>
      </c>
      <c r="B7263" s="45" t="s">
        <v>664</v>
      </c>
      <c r="C7263" s="60" t="s">
        <v>6763</v>
      </c>
      <c r="D7263" s="60"/>
      <c r="E7263" s="74">
        <v>2023</v>
      </c>
      <c r="F7263" s="74" t="s">
        <v>489</v>
      </c>
      <c r="G7263" s="61">
        <v>1</v>
      </c>
      <c r="H7263" s="61">
        <v>5</v>
      </c>
      <c r="I7263" s="61">
        <v>41</v>
      </c>
    </row>
    <row r="7264" spans="1:9" s="71" customFormat="1" ht="24" hidden="1" customHeight="1" outlineLevel="1" x14ac:dyDescent="0.25">
      <c r="A7264" s="74">
        <v>4945</v>
      </c>
      <c r="B7264" s="45" t="s">
        <v>664</v>
      </c>
      <c r="C7264" s="60" t="s">
        <v>6764</v>
      </c>
      <c r="D7264" s="60"/>
      <c r="E7264" s="74">
        <v>2023</v>
      </c>
      <c r="F7264" s="74" t="s">
        <v>489</v>
      </c>
      <c r="G7264" s="61">
        <v>1</v>
      </c>
      <c r="H7264" s="61">
        <v>15</v>
      </c>
      <c r="I7264" s="61">
        <v>44</v>
      </c>
    </row>
    <row r="7265" spans="1:9" s="71" customFormat="1" ht="24" hidden="1" customHeight="1" outlineLevel="1" x14ac:dyDescent="0.25">
      <c r="A7265" s="74">
        <v>1741</v>
      </c>
      <c r="B7265" s="45" t="s">
        <v>664</v>
      </c>
      <c r="C7265" s="60" t="s">
        <v>6765</v>
      </c>
      <c r="D7265" s="60"/>
      <c r="E7265" s="74">
        <v>2023</v>
      </c>
      <c r="F7265" s="74" t="s">
        <v>489</v>
      </c>
      <c r="G7265" s="61">
        <v>1</v>
      </c>
      <c r="H7265" s="61">
        <v>5</v>
      </c>
      <c r="I7265" s="61">
        <v>42</v>
      </c>
    </row>
    <row r="7266" spans="1:9" s="71" customFormat="1" ht="24" hidden="1" customHeight="1" outlineLevel="1" x14ac:dyDescent="0.25">
      <c r="A7266" s="74">
        <v>4946</v>
      </c>
      <c r="B7266" s="45" t="s">
        <v>664</v>
      </c>
      <c r="C7266" s="60" t="s">
        <v>6766</v>
      </c>
      <c r="D7266" s="60"/>
      <c r="E7266" s="74">
        <v>2023</v>
      </c>
      <c r="F7266" s="74" t="s">
        <v>489</v>
      </c>
      <c r="G7266" s="61">
        <v>1</v>
      </c>
      <c r="H7266" s="61">
        <v>13</v>
      </c>
      <c r="I7266" s="61">
        <v>41</v>
      </c>
    </row>
    <row r="7267" spans="1:9" s="71" customFormat="1" ht="24" hidden="1" customHeight="1" outlineLevel="1" x14ac:dyDescent="0.25">
      <c r="A7267" s="74">
        <v>1614</v>
      </c>
      <c r="B7267" s="45" t="s">
        <v>664</v>
      </c>
      <c r="C7267" s="60" t="s">
        <v>6767</v>
      </c>
      <c r="D7267" s="60"/>
      <c r="E7267" s="74">
        <v>2023</v>
      </c>
      <c r="F7267" s="74" t="s">
        <v>489</v>
      </c>
      <c r="G7267" s="61">
        <v>1</v>
      </c>
      <c r="H7267" s="61">
        <v>5</v>
      </c>
      <c r="I7267" s="61">
        <v>48</v>
      </c>
    </row>
    <row r="7268" spans="1:9" s="71" customFormat="1" ht="24" hidden="1" customHeight="1" outlineLevel="1" x14ac:dyDescent="0.25">
      <c r="A7268" s="74">
        <v>4947</v>
      </c>
      <c r="B7268" s="45" t="s">
        <v>664</v>
      </c>
      <c r="C7268" s="60" t="s">
        <v>6768</v>
      </c>
      <c r="D7268" s="60"/>
      <c r="E7268" s="74">
        <v>2023</v>
      </c>
      <c r="F7268" s="74" t="s">
        <v>489</v>
      </c>
      <c r="G7268" s="61">
        <v>1</v>
      </c>
      <c r="H7268" s="61">
        <v>12</v>
      </c>
      <c r="I7268" s="61">
        <v>36</v>
      </c>
    </row>
    <row r="7269" spans="1:9" s="71" customFormat="1" ht="24" hidden="1" customHeight="1" outlineLevel="1" x14ac:dyDescent="0.25">
      <c r="A7269" s="74">
        <v>4948</v>
      </c>
      <c r="B7269" s="45" t="s">
        <v>664</v>
      </c>
      <c r="C7269" s="60" t="s">
        <v>6769</v>
      </c>
      <c r="D7269" s="60"/>
      <c r="E7269" s="74">
        <v>2023</v>
      </c>
      <c r="F7269" s="74" t="s">
        <v>489</v>
      </c>
      <c r="G7269" s="61">
        <v>1</v>
      </c>
      <c r="H7269" s="61">
        <v>15</v>
      </c>
      <c r="I7269" s="61">
        <v>36</v>
      </c>
    </row>
    <row r="7270" spans="1:9" s="71" customFormat="1" ht="24" hidden="1" customHeight="1" outlineLevel="1" x14ac:dyDescent="0.25">
      <c r="A7270" s="74">
        <v>836</v>
      </c>
      <c r="B7270" s="45" t="s">
        <v>664</v>
      </c>
      <c r="C7270" s="60" t="s">
        <v>6770</v>
      </c>
      <c r="D7270" s="60"/>
      <c r="E7270" s="74">
        <v>2023</v>
      </c>
      <c r="F7270" s="74" t="s">
        <v>489</v>
      </c>
      <c r="G7270" s="61">
        <v>1</v>
      </c>
      <c r="H7270" s="61">
        <v>15</v>
      </c>
      <c r="I7270" s="61">
        <v>36</v>
      </c>
    </row>
    <row r="7271" spans="1:9" s="71" customFormat="1" ht="24" hidden="1" customHeight="1" outlineLevel="1" x14ac:dyDescent="0.25">
      <c r="A7271" s="74">
        <v>4956</v>
      </c>
      <c r="B7271" s="45" t="s">
        <v>664</v>
      </c>
      <c r="C7271" s="60" t="s">
        <v>6771</v>
      </c>
      <c r="D7271" s="60"/>
      <c r="E7271" s="74">
        <v>2023</v>
      </c>
      <c r="F7271" s="74" t="s">
        <v>489</v>
      </c>
      <c r="G7271" s="61">
        <v>1</v>
      </c>
      <c r="H7271" s="61">
        <v>10</v>
      </c>
      <c r="I7271" s="61">
        <v>37</v>
      </c>
    </row>
    <row r="7272" spans="1:9" s="71" customFormat="1" ht="24" hidden="1" customHeight="1" outlineLevel="1" x14ac:dyDescent="0.25">
      <c r="A7272" s="74">
        <v>4957</v>
      </c>
      <c r="B7272" s="45" t="s">
        <v>664</v>
      </c>
      <c r="C7272" s="60" t="s">
        <v>6772</v>
      </c>
      <c r="D7272" s="60"/>
      <c r="E7272" s="74">
        <v>2023</v>
      </c>
      <c r="F7272" s="74" t="s">
        <v>489</v>
      </c>
      <c r="G7272" s="61">
        <v>1</v>
      </c>
      <c r="H7272" s="61">
        <v>10</v>
      </c>
      <c r="I7272" s="61">
        <v>37</v>
      </c>
    </row>
    <row r="7273" spans="1:9" s="71" customFormat="1" ht="24" hidden="1" customHeight="1" outlineLevel="1" x14ac:dyDescent="0.25">
      <c r="A7273" s="74">
        <v>4958</v>
      </c>
      <c r="B7273" s="45" t="s">
        <v>664</v>
      </c>
      <c r="C7273" s="60" t="s">
        <v>6773</v>
      </c>
      <c r="D7273" s="60"/>
      <c r="E7273" s="74">
        <v>2023</v>
      </c>
      <c r="F7273" s="74" t="s">
        <v>489</v>
      </c>
      <c r="G7273" s="61">
        <v>1</v>
      </c>
      <c r="H7273" s="61">
        <v>25</v>
      </c>
      <c r="I7273" s="61">
        <v>40</v>
      </c>
    </row>
    <row r="7274" spans="1:9" s="71" customFormat="1" ht="24" hidden="1" customHeight="1" outlineLevel="1" x14ac:dyDescent="0.25">
      <c r="A7274" s="74">
        <v>1891</v>
      </c>
      <c r="B7274" s="45" t="s">
        <v>664</v>
      </c>
      <c r="C7274" s="60" t="s">
        <v>6774</v>
      </c>
      <c r="D7274" s="60"/>
      <c r="E7274" s="74">
        <v>2023</v>
      </c>
      <c r="F7274" s="74" t="s">
        <v>489</v>
      </c>
      <c r="G7274" s="61">
        <v>1</v>
      </c>
      <c r="H7274" s="61">
        <v>7</v>
      </c>
      <c r="I7274" s="61">
        <v>38</v>
      </c>
    </row>
    <row r="7275" spans="1:9" s="71" customFormat="1" ht="24" hidden="1" customHeight="1" outlineLevel="1" x14ac:dyDescent="0.25">
      <c r="A7275" s="74">
        <v>4959</v>
      </c>
      <c r="B7275" s="45" t="s">
        <v>664</v>
      </c>
      <c r="C7275" s="60" t="s">
        <v>6775</v>
      </c>
      <c r="D7275" s="60"/>
      <c r="E7275" s="74">
        <v>2023</v>
      </c>
      <c r="F7275" s="74" t="s">
        <v>489</v>
      </c>
      <c r="G7275" s="61">
        <v>1</v>
      </c>
      <c r="H7275" s="61">
        <v>14</v>
      </c>
      <c r="I7275" s="61">
        <v>37</v>
      </c>
    </row>
    <row r="7276" spans="1:9" s="71" customFormat="1" ht="24" hidden="1" customHeight="1" outlineLevel="1" x14ac:dyDescent="0.25">
      <c r="A7276" s="74">
        <v>1799</v>
      </c>
      <c r="B7276" s="45" t="s">
        <v>664</v>
      </c>
      <c r="C7276" s="60" t="s">
        <v>6776</v>
      </c>
      <c r="D7276" s="60"/>
      <c r="E7276" s="74">
        <v>2023</v>
      </c>
      <c r="F7276" s="74" t="s">
        <v>489</v>
      </c>
      <c r="G7276" s="61">
        <v>1</v>
      </c>
      <c r="H7276" s="61">
        <v>5</v>
      </c>
      <c r="I7276" s="61">
        <v>37</v>
      </c>
    </row>
    <row r="7277" spans="1:9" s="71" customFormat="1" ht="24" hidden="1" customHeight="1" outlineLevel="1" x14ac:dyDescent="0.25">
      <c r="A7277" s="74">
        <v>4960</v>
      </c>
      <c r="B7277" s="45" t="s">
        <v>664</v>
      </c>
      <c r="C7277" s="60" t="s">
        <v>6777</v>
      </c>
      <c r="D7277" s="60"/>
      <c r="E7277" s="74">
        <v>2023</v>
      </c>
      <c r="F7277" s="74" t="s">
        <v>489</v>
      </c>
      <c r="G7277" s="61">
        <v>1</v>
      </c>
      <c r="H7277" s="61">
        <v>13</v>
      </c>
      <c r="I7277" s="61">
        <v>45</v>
      </c>
    </row>
    <row r="7278" spans="1:9" s="71" customFormat="1" ht="24" hidden="1" customHeight="1" outlineLevel="1" x14ac:dyDescent="0.25">
      <c r="A7278" s="74">
        <v>4961</v>
      </c>
      <c r="B7278" s="45" t="s">
        <v>664</v>
      </c>
      <c r="C7278" s="60" t="s">
        <v>6778</v>
      </c>
      <c r="D7278" s="60"/>
      <c r="E7278" s="74">
        <v>2023</v>
      </c>
      <c r="F7278" s="74" t="s">
        <v>489</v>
      </c>
      <c r="G7278" s="61">
        <v>1</v>
      </c>
      <c r="H7278" s="61">
        <v>15</v>
      </c>
      <c r="I7278" s="61">
        <v>36</v>
      </c>
    </row>
    <row r="7279" spans="1:9" s="71" customFormat="1" ht="24" hidden="1" customHeight="1" outlineLevel="1" x14ac:dyDescent="0.25">
      <c r="A7279" s="74">
        <v>4964</v>
      </c>
      <c r="B7279" s="45" t="s">
        <v>664</v>
      </c>
      <c r="C7279" s="60" t="s">
        <v>6779</v>
      </c>
      <c r="D7279" s="60"/>
      <c r="E7279" s="74">
        <v>2023</v>
      </c>
      <c r="F7279" s="74" t="s">
        <v>489</v>
      </c>
      <c r="G7279" s="61">
        <v>1</v>
      </c>
      <c r="H7279" s="61">
        <v>15</v>
      </c>
      <c r="I7279" s="61">
        <v>36</v>
      </c>
    </row>
    <row r="7280" spans="1:9" s="71" customFormat="1" ht="24" hidden="1" customHeight="1" outlineLevel="1" x14ac:dyDescent="0.25">
      <c r="A7280" s="74">
        <v>4965</v>
      </c>
      <c r="B7280" s="45" t="s">
        <v>664</v>
      </c>
      <c r="C7280" s="60" t="s">
        <v>6780</v>
      </c>
      <c r="D7280" s="60"/>
      <c r="E7280" s="74">
        <v>2023</v>
      </c>
      <c r="F7280" s="74" t="s">
        <v>489</v>
      </c>
      <c r="G7280" s="61">
        <v>1</v>
      </c>
      <c r="H7280" s="61">
        <v>4</v>
      </c>
      <c r="I7280" s="61">
        <v>36</v>
      </c>
    </row>
    <row r="7281" spans="1:9" s="71" customFormat="1" ht="24" hidden="1" customHeight="1" outlineLevel="1" x14ac:dyDescent="0.25">
      <c r="A7281" s="74">
        <v>947</v>
      </c>
      <c r="B7281" s="45" t="s">
        <v>664</v>
      </c>
      <c r="C7281" s="60" t="s">
        <v>6781</v>
      </c>
      <c r="D7281" s="60"/>
      <c r="E7281" s="74">
        <v>2023</v>
      </c>
      <c r="F7281" s="74" t="s">
        <v>489</v>
      </c>
      <c r="G7281" s="61">
        <v>1</v>
      </c>
      <c r="H7281" s="61">
        <v>15</v>
      </c>
      <c r="I7281" s="61">
        <v>37</v>
      </c>
    </row>
    <row r="7282" spans="1:9" s="71" customFormat="1" ht="24" hidden="1" customHeight="1" outlineLevel="1" x14ac:dyDescent="0.25">
      <c r="A7282" s="74">
        <v>935</v>
      </c>
      <c r="B7282" s="45" t="s">
        <v>664</v>
      </c>
      <c r="C7282" s="60" t="s">
        <v>6782</v>
      </c>
      <c r="D7282" s="60"/>
      <c r="E7282" s="74">
        <v>2023</v>
      </c>
      <c r="F7282" s="74" t="s">
        <v>489</v>
      </c>
      <c r="G7282" s="61">
        <v>1</v>
      </c>
      <c r="H7282" s="61">
        <v>15</v>
      </c>
      <c r="I7282" s="61">
        <v>37</v>
      </c>
    </row>
    <row r="7283" spans="1:9" s="71" customFormat="1" ht="24" hidden="1" customHeight="1" outlineLevel="1" x14ac:dyDescent="0.25">
      <c r="A7283" s="74">
        <v>2465</v>
      </c>
      <c r="B7283" s="45" t="s">
        <v>664</v>
      </c>
      <c r="C7283" s="60" t="s">
        <v>6783</v>
      </c>
      <c r="D7283" s="60"/>
      <c r="E7283" s="74">
        <v>2023</v>
      </c>
      <c r="F7283" s="74" t="s">
        <v>489</v>
      </c>
      <c r="G7283" s="61">
        <v>1</v>
      </c>
      <c r="H7283" s="61">
        <v>8</v>
      </c>
      <c r="I7283" s="61">
        <v>46</v>
      </c>
    </row>
    <row r="7284" spans="1:9" s="71" customFormat="1" ht="24" hidden="1" customHeight="1" outlineLevel="1" x14ac:dyDescent="0.25">
      <c r="A7284" s="74">
        <v>4984</v>
      </c>
      <c r="B7284" s="45" t="s">
        <v>664</v>
      </c>
      <c r="C7284" s="60" t="s">
        <v>6784</v>
      </c>
      <c r="D7284" s="60"/>
      <c r="E7284" s="74">
        <v>2023</v>
      </c>
      <c r="F7284" s="74" t="s">
        <v>489</v>
      </c>
      <c r="G7284" s="61">
        <v>1</v>
      </c>
      <c r="H7284" s="61">
        <v>15</v>
      </c>
      <c r="I7284" s="61">
        <v>40</v>
      </c>
    </row>
    <row r="7285" spans="1:9" s="71" customFormat="1" ht="24" hidden="1" customHeight="1" outlineLevel="1" x14ac:dyDescent="0.25">
      <c r="A7285" s="74">
        <v>2018</v>
      </c>
      <c r="B7285" s="45" t="s">
        <v>664</v>
      </c>
      <c r="C7285" s="60" t="s">
        <v>6785</v>
      </c>
      <c r="D7285" s="60"/>
      <c r="E7285" s="74">
        <v>2023</v>
      </c>
      <c r="F7285" s="74" t="s">
        <v>489</v>
      </c>
      <c r="G7285" s="61">
        <v>1</v>
      </c>
      <c r="H7285" s="61">
        <v>3</v>
      </c>
      <c r="I7285" s="61">
        <v>40</v>
      </c>
    </row>
    <row r="7286" spans="1:9" s="71" customFormat="1" ht="24" hidden="1" customHeight="1" outlineLevel="1" x14ac:dyDescent="0.25">
      <c r="A7286" s="74">
        <v>4966</v>
      </c>
      <c r="B7286" s="45" t="s">
        <v>664</v>
      </c>
      <c r="C7286" s="60" t="s">
        <v>6786</v>
      </c>
      <c r="D7286" s="60"/>
      <c r="E7286" s="74">
        <v>2023</v>
      </c>
      <c r="F7286" s="74" t="s">
        <v>489</v>
      </c>
      <c r="G7286" s="61">
        <v>1</v>
      </c>
      <c r="H7286" s="61">
        <v>15</v>
      </c>
      <c r="I7286" s="61">
        <v>45</v>
      </c>
    </row>
    <row r="7287" spans="1:9" s="71" customFormat="1" ht="24" hidden="1" customHeight="1" outlineLevel="1" x14ac:dyDescent="0.25">
      <c r="A7287" s="74">
        <v>4967</v>
      </c>
      <c r="B7287" s="45" t="s">
        <v>664</v>
      </c>
      <c r="C7287" s="60" t="s">
        <v>6787</v>
      </c>
      <c r="D7287" s="60"/>
      <c r="E7287" s="74">
        <v>2023</v>
      </c>
      <c r="F7287" s="74" t="s">
        <v>489</v>
      </c>
      <c r="G7287" s="61">
        <v>1</v>
      </c>
      <c r="H7287" s="61">
        <v>15</v>
      </c>
      <c r="I7287" s="61">
        <v>41</v>
      </c>
    </row>
    <row r="7288" spans="1:9" s="71" customFormat="1" ht="24" hidden="1" customHeight="1" outlineLevel="1" x14ac:dyDescent="0.25">
      <c r="A7288" s="74">
        <v>4968</v>
      </c>
      <c r="B7288" s="45" t="s">
        <v>664</v>
      </c>
      <c r="C7288" s="60" t="s">
        <v>6788</v>
      </c>
      <c r="D7288" s="60"/>
      <c r="E7288" s="74">
        <v>2023</v>
      </c>
      <c r="F7288" s="74" t="s">
        <v>489</v>
      </c>
      <c r="G7288" s="61">
        <v>1</v>
      </c>
      <c r="H7288" s="61">
        <v>15</v>
      </c>
      <c r="I7288" s="61">
        <v>46</v>
      </c>
    </row>
    <row r="7289" spans="1:9" s="71" customFormat="1" ht="24" hidden="1" customHeight="1" outlineLevel="1" x14ac:dyDescent="0.25">
      <c r="A7289" s="74">
        <v>4969</v>
      </c>
      <c r="B7289" s="45" t="s">
        <v>664</v>
      </c>
      <c r="C7289" s="60" t="s">
        <v>6789</v>
      </c>
      <c r="D7289" s="60"/>
      <c r="E7289" s="74">
        <v>2023</v>
      </c>
      <c r="F7289" s="74" t="s">
        <v>489</v>
      </c>
      <c r="G7289" s="61">
        <v>1</v>
      </c>
      <c r="H7289" s="61">
        <v>100</v>
      </c>
      <c r="I7289" s="61">
        <v>61</v>
      </c>
    </row>
    <row r="7290" spans="1:9" s="71" customFormat="1" ht="24" hidden="1" customHeight="1" outlineLevel="1" x14ac:dyDescent="0.25">
      <c r="A7290" s="74">
        <v>4970</v>
      </c>
      <c r="B7290" s="45" t="s">
        <v>664</v>
      </c>
      <c r="C7290" s="60" t="s">
        <v>6790</v>
      </c>
      <c r="D7290" s="60"/>
      <c r="E7290" s="74">
        <v>2023</v>
      </c>
      <c r="F7290" s="74" t="s">
        <v>489</v>
      </c>
      <c r="G7290" s="61">
        <v>1</v>
      </c>
      <c r="H7290" s="61">
        <v>7.5</v>
      </c>
      <c r="I7290" s="61">
        <v>36</v>
      </c>
    </row>
    <row r="7291" spans="1:9" s="71" customFormat="1" ht="24" hidden="1" customHeight="1" outlineLevel="1" x14ac:dyDescent="0.25">
      <c r="A7291" s="74">
        <v>4971</v>
      </c>
      <c r="B7291" s="45" t="s">
        <v>664</v>
      </c>
      <c r="C7291" s="60" t="s">
        <v>6791</v>
      </c>
      <c r="D7291" s="60"/>
      <c r="E7291" s="74">
        <v>2023</v>
      </c>
      <c r="F7291" s="74" t="s">
        <v>489</v>
      </c>
      <c r="G7291" s="61">
        <v>1</v>
      </c>
      <c r="H7291" s="61">
        <v>15</v>
      </c>
      <c r="I7291" s="61">
        <v>36</v>
      </c>
    </row>
    <row r="7292" spans="1:9" s="71" customFormat="1" ht="24" hidden="1" customHeight="1" outlineLevel="1" x14ac:dyDescent="0.25">
      <c r="A7292" s="74">
        <v>4972</v>
      </c>
      <c r="B7292" s="45" t="s">
        <v>664</v>
      </c>
      <c r="C7292" s="60" t="s">
        <v>6792</v>
      </c>
      <c r="D7292" s="60"/>
      <c r="E7292" s="74">
        <v>2023</v>
      </c>
      <c r="F7292" s="74" t="s">
        <v>489</v>
      </c>
      <c r="G7292" s="61">
        <v>1</v>
      </c>
      <c r="H7292" s="61">
        <v>15</v>
      </c>
      <c r="I7292" s="61">
        <v>40</v>
      </c>
    </row>
    <row r="7293" spans="1:9" s="71" customFormat="1" ht="24" hidden="1" customHeight="1" outlineLevel="1" x14ac:dyDescent="0.25">
      <c r="A7293" s="74">
        <v>4973</v>
      </c>
      <c r="B7293" s="45" t="s">
        <v>664</v>
      </c>
      <c r="C7293" s="60" t="s">
        <v>6793</v>
      </c>
      <c r="D7293" s="60"/>
      <c r="E7293" s="74">
        <v>2023</v>
      </c>
      <c r="F7293" s="74" t="s">
        <v>489</v>
      </c>
      <c r="G7293" s="61">
        <v>1</v>
      </c>
      <c r="H7293" s="61">
        <v>15</v>
      </c>
      <c r="I7293" s="61">
        <v>40</v>
      </c>
    </row>
    <row r="7294" spans="1:9" s="71" customFormat="1" ht="24" hidden="1" customHeight="1" outlineLevel="1" x14ac:dyDescent="0.25">
      <c r="A7294" s="74">
        <v>4974</v>
      </c>
      <c r="B7294" s="45" t="s">
        <v>664</v>
      </c>
      <c r="C7294" s="60" t="s">
        <v>6794</v>
      </c>
      <c r="D7294" s="60"/>
      <c r="E7294" s="74">
        <v>2023</v>
      </c>
      <c r="F7294" s="74" t="s">
        <v>489</v>
      </c>
      <c r="G7294" s="61">
        <v>1</v>
      </c>
      <c r="H7294" s="61">
        <v>16</v>
      </c>
      <c r="I7294" s="61">
        <v>38</v>
      </c>
    </row>
    <row r="7295" spans="1:9" s="71" customFormat="1" ht="24" hidden="1" customHeight="1" outlineLevel="1" x14ac:dyDescent="0.25">
      <c r="A7295" s="74">
        <v>4979</v>
      </c>
      <c r="B7295" s="45" t="s">
        <v>664</v>
      </c>
      <c r="C7295" s="60" t="s">
        <v>6795</v>
      </c>
      <c r="D7295" s="60"/>
      <c r="E7295" s="74">
        <v>2023</v>
      </c>
      <c r="F7295" s="74" t="s">
        <v>489</v>
      </c>
      <c r="G7295" s="61">
        <v>1</v>
      </c>
      <c r="H7295" s="61">
        <v>14</v>
      </c>
      <c r="I7295" s="61">
        <v>40</v>
      </c>
    </row>
    <row r="7296" spans="1:9" s="71" customFormat="1" ht="24" hidden="1" customHeight="1" outlineLevel="1" x14ac:dyDescent="0.25">
      <c r="A7296" s="74">
        <v>4980</v>
      </c>
      <c r="B7296" s="45" t="s">
        <v>664</v>
      </c>
      <c r="C7296" s="60" t="s">
        <v>6796</v>
      </c>
      <c r="D7296" s="60"/>
      <c r="E7296" s="74">
        <v>2023</v>
      </c>
      <c r="F7296" s="74" t="s">
        <v>489</v>
      </c>
      <c r="G7296" s="61">
        <v>1</v>
      </c>
      <c r="H7296" s="61">
        <v>15</v>
      </c>
      <c r="I7296" s="61">
        <v>56</v>
      </c>
    </row>
    <row r="7297" spans="1:9" s="71" customFormat="1" ht="24" hidden="1" customHeight="1" outlineLevel="1" x14ac:dyDescent="0.25">
      <c r="A7297" s="74">
        <v>2070</v>
      </c>
      <c r="B7297" s="45" t="s">
        <v>664</v>
      </c>
      <c r="C7297" s="60" t="s">
        <v>6797</v>
      </c>
      <c r="D7297" s="60"/>
      <c r="E7297" s="74">
        <v>2023</v>
      </c>
      <c r="F7297" s="74" t="s">
        <v>489</v>
      </c>
      <c r="G7297" s="61">
        <v>1</v>
      </c>
      <c r="H7297" s="61">
        <v>5</v>
      </c>
      <c r="I7297" s="61">
        <v>41</v>
      </c>
    </row>
    <row r="7298" spans="1:9" s="71" customFormat="1" ht="24" hidden="1" customHeight="1" outlineLevel="1" x14ac:dyDescent="0.25">
      <c r="A7298" s="74">
        <v>4982</v>
      </c>
      <c r="B7298" s="45" t="s">
        <v>664</v>
      </c>
      <c r="C7298" s="60" t="s">
        <v>6798</v>
      </c>
      <c r="D7298" s="60"/>
      <c r="E7298" s="74">
        <v>2023</v>
      </c>
      <c r="F7298" s="74" t="s">
        <v>489</v>
      </c>
      <c r="G7298" s="61">
        <v>1</v>
      </c>
      <c r="H7298" s="61">
        <v>75</v>
      </c>
      <c r="I7298" s="61">
        <v>68</v>
      </c>
    </row>
    <row r="7299" spans="1:9" s="71" customFormat="1" ht="24" hidden="1" customHeight="1" outlineLevel="1" x14ac:dyDescent="0.25">
      <c r="A7299" s="74">
        <v>4983</v>
      </c>
      <c r="B7299" s="45" t="s">
        <v>664</v>
      </c>
      <c r="C7299" s="60" t="s">
        <v>6799</v>
      </c>
      <c r="D7299" s="60"/>
      <c r="E7299" s="74">
        <v>2023</v>
      </c>
      <c r="F7299" s="74" t="s">
        <v>489</v>
      </c>
      <c r="G7299" s="61">
        <v>1</v>
      </c>
      <c r="H7299" s="61">
        <v>10</v>
      </c>
      <c r="I7299" s="61">
        <v>40</v>
      </c>
    </row>
    <row r="7300" spans="1:9" s="71" customFormat="1" ht="24" hidden="1" customHeight="1" outlineLevel="1" x14ac:dyDescent="0.25">
      <c r="A7300" s="74">
        <v>2168</v>
      </c>
      <c r="B7300" s="45" t="s">
        <v>664</v>
      </c>
      <c r="C7300" s="60" t="s">
        <v>6800</v>
      </c>
      <c r="D7300" s="60"/>
      <c r="E7300" s="74">
        <v>2023</v>
      </c>
      <c r="F7300" s="74" t="s">
        <v>489</v>
      </c>
      <c r="G7300" s="61">
        <v>1</v>
      </c>
      <c r="H7300" s="61">
        <v>5</v>
      </c>
      <c r="I7300" s="61">
        <v>58</v>
      </c>
    </row>
    <row r="7301" spans="1:9" s="71" customFormat="1" ht="24" hidden="1" customHeight="1" outlineLevel="1" x14ac:dyDescent="0.25">
      <c r="A7301" s="74">
        <v>2263</v>
      </c>
      <c r="B7301" s="45" t="s">
        <v>664</v>
      </c>
      <c r="C7301" s="60" t="s">
        <v>6801</v>
      </c>
      <c r="D7301" s="60"/>
      <c r="E7301" s="74">
        <v>2023</v>
      </c>
      <c r="F7301" s="74" t="s">
        <v>489</v>
      </c>
      <c r="G7301" s="61">
        <v>1</v>
      </c>
      <c r="H7301" s="61">
        <v>13</v>
      </c>
      <c r="I7301" s="61">
        <v>47</v>
      </c>
    </row>
    <row r="7302" spans="1:9" s="71" customFormat="1" ht="24" hidden="1" customHeight="1" outlineLevel="1" x14ac:dyDescent="0.25">
      <c r="A7302" s="74">
        <v>4985</v>
      </c>
      <c r="B7302" s="45" t="s">
        <v>664</v>
      </c>
      <c r="C7302" s="60" t="s">
        <v>6802</v>
      </c>
      <c r="D7302" s="60"/>
      <c r="E7302" s="74">
        <v>2023</v>
      </c>
      <c r="F7302" s="74" t="s">
        <v>489</v>
      </c>
      <c r="G7302" s="61">
        <v>1</v>
      </c>
      <c r="H7302" s="61">
        <v>15</v>
      </c>
      <c r="I7302" s="61">
        <v>36</v>
      </c>
    </row>
    <row r="7303" spans="1:9" s="71" customFormat="1" ht="24" hidden="1" customHeight="1" outlineLevel="1" x14ac:dyDescent="0.25">
      <c r="A7303" s="74">
        <v>2304</v>
      </c>
      <c r="B7303" s="45" t="s">
        <v>664</v>
      </c>
      <c r="C7303" s="60" t="s">
        <v>6803</v>
      </c>
      <c r="D7303" s="60"/>
      <c r="E7303" s="74">
        <v>2023</v>
      </c>
      <c r="F7303" s="74" t="s">
        <v>489</v>
      </c>
      <c r="G7303" s="61">
        <v>1</v>
      </c>
      <c r="H7303" s="61">
        <v>3</v>
      </c>
      <c r="I7303" s="61">
        <v>39</v>
      </c>
    </row>
    <row r="7304" spans="1:9" s="71" customFormat="1" ht="24" hidden="1" customHeight="1" outlineLevel="1" x14ac:dyDescent="0.25">
      <c r="A7304" s="74">
        <v>2307</v>
      </c>
      <c r="B7304" s="45" t="s">
        <v>664</v>
      </c>
      <c r="C7304" s="60" t="s">
        <v>6804</v>
      </c>
      <c r="D7304" s="60"/>
      <c r="E7304" s="74">
        <v>2023</v>
      </c>
      <c r="F7304" s="74" t="s">
        <v>489</v>
      </c>
      <c r="G7304" s="61">
        <v>1</v>
      </c>
      <c r="H7304" s="61">
        <v>15</v>
      </c>
      <c r="I7304" s="61">
        <v>42</v>
      </c>
    </row>
    <row r="7305" spans="1:9" s="71" customFormat="1" ht="24" hidden="1" customHeight="1" outlineLevel="1" x14ac:dyDescent="0.25">
      <c r="A7305" s="74">
        <v>1482</v>
      </c>
      <c r="B7305" s="45" t="s">
        <v>664</v>
      </c>
      <c r="C7305" s="60" t="s">
        <v>6805</v>
      </c>
      <c r="D7305" s="60"/>
      <c r="E7305" s="74">
        <v>2023</v>
      </c>
      <c r="F7305" s="74" t="s">
        <v>489</v>
      </c>
      <c r="G7305" s="61">
        <v>1</v>
      </c>
      <c r="H7305" s="61">
        <v>3</v>
      </c>
      <c r="I7305" s="61">
        <v>47</v>
      </c>
    </row>
    <row r="7306" spans="1:9" s="71" customFormat="1" ht="24" hidden="1" customHeight="1" outlineLevel="1" x14ac:dyDescent="0.25">
      <c r="A7306" s="74">
        <v>4986</v>
      </c>
      <c r="B7306" s="45" t="s">
        <v>664</v>
      </c>
      <c r="C7306" s="60" t="s">
        <v>6806</v>
      </c>
      <c r="D7306" s="60"/>
      <c r="E7306" s="74">
        <v>2023</v>
      </c>
      <c r="F7306" s="74" t="s">
        <v>489</v>
      </c>
      <c r="G7306" s="61">
        <v>1</v>
      </c>
      <c r="H7306" s="61">
        <v>10</v>
      </c>
      <c r="I7306" s="61">
        <v>41</v>
      </c>
    </row>
    <row r="7307" spans="1:9" s="71" customFormat="1" ht="24" hidden="1" customHeight="1" outlineLevel="1" x14ac:dyDescent="0.25">
      <c r="A7307" s="74">
        <v>2345</v>
      </c>
      <c r="B7307" s="45" t="s">
        <v>664</v>
      </c>
      <c r="C7307" s="60" t="s">
        <v>6807</v>
      </c>
      <c r="D7307" s="60"/>
      <c r="E7307" s="74">
        <v>2023</v>
      </c>
      <c r="F7307" s="74" t="s">
        <v>489</v>
      </c>
      <c r="G7307" s="61">
        <v>1</v>
      </c>
      <c r="H7307" s="61">
        <v>15</v>
      </c>
      <c r="I7307" s="61">
        <v>40</v>
      </c>
    </row>
    <row r="7308" spans="1:9" s="71" customFormat="1" ht="24" hidden="1" customHeight="1" outlineLevel="1" x14ac:dyDescent="0.25">
      <c r="A7308" s="74">
        <v>2255</v>
      </c>
      <c r="B7308" s="45" t="s">
        <v>664</v>
      </c>
      <c r="C7308" s="60" t="s">
        <v>6808</v>
      </c>
      <c r="D7308" s="60"/>
      <c r="E7308" s="74">
        <v>2023</v>
      </c>
      <c r="F7308" s="74" t="s">
        <v>489</v>
      </c>
      <c r="G7308" s="61">
        <v>1</v>
      </c>
      <c r="H7308" s="61">
        <v>9</v>
      </c>
      <c r="I7308" s="61">
        <v>38</v>
      </c>
    </row>
    <row r="7309" spans="1:9" s="71" customFormat="1" ht="24" hidden="1" customHeight="1" outlineLevel="1" x14ac:dyDescent="0.25">
      <c r="A7309" s="74">
        <v>4989</v>
      </c>
      <c r="B7309" s="45" t="s">
        <v>664</v>
      </c>
      <c r="C7309" s="60" t="s">
        <v>6809</v>
      </c>
      <c r="D7309" s="60"/>
      <c r="E7309" s="74">
        <v>2023</v>
      </c>
      <c r="F7309" s="74" t="s">
        <v>489</v>
      </c>
      <c r="G7309" s="61">
        <v>1</v>
      </c>
      <c r="H7309" s="61">
        <v>10</v>
      </c>
      <c r="I7309" s="61">
        <v>38</v>
      </c>
    </row>
    <row r="7310" spans="1:9" s="71" customFormat="1" ht="24" hidden="1" customHeight="1" outlineLevel="1" x14ac:dyDescent="0.25">
      <c r="A7310" s="74">
        <v>2361</v>
      </c>
      <c r="B7310" s="45" t="s">
        <v>664</v>
      </c>
      <c r="C7310" s="60" t="s">
        <v>6810</v>
      </c>
      <c r="D7310" s="60"/>
      <c r="E7310" s="74">
        <v>2023</v>
      </c>
      <c r="F7310" s="74" t="s">
        <v>489</v>
      </c>
      <c r="G7310" s="61">
        <v>1</v>
      </c>
      <c r="H7310" s="61">
        <v>4</v>
      </c>
      <c r="I7310" s="61">
        <v>40</v>
      </c>
    </row>
    <row r="7311" spans="1:9" s="71" customFormat="1" ht="24" hidden="1" customHeight="1" outlineLevel="1" x14ac:dyDescent="0.25">
      <c r="A7311" s="74">
        <v>4995</v>
      </c>
      <c r="B7311" s="45" t="s">
        <v>664</v>
      </c>
      <c r="C7311" s="60" t="s">
        <v>6811</v>
      </c>
      <c r="D7311" s="60"/>
      <c r="E7311" s="74">
        <v>2023</v>
      </c>
      <c r="F7311" s="74" t="s">
        <v>489</v>
      </c>
      <c r="G7311" s="61">
        <v>1</v>
      </c>
      <c r="H7311" s="61">
        <v>10</v>
      </c>
      <c r="I7311" s="61">
        <v>41</v>
      </c>
    </row>
    <row r="7312" spans="1:9" s="71" customFormat="1" ht="24" hidden="1" customHeight="1" outlineLevel="1" x14ac:dyDescent="0.25">
      <c r="A7312" s="74">
        <v>4997</v>
      </c>
      <c r="B7312" s="45" t="s">
        <v>664</v>
      </c>
      <c r="C7312" s="60" t="s">
        <v>6812</v>
      </c>
      <c r="D7312" s="60"/>
      <c r="E7312" s="74">
        <v>2023</v>
      </c>
      <c r="F7312" s="74" t="s">
        <v>489</v>
      </c>
      <c r="G7312" s="61">
        <v>1</v>
      </c>
      <c r="H7312" s="61">
        <v>10</v>
      </c>
      <c r="I7312" s="61">
        <v>41</v>
      </c>
    </row>
    <row r="7313" spans="1:9" s="71" customFormat="1" ht="24" hidden="1" customHeight="1" outlineLevel="1" x14ac:dyDescent="0.25">
      <c r="A7313" s="74">
        <v>2403</v>
      </c>
      <c r="B7313" s="45" t="s">
        <v>664</v>
      </c>
      <c r="C7313" s="60" t="s">
        <v>6813</v>
      </c>
      <c r="D7313" s="60"/>
      <c r="E7313" s="74">
        <v>2023</v>
      </c>
      <c r="F7313" s="74" t="s">
        <v>489</v>
      </c>
      <c r="G7313" s="61">
        <v>1</v>
      </c>
      <c r="H7313" s="61">
        <v>2</v>
      </c>
      <c r="I7313" s="61">
        <v>40</v>
      </c>
    </row>
    <row r="7314" spans="1:9" s="71" customFormat="1" ht="24" hidden="1" customHeight="1" outlineLevel="1" x14ac:dyDescent="0.25">
      <c r="A7314" s="74">
        <v>4998</v>
      </c>
      <c r="B7314" s="45" t="s">
        <v>664</v>
      </c>
      <c r="C7314" s="60" t="s">
        <v>6814</v>
      </c>
      <c r="D7314" s="60"/>
      <c r="E7314" s="74">
        <v>2023</v>
      </c>
      <c r="F7314" s="74" t="s">
        <v>489</v>
      </c>
      <c r="G7314" s="61">
        <v>1</v>
      </c>
      <c r="H7314" s="61">
        <v>13</v>
      </c>
      <c r="I7314" s="61">
        <v>38</v>
      </c>
    </row>
    <row r="7315" spans="1:9" s="71" customFormat="1" ht="24" hidden="1" customHeight="1" outlineLevel="1" x14ac:dyDescent="0.25">
      <c r="A7315" s="74">
        <v>4999</v>
      </c>
      <c r="B7315" s="45" t="s">
        <v>664</v>
      </c>
      <c r="C7315" s="60" t="s">
        <v>6815</v>
      </c>
      <c r="D7315" s="60"/>
      <c r="E7315" s="74">
        <v>2023</v>
      </c>
      <c r="F7315" s="74" t="s">
        <v>489</v>
      </c>
      <c r="G7315" s="61">
        <v>1</v>
      </c>
      <c r="H7315" s="61">
        <v>15</v>
      </c>
      <c r="I7315" s="61">
        <v>43</v>
      </c>
    </row>
    <row r="7316" spans="1:9" s="71" customFormat="1" ht="24" hidden="1" customHeight="1" outlineLevel="1" x14ac:dyDescent="0.25">
      <c r="A7316" s="74">
        <v>2783</v>
      </c>
      <c r="B7316" s="45" t="s">
        <v>664</v>
      </c>
      <c r="C7316" s="60" t="s">
        <v>6816</v>
      </c>
      <c r="D7316" s="60"/>
      <c r="E7316" s="74">
        <v>2023</v>
      </c>
      <c r="F7316" s="74" t="s">
        <v>489</v>
      </c>
      <c r="G7316" s="61">
        <v>1</v>
      </c>
      <c r="H7316" s="61">
        <v>5</v>
      </c>
      <c r="I7316" s="61">
        <v>43</v>
      </c>
    </row>
    <row r="7317" spans="1:9" s="71" customFormat="1" ht="24" hidden="1" customHeight="1" outlineLevel="1" x14ac:dyDescent="0.25">
      <c r="A7317" s="74">
        <v>5000</v>
      </c>
      <c r="B7317" s="45" t="s">
        <v>664</v>
      </c>
      <c r="C7317" s="60" t="s">
        <v>6817</v>
      </c>
      <c r="D7317" s="60"/>
      <c r="E7317" s="74">
        <v>2023</v>
      </c>
      <c r="F7317" s="74" t="s">
        <v>489</v>
      </c>
      <c r="G7317" s="61">
        <v>1</v>
      </c>
      <c r="H7317" s="61">
        <v>10</v>
      </c>
      <c r="I7317" s="61">
        <v>40</v>
      </c>
    </row>
    <row r="7318" spans="1:9" s="71" customFormat="1" ht="24" hidden="1" customHeight="1" outlineLevel="1" x14ac:dyDescent="0.25">
      <c r="A7318" s="74">
        <v>2428</v>
      </c>
      <c r="B7318" s="45" t="s">
        <v>664</v>
      </c>
      <c r="C7318" s="60" t="s">
        <v>6818</v>
      </c>
      <c r="D7318" s="60"/>
      <c r="E7318" s="74">
        <v>2023</v>
      </c>
      <c r="F7318" s="74" t="s">
        <v>489</v>
      </c>
      <c r="G7318" s="61">
        <v>1</v>
      </c>
      <c r="H7318" s="61">
        <v>5</v>
      </c>
      <c r="I7318" s="61">
        <v>37</v>
      </c>
    </row>
    <row r="7319" spans="1:9" s="71" customFormat="1" ht="24" hidden="1" customHeight="1" outlineLevel="1" x14ac:dyDescent="0.25">
      <c r="A7319" s="74">
        <v>5001</v>
      </c>
      <c r="B7319" s="45" t="s">
        <v>664</v>
      </c>
      <c r="C7319" s="60" t="s">
        <v>6819</v>
      </c>
      <c r="D7319" s="60"/>
      <c r="E7319" s="74">
        <v>2023</v>
      </c>
      <c r="F7319" s="74" t="s">
        <v>489</v>
      </c>
      <c r="G7319" s="61">
        <v>1</v>
      </c>
      <c r="H7319" s="61">
        <v>15</v>
      </c>
      <c r="I7319" s="61">
        <v>37</v>
      </c>
    </row>
    <row r="7320" spans="1:9" s="71" customFormat="1" ht="24" hidden="1" customHeight="1" outlineLevel="1" x14ac:dyDescent="0.25">
      <c r="A7320" s="74">
        <v>5003</v>
      </c>
      <c r="B7320" s="45" t="s">
        <v>664</v>
      </c>
      <c r="C7320" s="60" t="s">
        <v>6820</v>
      </c>
      <c r="D7320" s="60"/>
      <c r="E7320" s="74">
        <v>2023</v>
      </c>
      <c r="F7320" s="74" t="s">
        <v>489</v>
      </c>
      <c r="G7320" s="61">
        <v>1</v>
      </c>
      <c r="H7320" s="61">
        <v>15</v>
      </c>
      <c r="I7320" s="61">
        <v>49</v>
      </c>
    </row>
    <row r="7321" spans="1:9" s="71" customFormat="1" ht="24" hidden="1" customHeight="1" outlineLevel="1" x14ac:dyDescent="0.25">
      <c r="A7321" s="74">
        <v>5004</v>
      </c>
      <c r="B7321" s="45" t="s">
        <v>664</v>
      </c>
      <c r="C7321" s="60" t="s">
        <v>6821</v>
      </c>
      <c r="D7321" s="60"/>
      <c r="E7321" s="74">
        <v>2023</v>
      </c>
      <c r="F7321" s="74" t="s">
        <v>489</v>
      </c>
      <c r="G7321" s="61">
        <v>1</v>
      </c>
      <c r="H7321" s="61">
        <v>15</v>
      </c>
      <c r="I7321" s="61">
        <v>61</v>
      </c>
    </row>
    <row r="7322" spans="1:9" s="71" customFormat="1" ht="24" hidden="1" customHeight="1" outlineLevel="1" x14ac:dyDescent="0.25">
      <c r="A7322" s="74">
        <v>2816</v>
      </c>
      <c r="B7322" s="45" t="s">
        <v>664</v>
      </c>
      <c r="C7322" s="60" t="s">
        <v>6822</v>
      </c>
      <c r="D7322" s="60"/>
      <c r="E7322" s="74">
        <v>2023</v>
      </c>
      <c r="F7322" s="74" t="s">
        <v>489</v>
      </c>
      <c r="G7322" s="61">
        <v>1</v>
      </c>
      <c r="H7322" s="61">
        <v>5</v>
      </c>
      <c r="I7322" s="61">
        <v>45</v>
      </c>
    </row>
    <row r="7323" spans="1:9" s="71" customFormat="1" ht="24" hidden="1" customHeight="1" outlineLevel="1" x14ac:dyDescent="0.25">
      <c r="A7323" s="74">
        <v>5005</v>
      </c>
      <c r="B7323" s="45" t="s">
        <v>664</v>
      </c>
      <c r="C7323" s="60" t="s">
        <v>6823</v>
      </c>
      <c r="D7323" s="60"/>
      <c r="E7323" s="74">
        <v>2023</v>
      </c>
      <c r="F7323" s="74" t="s">
        <v>489</v>
      </c>
      <c r="G7323" s="61">
        <v>1</v>
      </c>
      <c r="H7323" s="61">
        <v>10</v>
      </c>
      <c r="I7323" s="61">
        <v>55</v>
      </c>
    </row>
    <row r="7324" spans="1:9" s="71" customFormat="1" ht="24" hidden="1" customHeight="1" outlineLevel="1" x14ac:dyDescent="0.25">
      <c r="A7324" s="74">
        <v>5006</v>
      </c>
      <c r="B7324" s="45" t="s">
        <v>664</v>
      </c>
      <c r="C7324" s="60" t="s">
        <v>6824</v>
      </c>
      <c r="D7324" s="60"/>
      <c r="E7324" s="74">
        <v>2023</v>
      </c>
      <c r="F7324" s="74" t="s">
        <v>489</v>
      </c>
      <c r="G7324" s="61">
        <v>1</v>
      </c>
      <c r="H7324" s="61">
        <v>15</v>
      </c>
      <c r="I7324" s="61">
        <v>40</v>
      </c>
    </row>
    <row r="7325" spans="1:9" s="71" customFormat="1" ht="24" hidden="1" customHeight="1" outlineLevel="1" x14ac:dyDescent="0.25">
      <c r="A7325" s="74">
        <v>5007</v>
      </c>
      <c r="B7325" s="45" t="s">
        <v>664</v>
      </c>
      <c r="C7325" s="60" t="s">
        <v>6825</v>
      </c>
      <c r="D7325" s="60"/>
      <c r="E7325" s="74">
        <v>2023</v>
      </c>
      <c r="F7325" s="74" t="s">
        <v>489</v>
      </c>
      <c r="G7325" s="61">
        <v>1</v>
      </c>
      <c r="H7325" s="61">
        <v>15</v>
      </c>
      <c r="I7325" s="61">
        <v>45</v>
      </c>
    </row>
    <row r="7326" spans="1:9" s="71" customFormat="1" ht="24" hidden="1" customHeight="1" outlineLevel="1" x14ac:dyDescent="0.25">
      <c r="A7326" s="74">
        <v>5008</v>
      </c>
      <c r="B7326" s="45" t="s">
        <v>664</v>
      </c>
      <c r="C7326" s="60" t="s">
        <v>6826</v>
      </c>
      <c r="D7326" s="60"/>
      <c r="E7326" s="74">
        <v>2023</v>
      </c>
      <c r="F7326" s="74" t="s">
        <v>489</v>
      </c>
      <c r="G7326" s="61">
        <v>1</v>
      </c>
      <c r="H7326" s="61">
        <v>15</v>
      </c>
      <c r="I7326" s="61">
        <v>47</v>
      </c>
    </row>
    <row r="7327" spans="1:9" s="71" customFormat="1" ht="24" hidden="1" customHeight="1" outlineLevel="1" x14ac:dyDescent="0.25">
      <c r="A7327" s="74">
        <v>5009</v>
      </c>
      <c r="B7327" s="45" t="s">
        <v>664</v>
      </c>
      <c r="C7327" s="60" t="s">
        <v>6827</v>
      </c>
      <c r="D7327" s="60"/>
      <c r="E7327" s="74">
        <v>2023</v>
      </c>
      <c r="F7327" s="74" t="s">
        <v>489</v>
      </c>
      <c r="G7327" s="61">
        <v>1</v>
      </c>
      <c r="H7327" s="61">
        <v>15</v>
      </c>
      <c r="I7327" s="61">
        <v>37</v>
      </c>
    </row>
    <row r="7328" spans="1:9" s="71" customFormat="1" ht="24" hidden="1" customHeight="1" outlineLevel="1" x14ac:dyDescent="0.25">
      <c r="A7328" s="74">
        <v>707</v>
      </c>
      <c r="B7328" s="45" t="s">
        <v>664</v>
      </c>
      <c r="C7328" s="60" t="s">
        <v>255</v>
      </c>
      <c r="D7328" s="60"/>
      <c r="E7328" s="74">
        <v>2023</v>
      </c>
      <c r="F7328" s="74" t="s">
        <v>489</v>
      </c>
      <c r="G7328" s="61">
        <v>1</v>
      </c>
      <c r="H7328" s="61">
        <v>15</v>
      </c>
      <c r="I7328" s="61">
        <v>35.244</v>
      </c>
    </row>
    <row r="7329" spans="1:9" s="71" customFormat="1" ht="24" hidden="1" customHeight="1" outlineLevel="1" x14ac:dyDescent="0.25">
      <c r="A7329" s="74">
        <v>1137</v>
      </c>
      <c r="B7329" s="45" t="s">
        <v>664</v>
      </c>
      <c r="C7329" s="60" t="s">
        <v>6828</v>
      </c>
      <c r="D7329" s="60"/>
      <c r="E7329" s="74">
        <v>2023</v>
      </c>
      <c r="F7329" s="74" t="s">
        <v>489</v>
      </c>
      <c r="G7329" s="61">
        <v>1</v>
      </c>
      <c r="H7329" s="61">
        <v>15</v>
      </c>
      <c r="I7329" s="61">
        <v>26.356000000000002</v>
      </c>
    </row>
    <row r="7330" spans="1:9" s="71" customFormat="1" ht="24" hidden="1" customHeight="1" outlineLevel="1" x14ac:dyDescent="0.25">
      <c r="A7330" s="74">
        <v>515</v>
      </c>
      <c r="B7330" s="45" t="s">
        <v>664</v>
      </c>
      <c r="C7330" s="60" t="s">
        <v>256</v>
      </c>
      <c r="D7330" s="60"/>
      <c r="E7330" s="74">
        <v>2023</v>
      </c>
      <c r="F7330" s="74" t="s">
        <v>489</v>
      </c>
      <c r="G7330" s="61">
        <v>1</v>
      </c>
      <c r="H7330" s="61">
        <v>15</v>
      </c>
      <c r="I7330" s="61">
        <v>44.902000000000001</v>
      </c>
    </row>
    <row r="7331" spans="1:9" s="71" customFormat="1" ht="24" hidden="1" customHeight="1" outlineLevel="1" x14ac:dyDescent="0.25">
      <c r="A7331" s="74">
        <v>1164</v>
      </c>
      <c r="B7331" s="45" t="s">
        <v>664</v>
      </c>
      <c r="C7331" s="60" t="s">
        <v>6829</v>
      </c>
      <c r="D7331" s="60"/>
      <c r="E7331" s="74">
        <v>2023</v>
      </c>
      <c r="F7331" s="74" t="s">
        <v>489</v>
      </c>
      <c r="G7331" s="61">
        <v>1</v>
      </c>
      <c r="H7331" s="61">
        <v>15</v>
      </c>
      <c r="I7331" s="61">
        <v>32.621009999999998</v>
      </c>
    </row>
    <row r="7332" spans="1:9" s="71" customFormat="1" ht="24" hidden="1" customHeight="1" outlineLevel="1" x14ac:dyDescent="0.25">
      <c r="A7332" s="74">
        <v>978</v>
      </c>
      <c r="B7332" s="45" t="s">
        <v>664</v>
      </c>
      <c r="C7332" s="60" t="s">
        <v>6830</v>
      </c>
      <c r="D7332" s="60"/>
      <c r="E7332" s="74">
        <v>2023</v>
      </c>
      <c r="F7332" s="74" t="s">
        <v>489</v>
      </c>
      <c r="G7332" s="61">
        <v>1</v>
      </c>
      <c r="H7332" s="61">
        <v>15</v>
      </c>
      <c r="I7332" s="61">
        <v>36.474539999999998</v>
      </c>
    </row>
    <row r="7333" spans="1:9" s="71" customFormat="1" ht="24" hidden="1" customHeight="1" outlineLevel="1" x14ac:dyDescent="0.25">
      <c r="A7333" s="74">
        <v>621</v>
      </c>
      <c r="B7333" s="45" t="s">
        <v>664</v>
      </c>
      <c r="C7333" s="60" t="s">
        <v>257</v>
      </c>
      <c r="D7333" s="60"/>
      <c r="E7333" s="74">
        <v>2023</v>
      </c>
      <c r="F7333" s="74" t="s">
        <v>489</v>
      </c>
      <c r="G7333" s="61">
        <v>1</v>
      </c>
      <c r="H7333" s="61">
        <v>15</v>
      </c>
      <c r="I7333" s="61">
        <v>51.437249999999999</v>
      </c>
    </row>
    <row r="7334" spans="1:9" s="71" customFormat="1" ht="24" hidden="1" customHeight="1" outlineLevel="1" x14ac:dyDescent="0.25">
      <c r="A7334" s="74">
        <v>3274</v>
      </c>
      <c r="B7334" s="45" t="s">
        <v>664</v>
      </c>
      <c r="C7334" s="60" t="s">
        <v>6831</v>
      </c>
      <c r="D7334" s="60"/>
      <c r="E7334" s="74">
        <v>2023</v>
      </c>
      <c r="F7334" s="74" t="s">
        <v>489</v>
      </c>
      <c r="G7334" s="61">
        <v>1</v>
      </c>
      <c r="H7334" s="61">
        <v>14.5</v>
      </c>
      <c r="I7334" s="61">
        <v>34.376390000000001</v>
      </c>
    </row>
    <row r="7335" spans="1:9" s="71" customFormat="1" ht="24" hidden="1" customHeight="1" outlineLevel="1" x14ac:dyDescent="0.25">
      <c r="A7335" s="74">
        <v>3112</v>
      </c>
      <c r="B7335" s="45" t="s">
        <v>664</v>
      </c>
      <c r="C7335" s="60" t="s">
        <v>6832</v>
      </c>
      <c r="D7335" s="60"/>
      <c r="E7335" s="74">
        <v>2023</v>
      </c>
      <c r="F7335" s="74" t="s">
        <v>489</v>
      </c>
      <c r="G7335" s="61">
        <v>1</v>
      </c>
      <c r="H7335" s="61">
        <v>50</v>
      </c>
      <c r="I7335" s="61">
        <v>30.324770000000001</v>
      </c>
    </row>
    <row r="7336" spans="1:9" s="71" customFormat="1" ht="24" hidden="1" customHeight="1" outlineLevel="1" x14ac:dyDescent="0.25">
      <c r="A7336" s="74">
        <v>3221</v>
      </c>
      <c r="B7336" s="45" t="s">
        <v>664</v>
      </c>
      <c r="C7336" s="60" t="s">
        <v>453</v>
      </c>
      <c r="D7336" s="60"/>
      <c r="E7336" s="74">
        <v>2023</v>
      </c>
      <c r="F7336" s="74" t="s">
        <v>489</v>
      </c>
      <c r="G7336" s="61">
        <v>1</v>
      </c>
      <c r="H7336" s="61">
        <v>15</v>
      </c>
      <c r="I7336" s="61">
        <v>89.95872</v>
      </c>
    </row>
    <row r="7337" spans="1:9" s="71" customFormat="1" ht="24" hidden="1" customHeight="1" outlineLevel="1" x14ac:dyDescent="0.25">
      <c r="A7337" s="74">
        <v>682</v>
      </c>
      <c r="B7337" s="45" t="s">
        <v>664</v>
      </c>
      <c r="C7337" s="60" t="s">
        <v>258</v>
      </c>
      <c r="D7337" s="60"/>
      <c r="E7337" s="74">
        <v>2023</v>
      </c>
      <c r="F7337" s="74" t="s">
        <v>489</v>
      </c>
      <c r="G7337" s="61">
        <v>1</v>
      </c>
      <c r="H7337" s="61">
        <v>12</v>
      </c>
      <c r="I7337" s="61">
        <v>65.289000000000001</v>
      </c>
    </row>
    <row r="7338" spans="1:9" s="71" customFormat="1" ht="24" hidden="1" customHeight="1" outlineLevel="1" x14ac:dyDescent="0.25">
      <c r="A7338" s="74">
        <v>2833</v>
      </c>
      <c r="B7338" s="45" t="s">
        <v>664</v>
      </c>
      <c r="C7338" s="60" t="s">
        <v>259</v>
      </c>
      <c r="D7338" s="60"/>
      <c r="E7338" s="74">
        <v>2023</v>
      </c>
      <c r="F7338" s="74" t="s">
        <v>489</v>
      </c>
      <c r="G7338" s="61">
        <v>1</v>
      </c>
      <c r="H7338" s="61">
        <v>6</v>
      </c>
      <c r="I7338" s="61">
        <v>65.369</v>
      </c>
    </row>
    <row r="7339" spans="1:9" s="71" customFormat="1" ht="24" hidden="1" customHeight="1" outlineLevel="1" x14ac:dyDescent="0.25">
      <c r="A7339" s="74">
        <v>835</v>
      </c>
      <c r="B7339" s="45" t="s">
        <v>664</v>
      </c>
      <c r="C7339" s="60" t="s">
        <v>260</v>
      </c>
      <c r="D7339" s="60"/>
      <c r="E7339" s="74">
        <v>2023</v>
      </c>
      <c r="F7339" s="74" t="s">
        <v>489</v>
      </c>
      <c r="G7339" s="61">
        <v>1</v>
      </c>
      <c r="H7339" s="61">
        <v>15</v>
      </c>
      <c r="I7339" s="61">
        <v>62.344999999999999</v>
      </c>
    </row>
    <row r="7340" spans="1:9" s="71" customFormat="1" ht="24" hidden="1" customHeight="1" outlineLevel="1" x14ac:dyDescent="0.25">
      <c r="A7340" s="74">
        <v>2828</v>
      </c>
      <c r="B7340" s="45" t="s">
        <v>664</v>
      </c>
      <c r="C7340" s="60" t="s">
        <v>261</v>
      </c>
      <c r="D7340" s="60"/>
      <c r="E7340" s="74">
        <v>2023</v>
      </c>
      <c r="F7340" s="74" t="s">
        <v>489</v>
      </c>
      <c r="G7340" s="61">
        <v>1</v>
      </c>
      <c r="H7340" s="61">
        <v>25.3</v>
      </c>
      <c r="I7340" s="61">
        <v>125.321</v>
      </c>
    </row>
    <row r="7341" spans="1:9" s="71" customFormat="1" ht="24" hidden="1" customHeight="1" outlineLevel="1" x14ac:dyDescent="0.25">
      <c r="A7341" s="74">
        <v>657</v>
      </c>
      <c r="B7341" s="45" t="s">
        <v>664</v>
      </c>
      <c r="C7341" s="60" t="s">
        <v>262</v>
      </c>
      <c r="D7341" s="60"/>
      <c r="E7341" s="74">
        <v>2023</v>
      </c>
      <c r="F7341" s="74" t="s">
        <v>489</v>
      </c>
      <c r="G7341" s="61">
        <v>1</v>
      </c>
      <c r="H7341" s="61">
        <v>15</v>
      </c>
      <c r="I7341" s="61">
        <v>38.5</v>
      </c>
    </row>
    <row r="7342" spans="1:9" s="71" customFormat="1" ht="24" hidden="1" customHeight="1" outlineLevel="1" x14ac:dyDescent="0.25">
      <c r="A7342" s="74">
        <v>1038</v>
      </c>
      <c r="B7342" s="45" t="s">
        <v>664</v>
      </c>
      <c r="C7342" s="60" t="s">
        <v>454</v>
      </c>
      <c r="D7342" s="60"/>
      <c r="E7342" s="74">
        <v>2023</v>
      </c>
      <c r="F7342" s="74" t="s">
        <v>489</v>
      </c>
      <c r="G7342" s="61">
        <v>1</v>
      </c>
      <c r="H7342" s="61">
        <v>15</v>
      </c>
      <c r="I7342" s="61">
        <v>43.437069999999999</v>
      </c>
    </row>
    <row r="7343" spans="1:9" s="71" customFormat="1" ht="24" hidden="1" customHeight="1" outlineLevel="1" x14ac:dyDescent="0.25">
      <c r="A7343" s="74">
        <v>613</v>
      </c>
      <c r="B7343" s="45" t="s">
        <v>664</v>
      </c>
      <c r="C7343" s="60" t="s">
        <v>455</v>
      </c>
      <c r="D7343" s="60"/>
      <c r="E7343" s="74">
        <v>2023</v>
      </c>
      <c r="F7343" s="74" t="s">
        <v>489</v>
      </c>
      <c r="G7343" s="61">
        <v>1</v>
      </c>
      <c r="H7343" s="61">
        <v>15</v>
      </c>
      <c r="I7343" s="61">
        <v>38.531869999999998</v>
      </c>
    </row>
    <row r="7344" spans="1:9" s="71" customFormat="1" ht="24" hidden="1" customHeight="1" outlineLevel="1" x14ac:dyDescent="0.25">
      <c r="A7344" s="74">
        <v>3124</v>
      </c>
      <c r="B7344" s="45" t="s">
        <v>664</v>
      </c>
      <c r="C7344" s="60" t="s">
        <v>6833</v>
      </c>
      <c r="D7344" s="60"/>
      <c r="E7344" s="74">
        <v>2023</v>
      </c>
      <c r="F7344" s="74" t="s">
        <v>489</v>
      </c>
      <c r="G7344" s="61">
        <v>1</v>
      </c>
      <c r="H7344" s="61">
        <v>50</v>
      </c>
      <c r="I7344" s="61">
        <v>31.32122</v>
      </c>
    </row>
    <row r="7345" spans="1:9" s="71" customFormat="1" ht="24" hidden="1" customHeight="1" outlineLevel="1" x14ac:dyDescent="0.25">
      <c r="A7345" s="74">
        <v>670</v>
      </c>
      <c r="B7345" s="45" t="s">
        <v>664</v>
      </c>
      <c r="C7345" s="60" t="s">
        <v>264</v>
      </c>
      <c r="D7345" s="60"/>
      <c r="E7345" s="74">
        <v>2023</v>
      </c>
      <c r="F7345" s="74" t="s">
        <v>489</v>
      </c>
      <c r="G7345" s="61">
        <v>1</v>
      </c>
      <c r="H7345" s="61">
        <v>15</v>
      </c>
      <c r="I7345" s="61">
        <v>75</v>
      </c>
    </row>
    <row r="7346" spans="1:9" s="71" customFormat="1" ht="24" hidden="1" customHeight="1" outlineLevel="1" x14ac:dyDescent="0.25">
      <c r="A7346" s="74">
        <v>692</v>
      </c>
      <c r="B7346" s="45" t="s">
        <v>664</v>
      </c>
      <c r="C7346" s="60" t="s">
        <v>456</v>
      </c>
      <c r="D7346" s="60"/>
      <c r="E7346" s="74">
        <v>2023</v>
      </c>
      <c r="F7346" s="74" t="s">
        <v>489</v>
      </c>
      <c r="G7346" s="61">
        <v>1</v>
      </c>
      <c r="H7346" s="61">
        <v>10</v>
      </c>
      <c r="I7346" s="61">
        <v>84.792450000000002</v>
      </c>
    </row>
    <row r="7347" spans="1:9" s="71" customFormat="1" ht="24" hidden="1" customHeight="1" outlineLevel="1" x14ac:dyDescent="0.25">
      <c r="A7347" s="74">
        <v>1175</v>
      </c>
      <c r="B7347" s="45" t="s">
        <v>664</v>
      </c>
      <c r="C7347" s="60" t="s">
        <v>265</v>
      </c>
      <c r="D7347" s="60"/>
      <c r="E7347" s="74">
        <v>2023</v>
      </c>
      <c r="F7347" s="74" t="s">
        <v>489</v>
      </c>
      <c r="G7347" s="61">
        <v>1</v>
      </c>
      <c r="H7347" s="61">
        <v>15</v>
      </c>
      <c r="I7347" s="61">
        <v>54.341000000000001</v>
      </c>
    </row>
    <row r="7348" spans="1:9" s="71" customFormat="1" ht="24" hidden="1" customHeight="1" outlineLevel="1" x14ac:dyDescent="0.25">
      <c r="A7348" s="74">
        <v>3196</v>
      </c>
      <c r="B7348" s="45" t="s">
        <v>664</v>
      </c>
      <c r="C7348" s="60" t="s">
        <v>266</v>
      </c>
      <c r="D7348" s="60"/>
      <c r="E7348" s="74">
        <v>2023</v>
      </c>
      <c r="F7348" s="74" t="s">
        <v>489</v>
      </c>
      <c r="G7348" s="61">
        <v>2</v>
      </c>
      <c r="H7348" s="61">
        <v>7</v>
      </c>
      <c r="I7348" s="61">
        <v>165</v>
      </c>
    </row>
    <row r="7349" spans="1:9" s="71" customFormat="1" ht="24" hidden="1" customHeight="1" outlineLevel="1" x14ac:dyDescent="0.25">
      <c r="A7349" s="74">
        <v>3276</v>
      </c>
      <c r="B7349" s="45" t="s">
        <v>664</v>
      </c>
      <c r="C7349" s="60" t="s">
        <v>6834</v>
      </c>
      <c r="D7349" s="60"/>
      <c r="E7349" s="74">
        <v>2023</v>
      </c>
      <c r="F7349" s="74" t="s">
        <v>489</v>
      </c>
      <c r="G7349" s="61">
        <v>1</v>
      </c>
      <c r="H7349" s="61">
        <v>14.85</v>
      </c>
      <c r="I7349" s="61">
        <v>37.5</v>
      </c>
    </row>
    <row r="7350" spans="1:9" s="71" customFormat="1" ht="24" hidden="1" customHeight="1" outlineLevel="1" x14ac:dyDescent="0.25">
      <c r="A7350" s="74">
        <v>908</v>
      </c>
      <c r="B7350" s="45" t="s">
        <v>664</v>
      </c>
      <c r="C7350" s="60" t="s">
        <v>6835</v>
      </c>
      <c r="D7350" s="60"/>
      <c r="E7350" s="74">
        <v>2023</v>
      </c>
      <c r="F7350" s="74" t="s">
        <v>489</v>
      </c>
      <c r="G7350" s="61">
        <v>1</v>
      </c>
      <c r="H7350" s="61">
        <v>13.5</v>
      </c>
      <c r="I7350" s="61">
        <v>42.750579999999999</v>
      </c>
    </row>
    <row r="7351" spans="1:9" s="71" customFormat="1" ht="24" hidden="1" customHeight="1" outlineLevel="1" x14ac:dyDescent="0.25">
      <c r="A7351" s="74">
        <v>683</v>
      </c>
      <c r="B7351" s="45" t="s">
        <v>664</v>
      </c>
      <c r="C7351" s="60" t="s">
        <v>6836</v>
      </c>
      <c r="D7351" s="60"/>
      <c r="E7351" s="74">
        <v>2023</v>
      </c>
      <c r="F7351" s="74" t="s">
        <v>489</v>
      </c>
      <c r="G7351" s="61">
        <v>1</v>
      </c>
      <c r="H7351" s="61">
        <v>7</v>
      </c>
      <c r="I7351" s="61">
        <v>36.553600000000003</v>
      </c>
    </row>
    <row r="7352" spans="1:9" s="71" customFormat="1" ht="24" hidden="1" customHeight="1" outlineLevel="1" x14ac:dyDescent="0.25">
      <c r="A7352" s="74">
        <v>3128</v>
      </c>
      <c r="B7352" s="45" t="s">
        <v>664</v>
      </c>
      <c r="C7352" s="60" t="s">
        <v>268</v>
      </c>
      <c r="D7352" s="60"/>
      <c r="E7352" s="74">
        <v>2023</v>
      </c>
      <c r="F7352" s="74" t="s">
        <v>489</v>
      </c>
      <c r="G7352" s="61">
        <v>1</v>
      </c>
      <c r="H7352" s="61">
        <v>50</v>
      </c>
      <c r="I7352" s="61">
        <v>44.129260000000002</v>
      </c>
    </row>
    <row r="7353" spans="1:9" s="71" customFormat="1" ht="24" hidden="1" customHeight="1" outlineLevel="1" x14ac:dyDescent="0.25">
      <c r="A7353" s="74">
        <v>3286</v>
      </c>
      <c r="B7353" s="45" t="s">
        <v>664</v>
      </c>
      <c r="C7353" s="60" t="s">
        <v>6837</v>
      </c>
      <c r="D7353" s="60"/>
      <c r="E7353" s="74">
        <v>2023</v>
      </c>
      <c r="F7353" s="74" t="s">
        <v>489</v>
      </c>
      <c r="G7353" s="61">
        <v>1</v>
      </c>
      <c r="H7353" s="61">
        <v>15</v>
      </c>
      <c r="I7353" s="61">
        <v>36.173999999999999</v>
      </c>
    </row>
    <row r="7354" spans="1:9" s="71" customFormat="1" ht="24" hidden="1" customHeight="1" outlineLevel="1" x14ac:dyDescent="0.25">
      <c r="A7354" s="74">
        <v>975</v>
      </c>
      <c r="B7354" s="45" t="s">
        <v>664</v>
      </c>
      <c r="C7354" s="60" t="s">
        <v>459</v>
      </c>
      <c r="D7354" s="60"/>
      <c r="E7354" s="74">
        <v>2023</v>
      </c>
      <c r="F7354" s="74" t="s">
        <v>489</v>
      </c>
      <c r="G7354" s="61">
        <v>1</v>
      </c>
      <c r="H7354" s="61">
        <v>15</v>
      </c>
      <c r="I7354" s="61">
        <v>42.02281</v>
      </c>
    </row>
    <row r="7355" spans="1:9" s="71" customFormat="1" ht="24" hidden="1" customHeight="1" outlineLevel="1" x14ac:dyDescent="0.25">
      <c r="A7355" s="74">
        <v>3170</v>
      </c>
      <c r="B7355" s="45" t="s">
        <v>664</v>
      </c>
      <c r="C7355" s="60" t="s">
        <v>269</v>
      </c>
      <c r="D7355" s="60"/>
      <c r="E7355" s="74">
        <v>2023</v>
      </c>
      <c r="F7355" s="74" t="s">
        <v>489</v>
      </c>
      <c r="G7355" s="61">
        <v>2</v>
      </c>
      <c r="H7355" s="61">
        <v>45</v>
      </c>
      <c r="I7355" s="61">
        <v>132.47749999999999</v>
      </c>
    </row>
    <row r="7356" spans="1:9" s="71" customFormat="1" ht="24" hidden="1" customHeight="1" outlineLevel="1" x14ac:dyDescent="0.25">
      <c r="A7356" s="74">
        <v>4990</v>
      </c>
      <c r="B7356" s="45" t="s">
        <v>664</v>
      </c>
      <c r="C7356" s="60" t="s">
        <v>270</v>
      </c>
      <c r="D7356" s="60"/>
      <c r="E7356" s="74">
        <v>2023</v>
      </c>
      <c r="F7356" s="74" t="s">
        <v>489</v>
      </c>
      <c r="G7356" s="61">
        <v>1</v>
      </c>
      <c r="H7356" s="61">
        <v>30</v>
      </c>
      <c r="I7356" s="61">
        <v>118</v>
      </c>
    </row>
    <row r="7357" spans="1:9" s="71" customFormat="1" ht="24" hidden="1" customHeight="1" outlineLevel="1" x14ac:dyDescent="0.25">
      <c r="A7357" s="74">
        <v>3140</v>
      </c>
      <c r="B7357" s="45" t="s">
        <v>664</v>
      </c>
      <c r="C7357" s="60" t="s">
        <v>271</v>
      </c>
      <c r="D7357" s="60"/>
      <c r="E7357" s="74">
        <v>2023</v>
      </c>
      <c r="F7357" s="74" t="s">
        <v>489</v>
      </c>
      <c r="G7357" s="61">
        <v>1</v>
      </c>
      <c r="H7357" s="61">
        <v>70</v>
      </c>
      <c r="I7357" s="61">
        <v>54.65</v>
      </c>
    </row>
    <row r="7358" spans="1:9" s="71" customFormat="1" ht="24" hidden="1" customHeight="1" outlineLevel="1" x14ac:dyDescent="0.25">
      <c r="A7358" s="74">
        <v>3191</v>
      </c>
      <c r="B7358" s="45" t="s">
        <v>664</v>
      </c>
      <c r="C7358" s="60" t="s">
        <v>272</v>
      </c>
      <c r="D7358" s="60"/>
      <c r="E7358" s="74">
        <v>2023</v>
      </c>
      <c r="F7358" s="74" t="s">
        <v>489</v>
      </c>
      <c r="G7358" s="61">
        <v>1</v>
      </c>
      <c r="H7358" s="61">
        <v>15</v>
      </c>
      <c r="I7358" s="61">
        <v>87.991159999999994</v>
      </c>
    </row>
    <row r="7359" spans="1:9" s="71" customFormat="1" ht="24" hidden="1" customHeight="1" outlineLevel="1" x14ac:dyDescent="0.25">
      <c r="A7359" s="74">
        <v>4991</v>
      </c>
      <c r="B7359" s="45" t="s">
        <v>664</v>
      </c>
      <c r="C7359" s="60" t="s">
        <v>274</v>
      </c>
      <c r="D7359" s="60"/>
      <c r="E7359" s="74">
        <v>2023</v>
      </c>
      <c r="F7359" s="74" t="s">
        <v>489</v>
      </c>
      <c r="G7359" s="61">
        <v>1</v>
      </c>
      <c r="H7359" s="61">
        <v>30</v>
      </c>
      <c r="I7359" s="61">
        <v>87.650999999999996</v>
      </c>
    </row>
    <row r="7360" spans="1:9" s="71" customFormat="1" ht="24" hidden="1" customHeight="1" outlineLevel="1" x14ac:dyDescent="0.25">
      <c r="A7360" s="74">
        <v>4992</v>
      </c>
      <c r="B7360" s="45" t="s">
        <v>664</v>
      </c>
      <c r="C7360" s="60" t="s">
        <v>461</v>
      </c>
      <c r="D7360" s="60"/>
      <c r="E7360" s="74">
        <v>2023</v>
      </c>
      <c r="F7360" s="74" t="s">
        <v>489</v>
      </c>
      <c r="G7360" s="61">
        <v>1</v>
      </c>
      <c r="H7360" s="61">
        <v>20</v>
      </c>
      <c r="I7360" s="61">
        <v>219.02437</v>
      </c>
    </row>
    <row r="7361" spans="1:9" s="71" customFormat="1" ht="24" hidden="1" customHeight="1" outlineLevel="1" x14ac:dyDescent="0.25">
      <c r="A7361" s="74">
        <v>3316</v>
      </c>
      <c r="B7361" s="45" t="s">
        <v>664</v>
      </c>
      <c r="C7361" s="60" t="s">
        <v>6838</v>
      </c>
      <c r="D7361" s="60"/>
      <c r="E7361" s="74">
        <v>2023</v>
      </c>
      <c r="F7361" s="74" t="s">
        <v>489</v>
      </c>
      <c r="G7361" s="61">
        <v>1</v>
      </c>
      <c r="H7361" s="61">
        <v>7.5</v>
      </c>
      <c r="I7361" s="61">
        <v>35.6</v>
      </c>
    </row>
    <row r="7362" spans="1:9" s="71" customFormat="1" ht="24" hidden="1" customHeight="1" outlineLevel="1" x14ac:dyDescent="0.25">
      <c r="A7362" s="74">
        <v>1769</v>
      </c>
      <c r="B7362" s="45" t="s">
        <v>664</v>
      </c>
      <c r="C7362" s="60" t="s">
        <v>463</v>
      </c>
      <c r="D7362" s="60"/>
      <c r="E7362" s="74">
        <v>2023</v>
      </c>
      <c r="F7362" s="74" t="s">
        <v>489</v>
      </c>
      <c r="G7362" s="61">
        <v>1</v>
      </c>
      <c r="H7362" s="61">
        <v>5</v>
      </c>
      <c r="I7362" s="61">
        <v>90.780199999999994</v>
      </c>
    </row>
    <row r="7363" spans="1:9" s="71" customFormat="1" ht="24" hidden="1" customHeight="1" outlineLevel="1" x14ac:dyDescent="0.25">
      <c r="A7363" s="74">
        <v>3332</v>
      </c>
      <c r="B7363" s="45" t="s">
        <v>664</v>
      </c>
      <c r="C7363" s="60" t="s">
        <v>6839</v>
      </c>
      <c r="D7363" s="60"/>
      <c r="E7363" s="74">
        <v>2023</v>
      </c>
      <c r="F7363" s="74" t="s">
        <v>489</v>
      </c>
      <c r="G7363" s="61">
        <v>1</v>
      </c>
      <c r="H7363" s="61">
        <v>15</v>
      </c>
      <c r="I7363" s="61">
        <v>51.287199999999999</v>
      </c>
    </row>
    <row r="7364" spans="1:9" s="71" customFormat="1" ht="24" hidden="1" customHeight="1" outlineLevel="1" x14ac:dyDescent="0.25">
      <c r="A7364" s="74">
        <v>5002</v>
      </c>
      <c r="B7364" s="45" t="s">
        <v>664</v>
      </c>
      <c r="C7364" s="60" t="s">
        <v>278</v>
      </c>
      <c r="D7364" s="60"/>
      <c r="E7364" s="74">
        <v>2023</v>
      </c>
      <c r="F7364" s="74" t="s">
        <v>489</v>
      </c>
      <c r="G7364" s="61">
        <v>1</v>
      </c>
      <c r="H7364" s="61">
        <v>15</v>
      </c>
      <c r="I7364" s="61">
        <v>53.863</v>
      </c>
    </row>
    <row r="7365" spans="1:9" s="71" customFormat="1" ht="24" hidden="1" customHeight="1" outlineLevel="1" x14ac:dyDescent="0.25">
      <c r="A7365" s="74">
        <v>3297</v>
      </c>
      <c r="B7365" s="45" t="s">
        <v>664</v>
      </c>
      <c r="C7365" s="60" t="s">
        <v>6840</v>
      </c>
      <c r="D7365" s="60"/>
      <c r="E7365" s="74">
        <v>2023</v>
      </c>
      <c r="F7365" s="74" t="s">
        <v>489</v>
      </c>
      <c r="G7365" s="61">
        <v>1</v>
      </c>
      <c r="H7365" s="61">
        <v>15</v>
      </c>
      <c r="I7365" s="61">
        <v>52.863</v>
      </c>
    </row>
    <row r="7366" spans="1:9" s="71" customFormat="1" ht="24" hidden="1" customHeight="1" outlineLevel="1" x14ac:dyDescent="0.25">
      <c r="A7366" s="74">
        <v>5010</v>
      </c>
      <c r="B7366" s="45" t="s">
        <v>664</v>
      </c>
      <c r="C7366" s="60" t="s">
        <v>279</v>
      </c>
      <c r="D7366" s="60"/>
      <c r="E7366" s="74">
        <v>2023</v>
      </c>
      <c r="F7366" s="74" t="s">
        <v>489</v>
      </c>
      <c r="G7366" s="61">
        <v>1</v>
      </c>
      <c r="H7366" s="61">
        <v>15</v>
      </c>
      <c r="I7366" s="61">
        <v>95.972440000000006</v>
      </c>
    </row>
    <row r="7367" spans="1:9" s="71" customFormat="1" ht="24" hidden="1" customHeight="1" outlineLevel="1" x14ac:dyDescent="0.25">
      <c r="A7367" s="74">
        <v>3229</v>
      </c>
      <c r="B7367" s="45" t="s">
        <v>664</v>
      </c>
      <c r="C7367" s="60" t="s">
        <v>280</v>
      </c>
      <c r="D7367" s="60"/>
      <c r="E7367" s="74">
        <v>2023</v>
      </c>
      <c r="F7367" s="74" t="s">
        <v>489</v>
      </c>
      <c r="G7367" s="61">
        <v>1</v>
      </c>
      <c r="H7367" s="122">
        <v>11.5</v>
      </c>
      <c r="I7367" s="61">
        <v>85.5</v>
      </c>
    </row>
    <row r="7368" spans="1:9" s="71" customFormat="1" ht="24" hidden="1" customHeight="1" outlineLevel="1" x14ac:dyDescent="0.25">
      <c r="A7368" s="74">
        <v>505</v>
      </c>
      <c r="B7368" s="45" t="s">
        <v>664</v>
      </c>
      <c r="C7368" s="60" t="s">
        <v>6841</v>
      </c>
      <c r="D7368" s="60"/>
      <c r="E7368" s="74">
        <v>2023</v>
      </c>
      <c r="F7368" s="74" t="s">
        <v>489</v>
      </c>
      <c r="G7368" s="61">
        <v>1</v>
      </c>
      <c r="H7368" s="61">
        <v>15</v>
      </c>
      <c r="I7368" s="61">
        <v>105</v>
      </c>
    </row>
    <row r="7369" spans="1:9" s="71" customFormat="1" ht="24" hidden="1" customHeight="1" outlineLevel="1" x14ac:dyDescent="0.25">
      <c r="A7369" s="74">
        <v>348</v>
      </c>
      <c r="B7369" s="45" t="s">
        <v>664</v>
      </c>
      <c r="C7369" s="60" t="s">
        <v>6842</v>
      </c>
      <c r="D7369" s="60"/>
      <c r="E7369" s="74">
        <v>2023</v>
      </c>
      <c r="F7369" s="74" t="s">
        <v>489</v>
      </c>
      <c r="G7369" s="61">
        <v>1</v>
      </c>
      <c r="H7369" s="61">
        <v>15</v>
      </c>
      <c r="I7369" s="61">
        <v>112</v>
      </c>
    </row>
    <row r="7370" spans="1:9" s="71" customFormat="1" ht="24" hidden="1" customHeight="1" outlineLevel="1" x14ac:dyDescent="0.25">
      <c r="A7370" s="74">
        <v>609</v>
      </c>
      <c r="B7370" s="45" t="s">
        <v>664</v>
      </c>
      <c r="C7370" s="60" t="s">
        <v>6843</v>
      </c>
      <c r="D7370" s="60"/>
      <c r="E7370" s="74">
        <v>2023</v>
      </c>
      <c r="F7370" s="74" t="s">
        <v>489</v>
      </c>
      <c r="G7370" s="61">
        <v>1</v>
      </c>
      <c r="H7370" s="61">
        <v>45</v>
      </c>
      <c r="I7370" s="61">
        <v>43</v>
      </c>
    </row>
    <row r="7371" spans="1:9" s="71" customFormat="1" ht="24" hidden="1" customHeight="1" outlineLevel="1" x14ac:dyDescent="0.25">
      <c r="A7371" s="74">
        <v>3913</v>
      </c>
      <c r="B7371" s="45" t="s">
        <v>664</v>
      </c>
      <c r="C7371" s="60" t="s">
        <v>6844</v>
      </c>
      <c r="D7371" s="60"/>
      <c r="E7371" s="74">
        <v>2023</v>
      </c>
      <c r="F7371" s="74" t="s">
        <v>489</v>
      </c>
      <c r="G7371" s="61">
        <v>1</v>
      </c>
      <c r="H7371" s="61">
        <v>15</v>
      </c>
      <c r="I7371" s="61">
        <v>40</v>
      </c>
    </row>
    <row r="7372" spans="1:9" s="71" customFormat="1" ht="24" hidden="1" customHeight="1" outlineLevel="1" x14ac:dyDescent="0.25">
      <c r="A7372" s="74">
        <v>3887</v>
      </c>
      <c r="B7372" s="45" t="s">
        <v>664</v>
      </c>
      <c r="C7372" s="60" t="s">
        <v>6845</v>
      </c>
      <c r="D7372" s="60"/>
      <c r="E7372" s="74">
        <v>2023</v>
      </c>
      <c r="F7372" s="74" t="s">
        <v>489</v>
      </c>
      <c r="G7372" s="61">
        <v>1</v>
      </c>
      <c r="H7372" s="61">
        <v>15</v>
      </c>
      <c r="I7372" s="61">
        <v>48</v>
      </c>
    </row>
    <row r="7373" spans="1:9" s="71" customFormat="1" ht="24" hidden="1" customHeight="1" outlineLevel="1" x14ac:dyDescent="0.25">
      <c r="A7373" s="74">
        <v>3782</v>
      </c>
      <c r="B7373" s="45" t="s">
        <v>664</v>
      </c>
      <c r="C7373" s="60" t="s">
        <v>6846</v>
      </c>
      <c r="D7373" s="60"/>
      <c r="E7373" s="74">
        <v>2023</v>
      </c>
      <c r="F7373" s="74" t="s">
        <v>489</v>
      </c>
      <c r="G7373" s="61">
        <v>1</v>
      </c>
      <c r="H7373" s="61">
        <v>15</v>
      </c>
      <c r="I7373" s="61">
        <v>42</v>
      </c>
    </row>
    <row r="7374" spans="1:9" s="71" customFormat="1" ht="24" hidden="1" customHeight="1" outlineLevel="1" x14ac:dyDescent="0.25">
      <c r="A7374" s="74">
        <v>3781</v>
      </c>
      <c r="B7374" s="45" t="s">
        <v>664</v>
      </c>
      <c r="C7374" s="60" t="s">
        <v>6847</v>
      </c>
      <c r="D7374" s="60"/>
      <c r="E7374" s="74">
        <v>2023</v>
      </c>
      <c r="F7374" s="74" t="s">
        <v>489</v>
      </c>
      <c r="G7374" s="61">
        <v>1</v>
      </c>
      <c r="H7374" s="61">
        <v>15</v>
      </c>
      <c r="I7374" s="61">
        <v>41</v>
      </c>
    </row>
    <row r="7375" spans="1:9" s="71" customFormat="1" ht="24" hidden="1" customHeight="1" outlineLevel="1" x14ac:dyDescent="0.25">
      <c r="A7375" s="74">
        <v>3631</v>
      </c>
      <c r="B7375" s="45" t="s">
        <v>664</v>
      </c>
      <c r="C7375" s="60" t="s">
        <v>6848</v>
      </c>
      <c r="D7375" s="60"/>
      <c r="E7375" s="74">
        <v>2023</v>
      </c>
      <c r="F7375" s="74" t="s">
        <v>489</v>
      </c>
      <c r="G7375" s="61">
        <v>1</v>
      </c>
      <c r="H7375" s="61">
        <v>15</v>
      </c>
      <c r="I7375" s="61">
        <v>24</v>
      </c>
    </row>
    <row r="7376" spans="1:9" s="71" customFormat="1" ht="24" hidden="1" customHeight="1" outlineLevel="1" x14ac:dyDescent="0.25">
      <c r="A7376" s="74">
        <v>3525</v>
      </c>
      <c r="B7376" s="45" t="s">
        <v>664</v>
      </c>
      <c r="C7376" s="60" t="s">
        <v>6849</v>
      </c>
      <c r="D7376" s="60"/>
      <c r="E7376" s="74">
        <v>2023</v>
      </c>
      <c r="F7376" s="74" t="s">
        <v>489</v>
      </c>
      <c r="G7376" s="61">
        <v>1</v>
      </c>
      <c r="H7376" s="61">
        <v>15</v>
      </c>
      <c r="I7376" s="61">
        <v>42</v>
      </c>
    </row>
    <row r="7377" spans="1:9" s="71" customFormat="1" ht="24" hidden="1" customHeight="1" outlineLevel="1" x14ac:dyDescent="0.25">
      <c r="A7377" s="74">
        <v>3440</v>
      </c>
      <c r="B7377" s="45" t="s">
        <v>664</v>
      </c>
      <c r="C7377" s="60" t="s">
        <v>6850</v>
      </c>
      <c r="D7377" s="60"/>
      <c r="E7377" s="74">
        <v>2023</v>
      </c>
      <c r="F7377" s="74" t="s">
        <v>489</v>
      </c>
      <c r="G7377" s="61">
        <v>1</v>
      </c>
      <c r="H7377" s="61">
        <v>15</v>
      </c>
      <c r="I7377" s="61">
        <v>41</v>
      </c>
    </row>
    <row r="7378" spans="1:9" s="71" customFormat="1" ht="24" hidden="1" customHeight="1" outlineLevel="1" x14ac:dyDescent="0.25">
      <c r="A7378" s="74">
        <v>3563</v>
      </c>
      <c r="B7378" s="45" t="s">
        <v>664</v>
      </c>
      <c r="C7378" s="60" t="s">
        <v>6851</v>
      </c>
      <c r="D7378" s="60"/>
      <c r="E7378" s="74">
        <v>2023</v>
      </c>
      <c r="F7378" s="74" t="s">
        <v>489</v>
      </c>
      <c r="G7378" s="61">
        <v>1</v>
      </c>
      <c r="H7378" s="61">
        <v>15</v>
      </c>
      <c r="I7378" s="61">
        <v>25</v>
      </c>
    </row>
    <row r="7379" spans="1:9" s="71" customFormat="1" ht="24" hidden="1" customHeight="1" outlineLevel="1" x14ac:dyDescent="0.25">
      <c r="A7379" s="74">
        <v>3414</v>
      </c>
      <c r="B7379" s="45" t="s">
        <v>664</v>
      </c>
      <c r="C7379" s="60" t="s">
        <v>6852</v>
      </c>
      <c r="D7379" s="60"/>
      <c r="E7379" s="74">
        <v>2023</v>
      </c>
      <c r="F7379" s="74" t="s">
        <v>489</v>
      </c>
      <c r="G7379" s="61">
        <v>3</v>
      </c>
      <c r="H7379" s="61">
        <v>45</v>
      </c>
      <c r="I7379" s="61">
        <v>130</v>
      </c>
    </row>
    <row r="7380" spans="1:9" s="71" customFormat="1" ht="24" hidden="1" customHeight="1" outlineLevel="1" x14ac:dyDescent="0.25">
      <c r="A7380" s="74">
        <v>3938</v>
      </c>
      <c r="B7380" s="45" t="s">
        <v>664</v>
      </c>
      <c r="C7380" s="60" t="s">
        <v>6853</v>
      </c>
      <c r="D7380" s="60"/>
      <c r="E7380" s="74">
        <v>2023</v>
      </c>
      <c r="F7380" s="74" t="s">
        <v>489</v>
      </c>
      <c r="G7380" s="61">
        <v>1</v>
      </c>
      <c r="H7380" s="61">
        <v>10</v>
      </c>
      <c r="I7380" s="61">
        <v>43</v>
      </c>
    </row>
    <row r="7381" spans="1:9" s="71" customFormat="1" ht="24" hidden="1" customHeight="1" outlineLevel="1" x14ac:dyDescent="0.25">
      <c r="A7381" s="74">
        <v>3556</v>
      </c>
      <c r="B7381" s="45" t="s">
        <v>664</v>
      </c>
      <c r="C7381" s="60" t="s">
        <v>6854</v>
      </c>
      <c r="D7381" s="60"/>
      <c r="E7381" s="74">
        <v>2023</v>
      </c>
      <c r="F7381" s="74" t="s">
        <v>489</v>
      </c>
      <c r="G7381" s="61">
        <v>1</v>
      </c>
      <c r="H7381" s="61">
        <v>15</v>
      </c>
      <c r="I7381" s="61">
        <v>44</v>
      </c>
    </row>
    <row r="7382" spans="1:9" s="71" customFormat="1" ht="24" hidden="1" customHeight="1" outlineLevel="1" x14ac:dyDescent="0.25">
      <c r="A7382" s="74">
        <v>3555</v>
      </c>
      <c r="B7382" s="45" t="s">
        <v>664</v>
      </c>
      <c r="C7382" s="60" t="s">
        <v>6855</v>
      </c>
      <c r="D7382" s="60"/>
      <c r="E7382" s="74">
        <v>2023</v>
      </c>
      <c r="F7382" s="74" t="s">
        <v>489</v>
      </c>
      <c r="G7382" s="61">
        <v>1</v>
      </c>
      <c r="H7382" s="61">
        <v>15</v>
      </c>
      <c r="I7382" s="61">
        <v>48</v>
      </c>
    </row>
    <row r="7383" spans="1:9" s="71" customFormat="1" ht="24" hidden="1" customHeight="1" outlineLevel="1" x14ac:dyDescent="0.25">
      <c r="A7383" s="74">
        <v>4421</v>
      </c>
      <c r="B7383" s="45" t="s">
        <v>664</v>
      </c>
      <c r="C7383" s="60" t="s">
        <v>6856</v>
      </c>
      <c r="D7383" s="60"/>
      <c r="E7383" s="74">
        <v>2023</v>
      </c>
      <c r="F7383" s="74" t="s">
        <v>489</v>
      </c>
      <c r="G7383" s="61">
        <v>1</v>
      </c>
      <c r="H7383" s="61">
        <v>15</v>
      </c>
      <c r="I7383" s="61">
        <v>45</v>
      </c>
    </row>
    <row r="7384" spans="1:9" s="71" customFormat="1" ht="24" hidden="1" customHeight="1" outlineLevel="1" x14ac:dyDescent="0.25">
      <c r="A7384" s="74">
        <v>3862</v>
      </c>
      <c r="B7384" s="45" t="s">
        <v>664</v>
      </c>
      <c r="C7384" s="60" t="s">
        <v>6857</v>
      </c>
      <c r="D7384" s="60"/>
      <c r="E7384" s="74">
        <v>2023</v>
      </c>
      <c r="F7384" s="74" t="s">
        <v>489</v>
      </c>
      <c r="G7384" s="61">
        <v>1</v>
      </c>
      <c r="H7384" s="61">
        <v>15</v>
      </c>
      <c r="I7384" s="61">
        <v>40</v>
      </c>
    </row>
    <row r="7385" spans="1:9" s="71" customFormat="1" ht="24" hidden="1" customHeight="1" outlineLevel="1" x14ac:dyDescent="0.25">
      <c r="A7385" s="74">
        <v>3562</v>
      </c>
      <c r="B7385" s="45" t="s">
        <v>664</v>
      </c>
      <c r="C7385" s="60" t="s">
        <v>6858</v>
      </c>
      <c r="D7385" s="60"/>
      <c r="E7385" s="74">
        <v>2023</v>
      </c>
      <c r="F7385" s="74" t="s">
        <v>489</v>
      </c>
      <c r="G7385" s="61">
        <v>1</v>
      </c>
      <c r="H7385" s="61">
        <v>15</v>
      </c>
      <c r="I7385" s="61">
        <v>49</v>
      </c>
    </row>
    <row r="7386" spans="1:9" s="71" customFormat="1" ht="24" hidden="1" customHeight="1" outlineLevel="1" x14ac:dyDescent="0.25">
      <c r="A7386" s="74">
        <v>3526</v>
      </c>
      <c r="B7386" s="45" t="s">
        <v>664</v>
      </c>
      <c r="C7386" s="60" t="s">
        <v>6859</v>
      </c>
      <c r="D7386" s="60"/>
      <c r="E7386" s="74">
        <v>2023</v>
      </c>
      <c r="F7386" s="74" t="s">
        <v>489</v>
      </c>
      <c r="G7386" s="61">
        <v>1</v>
      </c>
      <c r="H7386" s="61">
        <v>15</v>
      </c>
      <c r="I7386" s="61">
        <v>41</v>
      </c>
    </row>
    <row r="7387" spans="1:9" s="71" customFormat="1" ht="24" hidden="1" customHeight="1" outlineLevel="1" x14ac:dyDescent="0.25">
      <c r="A7387" s="74">
        <v>3536</v>
      </c>
      <c r="B7387" s="45" t="s">
        <v>664</v>
      </c>
      <c r="C7387" s="60" t="s">
        <v>6860</v>
      </c>
      <c r="D7387" s="60"/>
      <c r="E7387" s="74">
        <v>2023</v>
      </c>
      <c r="F7387" s="74" t="s">
        <v>489</v>
      </c>
      <c r="G7387" s="61">
        <v>1</v>
      </c>
      <c r="H7387" s="61">
        <v>15</v>
      </c>
      <c r="I7387" s="61">
        <v>46</v>
      </c>
    </row>
    <row r="7388" spans="1:9" s="71" customFormat="1" ht="24" hidden="1" customHeight="1" outlineLevel="1" x14ac:dyDescent="0.25">
      <c r="A7388" s="74">
        <v>3569</v>
      </c>
      <c r="B7388" s="45" t="s">
        <v>664</v>
      </c>
      <c r="C7388" s="60" t="s">
        <v>6861</v>
      </c>
      <c r="D7388" s="60"/>
      <c r="E7388" s="74">
        <v>2023</v>
      </c>
      <c r="F7388" s="74" t="s">
        <v>489</v>
      </c>
      <c r="G7388" s="61">
        <v>1</v>
      </c>
      <c r="H7388" s="61">
        <v>15</v>
      </c>
      <c r="I7388" s="61">
        <v>44</v>
      </c>
    </row>
    <row r="7389" spans="1:9" s="71" customFormat="1" ht="24" hidden="1" customHeight="1" outlineLevel="1" x14ac:dyDescent="0.25">
      <c r="A7389" s="74">
        <v>3828</v>
      </c>
      <c r="B7389" s="45" t="s">
        <v>664</v>
      </c>
      <c r="C7389" s="60" t="s">
        <v>6862</v>
      </c>
      <c r="D7389" s="60"/>
      <c r="E7389" s="74">
        <v>2023</v>
      </c>
      <c r="F7389" s="74" t="s">
        <v>489</v>
      </c>
      <c r="G7389" s="61">
        <v>1</v>
      </c>
      <c r="H7389" s="61">
        <v>15</v>
      </c>
      <c r="I7389" s="61">
        <v>45</v>
      </c>
    </row>
    <row r="7390" spans="1:9" s="71" customFormat="1" ht="24" hidden="1" customHeight="1" outlineLevel="1" x14ac:dyDescent="0.25">
      <c r="A7390" s="74">
        <v>3835</v>
      </c>
      <c r="B7390" s="45" t="s">
        <v>664</v>
      </c>
      <c r="C7390" s="60" t="s">
        <v>6863</v>
      </c>
      <c r="D7390" s="60"/>
      <c r="E7390" s="74">
        <v>2023</v>
      </c>
      <c r="F7390" s="74" t="s">
        <v>489</v>
      </c>
      <c r="G7390" s="61">
        <v>1</v>
      </c>
      <c r="H7390" s="61">
        <v>15</v>
      </c>
      <c r="I7390" s="61">
        <v>44</v>
      </c>
    </row>
    <row r="7391" spans="1:9" s="71" customFormat="1" ht="24" hidden="1" customHeight="1" outlineLevel="1" x14ac:dyDescent="0.25">
      <c r="A7391" s="74">
        <v>3818</v>
      </c>
      <c r="B7391" s="45" t="s">
        <v>664</v>
      </c>
      <c r="C7391" s="60" t="s">
        <v>6864</v>
      </c>
      <c r="D7391" s="60"/>
      <c r="E7391" s="74">
        <v>2023</v>
      </c>
      <c r="F7391" s="74" t="s">
        <v>489</v>
      </c>
      <c r="G7391" s="61">
        <v>1</v>
      </c>
      <c r="H7391" s="61">
        <v>15</v>
      </c>
      <c r="I7391" s="61">
        <v>41</v>
      </c>
    </row>
    <row r="7392" spans="1:9" s="71" customFormat="1" ht="24" hidden="1" customHeight="1" outlineLevel="1" x14ac:dyDescent="0.25">
      <c r="A7392" s="74">
        <v>4422</v>
      </c>
      <c r="B7392" s="45" t="s">
        <v>664</v>
      </c>
      <c r="C7392" s="60" t="s">
        <v>6865</v>
      </c>
      <c r="D7392" s="60"/>
      <c r="E7392" s="74">
        <v>2023</v>
      </c>
      <c r="F7392" s="74" t="s">
        <v>489</v>
      </c>
      <c r="G7392" s="61">
        <v>1</v>
      </c>
      <c r="H7392" s="61">
        <v>15</v>
      </c>
      <c r="I7392" s="61">
        <v>45</v>
      </c>
    </row>
    <row r="7393" spans="1:9" s="71" customFormat="1" ht="24" hidden="1" customHeight="1" outlineLevel="1" x14ac:dyDescent="0.25">
      <c r="A7393" s="74">
        <v>3621</v>
      </c>
      <c r="B7393" s="45" t="s">
        <v>664</v>
      </c>
      <c r="C7393" s="60" t="s">
        <v>6866</v>
      </c>
      <c r="D7393" s="60"/>
      <c r="E7393" s="74">
        <v>2023</v>
      </c>
      <c r="F7393" s="74" t="s">
        <v>489</v>
      </c>
      <c r="G7393" s="61">
        <v>2</v>
      </c>
      <c r="H7393" s="61">
        <v>30</v>
      </c>
      <c r="I7393" s="61">
        <v>88</v>
      </c>
    </row>
    <row r="7394" spans="1:9" s="71" customFormat="1" ht="24" hidden="1" customHeight="1" outlineLevel="1" x14ac:dyDescent="0.25">
      <c r="A7394" s="74">
        <v>3524</v>
      </c>
      <c r="B7394" s="45" t="s">
        <v>664</v>
      </c>
      <c r="C7394" s="60" t="s">
        <v>6867</v>
      </c>
      <c r="D7394" s="60"/>
      <c r="E7394" s="74">
        <v>2023</v>
      </c>
      <c r="F7394" s="74" t="s">
        <v>489</v>
      </c>
      <c r="G7394" s="61">
        <v>3</v>
      </c>
      <c r="H7394" s="61">
        <v>45</v>
      </c>
      <c r="I7394" s="61">
        <v>128</v>
      </c>
    </row>
    <row r="7395" spans="1:9" s="71" customFormat="1" ht="24" hidden="1" customHeight="1" outlineLevel="1" x14ac:dyDescent="0.25">
      <c r="A7395" s="74">
        <v>3342</v>
      </c>
      <c r="B7395" s="45" t="s">
        <v>664</v>
      </c>
      <c r="C7395" s="60" t="s">
        <v>6868</v>
      </c>
      <c r="D7395" s="60"/>
      <c r="E7395" s="74">
        <v>2023</v>
      </c>
      <c r="F7395" s="74" t="s">
        <v>489</v>
      </c>
      <c r="G7395" s="61">
        <v>1</v>
      </c>
      <c r="H7395" s="61">
        <v>15</v>
      </c>
      <c r="I7395" s="61">
        <v>43</v>
      </c>
    </row>
    <row r="7396" spans="1:9" s="71" customFormat="1" ht="24" hidden="1" customHeight="1" outlineLevel="1" x14ac:dyDescent="0.25">
      <c r="A7396" s="74">
        <v>3004</v>
      </c>
      <c r="B7396" s="45" t="s">
        <v>664</v>
      </c>
      <c r="C7396" s="60" t="s">
        <v>6869</v>
      </c>
      <c r="D7396" s="60"/>
      <c r="E7396" s="74">
        <v>2023</v>
      </c>
      <c r="F7396" s="74" t="s">
        <v>489</v>
      </c>
      <c r="G7396" s="61">
        <v>1</v>
      </c>
      <c r="H7396" s="61">
        <v>100</v>
      </c>
      <c r="I7396" s="61">
        <v>53</v>
      </c>
    </row>
    <row r="7397" spans="1:9" s="71" customFormat="1" ht="24" hidden="1" customHeight="1" outlineLevel="1" x14ac:dyDescent="0.25">
      <c r="A7397" s="74">
        <v>436</v>
      </c>
      <c r="B7397" s="45" t="s">
        <v>664</v>
      </c>
      <c r="C7397" s="60" t="s">
        <v>6870</v>
      </c>
      <c r="D7397" s="60"/>
      <c r="E7397" s="74">
        <v>2023</v>
      </c>
      <c r="F7397" s="74" t="s">
        <v>489</v>
      </c>
      <c r="G7397" s="61">
        <v>1</v>
      </c>
      <c r="H7397" s="61">
        <v>15</v>
      </c>
      <c r="I7397" s="61">
        <v>77</v>
      </c>
    </row>
    <row r="7398" spans="1:9" s="71" customFormat="1" ht="24" hidden="1" customHeight="1" outlineLevel="1" x14ac:dyDescent="0.25">
      <c r="A7398" s="74">
        <v>297</v>
      </c>
      <c r="B7398" s="45" t="s">
        <v>664</v>
      </c>
      <c r="C7398" s="60" t="s">
        <v>6871</v>
      </c>
      <c r="D7398" s="60"/>
      <c r="E7398" s="74">
        <v>2023</v>
      </c>
      <c r="F7398" s="74" t="s">
        <v>489</v>
      </c>
      <c r="G7398" s="61">
        <v>1</v>
      </c>
      <c r="H7398" s="61">
        <v>15</v>
      </c>
      <c r="I7398" s="61">
        <v>86</v>
      </c>
    </row>
    <row r="7399" spans="1:9" s="71" customFormat="1" ht="24" hidden="1" customHeight="1" outlineLevel="1" x14ac:dyDescent="0.25">
      <c r="A7399" s="74">
        <v>436</v>
      </c>
      <c r="B7399" s="45" t="s">
        <v>664</v>
      </c>
      <c r="C7399" s="60" t="s">
        <v>6872</v>
      </c>
      <c r="D7399" s="60"/>
      <c r="E7399" s="74">
        <v>2023</v>
      </c>
      <c r="F7399" s="74" t="s">
        <v>489</v>
      </c>
      <c r="G7399" s="61">
        <v>1</v>
      </c>
      <c r="H7399" s="61">
        <v>15</v>
      </c>
      <c r="I7399" s="61">
        <v>73</v>
      </c>
    </row>
    <row r="7400" spans="1:9" s="71" customFormat="1" ht="24" hidden="1" customHeight="1" outlineLevel="1" x14ac:dyDescent="0.25">
      <c r="A7400" s="74">
        <v>3696</v>
      </c>
      <c r="B7400" s="45" t="s">
        <v>664</v>
      </c>
      <c r="C7400" s="60" t="s">
        <v>6873</v>
      </c>
      <c r="D7400" s="60"/>
      <c r="E7400" s="74">
        <v>2023</v>
      </c>
      <c r="F7400" s="74" t="s">
        <v>489</v>
      </c>
      <c r="G7400" s="61">
        <v>2</v>
      </c>
      <c r="H7400" s="61">
        <v>21</v>
      </c>
      <c r="I7400" s="61">
        <v>56</v>
      </c>
    </row>
    <row r="7401" spans="1:9" s="71" customFormat="1" ht="24" hidden="1" customHeight="1" outlineLevel="1" x14ac:dyDescent="0.25">
      <c r="A7401" s="74">
        <v>1105</v>
      </c>
      <c r="B7401" s="45" t="s">
        <v>664</v>
      </c>
      <c r="C7401" s="60" t="s">
        <v>6874</v>
      </c>
      <c r="D7401" s="60"/>
      <c r="E7401" s="74">
        <v>2023</v>
      </c>
      <c r="F7401" s="74" t="s">
        <v>489</v>
      </c>
      <c r="G7401" s="61">
        <v>1</v>
      </c>
      <c r="H7401" s="61">
        <v>15</v>
      </c>
      <c r="I7401" s="61">
        <v>45</v>
      </c>
    </row>
    <row r="7402" spans="1:9" s="71" customFormat="1" ht="24" hidden="1" customHeight="1" outlineLevel="1" x14ac:dyDescent="0.25">
      <c r="A7402" s="74">
        <v>1073</v>
      </c>
      <c r="B7402" s="45" t="s">
        <v>664</v>
      </c>
      <c r="C7402" s="60" t="s">
        <v>6875</v>
      </c>
      <c r="D7402" s="60"/>
      <c r="E7402" s="74">
        <v>2023</v>
      </c>
      <c r="F7402" s="74" t="s">
        <v>489</v>
      </c>
      <c r="G7402" s="61">
        <v>1</v>
      </c>
      <c r="H7402" s="61">
        <v>15</v>
      </c>
      <c r="I7402" s="61">
        <v>45</v>
      </c>
    </row>
    <row r="7403" spans="1:9" s="71" customFormat="1" ht="24" hidden="1" customHeight="1" outlineLevel="1" x14ac:dyDescent="0.25">
      <c r="A7403" s="74">
        <v>1096</v>
      </c>
      <c r="B7403" s="45" t="s">
        <v>664</v>
      </c>
      <c r="C7403" s="60" t="s">
        <v>6876</v>
      </c>
      <c r="D7403" s="60"/>
      <c r="E7403" s="74">
        <v>2023</v>
      </c>
      <c r="F7403" s="74" t="s">
        <v>489</v>
      </c>
      <c r="G7403" s="61">
        <v>1</v>
      </c>
      <c r="H7403" s="61">
        <v>15</v>
      </c>
      <c r="I7403" s="61">
        <v>48</v>
      </c>
    </row>
    <row r="7404" spans="1:9" s="71" customFormat="1" ht="24" hidden="1" customHeight="1" outlineLevel="1" x14ac:dyDescent="0.25">
      <c r="A7404" s="74">
        <v>3109</v>
      </c>
      <c r="B7404" s="45" t="s">
        <v>664</v>
      </c>
      <c r="C7404" s="60" t="s">
        <v>6877</v>
      </c>
      <c r="D7404" s="60"/>
      <c r="E7404" s="74">
        <v>2023</v>
      </c>
      <c r="F7404" s="74" t="s">
        <v>489</v>
      </c>
      <c r="G7404" s="61">
        <v>1</v>
      </c>
      <c r="H7404" s="61">
        <v>30</v>
      </c>
      <c r="I7404" s="61">
        <v>46</v>
      </c>
    </row>
    <row r="7405" spans="1:9" s="71" customFormat="1" ht="24" hidden="1" customHeight="1" outlineLevel="1" x14ac:dyDescent="0.25">
      <c r="A7405" s="74">
        <v>1305</v>
      </c>
      <c r="B7405" s="45" t="s">
        <v>664</v>
      </c>
      <c r="C7405" s="60" t="s">
        <v>6878</v>
      </c>
      <c r="D7405" s="60"/>
      <c r="E7405" s="74">
        <v>2023</v>
      </c>
      <c r="F7405" s="74" t="s">
        <v>489</v>
      </c>
      <c r="G7405" s="61">
        <v>1</v>
      </c>
      <c r="H7405" s="61">
        <v>15</v>
      </c>
      <c r="I7405" s="61">
        <v>43</v>
      </c>
    </row>
    <row r="7406" spans="1:9" s="71" customFormat="1" ht="24" hidden="1" customHeight="1" outlineLevel="1" x14ac:dyDescent="0.25">
      <c r="A7406" s="74">
        <v>686</v>
      </c>
      <c r="B7406" s="45" t="s">
        <v>664</v>
      </c>
      <c r="C7406" s="60" t="s">
        <v>6879</v>
      </c>
      <c r="D7406" s="60"/>
      <c r="E7406" s="74">
        <v>2023</v>
      </c>
      <c r="F7406" s="74" t="s">
        <v>489</v>
      </c>
      <c r="G7406" s="61">
        <v>5</v>
      </c>
      <c r="H7406" s="61">
        <v>50</v>
      </c>
      <c r="I7406" s="61">
        <v>209</v>
      </c>
    </row>
    <row r="7407" spans="1:9" s="71" customFormat="1" ht="24" hidden="1" customHeight="1" outlineLevel="1" x14ac:dyDescent="0.25">
      <c r="A7407" s="74">
        <v>571</v>
      </c>
      <c r="B7407" s="45" t="s">
        <v>664</v>
      </c>
      <c r="C7407" s="60" t="s">
        <v>6880</v>
      </c>
      <c r="D7407" s="60"/>
      <c r="E7407" s="74">
        <v>2023</v>
      </c>
      <c r="F7407" s="74" t="s">
        <v>489</v>
      </c>
      <c r="G7407" s="61">
        <v>1</v>
      </c>
      <c r="H7407" s="61">
        <v>15</v>
      </c>
      <c r="I7407" s="61">
        <v>77</v>
      </c>
    </row>
    <row r="7408" spans="1:9" s="71" customFormat="1" ht="24" hidden="1" customHeight="1" outlineLevel="1" x14ac:dyDescent="0.25">
      <c r="A7408" s="74">
        <v>552</v>
      </c>
      <c r="B7408" s="45" t="s">
        <v>664</v>
      </c>
      <c r="C7408" s="60" t="s">
        <v>6881</v>
      </c>
      <c r="D7408" s="60"/>
      <c r="E7408" s="74">
        <v>2023</v>
      </c>
      <c r="F7408" s="74" t="s">
        <v>489</v>
      </c>
      <c r="G7408" s="61">
        <v>1</v>
      </c>
      <c r="H7408" s="61">
        <v>10</v>
      </c>
      <c r="I7408" s="61">
        <v>78</v>
      </c>
    </row>
    <row r="7409" spans="1:9" s="71" customFormat="1" ht="24" hidden="1" customHeight="1" outlineLevel="1" x14ac:dyDescent="0.25">
      <c r="A7409" s="74">
        <v>599</v>
      </c>
      <c r="B7409" s="45" t="s">
        <v>664</v>
      </c>
      <c r="C7409" s="60" t="s">
        <v>6882</v>
      </c>
      <c r="D7409" s="60"/>
      <c r="E7409" s="74">
        <v>2023</v>
      </c>
      <c r="F7409" s="74" t="s">
        <v>489</v>
      </c>
      <c r="G7409" s="61">
        <v>1</v>
      </c>
      <c r="H7409" s="61">
        <v>15</v>
      </c>
      <c r="I7409" s="61">
        <v>46</v>
      </c>
    </row>
    <row r="7410" spans="1:9" s="71" customFormat="1" ht="24" hidden="1" customHeight="1" outlineLevel="1" x14ac:dyDescent="0.25">
      <c r="A7410" s="74">
        <v>627</v>
      </c>
      <c r="B7410" s="45" t="s">
        <v>664</v>
      </c>
      <c r="C7410" s="60" t="s">
        <v>6883</v>
      </c>
      <c r="D7410" s="60"/>
      <c r="E7410" s="74">
        <v>2023</v>
      </c>
      <c r="F7410" s="74" t="s">
        <v>489</v>
      </c>
      <c r="G7410" s="61">
        <v>1</v>
      </c>
      <c r="H7410" s="61">
        <v>15</v>
      </c>
      <c r="I7410" s="61">
        <v>44</v>
      </c>
    </row>
    <row r="7411" spans="1:9" s="71" customFormat="1" ht="24" hidden="1" customHeight="1" outlineLevel="1" x14ac:dyDescent="0.25">
      <c r="A7411" s="74">
        <v>1142</v>
      </c>
      <c r="B7411" s="45" t="s">
        <v>664</v>
      </c>
      <c r="C7411" s="60" t="s">
        <v>6884</v>
      </c>
      <c r="D7411" s="60"/>
      <c r="E7411" s="74">
        <v>2023</v>
      </c>
      <c r="F7411" s="74" t="s">
        <v>489</v>
      </c>
      <c r="G7411" s="61">
        <v>1</v>
      </c>
      <c r="H7411" s="61">
        <v>15</v>
      </c>
      <c r="I7411" s="61">
        <v>48</v>
      </c>
    </row>
    <row r="7412" spans="1:9" s="71" customFormat="1" ht="24" hidden="1" customHeight="1" outlineLevel="1" x14ac:dyDescent="0.25">
      <c r="A7412" s="74">
        <v>987</v>
      </c>
      <c r="B7412" s="45" t="s">
        <v>664</v>
      </c>
      <c r="C7412" s="60" t="s">
        <v>6885</v>
      </c>
      <c r="D7412" s="60"/>
      <c r="E7412" s="74">
        <v>2023</v>
      </c>
      <c r="F7412" s="74" t="s">
        <v>489</v>
      </c>
      <c r="G7412" s="61">
        <v>2</v>
      </c>
      <c r="H7412" s="61">
        <v>30</v>
      </c>
      <c r="I7412" s="61">
        <v>86</v>
      </c>
    </row>
    <row r="7413" spans="1:9" s="71" customFormat="1" ht="24" hidden="1" customHeight="1" outlineLevel="1" x14ac:dyDescent="0.25">
      <c r="A7413" s="74">
        <v>1223</v>
      </c>
      <c r="B7413" s="45" t="s">
        <v>664</v>
      </c>
      <c r="C7413" s="60" t="s">
        <v>6886</v>
      </c>
      <c r="D7413" s="60"/>
      <c r="E7413" s="74">
        <v>2023</v>
      </c>
      <c r="F7413" s="74" t="s">
        <v>489</v>
      </c>
      <c r="G7413" s="61">
        <v>1</v>
      </c>
      <c r="H7413" s="61">
        <v>15</v>
      </c>
      <c r="I7413" s="61">
        <v>48</v>
      </c>
    </row>
    <row r="7414" spans="1:9" s="71" customFormat="1" ht="24" hidden="1" customHeight="1" outlineLevel="1" x14ac:dyDescent="0.25">
      <c r="A7414" s="74">
        <v>1240</v>
      </c>
      <c r="B7414" s="45" t="s">
        <v>664</v>
      </c>
      <c r="C7414" s="60" t="s">
        <v>6887</v>
      </c>
      <c r="D7414" s="60"/>
      <c r="E7414" s="74">
        <v>2023</v>
      </c>
      <c r="F7414" s="74" t="s">
        <v>489</v>
      </c>
      <c r="G7414" s="61">
        <v>1</v>
      </c>
      <c r="H7414" s="61">
        <v>15</v>
      </c>
      <c r="I7414" s="61">
        <v>47</v>
      </c>
    </row>
    <row r="7415" spans="1:9" s="71" customFormat="1" ht="24" hidden="1" customHeight="1" outlineLevel="1" x14ac:dyDescent="0.25">
      <c r="A7415" s="74">
        <v>1241</v>
      </c>
      <c r="B7415" s="45" t="s">
        <v>664</v>
      </c>
      <c r="C7415" s="60" t="s">
        <v>6888</v>
      </c>
      <c r="D7415" s="60"/>
      <c r="E7415" s="74">
        <v>2023</v>
      </c>
      <c r="F7415" s="74" t="s">
        <v>489</v>
      </c>
      <c r="G7415" s="61">
        <v>1</v>
      </c>
      <c r="H7415" s="61">
        <v>15</v>
      </c>
      <c r="I7415" s="61">
        <v>45</v>
      </c>
    </row>
    <row r="7416" spans="1:9" s="71" customFormat="1" ht="24" hidden="1" customHeight="1" outlineLevel="1" x14ac:dyDescent="0.25">
      <c r="A7416" s="74">
        <v>1268</v>
      </c>
      <c r="B7416" s="45" t="s">
        <v>664</v>
      </c>
      <c r="C7416" s="60" t="s">
        <v>6889</v>
      </c>
      <c r="D7416" s="60"/>
      <c r="E7416" s="74">
        <v>2023</v>
      </c>
      <c r="F7416" s="74" t="s">
        <v>489</v>
      </c>
      <c r="G7416" s="61">
        <v>1</v>
      </c>
      <c r="H7416" s="61">
        <v>15</v>
      </c>
      <c r="I7416" s="61">
        <v>43</v>
      </c>
    </row>
    <row r="7417" spans="1:9" s="71" customFormat="1" ht="24" hidden="1" customHeight="1" outlineLevel="1" x14ac:dyDescent="0.25">
      <c r="A7417" s="74">
        <v>1025</v>
      </c>
      <c r="B7417" s="45" t="s">
        <v>664</v>
      </c>
      <c r="C7417" s="60" t="s">
        <v>6890</v>
      </c>
      <c r="D7417" s="60"/>
      <c r="E7417" s="74">
        <v>2023</v>
      </c>
      <c r="F7417" s="74" t="s">
        <v>489</v>
      </c>
      <c r="G7417" s="61">
        <v>1</v>
      </c>
      <c r="H7417" s="61">
        <v>15</v>
      </c>
      <c r="I7417" s="61">
        <v>44</v>
      </c>
    </row>
    <row r="7418" spans="1:9" s="71" customFormat="1" ht="24" hidden="1" customHeight="1" outlineLevel="1" x14ac:dyDescent="0.25">
      <c r="A7418" s="74">
        <v>654</v>
      </c>
      <c r="B7418" s="45" t="s">
        <v>664</v>
      </c>
      <c r="C7418" s="60" t="s">
        <v>582</v>
      </c>
      <c r="D7418" s="60"/>
      <c r="E7418" s="74">
        <v>2023</v>
      </c>
      <c r="F7418" s="74" t="s">
        <v>489</v>
      </c>
      <c r="G7418" s="61">
        <v>2</v>
      </c>
      <c r="H7418" s="61">
        <v>30</v>
      </c>
      <c r="I7418" s="61">
        <v>93</v>
      </c>
    </row>
    <row r="7419" spans="1:9" s="71" customFormat="1" ht="24" hidden="1" customHeight="1" outlineLevel="1" x14ac:dyDescent="0.25">
      <c r="A7419" s="74">
        <v>724</v>
      </c>
      <c r="B7419" s="45" t="s">
        <v>664</v>
      </c>
      <c r="C7419" s="60" t="s">
        <v>6891</v>
      </c>
      <c r="D7419" s="60"/>
      <c r="E7419" s="74">
        <v>2023</v>
      </c>
      <c r="F7419" s="74" t="s">
        <v>489</v>
      </c>
      <c r="G7419" s="61">
        <v>2</v>
      </c>
      <c r="H7419" s="61">
        <v>20</v>
      </c>
      <c r="I7419" s="61">
        <v>82</v>
      </c>
    </row>
    <row r="7420" spans="1:9" s="71" customFormat="1" ht="24" hidden="1" customHeight="1" outlineLevel="1" x14ac:dyDescent="0.25">
      <c r="A7420" s="74">
        <v>512</v>
      </c>
      <c r="B7420" s="45" t="s">
        <v>664</v>
      </c>
      <c r="C7420" s="60" t="s">
        <v>6892</v>
      </c>
      <c r="D7420" s="60"/>
      <c r="E7420" s="74">
        <v>2023</v>
      </c>
      <c r="F7420" s="74" t="s">
        <v>489</v>
      </c>
      <c r="G7420" s="61">
        <v>1</v>
      </c>
      <c r="H7420" s="61">
        <v>14.5</v>
      </c>
      <c r="I7420" s="61">
        <v>129</v>
      </c>
    </row>
    <row r="7421" spans="1:9" s="71" customFormat="1" ht="24" hidden="1" customHeight="1" outlineLevel="1" x14ac:dyDescent="0.25">
      <c r="A7421" s="74">
        <v>398</v>
      </c>
      <c r="B7421" s="45" t="s">
        <v>664</v>
      </c>
      <c r="C7421" s="60" t="s">
        <v>6893</v>
      </c>
      <c r="D7421" s="60"/>
      <c r="E7421" s="74">
        <v>2023</v>
      </c>
      <c r="F7421" s="74" t="s">
        <v>489</v>
      </c>
      <c r="G7421" s="61">
        <v>1</v>
      </c>
      <c r="H7421" s="61">
        <v>15</v>
      </c>
      <c r="I7421" s="61">
        <v>115</v>
      </c>
    </row>
    <row r="7422" spans="1:9" s="71" customFormat="1" ht="24" hidden="1" customHeight="1" outlineLevel="1" x14ac:dyDescent="0.25">
      <c r="A7422" s="74">
        <v>366</v>
      </c>
      <c r="B7422" s="45" t="s">
        <v>664</v>
      </c>
      <c r="C7422" s="60" t="s">
        <v>6894</v>
      </c>
      <c r="D7422" s="60"/>
      <c r="E7422" s="74">
        <v>2023</v>
      </c>
      <c r="F7422" s="74" t="s">
        <v>489</v>
      </c>
      <c r="G7422" s="61">
        <v>1</v>
      </c>
      <c r="H7422" s="61">
        <v>15</v>
      </c>
      <c r="I7422" s="61">
        <v>102</v>
      </c>
    </row>
    <row r="7423" spans="1:9" s="71" customFormat="1" ht="24" hidden="1" customHeight="1" outlineLevel="1" x14ac:dyDescent="0.25">
      <c r="A7423" s="74">
        <v>405</v>
      </c>
      <c r="B7423" s="45" t="s">
        <v>664</v>
      </c>
      <c r="C7423" s="60" t="s">
        <v>6895</v>
      </c>
      <c r="D7423" s="60"/>
      <c r="E7423" s="74">
        <v>2023</v>
      </c>
      <c r="F7423" s="74" t="s">
        <v>489</v>
      </c>
      <c r="G7423" s="61">
        <v>1</v>
      </c>
      <c r="H7423" s="61">
        <v>15</v>
      </c>
      <c r="I7423" s="61">
        <v>95</v>
      </c>
    </row>
    <row r="7424" spans="1:9" s="71" customFormat="1" ht="24" hidden="1" customHeight="1" outlineLevel="1" x14ac:dyDescent="0.25">
      <c r="A7424" s="74">
        <v>446</v>
      </c>
      <c r="B7424" s="45" t="s">
        <v>664</v>
      </c>
      <c r="C7424" s="60" t="s">
        <v>6896</v>
      </c>
      <c r="D7424" s="60"/>
      <c r="E7424" s="74">
        <v>2023</v>
      </c>
      <c r="F7424" s="74" t="s">
        <v>489</v>
      </c>
      <c r="G7424" s="61">
        <v>1</v>
      </c>
      <c r="H7424" s="61">
        <v>15</v>
      </c>
      <c r="I7424" s="61">
        <v>94</v>
      </c>
    </row>
    <row r="7425" spans="1:9" s="71" customFormat="1" ht="24" hidden="1" customHeight="1" outlineLevel="1" x14ac:dyDescent="0.25">
      <c r="A7425" s="74">
        <v>2817</v>
      </c>
      <c r="B7425" s="45" t="s">
        <v>664</v>
      </c>
      <c r="C7425" s="60" t="s">
        <v>6897</v>
      </c>
      <c r="D7425" s="60"/>
      <c r="E7425" s="74">
        <v>2023</v>
      </c>
      <c r="F7425" s="74" t="s">
        <v>489</v>
      </c>
      <c r="G7425" s="61">
        <v>1</v>
      </c>
      <c r="H7425" s="61">
        <v>15</v>
      </c>
      <c r="I7425" s="61">
        <v>122</v>
      </c>
    </row>
    <row r="7426" spans="1:9" s="71" customFormat="1" ht="24" hidden="1" customHeight="1" outlineLevel="1" x14ac:dyDescent="0.25">
      <c r="A7426" s="74">
        <v>1041</v>
      </c>
      <c r="B7426" s="45" t="s">
        <v>664</v>
      </c>
      <c r="C7426" s="60" t="s">
        <v>6898</v>
      </c>
      <c r="D7426" s="60"/>
      <c r="E7426" s="74">
        <v>2023</v>
      </c>
      <c r="F7426" s="74" t="s">
        <v>489</v>
      </c>
      <c r="G7426" s="61">
        <v>5</v>
      </c>
      <c r="H7426" s="61">
        <v>50</v>
      </c>
      <c r="I7426" s="61">
        <v>351</v>
      </c>
    </row>
    <row r="7427" spans="1:9" s="71" customFormat="1" ht="24" hidden="1" customHeight="1" outlineLevel="1" x14ac:dyDescent="0.25">
      <c r="A7427" s="74">
        <v>510</v>
      </c>
      <c r="B7427" s="45" t="s">
        <v>664</v>
      </c>
      <c r="C7427" s="60" t="s">
        <v>6899</v>
      </c>
      <c r="D7427" s="60"/>
      <c r="E7427" s="74">
        <v>2023</v>
      </c>
      <c r="F7427" s="74" t="s">
        <v>489</v>
      </c>
      <c r="G7427" s="61">
        <v>9</v>
      </c>
      <c r="H7427" s="61">
        <v>94</v>
      </c>
      <c r="I7427" s="61">
        <v>649</v>
      </c>
    </row>
    <row r="7428" spans="1:9" s="71" customFormat="1" ht="24" hidden="1" customHeight="1" outlineLevel="1" x14ac:dyDescent="0.25">
      <c r="A7428" s="74">
        <v>977</v>
      </c>
      <c r="B7428" s="45" t="s">
        <v>664</v>
      </c>
      <c r="C7428" s="60" t="s">
        <v>6900</v>
      </c>
      <c r="D7428" s="60"/>
      <c r="E7428" s="74">
        <v>2023</v>
      </c>
      <c r="F7428" s="74" t="s">
        <v>489</v>
      </c>
      <c r="G7428" s="61">
        <v>5</v>
      </c>
      <c r="H7428" s="61">
        <v>50</v>
      </c>
      <c r="I7428" s="61">
        <v>345</v>
      </c>
    </row>
    <row r="7429" spans="1:9" s="71" customFormat="1" ht="24" hidden="1" customHeight="1" outlineLevel="1" x14ac:dyDescent="0.25">
      <c r="A7429" s="74">
        <v>1005</v>
      </c>
      <c r="B7429" s="45" t="s">
        <v>664</v>
      </c>
      <c r="C7429" s="60" t="s">
        <v>6901</v>
      </c>
      <c r="D7429" s="60"/>
      <c r="E7429" s="74">
        <v>2023</v>
      </c>
      <c r="F7429" s="74" t="s">
        <v>489</v>
      </c>
      <c r="G7429" s="61">
        <v>1</v>
      </c>
      <c r="H7429" s="61">
        <v>15</v>
      </c>
      <c r="I7429" s="61">
        <v>43</v>
      </c>
    </row>
    <row r="7430" spans="1:9" s="71" customFormat="1" ht="24" hidden="1" customHeight="1" outlineLevel="1" x14ac:dyDescent="0.25">
      <c r="A7430" s="74">
        <v>770</v>
      </c>
      <c r="B7430" s="45" t="s">
        <v>664</v>
      </c>
      <c r="C7430" s="60" t="s">
        <v>6902</v>
      </c>
      <c r="D7430" s="60"/>
      <c r="E7430" s="74">
        <v>2023</v>
      </c>
      <c r="F7430" s="74" t="s">
        <v>489</v>
      </c>
      <c r="G7430" s="61">
        <v>1</v>
      </c>
      <c r="H7430" s="61">
        <v>15</v>
      </c>
      <c r="I7430" s="61">
        <v>43</v>
      </c>
    </row>
    <row r="7431" spans="1:9" s="71" customFormat="1" ht="24" hidden="1" customHeight="1" outlineLevel="1" x14ac:dyDescent="0.25">
      <c r="A7431" s="74">
        <v>1085</v>
      </c>
      <c r="B7431" s="45" t="s">
        <v>664</v>
      </c>
      <c r="C7431" s="60" t="s">
        <v>6903</v>
      </c>
      <c r="D7431" s="60"/>
      <c r="E7431" s="74">
        <v>2023</v>
      </c>
      <c r="F7431" s="74" t="s">
        <v>489</v>
      </c>
      <c r="G7431" s="61">
        <v>2</v>
      </c>
      <c r="H7431" s="61">
        <v>30</v>
      </c>
      <c r="I7431" s="61">
        <v>83</v>
      </c>
    </row>
    <row r="7432" spans="1:9" s="71" customFormat="1" ht="24" hidden="1" customHeight="1" outlineLevel="1" x14ac:dyDescent="0.25">
      <c r="A7432" s="74">
        <v>550</v>
      </c>
      <c r="B7432" s="45" t="s">
        <v>664</v>
      </c>
      <c r="C7432" s="60" t="s">
        <v>583</v>
      </c>
      <c r="D7432" s="60"/>
      <c r="E7432" s="74">
        <v>2023</v>
      </c>
      <c r="F7432" s="74" t="s">
        <v>489</v>
      </c>
      <c r="G7432" s="61">
        <v>2</v>
      </c>
      <c r="H7432" s="61">
        <v>30</v>
      </c>
      <c r="I7432" s="61">
        <v>83</v>
      </c>
    </row>
    <row r="7433" spans="1:9" s="71" customFormat="1" ht="24" hidden="1" customHeight="1" outlineLevel="1" x14ac:dyDescent="0.25">
      <c r="A7433" s="74">
        <v>976</v>
      </c>
      <c r="B7433" s="45" t="s">
        <v>664</v>
      </c>
      <c r="C7433" s="60" t="s">
        <v>6904</v>
      </c>
      <c r="D7433" s="60"/>
      <c r="E7433" s="74">
        <v>2023</v>
      </c>
      <c r="F7433" s="74" t="s">
        <v>489</v>
      </c>
      <c r="G7433" s="61">
        <v>1</v>
      </c>
      <c r="H7433" s="61">
        <v>15</v>
      </c>
      <c r="I7433" s="61">
        <v>43</v>
      </c>
    </row>
    <row r="7434" spans="1:9" s="71" customFormat="1" ht="24" hidden="1" customHeight="1" outlineLevel="1" x14ac:dyDescent="0.25">
      <c r="A7434" s="74">
        <v>1282</v>
      </c>
      <c r="B7434" s="45" t="s">
        <v>664</v>
      </c>
      <c r="C7434" s="60" t="s">
        <v>6905</v>
      </c>
      <c r="D7434" s="60"/>
      <c r="E7434" s="74">
        <v>2023</v>
      </c>
      <c r="F7434" s="74" t="s">
        <v>489</v>
      </c>
      <c r="G7434" s="61">
        <v>1</v>
      </c>
      <c r="H7434" s="61">
        <v>15</v>
      </c>
      <c r="I7434" s="61">
        <v>43</v>
      </c>
    </row>
    <row r="7435" spans="1:9" s="71" customFormat="1" ht="24" hidden="1" customHeight="1" outlineLevel="1" x14ac:dyDescent="0.25">
      <c r="A7435" s="74">
        <v>1676</v>
      </c>
      <c r="B7435" s="45" t="s">
        <v>664</v>
      </c>
      <c r="C7435" s="60" t="s">
        <v>6906</v>
      </c>
      <c r="D7435" s="60"/>
      <c r="E7435" s="74">
        <v>2023</v>
      </c>
      <c r="F7435" s="74" t="s">
        <v>489</v>
      </c>
      <c r="G7435" s="61">
        <v>1</v>
      </c>
      <c r="H7435" s="61">
        <v>15</v>
      </c>
      <c r="I7435" s="61">
        <v>43</v>
      </c>
    </row>
    <row r="7436" spans="1:9" s="71" customFormat="1" ht="24" hidden="1" customHeight="1" outlineLevel="1" x14ac:dyDescent="0.25">
      <c r="A7436" s="74">
        <v>1743</v>
      </c>
      <c r="B7436" s="45" t="s">
        <v>664</v>
      </c>
      <c r="C7436" s="60" t="s">
        <v>6907</v>
      </c>
      <c r="D7436" s="60"/>
      <c r="E7436" s="74">
        <v>2023</v>
      </c>
      <c r="F7436" s="74" t="s">
        <v>489</v>
      </c>
      <c r="G7436" s="61">
        <v>1</v>
      </c>
      <c r="H7436" s="61">
        <v>10</v>
      </c>
      <c r="I7436" s="61">
        <v>44</v>
      </c>
    </row>
    <row r="7437" spans="1:9" s="71" customFormat="1" ht="24" hidden="1" customHeight="1" outlineLevel="1" x14ac:dyDescent="0.25">
      <c r="A7437" s="74">
        <v>625</v>
      </c>
      <c r="B7437" s="45" t="s">
        <v>664</v>
      </c>
      <c r="C7437" s="60" t="s">
        <v>6908</v>
      </c>
      <c r="D7437" s="60"/>
      <c r="E7437" s="74">
        <v>2023</v>
      </c>
      <c r="F7437" s="74" t="s">
        <v>489</v>
      </c>
      <c r="G7437" s="61">
        <v>1</v>
      </c>
      <c r="H7437" s="61">
        <v>15</v>
      </c>
      <c r="I7437" s="61">
        <v>40</v>
      </c>
    </row>
    <row r="7438" spans="1:9" s="71" customFormat="1" ht="24" hidden="1" customHeight="1" outlineLevel="1" x14ac:dyDescent="0.25">
      <c r="A7438" s="74">
        <v>1019</v>
      </c>
      <c r="B7438" s="45" t="s">
        <v>664</v>
      </c>
      <c r="C7438" s="60" t="s">
        <v>6909</v>
      </c>
      <c r="D7438" s="60"/>
      <c r="E7438" s="74">
        <v>2023</v>
      </c>
      <c r="F7438" s="74" t="s">
        <v>489</v>
      </c>
      <c r="G7438" s="61">
        <v>1</v>
      </c>
      <c r="H7438" s="61">
        <v>15</v>
      </c>
      <c r="I7438" s="61">
        <v>44</v>
      </c>
    </row>
    <row r="7439" spans="1:9" s="71" customFormat="1" ht="24" hidden="1" customHeight="1" outlineLevel="1" x14ac:dyDescent="0.25">
      <c r="A7439" s="74">
        <v>3123</v>
      </c>
      <c r="B7439" s="45" t="s">
        <v>664</v>
      </c>
      <c r="C7439" s="60" t="s">
        <v>6910</v>
      </c>
      <c r="D7439" s="60"/>
      <c r="E7439" s="74">
        <v>2023</v>
      </c>
      <c r="F7439" s="74" t="s">
        <v>489</v>
      </c>
      <c r="G7439" s="61">
        <v>1</v>
      </c>
      <c r="H7439" s="61">
        <v>150</v>
      </c>
      <c r="I7439" s="61">
        <v>40</v>
      </c>
    </row>
    <row r="7440" spans="1:9" s="71" customFormat="1" ht="24" hidden="1" customHeight="1" outlineLevel="1" x14ac:dyDescent="0.25">
      <c r="A7440" s="74">
        <v>3009</v>
      </c>
      <c r="B7440" s="45" t="s">
        <v>664</v>
      </c>
      <c r="C7440" s="60" t="s">
        <v>656</v>
      </c>
      <c r="D7440" s="60"/>
      <c r="E7440" s="74">
        <v>2023</v>
      </c>
      <c r="F7440" s="74" t="s">
        <v>489</v>
      </c>
      <c r="G7440" s="61">
        <v>3</v>
      </c>
      <c r="H7440" s="61">
        <v>450</v>
      </c>
      <c r="I7440" s="61">
        <v>134</v>
      </c>
    </row>
    <row r="7441" spans="1:9" s="71" customFormat="1" ht="24" hidden="1" customHeight="1" outlineLevel="1" x14ac:dyDescent="0.25">
      <c r="A7441" s="74">
        <v>1453</v>
      </c>
      <c r="B7441" s="45" t="s">
        <v>664</v>
      </c>
      <c r="C7441" s="60" t="s">
        <v>6911</v>
      </c>
      <c r="D7441" s="60"/>
      <c r="E7441" s="74">
        <v>2023</v>
      </c>
      <c r="F7441" s="74" t="s">
        <v>489</v>
      </c>
      <c r="G7441" s="61">
        <v>1</v>
      </c>
      <c r="H7441" s="61">
        <v>15</v>
      </c>
      <c r="I7441" s="61">
        <v>39</v>
      </c>
    </row>
    <row r="7442" spans="1:9" s="71" customFormat="1" ht="24" hidden="1" customHeight="1" outlineLevel="1" x14ac:dyDescent="0.25">
      <c r="A7442" s="74">
        <v>3284</v>
      </c>
      <c r="B7442" s="45" t="s">
        <v>664</v>
      </c>
      <c r="C7442" s="60" t="s">
        <v>6912</v>
      </c>
      <c r="D7442" s="60"/>
      <c r="E7442" s="74">
        <v>2023</v>
      </c>
      <c r="F7442" s="74" t="s">
        <v>489</v>
      </c>
      <c r="G7442" s="61">
        <v>1</v>
      </c>
      <c r="H7442" s="61">
        <v>15</v>
      </c>
      <c r="I7442" s="61">
        <v>41</v>
      </c>
    </row>
    <row r="7443" spans="1:9" s="71" customFormat="1" ht="24" hidden="1" customHeight="1" outlineLevel="1" x14ac:dyDescent="0.25">
      <c r="A7443" s="74">
        <v>1191</v>
      </c>
      <c r="B7443" s="45" t="s">
        <v>664</v>
      </c>
      <c r="C7443" s="60" t="s">
        <v>6913</v>
      </c>
      <c r="D7443" s="60"/>
      <c r="E7443" s="74">
        <v>2023</v>
      </c>
      <c r="F7443" s="74" t="s">
        <v>489</v>
      </c>
      <c r="G7443" s="61">
        <v>1</v>
      </c>
      <c r="H7443" s="61">
        <v>15</v>
      </c>
      <c r="I7443" s="61">
        <v>42</v>
      </c>
    </row>
    <row r="7444" spans="1:9" s="71" customFormat="1" ht="24" hidden="1" customHeight="1" outlineLevel="1" x14ac:dyDescent="0.25">
      <c r="A7444" s="74">
        <v>1054</v>
      </c>
      <c r="B7444" s="45" t="s">
        <v>664</v>
      </c>
      <c r="C7444" s="60" t="s">
        <v>6914</v>
      </c>
      <c r="D7444" s="60"/>
      <c r="E7444" s="74">
        <v>2023</v>
      </c>
      <c r="F7444" s="74" t="s">
        <v>489</v>
      </c>
      <c r="G7444" s="61">
        <v>1</v>
      </c>
      <c r="H7444" s="61">
        <v>15</v>
      </c>
      <c r="I7444" s="61">
        <v>47</v>
      </c>
    </row>
    <row r="7445" spans="1:9" s="71" customFormat="1" ht="24" hidden="1" customHeight="1" outlineLevel="1" x14ac:dyDescent="0.25">
      <c r="A7445" s="74">
        <v>1910</v>
      </c>
      <c r="B7445" s="45" t="s">
        <v>664</v>
      </c>
      <c r="C7445" s="60" t="s">
        <v>6915</v>
      </c>
      <c r="D7445" s="60"/>
      <c r="E7445" s="74">
        <v>2023</v>
      </c>
      <c r="F7445" s="74" t="s">
        <v>489</v>
      </c>
      <c r="G7445" s="61">
        <v>1</v>
      </c>
      <c r="H7445" s="61">
        <v>5</v>
      </c>
      <c r="I7445" s="61">
        <v>39</v>
      </c>
    </row>
    <row r="7446" spans="1:9" s="71" customFormat="1" ht="24" hidden="1" customHeight="1" outlineLevel="1" x14ac:dyDescent="0.25">
      <c r="A7446" s="74">
        <v>680</v>
      </c>
      <c r="B7446" s="45" t="s">
        <v>664</v>
      </c>
      <c r="C7446" s="60" t="s">
        <v>6916</v>
      </c>
      <c r="D7446" s="60"/>
      <c r="E7446" s="74">
        <v>2023</v>
      </c>
      <c r="F7446" s="74" t="s">
        <v>489</v>
      </c>
      <c r="G7446" s="61">
        <v>1</v>
      </c>
      <c r="H7446" s="61">
        <v>15</v>
      </c>
      <c r="I7446" s="61">
        <v>47</v>
      </c>
    </row>
    <row r="7447" spans="1:9" s="71" customFormat="1" ht="24" hidden="1" customHeight="1" outlineLevel="1" x14ac:dyDescent="0.25">
      <c r="A7447" s="74">
        <v>3344</v>
      </c>
      <c r="B7447" s="45" t="s">
        <v>664</v>
      </c>
      <c r="C7447" s="60" t="s">
        <v>6917</v>
      </c>
      <c r="D7447" s="60"/>
      <c r="E7447" s="74">
        <v>2023</v>
      </c>
      <c r="F7447" s="74" t="s">
        <v>489</v>
      </c>
      <c r="G7447" s="61">
        <v>1</v>
      </c>
      <c r="H7447" s="61">
        <v>15</v>
      </c>
      <c r="I7447" s="61">
        <v>56</v>
      </c>
    </row>
    <row r="7448" spans="1:9" s="71" customFormat="1" ht="24" hidden="1" customHeight="1" outlineLevel="1" x14ac:dyDescent="0.25">
      <c r="A7448" s="74">
        <v>668</v>
      </c>
      <c r="B7448" s="45" t="s">
        <v>664</v>
      </c>
      <c r="C7448" s="60" t="s">
        <v>616</v>
      </c>
      <c r="D7448" s="60"/>
      <c r="E7448" s="74">
        <v>2023</v>
      </c>
      <c r="F7448" s="74" t="s">
        <v>489</v>
      </c>
      <c r="G7448" s="61">
        <v>3</v>
      </c>
      <c r="H7448" s="61">
        <v>45</v>
      </c>
      <c r="I7448" s="61">
        <v>132</v>
      </c>
    </row>
    <row r="7449" spans="1:9" s="71" customFormat="1" ht="24" hidden="1" customHeight="1" outlineLevel="1" x14ac:dyDescent="0.25">
      <c r="A7449" s="74">
        <v>3416</v>
      </c>
      <c r="B7449" s="45" t="s">
        <v>664</v>
      </c>
      <c r="C7449" s="60" t="s">
        <v>6918</v>
      </c>
      <c r="D7449" s="60"/>
      <c r="E7449" s="74">
        <v>2023</v>
      </c>
      <c r="F7449" s="74" t="s">
        <v>489</v>
      </c>
      <c r="G7449" s="61">
        <v>1</v>
      </c>
      <c r="H7449" s="61">
        <v>15</v>
      </c>
      <c r="I7449" s="61">
        <v>47</v>
      </c>
    </row>
    <row r="7450" spans="1:9" s="71" customFormat="1" ht="24" hidden="1" customHeight="1" outlineLevel="1" x14ac:dyDescent="0.25">
      <c r="A7450" s="74">
        <v>3089</v>
      </c>
      <c r="B7450" s="45" t="s">
        <v>664</v>
      </c>
      <c r="C7450" s="60" t="s">
        <v>636</v>
      </c>
      <c r="D7450" s="60"/>
      <c r="E7450" s="74">
        <v>2023</v>
      </c>
      <c r="F7450" s="74" t="s">
        <v>489</v>
      </c>
      <c r="G7450" s="61">
        <v>1</v>
      </c>
      <c r="H7450" s="61">
        <v>100</v>
      </c>
      <c r="I7450" s="61">
        <v>53</v>
      </c>
    </row>
    <row r="7451" spans="1:9" s="71" customFormat="1" ht="24" hidden="1" customHeight="1" outlineLevel="1" x14ac:dyDescent="0.25">
      <c r="A7451" s="74">
        <v>1325</v>
      </c>
      <c r="B7451" s="45" t="s">
        <v>664</v>
      </c>
      <c r="C7451" s="60" t="s">
        <v>6919</v>
      </c>
      <c r="D7451" s="60"/>
      <c r="E7451" s="74">
        <v>2023</v>
      </c>
      <c r="F7451" s="74" t="s">
        <v>489</v>
      </c>
      <c r="G7451" s="61">
        <v>1</v>
      </c>
      <c r="H7451" s="61">
        <v>15</v>
      </c>
      <c r="I7451" s="61">
        <v>39</v>
      </c>
    </row>
    <row r="7452" spans="1:9" s="71" customFormat="1" ht="24" hidden="1" customHeight="1" outlineLevel="1" x14ac:dyDescent="0.25">
      <c r="A7452" s="74">
        <v>4453</v>
      </c>
      <c r="B7452" s="45" t="s">
        <v>664</v>
      </c>
      <c r="C7452" s="60" t="s">
        <v>6920</v>
      </c>
      <c r="D7452" s="60"/>
      <c r="E7452" s="74">
        <v>2023</v>
      </c>
      <c r="F7452" s="74" t="s">
        <v>489</v>
      </c>
      <c r="G7452" s="61">
        <v>1</v>
      </c>
      <c r="H7452" s="61">
        <v>15</v>
      </c>
      <c r="I7452" s="61">
        <v>40</v>
      </c>
    </row>
    <row r="7453" spans="1:9" s="71" customFormat="1" ht="24" hidden="1" customHeight="1" outlineLevel="1" x14ac:dyDescent="0.25">
      <c r="A7453" s="74">
        <v>3285</v>
      </c>
      <c r="B7453" s="45" t="s">
        <v>664</v>
      </c>
      <c r="C7453" s="60" t="s">
        <v>6921</v>
      </c>
      <c r="D7453" s="60"/>
      <c r="E7453" s="74">
        <v>2023</v>
      </c>
      <c r="F7453" s="74" t="s">
        <v>489</v>
      </c>
      <c r="G7453" s="61">
        <v>1</v>
      </c>
      <c r="H7453" s="61">
        <v>15</v>
      </c>
      <c r="I7453" s="61">
        <v>40</v>
      </c>
    </row>
    <row r="7454" spans="1:9" s="71" customFormat="1" ht="24" hidden="1" customHeight="1" outlineLevel="1" x14ac:dyDescent="0.25">
      <c r="A7454" s="74">
        <v>1555</v>
      </c>
      <c r="B7454" s="45" t="s">
        <v>664</v>
      </c>
      <c r="C7454" s="60" t="s">
        <v>6922</v>
      </c>
      <c r="D7454" s="60"/>
      <c r="E7454" s="74">
        <v>2023</v>
      </c>
      <c r="F7454" s="74" t="s">
        <v>489</v>
      </c>
      <c r="G7454" s="61">
        <v>1</v>
      </c>
      <c r="H7454" s="61">
        <v>15</v>
      </c>
      <c r="I7454" s="61">
        <v>40</v>
      </c>
    </row>
    <row r="7455" spans="1:9" s="71" customFormat="1" ht="24" hidden="1" customHeight="1" outlineLevel="1" x14ac:dyDescent="0.25">
      <c r="A7455" s="74">
        <v>4456</v>
      </c>
      <c r="B7455" s="45" t="s">
        <v>664</v>
      </c>
      <c r="C7455" s="60" t="s">
        <v>6923</v>
      </c>
      <c r="D7455" s="60"/>
      <c r="E7455" s="74">
        <v>2023</v>
      </c>
      <c r="F7455" s="74" t="s">
        <v>489</v>
      </c>
      <c r="G7455" s="61">
        <v>1</v>
      </c>
      <c r="H7455" s="61">
        <v>15</v>
      </c>
      <c r="I7455" s="61">
        <v>40</v>
      </c>
    </row>
    <row r="7456" spans="1:9" s="71" customFormat="1" ht="24" hidden="1" customHeight="1" outlineLevel="1" x14ac:dyDescent="0.25">
      <c r="A7456" s="74">
        <v>4454</v>
      </c>
      <c r="B7456" s="45" t="s">
        <v>664</v>
      </c>
      <c r="C7456" s="60" t="s">
        <v>6924</v>
      </c>
      <c r="D7456" s="60"/>
      <c r="E7456" s="74">
        <v>2023</v>
      </c>
      <c r="F7456" s="74" t="s">
        <v>489</v>
      </c>
      <c r="G7456" s="61">
        <v>1</v>
      </c>
      <c r="H7456" s="61">
        <v>15</v>
      </c>
      <c r="I7456" s="61">
        <v>41</v>
      </c>
    </row>
    <row r="7457" spans="1:9" s="71" customFormat="1" ht="24" hidden="1" customHeight="1" outlineLevel="1" x14ac:dyDescent="0.25">
      <c r="A7457" s="74">
        <v>3304</v>
      </c>
      <c r="B7457" s="45" t="s">
        <v>664</v>
      </c>
      <c r="C7457" s="60" t="s">
        <v>6925</v>
      </c>
      <c r="D7457" s="60"/>
      <c r="E7457" s="74">
        <v>2023</v>
      </c>
      <c r="F7457" s="74" t="s">
        <v>489</v>
      </c>
      <c r="G7457" s="61">
        <v>1</v>
      </c>
      <c r="H7457" s="61">
        <v>15</v>
      </c>
      <c r="I7457" s="61">
        <v>41</v>
      </c>
    </row>
    <row r="7458" spans="1:9" s="71" customFormat="1" ht="24" hidden="1" customHeight="1" outlineLevel="1" x14ac:dyDescent="0.25">
      <c r="A7458" s="74">
        <v>3247</v>
      </c>
      <c r="B7458" s="45" t="s">
        <v>664</v>
      </c>
      <c r="C7458" s="60" t="s">
        <v>6926</v>
      </c>
      <c r="D7458" s="60"/>
      <c r="E7458" s="74">
        <v>2023</v>
      </c>
      <c r="F7458" s="74" t="s">
        <v>489</v>
      </c>
      <c r="G7458" s="61">
        <v>1</v>
      </c>
      <c r="H7458" s="61">
        <v>15</v>
      </c>
      <c r="I7458" s="61">
        <v>50</v>
      </c>
    </row>
    <row r="7459" spans="1:9" s="71" customFormat="1" ht="24" hidden="1" customHeight="1" outlineLevel="1" x14ac:dyDescent="0.25">
      <c r="A7459" s="74">
        <v>3053</v>
      </c>
      <c r="B7459" s="45" t="s">
        <v>664</v>
      </c>
      <c r="C7459" s="60" t="s">
        <v>6927</v>
      </c>
      <c r="D7459" s="60"/>
      <c r="E7459" s="74">
        <v>2023</v>
      </c>
      <c r="F7459" s="74" t="s">
        <v>489</v>
      </c>
      <c r="G7459" s="61">
        <v>1</v>
      </c>
      <c r="H7459" s="61">
        <v>100</v>
      </c>
      <c r="I7459" s="61">
        <v>46</v>
      </c>
    </row>
    <row r="7460" spans="1:9" s="71" customFormat="1" ht="24" hidden="1" customHeight="1" outlineLevel="1" x14ac:dyDescent="0.25">
      <c r="A7460" s="74">
        <v>1181</v>
      </c>
      <c r="B7460" s="45" t="s">
        <v>664</v>
      </c>
      <c r="C7460" s="60" t="s">
        <v>6928</v>
      </c>
      <c r="D7460" s="60"/>
      <c r="E7460" s="74">
        <v>2023</v>
      </c>
      <c r="F7460" s="74" t="s">
        <v>489</v>
      </c>
      <c r="G7460" s="61">
        <v>1</v>
      </c>
      <c r="H7460" s="61">
        <v>15</v>
      </c>
      <c r="I7460" s="61">
        <v>40</v>
      </c>
    </row>
    <row r="7461" spans="1:9" s="71" customFormat="1" ht="24" hidden="1" customHeight="1" outlineLevel="1" x14ac:dyDescent="0.25">
      <c r="A7461" s="74">
        <v>1317</v>
      </c>
      <c r="B7461" s="45" t="s">
        <v>664</v>
      </c>
      <c r="C7461" s="60" t="s">
        <v>6929</v>
      </c>
      <c r="D7461" s="60"/>
      <c r="E7461" s="74">
        <v>2023</v>
      </c>
      <c r="F7461" s="74" t="s">
        <v>489</v>
      </c>
      <c r="G7461" s="61">
        <v>1</v>
      </c>
      <c r="H7461" s="61">
        <v>15</v>
      </c>
      <c r="I7461" s="61">
        <v>49</v>
      </c>
    </row>
    <row r="7462" spans="1:9" s="71" customFormat="1" ht="24" hidden="1" customHeight="1" outlineLevel="1" x14ac:dyDescent="0.25">
      <c r="A7462" s="74">
        <v>3302</v>
      </c>
      <c r="B7462" s="45" t="s">
        <v>664</v>
      </c>
      <c r="C7462" s="60" t="s">
        <v>6930</v>
      </c>
      <c r="D7462" s="60"/>
      <c r="E7462" s="74">
        <v>2023</v>
      </c>
      <c r="F7462" s="74" t="s">
        <v>489</v>
      </c>
      <c r="G7462" s="61">
        <v>1</v>
      </c>
      <c r="H7462" s="61">
        <v>10</v>
      </c>
      <c r="I7462" s="61">
        <v>44</v>
      </c>
    </row>
    <row r="7463" spans="1:9" s="71" customFormat="1" ht="24" hidden="1" customHeight="1" outlineLevel="1" x14ac:dyDescent="0.25">
      <c r="A7463" s="74">
        <v>3308</v>
      </c>
      <c r="B7463" s="45" t="s">
        <v>664</v>
      </c>
      <c r="C7463" s="60" t="s">
        <v>6931</v>
      </c>
      <c r="D7463" s="60"/>
      <c r="E7463" s="74">
        <v>2023</v>
      </c>
      <c r="F7463" s="74" t="s">
        <v>489</v>
      </c>
      <c r="G7463" s="61">
        <v>1</v>
      </c>
      <c r="H7463" s="61">
        <v>5</v>
      </c>
      <c r="I7463" s="61">
        <v>42</v>
      </c>
    </row>
    <row r="7464" spans="1:9" s="71" customFormat="1" ht="24" hidden="1" customHeight="1" outlineLevel="1" x14ac:dyDescent="0.25">
      <c r="A7464" s="74">
        <v>477</v>
      </c>
      <c r="B7464" s="45" t="s">
        <v>664</v>
      </c>
      <c r="C7464" s="60" t="s">
        <v>6932</v>
      </c>
      <c r="D7464" s="60"/>
      <c r="E7464" s="74">
        <v>2023</v>
      </c>
      <c r="F7464" s="74" t="s">
        <v>489</v>
      </c>
      <c r="G7464" s="61">
        <v>1</v>
      </c>
      <c r="H7464" s="61">
        <v>15</v>
      </c>
      <c r="I7464" s="61">
        <v>41</v>
      </c>
    </row>
    <row r="7465" spans="1:9" s="71" customFormat="1" ht="24" hidden="1" customHeight="1" outlineLevel="1" x14ac:dyDescent="0.25">
      <c r="A7465" s="74">
        <v>2100</v>
      </c>
      <c r="B7465" s="45" t="s">
        <v>664</v>
      </c>
      <c r="C7465" s="60" t="s">
        <v>6933</v>
      </c>
      <c r="D7465" s="60"/>
      <c r="E7465" s="74">
        <v>2023</v>
      </c>
      <c r="F7465" s="74" t="s">
        <v>489</v>
      </c>
      <c r="G7465" s="61">
        <v>1</v>
      </c>
      <c r="H7465" s="61">
        <v>15</v>
      </c>
      <c r="I7465" s="61">
        <v>40</v>
      </c>
    </row>
    <row r="7466" spans="1:9" s="71" customFormat="1" ht="24" hidden="1" customHeight="1" outlineLevel="1" x14ac:dyDescent="0.25">
      <c r="A7466" s="74">
        <v>563</v>
      </c>
      <c r="B7466" s="45" t="s">
        <v>664</v>
      </c>
      <c r="C7466" s="60" t="s">
        <v>6934</v>
      </c>
      <c r="D7466" s="60"/>
      <c r="E7466" s="74">
        <v>2023</v>
      </c>
      <c r="F7466" s="74" t="s">
        <v>489</v>
      </c>
      <c r="G7466" s="61">
        <v>1</v>
      </c>
      <c r="H7466" s="61">
        <v>15</v>
      </c>
      <c r="I7466" s="61">
        <v>45</v>
      </c>
    </row>
    <row r="7467" spans="1:9" s="71" customFormat="1" ht="24" hidden="1" customHeight="1" outlineLevel="1" x14ac:dyDescent="0.25">
      <c r="A7467" s="74">
        <v>610</v>
      </c>
      <c r="B7467" s="45" t="s">
        <v>664</v>
      </c>
      <c r="C7467" s="60" t="s">
        <v>6935</v>
      </c>
      <c r="D7467" s="60"/>
      <c r="E7467" s="74">
        <v>2023</v>
      </c>
      <c r="F7467" s="74" t="s">
        <v>489</v>
      </c>
      <c r="G7467" s="61">
        <v>1</v>
      </c>
      <c r="H7467" s="61">
        <v>15</v>
      </c>
      <c r="I7467" s="61">
        <v>46</v>
      </c>
    </row>
    <row r="7468" spans="1:9" s="71" customFormat="1" ht="24" hidden="1" customHeight="1" outlineLevel="1" x14ac:dyDescent="0.25">
      <c r="A7468" s="74">
        <v>3037</v>
      </c>
      <c r="B7468" s="45" t="s">
        <v>664</v>
      </c>
      <c r="C7468" s="60" t="s">
        <v>6936</v>
      </c>
      <c r="D7468" s="60"/>
      <c r="E7468" s="74">
        <v>2023</v>
      </c>
      <c r="F7468" s="74" t="s">
        <v>489</v>
      </c>
      <c r="G7468" s="61">
        <v>1</v>
      </c>
      <c r="H7468" s="61">
        <v>100</v>
      </c>
      <c r="I7468" s="61">
        <v>40</v>
      </c>
    </row>
    <row r="7469" spans="1:9" s="71" customFormat="1" ht="24" hidden="1" customHeight="1" outlineLevel="1" x14ac:dyDescent="0.25">
      <c r="A7469" s="74">
        <v>3074</v>
      </c>
      <c r="B7469" s="45" t="s">
        <v>664</v>
      </c>
      <c r="C7469" s="60" t="s">
        <v>6937</v>
      </c>
      <c r="D7469" s="60"/>
      <c r="E7469" s="74">
        <v>2023</v>
      </c>
      <c r="F7469" s="74" t="s">
        <v>489</v>
      </c>
      <c r="G7469" s="61">
        <v>1</v>
      </c>
      <c r="H7469" s="61">
        <v>150</v>
      </c>
      <c r="I7469" s="61">
        <v>53</v>
      </c>
    </row>
    <row r="7470" spans="1:9" s="71" customFormat="1" ht="24" hidden="1" customHeight="1" outlineLevel="1" x14ac:dyDescent="0.25">
      <c r="A7470" s="74">
        <v>697</v>
      </c>
      <c r="B7470" s="45" t="s">
        <v>664</v>
      </c>
      <c r="C7470" s="60" t="s">
        <v>6938</v>
      </c>
      <c r="D7470" s="60"/>
      <c r="E7470" s="74">
        <v>2023</v>
      </c>
      <c r="F7470" s="74" t="s">
        <v>489</v>
      </c>
      <c r="G7470" s="61">
        <v>1</v>
      </c>
      <c r="H7470" s="61">
        <v>15</v>
      </c>
      <c r="I7470" s="61">
        <v>40</v>
      </c>
    </row>
    <row r="7471" spans="1:9" s="71" customFormat="1" ht="24" hidden="1" customHeight="1" outlineLevel="1" x14ac:dyDescent="0.25">
      <c r="A7471" s="74">
        <v>1617</v>
      </c>
      <c r="B7471" s="45" t="s">
        <v>664</v>
      </c>
      <c r="C7471" s="60" t="s">
        <v>6939</v>
      </c>
      <c r="D7471" s="60"/>
      <c r="E7471" s="74">
        <v>2023</v>
      </c>
      <c r="F7471" s="74" t="s">
        <v>489</v>
      </c>
      <c r="G7471" s="61">
        <v>1</v>
      </c>
      <c r="H7471" s="61">
        <v>30</v>
      </c>
      <c r="I7471" s="61">
        <v>44</v>
      </c>
    </row>
    <row r="7472" spans="1:9" s="71" customFormat="1" ht="24" hidden="1" customHeight="1" outlineLevel="1" x14ac:dyDescent="0.25">
      <c r="A7472" s="74">
        <v>2847</v>
      </c>
      <c r="B7472" s="45" t="s">
        <v>664</v>
      </c>
      <c r="C7472" s="60" t="s">
        <v>6940</v>
      </c>
      <c r="D7472" s="60"/>
      <c r="E7472" s="74">
        <v>2023</v>
      </c>
      <c r="F7472" s="74" t="s">
        <v>489</v>
      </c>
      <c r="G7472" s="61">
        <v>1</v>
      </c>
      <c r="H7472" s="61">
        <v>15</v>
      </c>
      <c r="I7472" s="61">
        <v>40</v>
      </c>
    </row>
    <row r="7473" spans="1:9" s="71" customFormat="1" ht="24" hidden="1" customHeight="1" outlineLevel="1" x14ac:dyDescent="0.25">
      <c r="A7473" s="74">
        <v>2377</v>
      </c>
      <c r="B7473" s="45" t="s">
        <v>664</v>
      </c>
      <c r="C7473" s="60" t="s">
        <v>6941</v>
      </c>
      <c r="D7473" s="60"/>
      <c r="E7473" s="74">
        <v>2023</v>
      </c>
      <c r="F7473" s="74" t="s">
        <v>489</v>
      </c>
      <c r="G7473" s="61">
        <v>1</v>
      </c>
      <c r="H7473" s="61">
        <v>21</v>
      </c>
      <c r="I7473" s="61">
        <v>41</v>
      </c>
    </row>
    <row r="7474" spans="1:9" s="71" customFormat="1" ht="24" hidden="1" customHeight="1" outlineLevel="1" x14ac:dyDescent="0.25">
      <c r="A7474" s="74">
        <v>2872</v>
      </c>
      <c r="B7474" s="45" t="s">
        <v>664</v>
      </c>
      <c r="C7474" s="60" t="s">
        <v>6942</v>
      </c>
      <c r="D7474" s="60"/>
      <c r="E7474" s="74">
        <v>2023</v>
      </c>
      <c r="F7474" s="74" t="s">
        <v>489</v>
      </c>
      <c r="G7474" s="61">
        <v>1</v>
      </c>
      <c r="H7474" s="61">
        <v>15</v>
      </c>
      <c r="I7474" s="61">
        <v>58</v>
      </c>
    </row>
    <row r="7475" spans="1:9" s="71" customFormat="1" ht="24" hidden="1" customHeight="1" outlineLevel="1" x14ac:dyDescent="0.25">
      <c r="A7475" s="74">
        <v>3245</v>
      </c>
      <c r="B7475" s="45" t="s">
        <v>664</v>
      </c>
      <c r="C7475" s="60" t="s">
        <v>6943</v>
      </c>
      <c r="D7475" s="60"/>
      <c r="E7475" s="74">
        <v>2023</v>
      </c>
      <c r="F7475" s="74" t="s">
        <v>489</v>
      </c>
      <c r="G7475" s="61">
        <v>1</v>
      </c>
      <c r="H7475" s="61">
        <v>15</v>
      </c>
      <c r="I7475" s="61">
        <v>53</v>
      </c>
    </row>
    <row r="7476" spans="1:9" s="71" customFormat="1" ht="24" hidden="1" customHeight="1" outlineLevel="1" x14ac:dyDescent="0.25">
      <c r="A7476" s="74">
        <v>2420</v>
      </c>
      <c r="B7476" s="45" t="s">
        <v>664</v>
      </c>
      <c r="C7476" s="60" t="s">
        <v>6944</v>
      </c>
      <c r="D7476" s="60"/>
      <c r="E7476" s="74">
        <v>2023</v>
      </c>
      <c r="F7476" s="74" t="s">
        <v>489</v>
      </c>
      <c r="G7476" s="61">
        <v>1</v>
      </c>
      <c r="H7476" s="61">
        <v>8</v>
      </c>
      <c r="I7476" s="61">
        <v>40</v>
      </c>
    </row>
    <row r="7477" spans="1:9" s="71" customFormat="1" ht="24" hidden="1" customHeight="1" outlineLevel="1" x14ac:dyDescent="0.25">
      <c r="A7477" s="74">
        <v>1631</v>
      </c>
      <c r="B7477" s="45" t="s">
        <v>664</v>
      </c>
      <c r="C7477" s="60" t="s">
        <v>584</v>
      </c>
      <c r="D7477" s="60"/>
      <c r="E7477" s="74">
        <v>2023</v>
      </c>
      <c r="F7477" s="74" t="s">
        <v>489</v>
      </c>
      <c r="G7477" s="61">
        <v>2</v>
      </c>
      <c r="H7477" s="61">
        <v>30</v>
      </c>
      <c r="I7477" s="61">
        <v>96</v>
      </c>
    </row>
    <row r="7478" spans="1:9" s="71" customFormat="1" ht="24" hidden="1" customHeight="1" outlineLevel="1" x14ac:dyDescent="0.25">
      <c r="A7478" s="74">
        <v>2879</v>
      </c>
      <c r="B7478" s="45" t="s">
        <v>664</v>
      </c>
      <c r="C7478" s="60" t="s">
        <v>6945</v>
      </c>
      <c r="D7478" s="60"/>
      <c r="E7478" s="74">
        <v>2023</v>
      </c>
      <c r="F7478" s="74" t="s">
        <v>489</v>
      </c>
      <c r="G7478" s="61">
        <v>1</v>
      </c>
      <c r="H7478" s="61">
        <v>15</v>
      </c>
      <c r="I7478" s="61">
        <v>41</v>
      </c>
    </row>
    <row r="7479" spans="1:9" s="71" customFormat="1" ht="24" hidden="1" customHeight="1" outlineLevel="1" x14ac:dyDescent="0.25">
      <c r="A7479" s="74">
        <v>2873</v>
      </c>
      <c r="B7479" s="45" t="s">
        <v>664</v>
      </c>
      <c r="C7479" s="60" t="s">
        <v>6946</v>
      </c>
      <c r="D7479" s="60"/>
      <c r="E7479" s="74">
        <v>2023</v>
      </c>
      <c r="F7479" s="74" t="s">
        <v>489</v>
      </c>
      <c r="G7479" s="61">
        <v>1</v>
      </c>
      <c r="H7479" s="61">
        <v>15</v>
      </c>
      <c r="I7479" s="61">
        <v>45</v>
      </c>
    </row>
    <row r="7480" spans="1:9" s="71" customFormat="1" ht="24" hidden="1" customHeight="1" outlineLevel="1" x14ac:dyDescent="0.25">
      <c r="A7480" s="74">
        <v>3295</v>
      </c>
      <c r="B7480" s="45" t="s">
        <v>664</v>
      </c>
      <c r="C7480" s="60" t="s">
        <v>6947</v>
      </c>
      <c r="D7480" s="60"/>
      <c r="E7480" s="74">
        <v>2023</v>
      </c>
      <c r="F7480" s="74" t="s">
        <v>489</v>
      </c>
      <c r="G7480" s="61">
        <v>1</v>
      </c>
      <c r="H7480" s="61">
        <v>5</v>
      </c>
      <c r="I7480" s="61">
        <v>46</v>
      </c>
    </row>
    <row r="7481" spans="1:9" s="71" customFormat="1" ht="24" hidden="1" customHeight="1" outlineLevel="1" x14ac:dyDescent="0.25">
      <c r="A7481" s="74">
        <v>1958</v>
      </c>
      <c r="B7481" s="45" t="s">
        <v>664</v>
      </c>
      <c r="C7481" s="60" t="s">
        <v>6948</v>
      </c>
      <c r="D7481" s="60"/>
      <c r="E7481" s="74">
        <v>2023</v>
      </c>
      <c r="F7481" s="74" t="s">
        <v>489</v>
      </c>
      <c r="G7481" s="61">
        <v>1</v>
      </c>
      <c r="H7481" s="61">
        <v>10</v>
      </c>
      <c r="I7481" s="61">
        <v>51</v>
      </c>
    </row>
    <row r="7482" spans="1:9" s="71" customFormat="1" ht="24" hidden="1" customHeight="1" outlineLevel="1" x14ac:dyDescent="0.25">
      <c r="A7482" s="74">
        <v>3307</v>
      </c>
      <c r="B7482" s="45" t="s">
        <v>664</v>
      </c>
      <c r="C7482" s="60" t="s">
        <v>6949</v>
      </c>
      <c r="D7482" s="60"/>
      <c r="E7482" s="74">
        <v>2023</v>
      </c>
      <c r="F7482" s="74" t="s">
        <v>489</v>
      </c>
      <c r="G7482" s="61">
        <v>1</v>
      </c>
      <c r="H7482" s="61">
        <v>5</v>
      </c>
      <c r="I7482" s="61">
        <v>40</v>
      </c>
    </row>
    <row r="7483" spans="1:9" s="71" customFormat="1" ht="24" hidden="1" customHeight="1" outlineLevel="1" x14ac:dyDescent="0.25">
      <c r="A7483" s="74">
        <v>2054</v>
      </c>
      <c r="B7483" s="45" t="s">
        <v>664</v>
      </c>
      <c r="C7483" s="60" t="s">
        <v>6950</v>
      </c>
      <c r="D7483" s="60"/>
      <c r="E7483" s="74">
        <v>2023</v>
      </c>
      <c r="F7483" s="74" t="s">
        <v>489</v>
      </c>
      <c r="G7483" s="61">
        <v>1</v>
      </c>
      <c r="H7483" s="61">
        <v>15</v>
      </c>
      <c r="I7483" s="61">
        <v>41</v>
      </c>
    </row>
    <row r="7484" spans="1:9" s="71" customFormat="1" ht="24" hidden="1" customHeight="1" outlineLevel="1" x14ac:dyDescent="0.25">
      <c r="A7484" s="74">
        <v>1062</v>
      </c>
      <c r="B7484" s="45" t="s">
        <v>664</v>
      </c>
      <c r="C7484" s="60" t="s">
        <v>6951</v>
      </c>
      <c r="D7484" s="60"/>
      <c r="E7484" s="74">
        <v>2023</v>
      </c>
      <c r="F7484" s="74" t="s">
        <v>489</v>
      </c>
      <c r="G7484" s="61">
        <v>1</v>
      </c>
      <c r="H7484" s="61">
        <v>15</v>
      </c>
      <c r="I7484" s="61">
        <v>44</v>
      </c>
    </row>
    <row r="7485" spans="1:9" s="71" customFormat="1" ht="24" hidden="1" customHeight="1" outlineLevel="1" x14ac:dyDescent="0.25">
      <c r="A7485" s="74">
        <v>1321</v>
      </c>
      <c r="B7485" s="45" t="s">
        <v>664</v>
      </c>
      <c r="C7485" s="60" t="s">
        <v>585</v>
      </c>
      <c r="D7485" s="60"/>
      <c r="E7485" s="74">
        <v>2023</v>
      </c>
      <c r="F7485" s="74" t="s">
        <v>489</v>
      </c>
      <c r="G7485" s="61">
        <v>1</v>
      </c>
      <c r="H7485" s="61">
        <v>20</v>
      </c>
      <c r="I7485" s="61">
        <v>47</v>
      </c>
    </row>
    <row r="7486" spans="1:9" s="71" customFormat="1" ht="24" hidden="1" customHeight="1" outlineLevel="1" x14ac:dyDescent="0.25">
      <c r="A7486" s="74">
        <v>1930</v>
      </c>
      <c r="B7486" s="45" t="s">
        <v>664</v>
      </c>
      <c r="C7486" s="60" t="s">
        <v>6952</v>
      </c>
      <c r="D7486" s="60"/>
      <c r="E7486" s="74">
        <v>2023</v>
      </c>
      <c r="F7486" s="74" t="s">
        <v>489</v>
      </c>
      <c r="G7486" s="61">
        <v>1</v>
      </c>
      <c r="H7486" s="61">
        <v>15</v>
      </c>
      <c r="I7486" s="61">
        <v>41</v>
      </c>
    </row>
    <row r="7487" spans="1:9" s="71" customFormat="1" ht="24" hidden="1" customHeight="1" outlineLevel="1" x14ac:dyDescent="0.25">
      <c r="A7487" s="74">
        <v>2841</v>
      </c>
      <c r="B7487" s="45" t="s">
        <v>664</v>
      </c>
      <c r="C7487" s="60" t="s">
        <v>6953</v>
      </c>
      <c r="D7487" s="60"/>
      <c r="E7487" s="74">
        <v>2023</v>
      </c>
      <c r="F7487" s="74" t="s">
        <v>489</v>
      </c>
      <c r="G7487" s="61">
        <v>1</v>
      </c>
      <c r="H7487" s="61">
        <v>30</v>
      </c>
      <c r="I7487" s="61">
        <v>43</v>
      </c>
    </row>
    <row r="7488" spans="1:9" s="71" customFormat="1" ht="24" hidden="1" customHeight="1" outlineLevel="1" x14ac:dyDescent="0.25">
      <c r="A7488" s="74">
        <v>2027</v>
      </c>
      <c r="B7488" s="45" t="s">
        <v>664</v>
      </c>
      <c r="C7488" s="60" t="s">
        <v>6954</v>
      </c>
      <c r="D7488" s="60"/>
      <c r="E7488" s="74">
        <v>2023</v>
      </c>
      <c r="F7488" s="74" t="s">
        <v>489</v>
      </c>
      <c r="G7488" s="61">
        <v>1</v>
      </c>
      <c r="H7488" s="61">
        <v>5</v>
      </c>
      <c r="I7488" s="61">
        <v>43</v>
      </c>
    </row>
    <row r="7489" spans="1:9" s="71" customFormat="1" ht="24" hidden="1" customHeight="1" outlineLevel="1" x14ac:dyDescent="0.25">
      <c r="A7489" s="74">
        <v>2031</v>
      </c>
      <c r="B7489" s="45" t="s">
        <v>664</v>
      </c>
      <c r="C7489" s="60" t="s">
        <v>6955</v>
      </c>
      <c r="D7489" s="60"/>
      <c r="E7489" s="74">
        <v>2023</v>
      </c>
      <c r="F7489" s="74" t="s">
        <v>489</v>
      </c>
      <c r="G7489" s="61">
        <v>2</v>
      </c>
      <c r="H7489" s="61">
        <v>30</v>
      </c>
      <c r="I7489" s="61">
        <v>80</v>
      </c>
    </row>
    <row r="7490" spans="1:9" s="71" customFormat="1" ht="24" hidden="1" customHeight="1" outlineLevel="1" x14ac:dyDescent="0.25">
      <c r="A7490" s="74">
        <v>2858</v>
      </c>
      <c r="B7490" s="45" t="s">
        <v>664</v>
      </c>
      <c r="C7490" s="60" t="s">
        <v>6956</v>
      </c>
      <c r="D7490" s="60"/>
      <c r="E7490" s="74">
        <v>2023</v>
      </c>
      <c r="F7490" s="74" t="s">
        <v>489</v>
      </c>
      <c r="G7490" s="61">
        <v>1</v>
      </c>
      <c r="H7490" s="61">
        <v>15</v>
      </c>
      <c r="I7490" s="61">
        <v>41</v>
      </c>
    </row>
    <row r="7491" spans="1:9" s="71" customFormat="1" ht="24" hidden="1" customHeight="1" outlineLevel="1" x14ac:dyDescent="0.25">
      <c r="A7491" s="74">
        <v>4489</v>
      </c>
      <c r="B7491" s="45" t="s">
        <v>664</v>
      </c>
      <c r="C7491" s="60" t="s">
        <v>6957</v>
      </c>
      <c r="D7491" s="60"/>
      <c r="E7491" s="74">
        <v>2023</v>
      </c>
      <c r="F7491" s="74" t="s">
        <v>489</v>
      </c>
      <c r="G7491" s="61">
        <v>1</v>
      </c>
      <c r="H7491" s="61">
        <v>15</v>
      </c>
      <c r="I7491" s="61">
        <v>41</v>
      </c>
    </row>
    <row r="7492" spans="1:9" s="71" customFormat="1" ht="24" hidden="1" customHeight="1" outlineLevel="1" x14ac:dyDescent="0.25">
      <c r="A7492" s="74">
        <v>2082</v>
      </c>
      <c r="B7492" s="45" t="s">
        <v>664</v>
      </c>
      <c r="C7492" s="60" t="s">
        <v>6958</v>
      </c>
      <c r="D7492" s="60"/>
      <c r="E7492" s="74">
        <v>2023</v>
      </c>
      <c r="F7492" s="74" t="s">
        <v>489</v>
      </c>
      <c r="G7492" s="61">
        <v>1</v>
      </c>
      <c r="H7492" s="61">
        <v>7</v>
      </c>
      <c r="I7492" s="61">
        <v>42</v>
      </c>
    </row>
    <row r="7493" spans="1:9" s="71" customFormat="1" ht="24" hidden="1" customHeight="1" outlineLevel="1" x14ac:dyDescent="0.25">
      <c r="A7493" s="74">
        <v>2867</v>
      </c>
      <c r="B7493" s="45" t="s">
        <v>664</v>
      </c>
      <c r="C7493" s="60" t="s">
        <v>6959</v>
      </c>
      <c r="D7493" s="60"/>
      <c r="E7493" s="74">
        <v>2023</v>
      </c>
      <c r="F7493" s="74" t="s">
        <v>489</v>
      </c>
      <c r="G7493" s="61">
        <v>1</v>
      </c>
      <c r="H7493" s="61">
        <v>15</v>
      </c>
      <c r="I7493" s="61">
        <v>40</v>
      </c>
    </row>
    <row r="7494" spans="1:9" s="71" customFormat="1" ht="24" hidden="1" customHeight="1" outlineLevel="1" x14ac:dyDescent="0.25">
      <c r="A7494" s="74">
        <v>2882</v>
      </c>
      <c r="B7494" s="45" t="s">
        <v>664</v>
      </c>
      <c r="C7494" s="60" t="s">
        <v>6960</v>
      </c>
      <c r="D7494" s="60"/>
      <c r="E7494" s="74">
        <v>2023</v>
      </c>
      <c r="F7494" s="74" t="s">
        <v>489</v>
      </c>
      <c r="G7494" s="61">
        <v>1</v>
      </c>
      <c r="H7494" s="61">
        <v>15</v>
      </c>
      <c r="I7494" s="61">
        <v>41</v>
      </c>
    </row>
    <row r="7495" spans="1:9" s="71" customFormat="1" ht="24" hidden="1" customHeight="1" outlineLevel="1" x14ac:dyDescent="0.25">
      <c r="A7495" s="74">
        <v>2386</v>
      </c>
      <c r="B7495" s="45" t="s">
        <v>664</v>
      </c>
      <c r="C7495" s="60" t="s">
        <v>6961</v>
      </c>
      <c r="D7495" s="60"/>
      <c r="E7495" s="74">
        <v>2023</v>
      </c>
      <c r="F7495" s="74" t="s">
        <v>489</v>
      </c>
      <c r="G7495" s="61">
        <v>1</v>
      </c>
      <c r="H7495" s="61">
        <v>5</v>
      </c>
      <c r="I7495" s="61">
        <v>41</v>
      </c>
    </row>
    <row r="7496" spans="1:9" s="71" customFormat="1" ht="24" hidden="1" customHeight="1" outlineLevel="1" x14ac:dyDescent="0.25">
      <c r="A7496" s="74">
        <v>2526</v>
      </c>
      <c r="B7496" s="45" t="s">
        <v>664</v>
      </c>
      <c r="C7496" s="60" t="s">
        <v>6962</v>
      </c>
      <c r="D7496" s="60"/>
      <c r="E7496" s="74">
        <v>2023</v>
      </c>
      <c r="F7496" s="74" t="s">
        <v>489</v>
      </c>
      <c r="G7496" s="61">
        <v>1</v>
      </c>
      <c r="H7496" s="61">
        <v>5</v>
      </c>
      <c r="I7496" s="61">
        <v>41</v>
      </c>
    </row>
    <row r="7497" spans="1:9" s="71" customFormat="1" ht="24" hidden="1" customHeight="1" outlineLevel="1" x14ac:dyDescent="0.25">
      <c r="A7497" s="74">
        <v>2554</v>
      </c>
      <c r="B7497" s="45" t="s">
        <v>664</v>
      </c>
      <c r="C7497" s="60" t="s">
        <v>6963</v>
      </c>
      <c r="D7497" s="60"/>
      <c r="E7497" s="74">
        <v>2023</v>
      </c>
      <c r="F7497" s="74" t="s">
        <v>489</v>
      </c>
      <c r="G7497" s="61">
        <v>1</v>
      </c>
      <c r="H7497" s="61">
        <v>5</v>
      </c>
      <c r="I7497" s="61">
        <v>41</v>
      </c>
    </row>
    <row r="7498" spans="1:9" s="71" customFormat="1" ht="24" hidden="1" customHeight="1" outlineLevel="1" x14ac:dyDescent="0.25">
      <c r="A7498" s="74">
        <v>2571</v>
      </c>
      <c r="B7498" s="45" t="s">
        <v>664</v>
      </c>
      <c r="C7498" s="60" t="s">
        <v>6964</v>
      </c>
      <c r="D7498" s="60"/>
      <c r="E7498" s="74">
        <v>2023</v>
      </c>
      <c r="F7498" s="74" t="s">
        <v>489</v>
      </c>
      <c r="G7498" s="61">
        <v>1</v>
      </c>
      <c r="H7498" s="61">
        <v>10</v>
      </c>
      <c r="I7498" s="61">
        <v>30</v>
      </c>
    </row>
    <row r="7499" spans="1:9" s="71" customFormat="1" ht="24" hidden="1" customHeight="1" outlineLevel="1" x14ac:dyDescent="0.25">
      <c r="A7499" s="74">
        <v>3305</v>
      </c>
      <c r="B7499" s="45" t="s">
        <v>664</v>
      </c>
      <c r="C7499" s="60" t="s">
        <v>6965</v>
      </c>
      <c r="D7499" s="60"/>
      <c r="E7499" s="74">
        <v>2023</v>
      </c>
      <c r="F7499" s="74" t="s">
        <v>489</v>
      </c>
      <c r="G7499" s="61">
        <v>1</v>
      </c>
      <c r="H7499" s="61">
        <v>15</v>
      </c>
      <c r="I7499" s="61">
        <v>42</v>
      </c>
    </row>
    <row r="7500" spans="1:9" s="71" customFormat="1" ht="24" hidden="1" customHeight="1" outlineLevel="1" x14ac:dyDescent="0.25">
      <c r="A7500" s="74">
        <v>983</v>
      </c>
      <c r="B7500" s="45" t="s">
        <v>664</v>
      </c>
      <c r="C7500" s="60" t="s">
        <v>6966</v>
      </c>
      <c r="D7500" s="60"/>
      <c r="E7500" s="74">
        <v>2023</v>
      </c>
      <c r="F7500" s="74" t="s">
        <v>489</v>
      </c>
      <c r="G7500" s="61">
        <v>1</v>
      </c>
      <c r="H7500" s="61">
        <v>15</v>
      </c>
      <c r="I7500" s="61">
        <v>41</v>
      </c>
    </row>
    <row r="7501" spans="1:9" s="71" customFormat="1" ht="24" hidden="1" customHeight="1" outlineLevel="1" x14ac:dyDescent="0.25">
      <c r="A7501" s="74">
        <v>877</v>
      </c>
      <c r="B7501" s="45" t="s">
        <v>664</v>
      </c>
      <c r="C7501" s="60" t="s">
        <v>6967</v>
      </c>
      <c r="D7501" s="60"/>
      <c r="E7501" s="74">
        <v>2023</v>
      </c>
      <c r="F7501" s="74" t="s">
        <v>489</v>
      </c>
      <c r="G7501" s="61">
        <v>1</v>
      </c>
      <c r="H7501" s="61">
        <v>15</v>
      </c>
      <c r="I7501" s="61">
        <v>44.574080000000002</v>
      </c>
    </row>
    <row r="7502" spans="1:9" s="71" customFormat="1" ht="24" hidden="1" customHeight="1" outlineLevel="1" x14ac:dyDescent="0.25">
      <c r="A7502" s="74">
        <v>2026</v>
      </c>
      <c r="B7502" s="45" t="s">
        <v>664</v>
      </c>
      <c r="C7502" s="60" t="s">
        <v>6968</v>
      </c>
      <c r="D7502" s="60"/>
      <c r="E7502" s="74">
        <v>2023</v>
      </c>
      <c r="F7502" s="74" t="s">
        <v>489</v>
      </c>
      <c r="G7502" s="61">
        <v>1</v>
      </c>
      <c r="H7502" s="61">
        <v>5</v>
      </c>
      <c r="I7502" s="61">
        <v>45.850290000000001</v>
      </c>
    </row>
    <row r="7503" spans="1:9" s="71" customFormat="1" ht="24" hidden="1" customHeight="1" outlineLevel="1" x14ac:dyDescent="0.25">
      <c r="A7503" s="74">
        <v>2421</v>
      </c>
      <c r="B7503" s="45" t="s">
        <v>664</v>
      </c>
      <c r="C7503" s="60" t="s">
        <v>6969</v>
      </c>
      <c r="D7503" s="60"/>
      <c r="E7503" s="74">
        <v>2023</v>
      </c>
      <c r="F7503" s="74" t="s">
        <v>489</v>
      </c>
      <c r="G7503" s="61">
        <v>1</v>
      </c>
      <c r="H7503" s="61">
        <v>25</v>
      </c>
      <c r="I7503" s="61">
        <v>41.434619999999995</v>
      </c>
    </row>
    <row r="7504" spans="1:9" s="71" customFormat="1" ht="24" hidden="1" customHeight="1" outlineLevel="1" x14ac:dyDescent="0.25">
      <c r="A7504" s="74">
        <v>2871</v>
      </c>
      <c r="B7504" s="45" t="s">
        <v>664</v>
      </c>
      <c r="C7504" s="60" t="s">
        <v>6970</v>
      </c>
      <c r="D7504" s="60"/>
      <c r="E7504" s="74">
        <v>2023</v>
      </c>
      <c r="F7504" s="74" t="s">
        <v>489</v>
      </c>
      <c r="G7504" s="61">
        <v>1</v>
      </c>
      <c r="H7504" s="61">
        <v>15</v>
      </c>
      <c r="I7504" s="61">
        <v>46.750619999999998</v>
      </c>
    </row>
    <row r="7505" spans="1:9" s="71" customFormat="1" ht="24" hidden="1" customHeight="1" outlineLevel="1" x14ac:dyDescent="0.25">
      <c r="A7505" s="74">
        <v>2511</v>
      </c>
      <c r="B7505" s="45" t="s">
        <v>664</v>
      </c>
      <c r="C7505" s="60" t="s">
        <v>6971</v>
      </c>
      <c r="D7505" s="60"/>
      <c r="E7505" s="74">
        <v>2023</v>
      </c>
      <c r="F7505" s="74" t="s">
        <v>489</v>
      </c>
      <c r="G7505" s="61">
        <v>1</v>
      </c>
      <c r="H7505" s="61">
        <v>20</v>
      </c>
      <c r="I7505" s="61">
        <v>41.214260000000003</v>
      </c>
    </row>
    <row r="7506" spans="1:9" s="71" customFormat="1" ht="24" hidden="1" customHeight="1" outlineLevel="1" x14ac:dyDescent="0.25">
      <c r="A7506" s="74">
        <v>2313</v>
      </c>
      <c r="B7506" s="45" t="s">
        <v>664</v>
      </c>
      <c r="C7506" s="60" t="s">
        <v>6972</v>
      </c>
      <c r="D7506" s="60"/>
      <c r="E7506" s="74">
        <v>2023</v>
      </c>
      <c r="F7506" s="74" t="s">
        <v>489</v>
      </c>
      <c r="G7506" s="61">
        <v>1</v>
      </c>
      <c r="H7506" s="61">
        <v>3</v>
      </c>
      <c r="I7506" s="61">
        <v>46.552530000000004</v>
      </c>
    </row>
    <row r="7507" spans="1:9" s="71" customFormat="1" ht="24" hidden="1" customHeight="1" outlineLevel="1" x14ac:dyDescent="0.25">
      <c r="A7507" s="74">
        <v>2836</v>
      </c>
      <c r="B7507" s="45" t="s">
        <v>664</v>
      </c>
      <c r="C7507" s="60" t="s">
        <v>6973</v>
      </c>
      <c r="D7507" s="60"/>
      <c r="E7507" s="74">
        <v>2023</v>
      </c>
      <c r="F7507" s="74" t="s">
        <v>489</v>
      </c>
      <c r="G7507" s="61">
        <v>1</v>
      </c>
      <c r="H7507" s="61">
        <v>30</v>
      </c>
      <c r="I7507" s="61">
        <v>41.598839999999996</v>
      </c>
    </row>
    <row r="7508" spans="1:9" s="71" customFormat="1" ht="24" hidden="1" customHeight="1" outlineLevel="1" x14ac:dyDescent="0.25">
      <c r="A7508" s="74">
        <v>2559</v>
      </c>
      <c r="B7508" s="45" t="s">
        <v>664</v>
      </c>
      <c r="C7508" s="60" t="s">
        <v>6974</v>
      </c>
      <c r="D7508" s="60"/>
      <c r="E7508" s="74">
        <v>2023</v>
      </c>
      <c r="F7508" s="74" t="s">
        <v>489</v>
      </c>
      <c r="G7508" s="61">
        <v>1</v>
      </c>
      <c r="H7508" s="61">
        <v>35</v>
      </c>
      <c r="I7508" s="61">
        <v>42.317500000000003</v>
      </c>
    </row>
    <row r="7509" spans="1:9" s="71" customFormat="1" ht="24" hidden="1" customHeight="1" outlineLevel="1" x14ac:dyDescent="0.25">
      <c r="A7509" s="74">
        <v>2886</v>
      </c>
      <c r="B7509" s="45" t="s">
        <v>664</v>
      </c>
      <c r="C7509" s="60" t="s">
        <v>6975</v>
      </c>
      <c r="D7509" s="60"/>
      <c r="E7509" s="74">
        <v>2023</v>
      </c>
      <c r="F7509" s="74" t="s">
        <v>489</v>
      </c>
      <c r="G7509" s="61">
        <v>1</v>
      </c>
      <c r="H7509" s="61">
        <v>15</v>
      </c>
      <c r="I7509" s="61">
        <v>70.790140000000008</v>
      </c>
    </row>
    <row r="7510" spans="1:9" s="71" customFormat="1" ht="24" hidden="1" customHeight="1" outlineLevel="1" x14ac:dyDescent="0.25">
      <c r="A7510" s="74">
        <v>2606</v>
      </c>
      <c r="B7510" s="45" t="s">
        <v>664</v>
      </c>
      <c r="C7510" s="60" t="s">
        <v>6976</v>
      </c>
      <c r="D7510" s="60"/>
      <c r="E7510" s="74">
        <v>2023</v>
      </c>
      <c r="F7510" s="74" t="s">
        <v>489</v>
      </c>
      <c r="G7510" s="61">
        <v>1</v>
      </c>
      <c r="H7510" s="61">
        <v>15</v>
      </c>
      <c r="I7510" s="61">
        <v>40.95776</v>
      </c>
    </row>
    <row r="7511" spans="1:9" s="71" customFormat="1" ht="24" hidden="1" customHeight="1" outlineLevel="1" x14ac:dyDescent="0.25">
      <c r="A7511" s="74">
        <v>4523</v>
      </c>
      <c r="B7511" s="45" t="s">
        <v>664</v>
      </c>
      <c r="C7511" s="60" t="s">
        <v>587</v>
      </c>
      <c r="D7511" s="60"/>
      <c r="E7511" s="74">
        <v>2023</v>
      </c>
      <c r="F7511" s="74" t="s">
        <v>489</v>
      </c>
      <c r="G7511" s="61">
        <v>1</v>
      </c>
      <c r="H7511" s="61">
        <v>50</v>
      </c>
      <c r="I7511" s="61">
        <v>57</v>
      </c>
    </row>
    <row r="7512" spans="1:9" s="71" customFormat="1" ht="24" hidden="1" customHeight="1" outlineLevel="1" x14ac:dyDescent="0.25">
      <c r="A7512" s="74">
        <v>4522</v>
      </c>
      <c r="B7512" s="45" t="s">
        <v>664</v>
      </c>
      <c r="C7512" s="60" t="s">
        <v>6977</v>
      </c>
      <c r="D7512" s="60"/>
      <c r="E7512" s="74">
        <v>2023</v>
      </c>
      <c r="F7512" s="74" t="s">
        <v>489</v>
      </c>
      <c r="G7512" s="61">
        <v>1</v>
      </c>
      <c r="H7512" s="61">
        <v>15</v>
      </c>
      <c r="I7512" s="61">
        <v>57</v>
      </c>
    </row>
    <row r="7513" spans="1:9" s="71" customFormat="1" ht="24" hidden="1" customHeight="1" outlineLevel="1" x14ac:dyDescent="0.25">
      <c r="A7513" s="74">
        <v>3313</v>
      </c>
      <c r="B7513" s="45" t="s">
        <v>664</v>
      </c>
      <c r="C7513" s="60" t="s">
        <v>6978</v>
      </c>
      <c r="D7513" s="60"/>
      <c r="E7513" s="74">
        <v>2023</v>
      </c>
      <c r="F7513" s="74" t="s">
        <v>489</v>
      </c>
      <c r="G7513" s="61">
        <v>1</v>
      </c>
      <c r="H7513" s="61">
        <v>15</v>
      </c>
      <c r="I7513" s="61">
        <v>39</v>
      </c>
    </row>
    <row r="7514" spans="1:9" s="71" customFormat="1" ht="24" hidden="1" customHeight="1" outlineLevel="1" x14ac:dyDescent="0.25">
      <c r="A7514" s="74">
        <v>2870</v>
      </c>
      <c r="B7514" s="45" t="s">
        <v>664</v>
      </c>
      <c r="C7514" s="60" t="s">
        <v>6979</v>
      </c>
      <c r="D7514" s="60"/>
      <c r="E7514" s="74">
        <v>2023</v>
      </c>
      <c r="F7514" s="74" t="s">
        <v>489</v>
      </c>
      <c r="G7514" s="61">
        <v>1</v>
      </c>
      <c r="H7514" s="61">
        <v>15</v>
      </c>
      <c r="I7514" s="61">
        <v>38</v>
      </c>
    </row>
    <row r="7515" spans="1:9" s="71" customFormat="1" ht="24" hidden="1" customHeight="1" outlineLevel="1" x14ac:dyDescent="0.25">
      <c r="A7515" s="74">
        <v>3324</v>
      </c>
      <c r="B7515" s="45" t="s">
        <v>664</v>
      </c>
      <c r="C7515" s="60" t="s">
        <v>6980</v>
      </c>
      <c r="D7515" s="60"/>
      <c r="E7515" s="74">
        <v>2023</v>
      </c>
      <c r="F7515" s="74" t="s">
        <v>489</v>
      </c>
      <c r="G7515" s="61">
        <v>1</v>
      </c>
      <c r="H7515" s="61">
        <v>30</v>
      </c>
      <c r="I7515" s="61">
        <v>44</v>
      </c>
    </row>
    <row r="7516" spans="1:9" s="71" customFormat="1" ht="24" hidden="1" customHeight="1" outlineLevel="1" x14ac:dyDescent="0.25">
      <c r="A7516" s="74">
        <v>1942</v>
      </c>
      <c r="B7516" s="45" t="s">
        <v>664</v>
      </c>
      <c r="C7516" s="60" t="s">
        <v>6981</v>
      </c>
      <c r="D7516" s="60"/>
      <c r="E7516" s="74">
        <v>2023</v>
      </c>
      <c r="F7516" s="74" t="s">
        <v>489</v>
      </c>
      <c r="G7516" s="61">
        <v>2</v>
      </c>
      <c r="H7516" s="61">
        <v>25</v>
      </c>
      <c r="I7516" s="61">
        <v>60</v>
      </c>
    </row>
    <row r="7517" spans="1:9" s="71" customFormat="1" ht="24" hidden="1" customHeight="1" outlineLevel="1" x14ac:dyDescent="0.25">
      <c r="A7517" s="74">
        <v>3091</v>
      </c>
      <c r="B7517" s="45" t="s">
        <v>664</v>
      </c>
      <c r="C7517" s="60" t="s">
        <v>6982</v>
      </c>
      <c r="D7517" s="60"/>
      <c r="E7517" s="74">
        <v>2023</v>
      </c>
      <c r="F7517" s="74" t="s">
        <v>489</v>
      </c>
      <c r="G7517" s="61">
        <v>1</v>
      </c>
      <c r="H7517" s="61">
        <v>50</v>
      </c>
      <c r="I7517" s="61">
        <v>42</v>
      </c>
    </row>
    <row r="7518" spans="1:9" s="71" customFormat="1" ht="24" hidden="1" customHeight="1" outlineLevel="1" x14ac:dyDescent="0.25">
      <c r="A7518" s="74">
        <v>4504</v>
      </c>
      <c r="B7518" s="45" t="s">
        <v>664</v>
      </c>
      <c r="C7518" s="60" t="s">
        <v>6983</v>
      </c>
      <c r="D7518" s="60"/>
      <c r="E7518" s="74">
        <v>2023</v>
      </c>
      <c r="F7518" s="74" t="s">
        <v>489</v>
      </c>
      <c r="G7518" s="61">
        <v>1</v>
      </c>
      <c r="H7518" s="61">
        <v>15</v>
      </c>
      <c r="I7518" s="61">
        <v>41</v>
      </c>
    </row>
    <row r="7519" spans="1:9" s="71" customFormat="1" ht="24" hidden="1" customHeight="1" outlineLevel="1" x14ac:dyDescent="0.25">
      <c r="A7519" s="74">
        <v>4524</v>
      </c>
      <c r="B7519" s="45" t="s">
        <v>664</v>
      </c>
      <c r="C7519" s="60" t="s">
        <v>6984</v>
      </c>
      <c r="D7519" s="60"/>
      <c r="E7519" s="74">
        <v>2023</v>
      </c>
      <c r="F7519" s="74" t="s">
        <v>489</v>
      </c>
      <c r="G7519" s="61">
        <v>1</v>
      </c>
      <c r="H7519" s="61">
        <v>13</v>
      </c>
      <c r="I7519" s="61">
        <v>42</v>
      </c>
    </row>
    <row r="7520" spans="1:9" s="71" customFormat="1" ht="24" hidden="1" customHeight="1" outlineLevel="1" x14ac:dyDescent="0.25">
      <c r="A7520" s="74">
        <v>4596</v>
      </c>
      <c r="B7520" s="45" t="s">
        <v>664</v>
      </c>
      <c r="C7520" s="60" t="s">
        <v>6985</v>
      </c>
      <c r="D7520" s="60"/>
      <c r="E7520" s="74">
        <v>2023</v>
      </c>
      <c r="F7520" s="74" t="s">
        <v>489</v>
      </c>
      <c r="G7520" s="61">
        <v>1</v>
      </c>
      <c r="H7520" s="61">
        <v>15</v>
      </c>
      <c r="I7520" s="61">
        <v>40</v>
      </c>
    </row>
    <row r="7521" spans="1:9" s="71" customFormat="1" ht="24" hidden="1" customHeight="1" outlineLevel="1" x14ac:dyDescent="0.25">
      <c r="A7521" s="74">
        <v>4597</v>
      </c>
      <c r="B7521" s="45" t="s">
        <v>664</v>
      </c>
      <c r="C7521" s="60" t="s">
        <v>6986</v>
      </c>
      <c r="D7521" s="60"/>
      <c r="E7521" s="74">
        <v>2023</v>
      </c>
      <c r="F7521" s="74" t="s">
        <v>489</v>
      </c>
      <c r="G7521" s="61">
        <v>1</v>
      </c>
      <c r="H7521" s="61">
        <v>15</v>
      </c>
      <c r="I7521" s="61">
        <v>128</v>
      </c>
    </row>
    <row r="7522" spans="1:9" s="71" customFormat="1" ht="24" hidden="1" customHeight="1" outlineLevel="1" x14ac:dyDescent="0.25">
      <c r="A7522" s="74">
        <v>4598</v>
      </c>
      <c r="B7522" s="45" t="s">
        <v>664</v>
      </c>
      <c r="C7522" s="60" t="s">
        <v>6987</v>
      </c>
      <c r="D7522" s="60"/>
      <c r="E7522" s="74">
        <v>2023</v>
      </c>
      <c r="F7522" s="74" t="s">
        <v>489</v>
      </c>
      <c r="G7522" s="61">
        <v>2</v>
      </c>
      <c r="H7522" s="61">
        <v>30</v>
      </c>
      <c r="I7522" s="61">
        <v>132</v>
      </c>
    </row>
    <row r="7523" spans="1:9" s="71" customFormat="1" ht="24" hidden="1" customHeight="1" outlineLevel="1" x14ac:dyDescent="0.25">
      <c r="A7523" s="74">
        <v>523</v>
      </c>
      <c r="B7523" s="45" t="s">
        <v>664</v>
      </c>
      <c r="C7523" s="60" t="s">
        <v>6988</v>
      </c>
      <c r="D7523" s="60"/>
      <c r="E7523" s="74">
        <v>2023</v>
      </c>
      <c r="F7523" s="74" t="s">
        <v>489</v>
      </c>
      <c r="G7523" s="61">
        <v>1</v>
      </c>
      <c r="H7523" s="61">
        <v>15</v>
      </c>
      <c r="I7523" s="61">
        <v>98</v>
      </c>
    </row>
    <row r="7524" spans="1:9" s="71" customFormat="1" ht="24" hidden="1" customHeight="1" outlineLevel="1" x14ac:dyDescent="0.25">
      <c r="A7524" s="74">
        <v>529</v>
      </c>
      <c r="B7524" s="45" t="s">
        <v>664</v>
      </c>
      <c r="C7524" s="60" t="s">
        <v>6989</v>
      </c>
      <c r="D7524" s="60"/>
      <c r="E7524" s="74">
        <v>2023</v>
      </c>
      <c r="F7524" s="74" t="s">
        <v>489</v>
      </c>
      <c r="G7524" s="61">
        <v>1</v>
      </c>
      <c r="H7524" s="61">
        <v>15</v>
      </c>
      <c r="I7524" s="61">
        <v>94</v>
      </c>
    </row>
    <row r="7525" spans="1:9" s="71" customFormat="1" ht="24" hidden="1" customHeight="1" outlineLevel="1" x14ac:dyDescent="0.25">
      <c r="A7525" s="74">
        <v>435</v>
      </c>
      <c r="B7525" s="45" t="s">
        <v>664</v>
      </c>
      <c r="C7525" s="60" t="s">
        <v>6990</v>
      </c>
      <c r="D7525" s="60"/>
      <c r="E7525" s="74">
        <v>2023</v>
      </c>
      <c r="F7525" s="74" t="s">
        <v>489</v>
      </c>
      <c r="G7525" s="61">
        <v>1</v>
      </c>
      <c r="H7525" s="61">
        <v>15</v>
      </c>
      <c r="I7525" s="61">
        <v>123</v>
      </c>
    </row>
    <row r="7526" spans="1:9" s="71" customFormat="1" ht="24" hidden="1" customHeight="1" outlineLevel="1" x14ac:dyDescent="0.25">
      <c r="A7526" s="74">
        <v>3185</v>
      </c>
      <c r="B7526" s="45" t="s">
        <v>664</v>
      </c>
      <c r="C7526" s="60" t="s">
        <v>6991</v>
      </c>
      <c r="D7526" s="60"/>
      <c r="E7526" s="74">
        <v>2023</v>
      </c>
      <c r="F7526" s="74" t="s">
        <v>489</v>
      </c>
      <c r="G7526" s="61">
        <v>1</v>
      </c>
      <c r="H7526" s="61">
        <v>15</v>
      </c>
      <c r="I7526" s="61">
        <v>101</v>
      </c>
    </row>
    <row r="7527" spans="1:9" s="71" customFormat="1" ht="24" hidden="1" customHeight="1" outlineLevel="1" x14ac:dyDescent="0.25">
      <c r="A7527" s="74">
        <v>410</v>
      </c>
      <c r="B7527" s="45" t="s">
        <v>664</v>
      </c>
      <c r="C7527" s="60" t="s">
        <v>6992</v>
      </c>
      <c r="D7527" s="60"/>
      <c r="E7527" s="74">
        <v>2023</v>
      </c>
      <c r="F7527" s="74" t="s">
        <v>489</v>
      </c>
      <c r="G7527" s="61">
        <v>1</v>
      </c>
      <c r="H7527" s="61">
        <v>10</v>
      </c>
      <c r="I7527" s="61">
        <v>113</v>
      </c>
    </row>
    <row r="7528" spans="1:9" s="71" customFormat="1" ht="24" hidden="1" customHeight="1" outlineLevel="1" x14ac:dyDescent="0.25">
      <c r="A7528" s="74">
        <v>2536</v>
      </c>
      <c r="B7528" s="45" t="s">
        <v>664</v>
      </c>
      <c r="C7528" s="60" t="s">
        <v>6993</v>
      </c>
      <c r="D7528" s="60"/>
      <c r="E7528" s="74">
        <v>2023</v>
      </c>
      <c r="F7528" s="74" t="s">
        <v>489</v>
      </c>
      <c r="G7528" s="61">
        <v>1</v>
      </c>
      <c r="H7528" s="61">
        <v>5</v>
      </c>
      <c r="I7528" s="61">
        <v>39</v>
      </c>
    </row>
    <row r="7529" spans="1:9" s="71" customFormat="1" ht="24" hidden="1" customHeight="1" outlineLevel="1" x14ac:dyDescent="0.25">
      <c r="A7529" s="74">
        <v>2604</v>
      </c>
      <c r="B7529" s="45" t="s">
        <v>664</v>
      </c>
      <c r="C7529" s="60" t="s">
        <v>6994</v>
      </c>
      <c r="D7529" s="60"/>
      <c r="E7529" s="74">
        <v>2023</v>
      </c>
      <c r="F7529" s="74" t="s">
        <v>489</v>
      </c>
      <c r="G7529" s="61">
        <v>1</v>
      </c>
      <c r="H7529" s="61">
        <v>5</v>
      </c>
      <c r="I7529" s="61">
        <v>41</v>
      </c>
    </row>
    <row r="7530" spans="1:9" s="71" customFormat="1" ht="24" hidden="1" customHeight="1" outlineLevel="1" x14ac:dyDescent="0.25">
      <c r="A7530" s="74">
        <v>2890</v>
      </c>
      <c r="B7530" s="45" t="s">
        <v>664</v>
      </c>
      <c r="C7530" s="60" t="s">
        <v>6995</v>
      </c>
      <c r="D7530" s="60"/>
      <c r="E7530" s="74">
        <v>2023</v>
      </c>
      <c r="F7530" s="74" t="s">
        <v>489</v>
      </c>
      <c r="G7530" s="61">
        <v>1</v>
      </c>
      <c r="H7530" s="61">
        <v>15</v>
      </c>
      <c r="I7530" s="61">
        <v>40</v>
      </c>
    </row>
    <row r="7531" spans="1:9" s="71" customFormat="1" ht="24" hidden="1" customHeight="1" outlineLevel="1" x14ac:dyDescent="0.25">
      <c r="A7531" s="74">
        <v>2236</v>
      </c>
      <c r="B7531" s="45" t="s">
        <v>664</v>
      </c>
      <c r="C7531" s="60" t="s">
        <v>6996</v>
      </c>
      <c r="D7531" s="60"/>
      <c r="E7531" s="74">
        <v>2023</v>
      </c>
      <c r="F7531" s="74" t="s">
        <v>489</v>
      </c>
      <c r="G7531" s="61">
        <v>1</v>
      </c>
      <c r="H7531" s="61">
        <v>5</v>
      </c>
      <c r="I7531" s="61">
        <v>43</v>
      </c>
    </row>
    <row r="7532" spans="1:9" s="71" customFormat="1" ht="24" hidden="1" customHeight="1" outlineLevel="1" x14ac:dyDescent="0.25">
      <c r="A7532" s="74">
        <v>2875</v>
      </c>
      <c r="B7532" s="45" t="s">
        <v>664</v>
      </c>
      <c r="C7532" s="60" t="s">
        <v>6997</v>
      </c>
      <c r="D7532" s="60"/>
      <c r="E7532" s="74">
        <v>2023</v>
      </c>
      <c r="F7532" s="74" t="s">
        <v>489</v>
      </c>
      <c r="G7532" s="61">
        <v>1</v>
      </c>
      <c r="H7532" s="61">
        <v>15</v>
      </c>
      <c r="I7532" s="61">
        <v>40</v>
      </c>
    </row>
    <row r="7533" spans="1:9" s="71" customFormat="1" ht="24" hidden="1" customHeight="1" outlineLevel="1" x14ac:dyDescent="0.25">
      <c r="A7533" s="74">
        <v>2869</v>
      </c>
      <c r="B7533" s="45" t="s">
        <v>664</v>
      </c>
      <c r="C7533" s="60" t="s">
        <v>6998</v>
      </c>
      <c r="D7533" s="60"/>
      <c r="E7533" s="74">
        <v>2023</v>
      </c>
      <c r="F7533" s="74" t="s">
        <v>489</v>
      </c>
      <c r="G7533" s="61">
        <v>1</v>
      </c>
      <c r="H7533" s="61">
        <v>15</v>
      </c>
      <c r="I7533" s="61">
        <v>42</v>
      </c>
    </row>
    <row r="7534" spans="1:9" s="71" customFormat="1" ht="24" hidden="1" customHeight="1" outlineLevel="1" x14ac:dyDescent="0.25">
      <c r="A7534" s="74">
        <v>2860</v>
      </c>
      <c r="B7534" s="45" t="s">
        <v>664</v>
      </c>
      <c r="C7534" s="60" t="s">
        <v>6999</v>
      </c>
      <c r="D7534" s="60"/>
      <c r="E7534" s="74">
        <v>2023</v>
      </c>
      <c r="F7534" s="74" t="s">
        <v>489</v>
      </c>
      <c r="G7534" s="61">
        <v>1</v>
      </c>
      <c r="H7534" s="61">
        <v>15</v>
      </c>
      <c r="I7534" s="61">
        <v>38</v>
      </c>
    </row>
    <row r="7535" spans="1:9" s="71" customFormat="1" ht="24" hidden="1" customHeight="1" outlineLevel="1" x14ac:dyDescent="0.25">
      <c r="A7535" s="74">
        <v>2866</v>
      </c>
      <c r="B7535" s="45" t="s">
        <v>664</v>
      </c>
      <c r="C7535" s="60" t="s">
        <v>7000</v>
      </c>
      <c r="D7535" s="60"/>
      <c r="E7535" s="74">
        <v>2023</v>
      </c>
      <c r="F7535" s="74" t="s">
        <v>489</v>
      </c>
      <c r="G7535" s="61">
        <v>1</v>
      </c>
      <c r="H7535" s="61">
        <v>15</v>
      </c>
      <c r="I7535" s="61">
        <v>40</v>
      </c>
    </row>
    <row r="7536" spans="1:9" s="71" customFormat="1" ht="24" hidden="1" customHeight="1" outlineLevel="1" x14ac:dyDescent="0.25">
      <c r="A7536" s="74">
        <v>2864</v>
      </c>
      <c r="B7536" s="45" t="s">
        <v>664</v>
      </c>
      <c r="C7536" s="60" t="s">
        <v>7001</v>
      </c>
      <c r="D7536" s="60"/>
      <c r="E7536" s="74">
        <v>2023</v>
      </c>
      <c r="F7536" s="74" t="s">
        <v>489</v>
      </c>
      <c r="G7536" s="61">
        <v>1</v>
      </c>
      <c r="H7536" s="61">
        <v>15</v>
      </c>
      <c r="I7536" s="61">
        <v>41</v>
      </c>
    </row>
    <row r="7537" spans="1:9" s="71" customFormat="1" ht="24" hidden="1" customHeight="1" outlineLevel="1" x14ac:dyDescent="0.25">
      <c r="A7537" s="74">
        <v>2284</v>
      </c>
      <c r="B7537" s="45" t="s">
        <v>664</v>
      </c>
      <c r="C7537" s="60" t="s">
        <v>7002</v>
      </c>
      <c r="D7537" s="60"/>
      <c r="E7537" s="74">
        <v>2023</v>
      </c>
      <c r="F7537" s="74" t="s">
        <v>489</v>
      </c>
      <c r="G7537" s="61">
        <v>1</v>
      </c>
      <c r="H7537" s="61">
        <v>15</v>
      </c>
      <c r="I7537" s="61">
        <v>40</v>
      </c>
    </row>
    <row r="7538" spans="1:9" s="71" customFormat="1" ht="24" hidden="1" customHeight="1" outlineLevel="1" x14ac:dyDescent="0.25">
      <c r="A7538" s="74">
        <v>2876</v>
      </c>
      <c r="B7538" s="45" t="s">
        <v>664</v>
      </c>
      <c r="C7538" s="60" t="s">
        <v>7003</v>
      </c>
      <c r="D7538" s="60"/>
      <c r="E7538" s="74">
        <v>2023</v>
      </c>
      <c r="F7538" s="74" t="s">
        <v>489</v>
      </c>
      <c r="G7538" s="61">
        <v>1</v>
      </c>
      <c r="H7538" s="61">
        <v>15</v>
      </c>
      <c r="I7538" s="61">
        <v>38</v>
      </c>
    </row>
    <row r="7539" spans="1:9" s="71" customFormat="1" ht="24" hidden="1" customHeight="1" outlineLevel="1" x14ac:dyDescent="0.25">
      <c r="A7539" s="74">
        <v>2840</v>
      </c>
      <c r="B7539" s="45" t="s">
        <v>664</v>
      </c>
      <c r="C7539" s="60" t="s">
        <v>7004</v>
      </c>
      <c r="D7539" s="60"/>
      <c r="E7539" s="74">
        <v>2023</v>
      </c>
      <c r="F7539" s="74" t="s">
        <v>489</v>
      </c>
      <c r="G7539" s="61">
        <v>1</v>
      </c>
      <c r="H7539" s="61">
        <v>15</v>
      </c>
      <c r="I7539" s="61">
        <v>39</v>
      </c>
    </row>
    <row r="7540" spans="1:9" s="71" customFormat="1" ht="24" hidden="1" customHeight="1" outlineLevel="1" x14ac:dyDescent="0.25">
      <c r="A7540" s="74">
        <v>3151</v>
      </c>
      <c r="B7540" s="45" t="s">
        <v>664</v>
      </c>
      <c r="C7540" s="60" t="s">
        <v>7005</v>
      </c>
      <c r="D7540" s="60"/>
      <c r="E7540" s="74">
        <v>2023</v>
      </c>
      <c r="F7540" s="74" t="s">
        <v>489</v>
      </c>
      <c r="G7540" s="61">
        <v>1</v>
      </c>
      <c r="H7540" s="61">
        <v>50</v>
      </c>
      <c r="I7540" s="61">
        <v>39</v>
      </c>
    </row>
    <row r="7541" spans="1:9" s="71" customFormat="1" ht="24" hidden="1" customHeight="1" outlineLevel="1" x14ac:dyDescent="0.25">
      <c r="A7541" s="74">
        <v>3322</v>
      </c>
      <c r="B7541" s="45" t="s">
        <v>664</v>
      </c>
      <c r="C7541" s="60" t="s">
        <v>7006</v>
      </c>
      <c r="D7541" s="60"/>
      <c r="E7541" s="74">
        <v>2023</v>
      </c>
      <c r="F7541" s="74" t="s">
        <v>489</v>
      </c>
      <c r="G7541" s="61">
        <v>1</v>
      </c>
      <c r="H7541" s="61">
        <v>7</v>
      </c>
      <c r="I7541" s="61">
        <v>39</v>
      </c>
    </row>
    <row r="7542" spans="1:9" s="71" customFormat="1" ht="24" hidden="1" customHeight="1" outlineLevel="1" x14ac:dyDescent="0.25">
      <c r="A7542" s="74">
        <v>2650</v>
      </c>
      <c r="B7542" s="45" t="s">
        <v>664</v>
      </c>
      <c r="C7542" s="60" t="s">
        <v>7007</v>
      </c>
      <c r="D7542" s="60"/>
      <c r="E7542" s="74">
        <v>2023</v>
      </c>
      <c r="F7542" s="74" t="s">
        <v>489</v>
      </c>
      <c r="G7542" s="61">
        <v>1</v>
      </c>
      <c r="H7542" s="61">
        <v>12</v>
      </c>
      <c r="I7542" s="61">
        <v>40</v>
      </c>
    </row>
    <row r="7543" spans="1:9" s="71" customFormat="1" ht="24" hidden="1" customHeight="1" outlineLevel="1" x14ac:dyDescent="0.25">
      <c r="A7543" s="74">
        <v>4557</v>
      </c>
      <c r="B7543" s="45" t="s">
        <v>664</v>
      </c>
      <c r="C7543" s="60" t="s">
        <v>7008</v>
      </c>
      <c r="D7543" s="60"/>
      <c r="E7543" s="74">
        <v>2023</v>
      </c>
      <c r="F7543" s="74" t="s">
        <v>489</v>
      </c>
      <c r="G7543" s="61">
        <v>1</v>
      </c>
      <c r="H7543" s="61">
        <v>15</v>
      </c>
      <c r="I7543" s="61">
        <v>41</v>
      </c>
    </row>
    <row r="7544" spans="1:9" s="71" customFormat="1" ht="24" hidden="1" customHeight="1" outlineLevel="1" x14ac:dyDescent="0.25">
      <c r="A7544" s="74">
        <v>4580</v>
      </c>
      <c r="B7544" s="45" t="s">
        <v>664</v>
      </c>
      <c r="C7544" s="60" t="s">
        <v>7009</v>
      </c>
      <c r="D7544" s="60"/>
      <c r="E7544" s="74">
        <v>2023</v>
      </c>
      <c r="F7544" s="74" t="s">
        <v>489</v>
      </c>
      <c r="G7544" s="61">
        <v>1</v>
      </c>
      <c r="H7544" s="61">
        <v>10</v>
      </c>
      <c r="I7544" s="61">
        <v>131</v>
      </c>
    </row>
    <row r="7545" spans="1:9" s="71" customFormat="1" ht="24" hidden="1" customHeight="1" outlineLevel="1" x14ac:dyDescent="0.25">
      <c r="A7545" s="74">
        <v>286</v>
      </c>
      <c r="B7545" s="45" t="s">
        <v>664</v>
      </c>
      <c r="C7545" s="60" t="s">
        <v>7010</v>
      </c>
      <c r="D7545" s="60"/>
      <c r="E7545" s="74">
        <v>2023</v>
      </c>
      <c r="F7545" s="74" t="s">
        <v>489</v>
      </c>
      <c r="G7545" s="61">
        <v>1</v>
      </c>
      <c r="H7545" s="61">
        <v>15</v>
      </c>
      <c r="I7545" s="61">
        <v>137.07008999999999</v>
      </c>
    </row>
    <row r="7546" spans="1:9" s="71" customFormat="1" ht="24" hidden="1" customHeight="1" outlineLevel="1" x14ac:dyDescent="0.25">
      <c r="A7546" s="74">
        <v>485</v>
      </c>
      <c r="B7546" s="45" t="s">
        <v>664</v>
      </c>
      <c r="C7546" s="60" t="s">
        <v>7011</v>
      </c>
      <c r="D7546" s="60"/>
      <c r="E7546" s="74">
        <v>2023</v>
      </c>
      <c r="F7546" s="74" t="s">
        <v>489</v>
      </c>
      <c r="G7546" s="61">
        <v>1</v>
      </c>
      <c r="H7546" s="61">
        <v>15</v>
      </c>
      <c r="I7546" s="61">
        <v>70.801470000000009</v>
      </c>
    </row>
    <row r="7547" spans="1:9" s="71" customFormat="1" ht="24" hidden="1" customHeight="1" outlineLevel="1" x14ac:dyDescent="0.25">
      <c r="A7547" s="74">
        <v>1047</v>
      </c>
      <c r="B7547" s="45" t="s">
        <v>664</v>
      </c>
      <c r="C7547" s="60" t="s">
        <v>7012</v>
      </c>
      <c r="D7547" s="60"/>
      <c r="E7547" s="74">
        <v>2023</v>
      </c>
      <c r="F7547" s="74" t="s">
        <v>489</v>
      </c>
      <c r="G7547" s="61">
        <v>1</v>
      </c>
      <c r="H7547" s="61">
        <v>15</v>
      </c>
      <c r="I7547" s="61">
        <v>92.725610000000003</v>
      </c>
    </row>
    <row r="7548" spans="1:9" s="71" customFormat="1" ht="24" hidden="1" customHeight="1" outlineLevel="1" x14ac:dyDescent="0.25">
      <c r="A7548" s="74">
        <v>891</v>
      </c>
      <c r="B7548" s="45" t="s">
        <v>664</v>
      </c>
      <c r="C7548" s="60" t="s">
        <v>7013</v>
      </c>
      <c r="D7548" s="60"/>
      <c r="E7548" s="74">
        <v>2023</v>
      </c>
      <c r="F7548" s="74" t="s">
        <v>489</v>
      </c>
      <c r="G7548" s="61">
        <v>1</v>
      </c>
      <c r="H7548" s="61">
        <v>15</v>
      </c>
      <c r="I7548" s="61">
        <v>86.023890000000009</v>
      </c>
    </row>
    <row r="7549" spans="1:9" s="71" customFormat="1" ht="24" hidden="1" customHeight="1" outlineLevel="1" x14ac:dyDescent="0.25">
      <c r="A7549" s="74">
        <v>296</v>
      </c>
      <c r="B7549" s="45" t="s">
        <v>664</v>
      </c>
      <c r="C7549" s="60" t="s">
        <v>7014</v>
      </c>
      <c r="D7549" s="60"/>
      <c r="E7549" s="74">
        <v>2023</v>
      </c>
      <c r="F7549" s="74" t="s">
        <v>489</v>
      </c>
      <c r="G7549" s="61">
        <v>1</v>
      </c>
      <c r="H7549" s="61">
        <v>15</v>
      </c>
      <c r="I7549" s="61">
        <v>98.232410000000002</v>
      </c>
    </row>
    <row r="7550" spans="1:9" s="71" customFormat="1" ht="24" hidden="1" customHeight="1" outlineLevel="1" x14ac:dyDescent="0.25">
      <c r="A7550" s="74">
        <v>557</v>
      </c>
      <c r="B7550" s="45" t="s">
        <v>664</v>
      </c>
      <c r="C7550" s="60" t="s">
        <v>7015</v>
      </c>
      <c r="D7550" s="60"/>
      <c r="E7550" s="74">
        <v>2023</v>
      </c>
      <c r="F7550" s="74" t="s">
        <v>489</v>
      </c>
      <c r="G7550" s="61">
        <v>1</v>
      </c>
      <c r="H7550" s="61">
        <v>15</v>
      </c>
      <c r="I7550" s="61">
        <v>96.069239999999994</v>
      </c>
    </row>
    <row r="7551" spans="1:9" s="71" customFormat="1" ht="24" hidden="1" customHeight="1" outlineLevel="1" x14ac:dyDescent="0.25">
      <c r="A7551" s="74">
        <v>819</v>
      </c>
      <c r="B7551" s="45" t="s">
        <v>664</v>
      </c>
      <c r="C7551" s="60" t="s">
        <v>7016</v>
      </c>
      <c r="D7551" s="60"/>
      <c r="E7551" s="74">
        <v>2023</v>
      </c>
      <c r="F7551" s="74" t="s">
        <v>489</v>
      </c>
      <c r="G7551" s="61">
        <v>5</v>
      </c>
      <c r="H7551" s="61">
        <v>90</v>
      </c>
      <c r="I7551" s="61">
        <v>320.31252999999998</v>
      </c>
    </row>
    <row r="7552" spans="1:9" s="71" customFormat="1" ht="24" hidden="1" customHeight="1" outlineLevel="1" x14ac:dyDescent="0.25">
      <c r="A7552" s="74">
        <v>3003</v>
      </c>
      <c r="B7552" s="45" t="s">
        <v>664</v>
      </c>
      <c r="C7552" s="60" t="s">
        <v>281</v>
      </c>
      <c r="D7552" s="60"/>
      <c r="E7552" s="74">
        <v>2023</v>
      </c>
      <c r="F7552" s="74" t="s">
        <v>489</v>
      </c>
      <c r="G7552" s="61">
        <v>1</v>
      </c>
      <c r="H7552" s="61">
        <v>150</v>
      </c>
      <c r="I7552" s="61">
        <v>124.681</v>
      </c>
    </row>
    <row r="7553" spans="1:9" s="71" customFormat="1" ht="24" hidden="1" customHeight="1" outlineLevel="1" x14ac:dyDescent="0.25">
      <c r="A7553" s="74">
        <v>3394</v>
      </c>
      <c r="B7553" s="45" t="s">
        <v>664</v>
      </c>
      <c r="C7553" s="60" t="s">
        <v>282</v>
      </c>
      <c r="D7553" s="60"/>
      <c r="E7553" s="74">
        <v>2023</v>
      </c>
      <c r="F7553" s="74" t="s">
        <v>489</v>
      </c>
      <c r="G7553" s="61">
        <v>1</v>
      </c>
      <c r="H7553" s="61">
        <v>150</v>
      </c>
      <c r="I7553" s="61">
        <v>131.661</v>
      </c>
    </row>
    <row r="7554" spans="1:9" s="71" customFormat="1" ht="24" hidden="1" customHeight="1" outlineLevel="1" x14ac:dyDescent="0.25">
      <c r="A7554" s="74">
        <v>738</v>
      </c>
      <c r="B7554" s="45" t="s">
        <v>664</v>
      </c>
      <c r="C7554" s="60" t="s">
        <v>284</v>
      </c>
      <c r="D7554" s="60"/>
      <c r="E7554" s="74">
        <v>2023</v>
      </c>
      <c r="F7554" s="74" t="s">
        <v>489</v>
      </c>
      <c r="G7554" s="61">
        <v>2</v>
      </c>
      <c r="H7554" s="61">
        <v>23</v>
      </c>
      <c r="I7554" s="61">
        <v>123</v>
      </c>
    </row>
    <row r="7555" spans="1:9" s="71" customFormat="1" ht="24" hidden="1" customHeight="1" outlineLevel="1" x14ac:dyDescent="0.25">
      <c r="A7555" s="74">
        <v>3857</v>
      </c>
      <c r="B7555" s="45" t="s">
        <v>664</v>
      </c>
      <c r="C7555" s="60" t="s">
        <v>285</v>
      </c>
      <c r="D7555" s="60"/>
      <c r="E7555" s="74">
        <v>2023</v>
      </c>
      <c r="F7555" s="74" t="s">
        <v>489</v>
      </c>
      <c r="G7555" s="61">
        <v>1</v>
      </c>
      <c r="H7555" s="61">
        <v>10</v>
      </c>
      <c r="I7555" s="61">
        <v>45.536960000000001</v>
      </c>
    </row>
    <row r="7556" spans="1:9" s="71" customFormat="1" ht="24" hidden="1" customHeight="1" outlineLevel="1" x14ac:dyDescent="0.25">
      <c r="A7556" s="74">
        <v>3813</v>
      </c>
      <c r="B7556" s="45" t="s">
        <v>664</v>
      </c>
      <c r="C7556" s="60" t="s">
        <v>286</v>
      </c>
      <c r="D7556" s="60"/>
      <c r="E7556" s="74">
        <v>2023</v>
      </c>
      <c r="F7556" s="74" t="s">
        <v>489</v>
      </c>
      <c r="G7556" s="61">
        <v>1</v>
      </c>
      <c r="H7556" s="61">
        <v>15</v>
      </c>
      <c r="I7556" s="61">
        <v>46.02758</v>
      </c>
    </row>
    <row r="7557" spans="1:9" s="71" customFormat="1" ht="24" hidden="1" customHeight="1" outlineLevel="1" x14ac:dyDescent="0.25">
      <c r="A7557" s="74">
        <v>3439</v>
      </c>
      <c r="B7557" s="45" t="s">
        <v>664</v>
      </c>
      <c r="C7557" s="60" t="s">
        <v>287</v>
      </c>
      <c r="D7557" s="60"/>
      <c r="E7557" s="74">
        <v>2023</v>
      </c>
      <c r="F7557" s="74" t="s">
        <v>489</v>
      </c>
      <c r="G7557" s="61">
        <v>2</v>
      </c>
      <c r="H7557" s="61">
        <v>30</v>
      </c>
      <c r="I7557" s="61">
        <v>87.462239999999994</v>
      </c>
    </row>
    <row r="7558" spans="1:9" s="71" customFormat="1" ht="24" hidden="1" customHeight="1" outlineLevel="1" x14ac:dyDescent="0.25">
      <c r="A7558" s="74">
        <v>3372</v>
      </c>
      <c r="B7558" s="45" t="s">
        <v>664</v>
      </c>
      <c r="C7558" s="60" t="s">
        <v>289</v>
      </c>
      <c r="D7558" s="60"/>
      <c r="E7558" s="74">
        <v>2023</v>
      </c>
      <c r="F7558" s="74" t="s">
        <v>489</v>
      </c>
      <c r="G7558" s="61">
        <v>1</v>
      </c>
      <c r="H7558" s="61">
        <v>15</v>
      </c>
      <c r="I7558" s="61">
        <v>45.666360000000005</v>
      </c>
    </row>
    <row r="7559" spans="1:9" s="71" customFormat="1" ht="24" hidden="1" customHeight="1" outlineLevel="1" x14ac:dyDescent="0.25">
      <c r="A7559" s="74">
        <v>1342</v>
      </c>
      <c r="B7559" s="45" t="s">
        <v>664</v>
      </c>
      <c r="C7559" s="60" t="s">
        <v>290</v>
      </c>
      <c r="D7559" s="60"/>
      <c r="E7559" s="74">
        <v>2023</v>
      </c>
      <c r="F7559" s="74" t="s">
        <v>489</v>
      </c>
      <c r="G7559" s="61">
        <v>2</v>
      </c>
      <c r="H7559" s="61">
        <v>30</v>
      </c>
      <c r="I7559" s="61">
        <v>81.812550000000002</v>
      </c>
    </row>
    <row r="7560" spans="1:9" s="71" customFormat="1" ht="24" hidden="1" customHeight="1" outlineLevel="1" x14ac:dyDescent="0.25">
      <c r="A7560" s="74">
        <v>362</v>
      </c>
      <c r="B7560" s="45" t="s">
        <v>664</v>
      </c>
      <c r="C7560" s="60" t="s">
        <v>291</v>
      </c>
      <c r="D7560" s="60"/>
      <c r="E7560" s="74">
        <v>2023</v>
      </c>
      <c r="F7560" s="74" t="s">
        <v>489</v>
      </c>
      <c r="G7560" s="61">
        <v>1</v>
      </c>
      <c r="H7560" s="61">
        <v>15</v>
      </c>
      <c r="I7560" s="61">
        <v>43.916999999999994</v>
      </c>
    </row>
    <row r="7561" spans="1:9" s="71" customFormat="1" ht="24" hidden="1" customHeight="1" outlineLevel="1" x14ac:dyDescent="0.25">
      <c r="A7561" s="74">
        <v>3064</v>
      </c>
      <c r="B7561" s="45" t="s">
        <v>664</v>
      </c>
      <c r="C7561" s="60" t="s">
        <v>292</v>
      </c>
      <c r="D7561" s="60"/>
      <c r="E7561" s="74">
        <v>2023</v>
      </c>
      <c r="F7561" s="74" t="s">
        <v>489</v>
      </c>
      <c r="G7561" s="61">
        <v>1</v>
      </c>
      <c r="H7561" s="61">
        <v>95</v>
      </c>
      <c r="I7561" s="61">
        <v>112.95549000000001</v>
      </c>
    </row>
    <row r="7562" spans="1:9" s="71" customFormat="1" ht="24" hidden="1" customHeight="1" outlineLevel="1" x14ac:dyDescent="0.25">
      <c r="A7562" s="74">
        <v>1039</v>
      </c>
      <c r="B7562" s="45" t="s">
        <v>664</v>
      </c>
      <c r="C7562" s="60" t="s">
        <v>293</v>
      </c>
      <c r="D7562" s="60"/>
      <c r="E7562" s="74">
        <v>2023</v>
      </c>
      <c r="F7562" s="74" t="s">
        <v>489</v>
      </c>
      <c r="G7562" s="61">
        <v>1</v>
      </c>
      <c r="H7562" s="61">
        <v>15</v>
      </c>
      <c r="I7562" s="61">
        <v>49.931740000000005</v>
      </c>
    </row>
    <row r="7563" spans="1:9" s="71" customFormat="1" ht="24" hidden="1" customHeight="1" outlineLevel="1" x14ac:dyDescent="0.25">
      <c r="A7563" s="74">
        <v>937</v>
      </c>
      <c r="B7563" s="45" t="s">
        <v>664</v>
      </c>
      <c r="C7563" s="60" t="s">
        <v>294</v>
      </c>
      <c r="D7563" s="60"/>
      <c r="E7563" s="74">
        <v>2023</v>
      </c>
      <c r="F7563" s="74" t="s">
        <v>489</v>
      </c>
      <c r="G7563" s="61">
        <v>1</v>
      </c>
      <c r="H7563" s="61">
        <v>150</v>
      </c>
      <c r="I7563" s="61">
        <v>28.277200000000001</v>
      </c>
    </row>
    <row r="7564" spans="1:9" s="71" customFormat="1" ht="24" hidden="1" customHeight="1" outlineLevel="1" x14ac:dyDescent="0.25">
      <c r="A7564" s="74">
        <v>1185</v>
      </c>
      <c r="B7564" s="45" t="s">
        <v>664</v>
      </c>
      <c r="C7564" s="60" t="s">
        <v>295</v>
      </c>
      <c r="D7564" s="60"/>
      <c r="E7564" s="74">
        <v>2023</v>
      </c>
      <c r="F7564" s="74" t="s">
        <v>489</v>
      </c>
      <c r="G7564" s="61">
        <v>1</v>
      </c>
      <c r="H7564" s="61">
        <v>15</v>
      </c>
      <c r="I7564" s="61">
        <v>49.67033</v>
      </c>
    </row>
    <row r="7565" spans="1:9" s="71" customFormat="1" ht="24" hidden="1" customHeight="1" outlineLevel="1" x14ac:dyDescent="0.25">
      <c r="A7565" s="74">
        <v>579</v>
      </c>
      <c r="B7565" s="45" t="s">
        <v>664</v>
      </c>
      <c r="C7565" s="60" t="s">
        <v>298</v>
      </c>
      <c r="D7565" s="60"/>
      <c r="E7565" s="74">
        <v>2023</v>
      </c>
      <c r="F7565" s="74" t="s">
        <v>489</v>
      </c>
      <c r="G7565" s="61">
        <v>22</v>
      </c>
      <c r="H7565" s="61">
        <v>330</v>
      </c>
      <c r="I7565" s="61">
        <v>1436</v>
      </c>
    </row>
    <row r="7566" spans="1:9" s="71" customFormat="1" ht="24" hidden="1" customHeight="1" outlineLevel="1" x14ac:dyDescent="0.25">
      <c r="A7566" s="74">
        <v>862</v>
      </c>
      <c r="B7566" s="45" t="s">
        <v>664</v>
      </c>
      <c r="C7566" s="60" t="s">
        <v>301</v>
      </c>
      <c r="D7566" s="60"/>
      <c r="E7566" s="74">
        <v>2023</v>
      </c>
      <c r="F7566" s="74" t="s">
        <v>489</v>
      </c>
      <c r="G7566" s="61">
        <v>1</v>
      </c>
      <c r="H7566" s="61">
        <v>15</v>
      </c>
      <c r="I7566" s="61">
        <v>46.905290000000001</v>
      </c>
    </row>
    <row r="7567" spans="1:9" s="71" customFormat="1" ht="24" hidden="1" customHeight="1" outlineLevel="1" x14ac:dyDescent="0.25">
      <c r="A7567" s="74">
        <v>1013</v>
      </c>
      <c r="B7567" s="45" t="s">
        <v>664</v>
      </c>
      <c r="C7567" s="60" t="s">
        <v>302</v>
      </c>
      <c r="D7567" s="60"/>
      <c r="E7567" s="74">
        <v>2023</v>
      </c>
      <c r="F7567" s="74" t="s">
        <v>489</v>
      </c>
      <c r="G7567" s="61">
        <v>1</v>
      </c>
      <c r="H7567" s="61">
        <v>15</v>
      </c>
      <c r="I7567" s="61">
        <v>47.756</v>
      </c>
    </row>
    <row r="7568" spans="1:9" s="71" customFormat="1" ht="24" hidden="1" customHeight="1" outlineLevel="1" x14ac:dyDescent="0.25">
      <c r="A7568" s="74">
        <v>796</v>
      </c>
      <c r="B7568" s="45" t="s">
        <v>664</v>
      </c>
      <c r="C7568" s="60" t="s">
        <v>304</v>
      </c>
      <c r="D7568" s="60"/>
      <c r="E7568" s="74">
        <v>2023</v>
      </c>
      <c r="F7568" s="74" t="s">
        <v>489</v>
      </c>
      <c r="G7568" s="61">
        <v>3</v>
      </c>
      <c r="H7568" s="61">
        <v>45</v>
      </c>
      <c r="I7568" s="61">
        <v>182</v>
      </c>
    </row>
    <row r="7569" spans="1:9" s="71" customFormat="1" ht="24" hidden="1" customHeight="1" outlineLevel="1" x14ac:dyDescent="0.25">
      <c r="A7569" s="74">
        <v>787</v>
      </c>
      <c r="B7569" s="45" t="s">
        <v>664</v>
      </c>
      <c r="C7569" s="60" t="s">
        <v>305</v>
      </c>
      <c r="D7569" s="60"/>
      <c r="E7569" s="74">
        <v>2023</v>
      </c>
      <c r="F7569" s="74" t="s">
        <v>489</v>
      </c>
      <c r="G7569" s="61">
        <v>1</v>
      </c>
      <c r="H7569" s="61">
        <v>15</v>
      </c>
      <c r="I7569" s="61">
        <v>76.421419999999998</v>
      </c>
    </row>
    <row r="7570" spans="1:9" s="71" customFormat="1" ht="24" hidden="1" customHeight="1" outlineLevel="1" x14ac:dyDescent="0.25">
      <c r="A7570" s="74">
        <v>468</v>
      </c>
      <c r="B7570" s="45" t="s">
        <v>664</v>
      </c>
      <c r="C7570" s="60" t="s">
        <v>306</v>
      </c>
      <c r="D7570" s="60"/>
      <c r="E7570" s="74">
        <v>2023</v>
      </c>
      <c r="F7570" s="74" t="s">
        <v>489</v>
      </c>
      <c r="G7570" s="61">
        <v>1</v>
      </c>
      <c r="H7570" s="61">
        <v>10</v>
      </c>
      <c r="I7570" s="61">
        <v>103.59699999999999</v>
      </c>
    </row>
    <row r="7571" spans="1:9" s="71" customFormat="1" ht="24" hidden="1" customHeight="1" outlineLevel="1" x14ac:dyDescent="0.25">
      <c r="A7571" s="74">
        <v>1029</v>
      </c>
      <c r="B7571" s="45" t="s">
        <v>664</v>
      </c>
      <c r="C7571" s="60" t="s">
        <v>307</v>
      </c>
      <c r="D7571" s="60"/>
      <c r="E7571" s="74">
        <v>2023</v>
      </c>
      <c r="F7571" s="74" t="s">
        <v>489</v>
      </c>
      <c r="G7571" s="61">
        <v>1</v>
      </c>
      <c r="H7571" s="61">
        <v>15</v>
      </c>
      <c r="I7571" s="61">
        <v>42.236980000000003</v>
      </c>
    </row>
    <row r="7572" spans="1:9" s="71" customFormat="1" ht="24" hidden="1" customHeight="1" outlineLevel="1" x14ac:dyDescent="0.25">
      <c r="A7572" s="74">
        <v>444</v>
      </c>
      <c r="B7572" s="45" t="s">
        <v>664</v>
      </c>
      <c r="C7572" s="60" t="s">
        <v>308</v>
      </c>
      <c r="D7572" s="60"/>
      <c r="E7572" s="74">
        <v>2023</v>
      </c>
      <c r="F7572" s="74" t="s">
        <v>489</v>
      </c>
      <c r="G7572" s="61">
        <v>1</v>
      </c>
      <c r="H7572" s="61">
        <v>15</v>
      </c>
      <c r="I7572" s="61">
        <v>46.421599999999998</v>
      </c>
    </row>
    <row r="7573" spans="1:9" s="71" customFormat="1" ht="24" hidden="1" customHeight="1" outlineLevel="1" x14ac:dyDescent="0.25">
      <c r="A7573" s="74">
        <v>1229</v>
      </c>
      <c r="B7573" s="45" t="s">
        <v>664</v>
      </c>
      <c r="C7573" s="60" t="s">
        <v>309</v>
      </c>
      <c r="D7573" s="60"/>
      <c r="E7573" s="74">
        <v>2023</v>
      </c>
      <c r="F7573" s="74" t="s">
        <v>489</v>
      </c>
      <c r="G7573" s="61">
        <v>1</v>
      </c>
      <c r="H7573" s="61">
        <v>15</v>
      </c>
      <c r="I7573" s="61">
        <v>42.388179999999998</v>
      </c>
    </row>
    <row r="7574" spans="1:9" s="71" customFormat="1" ht="24" hidden="1" customHeight="1" outlineLevel="1" x14ac:dyDescent="0.25">
      <c r="A7574" s="74">
        <v>1060</v>
      </c>
      <c r="B7574" s="45" t="s">
        <v>664</v>
      </c>
      <c r="C7574" s="60" t="s">
        <v>310</v>
      </c>
      <c r="D7574" s="60"/>
      <c r="E7574" s="74">
        <v>2023</v>
      </c>
      <c r="F7574" s="74" t="s">
        <v>489</v>
      </c>
      <c r="G7574" s="61">
        <v>1</v>
      </c>
      <c r="H7574" s="61">
        <v>15</v>
      </c>
      <c r="I7574" s="61">
        <v>43.25506</v>
      </c>
    </row>
    <row r="7575" spans="1:9" s="71" customFormat="1" ht="24" hidden="1" customHeight="1" outlineLevel="1" x14ac:dyDescent="0.25">
      <c r="A7575" s="74">
        <v>3254</v>
      </c>
      <c r="B7575" s="45" t="s">
        <v>664</v>
      </c>
      <c r="C7575" s="60" t="s">
        <v>311</v>
      </c>
      <c r="D7575" s="60"/>
      <c r="E7575" s="74">
        <v>2023</v>
      </c>
      <c r="F7575" s="74" t="s">
        <v>489</v>
      </c>
      <c r="G7575" s="61">
        <v>1</v>
      </c>
      <c r="H7575" s="61">
        <v>15</v>
      </c>
      <c r="I7575" s="61">
        <v>47.211080000000003</v>
      </c>
    </row>
    <row r="7576" spans="1:9" s="71" customFormat="1" ht="24" hidden="1" customHeight="1" outlineLevel="1" x14ac:dyDescent="0.25">
      <c r="A7576" s="74">
        <v>1251</v>
      </c>
      <c r="B7576" s="45" t="s">
        <v>664</v>
      </c>
      <c r="C7576" s="60" t="s">
        <v>312</v>
      </c>
      <c r="D7576" s="60"/>
      <c r="E7576" s="74">
        <v>2023</v>
      </c>
      <c r="F7576" s="74" t="s">
        <v>489</v>
      </c>
      <c r="G7576" s="61">
        <v>1</v>
      </c>
      <c r="H7576" s="61">
        <v>15</v>
      </c>
      <c r="I7576" s="61">
        <v>42.106530000000006</v>
      </c>
    </row>
    <row r="7577" spans="1:9" s="71" customFormat="1" ht="24" hidden="1" customHeight="1" outlineLevel="1" x14ac:dyDescent="0.25">
      <c r="A7577" s="74">
        <v>1287</v>
      </c>
      <c r="B7577" s="45" t="s">
        <v>664</v>
      </c>
      <c r="C7577" s="60" t="s">
        <v>313</v>
      </c>
      <c r="D7577" s="60"/>
      <c r="E7577" s="74">
        <v>2023</v>
      </c>
      <c r="F7577" s="74" t="s">
        <v>489</v>
      </c>
      <c r="G7577" s="61">
        <v>1</v>
      </c>
      <c r="H7577" s="61">
        <v>5</v>
      </c>
      <c r="I7577" s="61">
        <v>42.732850000000006</v>
      </c>
    </row>
    <row r="7578" spans="1:9" s="71" customFormat="1" ht="24" hidden="1" customHeight="1" outlineLevel="1" x14ac:dyDescent="0.25">
      <c r="A7578" s="74">
        <v>1988</v>
      </c>
      <c r="B7578" s="45" t="s">
        <v>664</v>
      </c>
      <c r="C7578" s="60" t="s">
        <v>314</v>
      </c>
      <c r="D7578" s="60"/>
      <c r="E7578" s="74">
        <v>2023</v>
      </c>
      <c r="F7578" s="74" t="s">
        <v>489</v>
      </c>
      <c r="G7578" s="61">
        <v>1</v>
      </c>
      <c r="H7578" s="61">
        <v>3</v>
      </c>
      <c r="I7578" s="61">
        <v>42.980469999999997</v>
      </c>
    </row>
    <row r="7579" spans="1:9" s="71" customFormat="1" ht="24" hidden="1" customHeight="1" outlineLevel="1" x14ac:dyDescent="0.25">
      <c r="A7579" s="74">
        <v>3258</v>
      </c>
      <c r="B7579" s="45" t="s">
        <v>664</v>
      </c>
      <c r="C7579" s="60" t="s">
        <v>315</v>
      </c>
      <c r="D7579" s="60"/>
      <c r="E7579" s="74">
        <v>2023</v>
      </c>
      <c r="F7579" s="74" t="s">
        <v>489</v>
      </c>
      <c r="G7579" s="61">
        <v>1</v>
      </c>
      <c r="H7579" s="61">
        <v>15</v>
      </c>
      <c r="I7579" s="61">
        <v>42.945360000000001</v>
      </c>
    </row>
    <row r="7580" spans="1:9" s="71" customFormat="1" ht="24" hidden="1" customHeight="1" outlineLevel="1" x14ac:dyDescent="0.25">
      <c r="A7580" s="74">
        <v>3085</v>
      </c>
      <c r="B7580" s="45" t="s">
        <v>664</v>
      </c>
      <c r="C7580" s="60" t="s">
        <v>317</v>
      </c>
      <c r="D7580" s="60"/>
      <c r="E7580" s="74">
        <v>2023</v>
      </c>
      <c r="F7580" s="74" t="s">
        <v>489</v>
      </c>
      <c r="G7580" s="61">
        <v>1</v>
      </c>
      <c r="H7580" s="61">
        <v>149</v>
      </c>
      <c r="I7580" s="61">
        <v>44.855969999999999</v>
      </c>
    </row>
    <row r="7581" spans="1:9" s="71" customFormat="1" ht="24" hidden="1" customHeight="1" outlineLevel="1" x14ac:dyDescent="0.25">
      <c r="A7581" s="74">
        <v>400</v>
      </c>
      <c r="B7581" s="45" t="s">
        <v>664</v>
      </c>
      <c r="C7581" s="60" t="s">
        <v>318</v>
      </c>
      <c r="D7581" s="60"/>
      <c r="E7581" s="74">
        <v>2023</v>
      </c>
      <c r="F7581" s="74" t="s">
        <v>489</v>
      </c>
      <c r="G7581" s="61">
        <v>1</v>
      </c>
      <c r="H7581" s="61">
        <v>15</v>
      </c>
      <c r="I7581" s="61">
        <v>40.623520000000006</v>
      </c>
    </row>
    <row r="7582" spans="1:9" s="71" customFormat="1" ht="24" hidden="1" customHeight="1" outlineLevel="1" x14ac:dyDescent="0.25">
      <c r="A7582" s="74">
        <v>3415</v>
      </c>
      <c r="B7582" s="45" t="s">
        <v>664</v>
      </c>
      <c r="C7582" s="60" t="s">
        <v>320</v>
      </c>
      <c r="D7582" s="60"/>
      <c r="E7582" s="74">
        <v>2023</v>
      </c>
      <c r="F7582" s="74" t="s">
        <v>489</v>
      </c>
      <c r="G7582" s="61">
        <v>1</v>
      </c>
      <c r="H7582" s="61">
        <v>15</v>
      </c>
      <c r="I7582" s="61">
        <v>38.224119999999999</v>
      </c>
    </row>
    <row r="7583" spans="1:9" s="71" customFormat="1" ht="24" hidden="1" customHeight="1" outlineLevel="1" x14ac:dyDescent="0.25">
      <c r="A7583" s="74">
        <v>3017</v>
      </c>
      <c r="B7583" s="45" t="s">
        <v>664</v>
      </c>
      <c r="C7583" s="60" t="s">
        <v>321</v>
      </c>
      <c r="D7583" s="60"/>
      <c r="E7583" s="74">
        <v>2023</v>
      </c>
      <c r="F7583" s="74" t="s">
        <v>489</v>
      </c>
      <c r="G7583" s="61">
        <v>1</v>
      </c>
      <c r="H7583" s="61">
        <v>150</v>
      </c>
      <c r="I7583" s="61">
        <v>55.811769999999996</v>
      </c>
    </row>
    <row r="7584" spans="1:9" s="71" customFormat="1" ht="24" hidden="1" customHeight="1" outlineLevel="1" x14ac:dyDescent="0.25">
      <c r="A7584" s="74">
        <v>3291</v>
      </c>
      <c r="B7584" s="45" t="s">
        <v>664</v>
      </c>
      <c r="C7584" s="60" t="s">
        <v>322</v>
      </c>
      <c r="D7584" s="60"/>
      <c r="E7584" s="74">
        <v>2023</v>
      </c>
      <c r="F7584" s="74" t="s">
        <v>489</v>
      </c>
      <c r="G7584" s="61">
        <v>1</v>
      </c>
      <c r="H7584" s="61">
        <v>10</v>
      </c>
      <c r="I7584" s="61">
        <v>39.968510000000002</v>
      </c>
    </row>
    <row r="7585" spans="1:9" s="71" customFormat="1" ht="24" hidden="1" customHeight="1" outlineLevel="1" x14ac:dyDescent="0.25">
      <c r="A7585" s="74">
        <v>1636</v>
      </c>
      <c r="B7585" s="45" t="s">
        <v>664</v>
      </c>
      <c r="C7585" s="60" t="s">
        <v>323</v>
      </c>
      <c r="D7585" s="60"/>
      <c r="E7585" s="74">
        <v>2023</v>
      </c>
      <c r="F7585" s="74" t="s">
        <v>489</v>
      </c>
      <c r="G7585" s="61">
        <v>1</v>
      </c>
      <c r="H7585" s="61">
        <v>6.5</v>
      </c>
      <c r="I7585" s="61">
        <v>39.764090000000003</v>
      </c>
    </row>
    <row r="7586" spans="1:9" s="71" customFormat="1" ht="24" hidden="1" customHeight="1" outlineLevel="1" x14ac:dyDescent="0.25">
      <c r="A7586" s="74">
        <v>4455</v>
      </c>
      <c r="B7586" s="45" t="s">
        <v>664</v>
      </c>
      <c r="C7586" s="60" t="s">
        <v>324</v>
      </c>
      <c r="D7586" s="60"/>
      <c r="E7586" s="74">
        <v>2023</v>
      </c>
      <c r="F7586" s="74" t="s">
        <v>489</v>
      </c>
      <c r="G7586" s="61">
        <v>1</v>
      </c>
      <c r="H7586" s="61">
        <v>50</v>
      </c>
      <c r="I7586" s="61">
        <v>41.218519999999998</v>
      </c>
    </row>
    <row r="7587" spans="1:9" s="71" customFormat="1" ht="24" hidden="1" customHeight="1" outlineLevel="1" x14ac:dyDescent="0.25">
      <c r="A7587" s="74">
        <v>1183</v>
      </c>
      <c r="B7587" s="45" t="s">
        <v>664</v>
      </c>
      <c r="C7587" s="60" t="s">
        <v>325</v>
      </c>
      <c r="D7587" s="60"/>
      <c r="E7587" s="74">
        <v>2023</v>
      </c>
      <c r="F7587" s="74" t="s">
        <v>489</v>
      </c>
      <c r="G7587" s="61">
        <v>5</v>
      </c>
      <c r="H7587" s="61">
        <v>110</v>
      </c>
      <c r="I7587" s="61">
        <v>330.67351000000002</v>
      </c>
    </row>
    <row r="7588" spans="1:9" s="71" customFormat="1" ht="24" hidden="1" customHeight="1" outlineLevel="1" x14ac:dyDescent="0.25">
      <c r="A7588" s="74">
        <v>4503</v>
      </c>
      <c r="B7588" s="45" t="s">
        <v>664</v>
      </c>
      <c r="C7588" s="60" t="s">
        <v>326</v>
      </c>
      <c r="D7588" s="60"/>
      <c r="E7588" s="74">
        <v>2023</v>
      </c>
      <c r="F7588" s="74" t="s">
        <v>489</v>
      </c>
      <c r="G7588" s="61">
        <v>6</v>
      </c>
      <c r="H7588" s="61">
        <v>900</v>
      </c>
      <c r="I7588" s="61">
        <v>695.21793000000002</v>
      </c>
    </row>
    <row r="7589" spans="1:9" s="71" customFormat="1" ht="24" hidden="1" customHeight="1" outlineLevel="1" x14ac:dyDescent="0.25">
      <c r="A7589" s="74">
        <v>2966</v>
      </c>
      <c r="B7589" s="45" t="s">
        <v>664</v>
      </c>
      <c r="C7589" s="60" t="s">
        <v>328</v>
      </c>
      <c r="D7589" s="60"/>
      <c r="E7589" s="74">
        <v>2023</v>
      </c>
      <c r="F7589" s="74" t="s">
        <v>489</v>
      </c>
      <c r="G7589" s="61">
        <v>1</v>
      </c>
      <c r="H7589" s="61">
        <v>150</v>
      </c>
      <c r="I7589" s="61">
        <v>145.45563000000001</v>
      </c>
    </row>
    <row r="7590" spans="1:9" s="71" customFormat="1" ht="24" hidden="1" customHeight="1" outlineLevel="1" x14ac:dyDescent="0.25">
      <c r="A7590" s="74">
        <v>465</v>
      </c>
      <c r="B7590" s="45" t="s">
        <v>664</v>
      </c>
      <c r="C7590" s="60" t="s">
        <v>329</v>
      </c>
      <c r="D7590" s="60"/>
      <c r="E7590" s="74">
        <v>2023</v>
      </c>
      <c r="F7590" s="74" t="s">
        <v>489</v>
      </c>
      <c r="G7590" s="61">
        <v>7</v>
      </c>
      <c r="H7590" s="61">
        <v>120</v>
      </c>
      <c r="I7590" s="61">
        <v>286.30392000000001</v>
      </c>
    </row>
    <row r="7591" spans="1:9" s="71" customFormat="1" ht="24" hidden="1" customHeight="1" outlineLevel="1" x14ac:dyDescent="0.25">
      <c r="A7591" s="74">
        <v>331</v>
      </c>
      <c r="B7591" s="45" t="s">
        <v>664</v>
      </c>
      <c r="C7591" s="60" t="s">
        <v>330</v>
      </c>
      <c r="D7591" s="60"/>
      <c r="E7591" s="74">
        <v>2023</v>
      </c>
      <c r="F7591" s="74" t="s">
        <v>489</v>
      </c>
      <c r="G7591" s="61">
        <v>1</v>
      </c>
      <c r="H7591" s="61">
        <v>15</v>
      </c>
      <c r="I7591" s="61">
        <v>114.78354</v>
      </c>
    </row>
    <row r="7592" spans="1:9" s="71" customFormat="1" ht="24" hidden="1" customHeight="1" outlineLevel="1" x14ac:dyDescent="0.25">
      <c r="A7592" s="74">
        <v>3041</v>
      </c>
      <c r="B7592" s="45" t="s">
        <v>664</v>
      </c>
      <c r="C7592" s="60" t="s">
        <v>336</v>
      </c>
      <c r="D7592" s="60"/>
      <c r="E7592" s="74">
        <v>2023</v>
      </c>
      <c r="F7592" s="74" t="s">
        <v>489</v>
      </c>
      <c r="G7592" s="61">
        <v>2</v>
      </c>
      <c r="H7592" s="61">
        <v>120</v>
      </c>
      <c r="I7592" s="61">
        <v>149.80371</v>
      </c>
    </row>
    <row r="7593" spans="1:9" s="71" customFormat="1" ht="24" hidden="1" customHeight="1" outlineLevel="1" x14ac:dyDescent="0.25">
      <c r="A7593" s="74">
        <v>3127</v>
      </c>
      <c r="B7593" s="45" t="s">
        <v>664</v>
      </c>
      <c r="C7593" s="60" t="s">
        <v>337</v>
      </c>
      <c r="D7593" s="60"/>
      <c r="E7593" s="74">
        <v>2023</v>
      </c>
      <c r="F7593" s="74" t="s">
        <v>489</v>
      </c>
      <c r="G7593" s="61">
        <v>3</v>
      </c>
      <c r="H7593" s="61">
        <v>450</v>
      </c>
      <c r="I7593" s="61">
        <v>370.04579000000001</v>
      </c>
    </row>
    <row r="7594" spans="1:9" s="71" customFormat="1" ht="24" hidden="1" customHeight="1" outlineLevel="1" x14ac:dyDescent="0.25">
      <c r="A7594" s="74">
        <v>1577</v>
      </c>
      <c r="B7594" s="45" t="s">
        <v>664</v>
      </c>
      <c r="C7594" s="60" t="s">
        <v>7017</v>
      </c>
      <c r="D7594" s="60"/>
      <c r="E7594" s="74">
        <v>2023</v>
      </c>
      <c r="F7594" s="74" t="s">
        <v>489</v>
      </c>
      <c r="G7594" s="61">
        <v>42</v>
      </c>
      <c r="H7594" s="122">
        <v>274.5</v>
      </c>
      <c r="I7594" s="61">
        <v>1527.1090000000002</v>
      </c>
    </row>
    <row r="7595" spans="1:9" s="71" customFormat="1" ht="24" hidden="1" customHeight="1" outlineLevel="1" x14ac:dyDescent="0.25">
      <c r="A7595" s="74">
        <v>1712</v>
      </c>
      <c r="B7595" s="45" t="s">
        <v>664</v>
      </c>
      <c r="C7595" s="60" t="s">
        <v>7018</v>
      </c>
      <c r="D7595" s="60"/>
      <c r="E7595" s="74">
        <v>2023</v>
      </c>
      <c r="F7595" s="74" t="s">
        <v>489</v>
      </c>
      <c r="G7595" s="61">
        <v>27</v>
      </c>
      <c r="H7595" s="61">
        <v>159</v>
      </c>
      <c r="I7595" s="61">
        <v>947.55516999999998</v>
      </c>
    </row>
    <row r="7596" spans="1:9" s="71" customFormat="1" ht="24" hidden="1" customHeight="1" outlineLevel="1" x14ac:dyDescent="0.25">
      <c r="A7596" s="74">
        <v>4423</v>
      </c>
      <c r="B7596" s="45" t="s">
        <v>664</v>
      </c>
      <c r="C7596" s="60" t="s">
        <v>7019</v>
      </c>
      <c r="D7596" s="60"/>
      <c r="E7596" s="74">
        <v>2023</v>
      </c>
      <c r="F7596" s="74" t="s">
        <v>489</v>
      </c>
      <c r="G7596" s="61">
        <v>1</v>
      </c>
      <c r="H7596" s="61">
        <v>10</v>
      </c>
      <c r="I7596" s="61">
        <v>36.816590000000005</v>
      </c>
    </row>
    <row r="7597" spans="1:9" s="71" customFormat="1" ht="24" hidden="1" customHeight="1" outlineLevel="1" x14ac:dyDescent="0.25">
      <c r="A7597" s="74">
        <v>4429</v>
      </c>
      <c r="B7597" s="45" t="s">
        <v>664</v>
      </c>
      <c r="C7597" s="60" t="s">
        <v>7020</v>
      </c>
      <c r="D7597" s="60"/>
      <c r="E7597" s="74">
        <v>2023</v>
      </c>
      <c r="F7597" s="74" t="s">
        <v>489</v>
      </c>
      <c r="G7597" s="61">
        <v>1</v>
      </c>
      <c r="H7597" s="61">
        <v>15</v>
      </c>
      <c r="I7597" s="61">
        <v>35.392600000000002</v>
      </c>
    </row>
    <row r="7598" spans="1:9" s="71" customFormat="1" ht="24" hidden="1" customHeight="1" outlineLevel="1" x14ac:dyDescent="0.25">
      <c r="A7598" s="74">
        <v>4425</v>
      </c>
      <c r="B7598" s="45" t="s">
        <v>664</v>
      </c>
      <c r="C7598" s="60" t="s">
        <v>7021</v>
      </c>
      <c r="D7598" s="60"/>
      <c r="E7598" s="74">
        <v>2023</v>
      </c>
      <c r="F7598" s="74" t="s">
        <v>489</v>
      </c>
      <c r="G7598" s="61">
        <v>1</v>
      </c>
      <c r="H7598" s="61">
        <v>10</v>
      </c>
      <c r="I7598" s="61">
        <v>37.903939999999999</v>
      </c>
    </row>
    <row r="7599" spans="1:9" s="71" customFormat="1" ht="24" hidden="1" customHeight="1" outlineLevel="1" x14ac:dyDescent="0.25">
      <c r="A7599" s="74">
        <v>1665</v>
      </c>
      <c r="B7599" s="45" t="s">
        <v>664</v>
      </c>
      <c r="C7599" s="60" t="s">
        <v>7022</v>
      </c>
      <c r="D7599" s="60"/>
      <c r="E7599" s="74">
        <v>2023</v>
      </c>
      <c r="F7599" s="74" t="s">
        <v>489</v>
      </c>
      <c r="G7599" s="61">
        <v>1</v>
      </c>
      <c r="H7599" s="61">
        <v>1</v>
      </c>
      <c r="I7599" s="61">
        <v>35.988</v>
      </c>
    </row>
    <row r="7600" spans="1:9" s="71" customFormat="1" ht="24" hidden="1" customHeight="1" outlineLevel="1" x14ac:dyDescent="0.25">
      <c r="A7600" s="74">
        <v>1483</v>
      </c>
      <c r="B7600" s="45" t="s">
        <v>664</v>
      </c>
      <c r="C7600" s="60" t="s">
        <v>7023</v>
      </c>
      <c r="D7600" s="60"/>
      <c r="E7600" s="74">
        <v>2023</v>
      </c>
      <c r="F7600" s="74" t="s">
        <v>489</v>
      </c>
      <c r="G7600" s="61">
        <v>1</v>
      </c>
      <c r="H7600" s="61">
        <v>1</v>
      </c>
      <c r="I7600" s="61">
        <v>36.102870000000003</v>
      </c>
    </row>
    <row r="7601" spans="1:9" s="71" customFormat="1" ht="24" hidden="1" customHeight="1" outlineLevel="1" x14ac:dyDescent="0.25">
      <c r="A7601" s="74">
        <v>1564</v>
      </c>
      <c r="B7601" s="45" t="s">
        <v>664</v>
      </c>
      <c r="C7601" s="60" t="s">
        <v>7024</v>
      </c>
      <c r="D7601" s="60"/>
      <c r="E7601" s="74">
        <v>2023</v>
      </c>
      <c r="F7601" s="74" t="s">
        <v>489</v>
      </c>
      <c r="G7601" s="61">
        <v>1</v>
      </c>
      <c r="H7601" s="61">
        <v>2</v>
      </c>
      <c r="I7601" s="61">
        <v>36.007690000000004</v>
      </c>
    </row>
    <row r="7602" spans="1:9" s="71" customFormat="1" ht="24" hidden="1" customHeight="1" outlineLevel="1" x14ac:dyDescent="0.25">
      <c r="A7602" s="74">
        <v>4424</v>
      </c>
      <c r="B7602" s="45" t="s">
        <v>664</v>
      </c>
      <c r="C7602" s="60" t="s">
        <v>7025</v>
      </c>
      <c r="D7602" s="60"/>
      <c r="E7602" s="74">
        <v>2023</v>
      </c>
      <c r="F7602" s="74" t="s">
        <v>489</v>
      </c>
      <c r="G7602" s="61">
        <v>3</v>
      </c>
      <c r="H7602" s="61">
        <v>45</v>
      </c>
      <c r="I7602" s="61">
        <v>108.26279</v>
      </c>
    </row>
    <row r="7603" spans="1:9" s="71" customFormat="1" ht="24" hidden="1" customHeight="1" outlineLevel="1" x14ac:dyDescent="0.25">
      <c r="A7603" s="74">
        <v>4430</v>
      </c>
      <c r="B7603" s="45" t="s">
        <v>664</v>
      </c>
      <c r="C7603" s="60" t="s">
        <v>7026</v>
      </c>
      <c r="D7603" s="60"/>
      <c r="E7603" s="74">
        <v>2023</v>
      </c>
      <c r="F7603" s="74" t="s">
        <v>489</v>
      </c>
      <c r="G7603" s="61">
        <v>2</v>
      </c>
      <c r="H7603" s="61">
        <v>10</v>
      </c>
      <c r="I7603" s="61">
        <v>72.786379999999994</v>
      </c>
    </row>
    <row r="7604" spans="1:9" s="71" customFormat="1" ht="24" hidden="1" customHeight="1" outlineLevel="1" x14ac:dyDescent="0.25">
      <c r="A7604" s="74">
        <v>1286</v>
      </c>
      <c r="B7604" s="45" t="s">
        <v>664</v>
      </c>
      <c r="C7604" s="60" t="s">
        <v>7027</v>
      </c>
      <c r="D7604" s="60"/>
      <c r="E7604" s="74">
        <v>2023</v>
      </c>
      <c r="F7604" s="74" t="s">
        <v>489</v>
      </c>
      <c r="G7604" s="61">
        <v>14</v>
      </c>
      <c r="H7604" s="61">
        <v>40</v>
      </c>
      <c r="I7604" s="61">
        <v>342.20168000000001</v>
      </c>
    </row>
    <row r="7605" spans="1:9" s="71" customFormat="1" ht="24" hidden="1" customHeight="1" outlineLevel="1" x14ac:dyDescent="0.25">
      <c r="A7605" s="74">
        <v>1835</v>
      </c>
      <c r="B7605" s="45" t="s">
        <v>664</v>
      </c>
      <c r="C7605" s="60" t="s">
        <v>7028</v>
      </c>
      <c r="D7605" s="60"/>
      <c r="E7605" s="74">
        <v>2023</v>
      </c>
      <c r="F7605" s="74" t="s">
        <v>489</v>
      </c>
      <c r="G7605" s="61">
        <v>17</v>
      </c>
      <c r="H7605" s="61">
        <v>60</v>
      </c>
      <c r="I7605" s="61">
        <v>602.30194000000006</v>
      </c>
    </row>
    <row r="7606" spans="1:9" s="71" customFormat="1" ht="24" hidden="1" customHeight="1" outlineLevel="1" x14ac:dyDescent="0.25">
      <c r="A7606" s="74">
        <v>4439</v>
      </c>
      <c r="B7606" s="45" t="s">
        <v>664</v>
      </c>
      <c r="C7606" s="60" t="s">
        <v>7029</v>
      </c>
      <c r="D7606" s="60"/>
      <c r="E7606" s="74">
        <v>2023</v>
      </c>
      <c r="F7606" s="74" t="s">
        <v>489</v>
      </c>
      <c r="G7606" s="61">
        <v>4</v>
      </c>
      <c r="H7606" s="61">
        <v>60</v>
      </c>
      <c r="I7606" s="61">
        <v>141.70251000000002</v>
      </c>
    </row>
    <row r="7607" spans="1:9" s="71" customFormat="1" ht="24" hidden="1" customHeight="1" outlineLevel="1" x14ac:dyDescent="0.25">
      <c r="A7607" s="74">
        <v>4435</v>
      </c>
      <c r="B7607" s="45" t="s">
        <v>664</v>
      </c>
      <c r="C7607" s="60" t="s">
        <v>7030</v>
      </c>
      <c r="D7607" s="60"/>
      <c r="E7607" s="74">
        <v>2023</v>
      </c>
      <c r="F7607" s="74" t="s">
        <v>489</v>
      </c>
      <c r="G7607" s="61">
        <v>5</v>
      </c>
      <c r="H7607" s="61">
        <v>45</v>
      </c>
      <c r="I7607" s="61">
        <v>178.52566000000002</v>
      </c>
    </row>
    <row r="7608" spans="1:9" s="71" customFormat="1" ht="24" hidden="1" customHeight="1" outlineLevel="1" x14ac:dyDescent="0.25">
      <c r="A7608" s="74">
        <v>4440</v>
      </c>
      <c r="B7608" s="45" t="s">
        <v>664</v>
      </c>
      <c r="C7608" s="60" t="s">
        <v>7031</v>
      </c>
      <c r="D7608" s="60"/>
      <c r="E7608" s="74">
        <v>2023</v>
      </c>
      <c r="F7608" s="74" t="s">
        <v>489</v>
      </c>
      <c r="G7608" s="61">
        <v>2</v>
      </c>
      <c r="H7608" s="61">
        <v>30</v>
      </c>
      <c r="I7608" s="61">
        <v>71.25054999999999</v>
      </c>
    </row>
    <row r="7609" spans="1:9" s="71" customFormat="1" ht="63" hidden="1" outlineLevel="1" x14ac:dyDescent="0.25">
      <c r="A7609" s="74">
        <v>1833</v>
      </c>
      <c r="B7609" s="45" t="s">
        <v>664</v>
      </c>
      <c r="C7609" s="60" t="s">
        <v>7032</v>
      </c>
      <c r="D7609" s="60"/>
      <c r="E7609" s="74">
        <v>2023</v>
      </c>
      <c r="F7609" s="74" t="s">
        <v>489</v>
      </c>
      <c r="G7609" s="61">
        <v>4</v>
      </c>
      <c r="H7609" s="61">
        <v>33</v>
      </c>
      <c r="I7609" s="61">
        <v>142.83330000000001</v>
      </c>
    </row>
    <row r="7610" spans="1:9" s="71" customFormat="1" ht="24" hidden="1" customHeight="1" outlineLevel="1" x14ac:dyDescent="0.25">
      <c r="A7610" s="74">
        <v>4438</v>
      </c>
      <c r="B7610" s="45" t="s">
        <v>664</v>
      </c>
      <c r="C7610" s="60" t="s">
        <v>7033</v>
      </c>
      <c r="D7610" s="60"/>
      <c r="E7610" s="74">
        <v>2023</v>
      </c>
      <c r="F7610" s="74" t="s">
        <v>489</v>
      </c>
      <c r="G7610" s="61">
        <v>2</v>
      </c>
      <c r="H7610" s="61">
        <v>30</v>
      </c>
      <c r="I7610" s="61">
        <v>72.049139999999994</v>
      </c>
    </row>
    <row r="7611" spans="1:9" s="71" customFormat="1" ht="24" hidden="1" customHeight="1" outlineLevel="1" x14ac:dyDescent="0.25">
      <c r="A7611" s="74">
        <v>4437</v>
      </c>
      <c r="B7611" s="45" t="s">
        <v>664</v>
      </c>
      <c r="C7611" s="60" t="s">
        <v>7034</v>
      </c>
      <c r="D7611" s="60"/>
      <c r="E7611" s="74">
        <v>2023</v>
      </c>
      <c r="F7611" s="74" t="s">
        <v>489</v>
      </c>
      <c r="G7611" s="61">
        <v>1</v>
      </c>
      <c r="H7611" s="61">
        <v>15</v>
      </c>
      <c r="I7611" s="61">
        <v>35.968530000000001</v>
      </c>
    </row>
    <row r="7612" spans="1:9" s="71" customFormat="1" ht="24" hidden="1" customHeight="1" outlineLevel="1" x14ac:dyDescent="0.25">
      <c r="A7612" s="74">
        <v>4442</v>
      </c>
      <c r="B7612" s="45" t="s">
        <v>664</v>
      </c>
      <c r="C7612" s="60" t="s">
        <v>7035</v>
      </c>
      <c r="D7612" s="60"/>
      <c r="E7612" s="74">
        <v>2023</v>
      </c>
      <c r="F7612" s="74" t="s">
        <v>489</v>
      </c>
      <c r="G7612" s="61">
        <v>1</v>
      </c>
      <c r="H7612" s="61">
        <v>10</v>
      </c>
      <c r="I7612" s="61">
        <v>35.854959999999998</v>
      </c>
    </row>
    <row r="7613" spans="1:9" s="71" customFormat="1" ht="24" hidden="1" customHeight="1" outlineLevel="1" x14ac:dyDescent="0.25">
      <c r="A7613" s="74">
        <v>4441</v>
      </c>
      <c r="B7613" s="45" t="s">
        <v>664</v>
      </c>
      <c r="C7613" s="60" t="s">
        <v>7036</v>
      </c>
      <c r="D7613" s="60"/>
      <c r="E7613" s="74">
        <v>2023</v>
      </c>
      <c r="F7613" s="74" t="s">
        <v>489</v>
      </c>
      <c r="G7613" s="61">
        <v>1</v>
      </c>
      <c r="H7613" s="61">
        <v>15</v>
      </c>
      <c r="I7613" s="61">
        <v>35.740960000000001</v>
      </c>
    </row>
    <row r="7614" spans="1:9" s="71" customFormat="1" ht="24" hidden="1" customHeight="1" outlineLevel="1" x14ac:dyDescent="0.25">
      <c r="A7614" s="74">
        <v>1897</v>
      </c>
      <c r="B7614" s="45" t="s">
        <v>664</v>
      </c>
      <c r="C7614" s="60" t="s">
        <v>7037</v>
      </c>
      <c r="D7614" s="60"/>
      <c r="E7614" s="74">
        <v>2023</v>
      </c>
      <c r="F7614" s="74" t="s">
        <v>489</v>
      </c>
      <c r="G7614" s="61">
        <v>1</v>
      </c>
      <c r="H7614" s="61">
        <v>10</v>
      </c>
      <c r="I7614" s="61">
        <v>35.854680000000002</v>
      </c>
    </row>
    <row r="7615" spans="1:9" s="71" customFormat="1" ht="24" hidden="1" customHeight="1" outlineLevel="1" x14ac:dyDescent="0.25">
      <c r="A7615" s="74">
        <v>4447</v>
      </c>
      <c r="B7615" s="45" t="s">
        <v>664</v>
      </c>
      <c r="C7615" s="60" t="s">
        <v>7038</v>
      </c>
      <c r="D7615" s="60"/>
      <c r="E7615" s="74">
        <v>2023</v>
      </c>
      <c r="F7615" s="74" t="s">
        <v>489</v>
      </c>
      <c r="G7615" s="61">
        <v>1</v>
      </c>
      <c r="H7615" s="61">
        <v>150</v>
      </c>
      <c r="I7615" s="61">
        <v>35.456949999999999</v>
      </c>
    </row>
    <row r="7616" spans="1:9" s="71" customFormat="1" ht="24" hidden="1" customHeight="1" outlineLevel="1" x14ac:dyDescent="0.25">
      <c r="A7616" s="74">
        <v>343</v>
      </c>
      <c r="B7616" s="45" t="s">
        <v>664</v>
      </c>
      <c r="C7616" s="60" t="s">
        <v>7039</v>
      </c>
      <c r="D7616" s="60"/>
      <c r="E7616" s="74">
        <v>2023</v>
      </c>
      <c r="F7616" s="74" t="s">
        <v>489</v>
      </c>
      <c r="G7616" s="61">
        <v>1</v>
      </c>
      <c r="H7616" s="61">
        <v>15</v>
      </c>
      <c r="I7616" s="61">
        <v>35.299059999999997</v>
      </c>
    </row>
    <row r="7617" spans="1:9" s="71" customFormat="1" ht="24" hidden="1" customHeight="1" outlineLevel="1" x14ac:dyDescent="0.25">
      <c r="A7617" s="74">
        <v>1380</v>
      </c>
      <c r="B7617" s="45" t="s">
        <v>664</v>
      </c>
      <c r="C7617" s="60" t="s">
        <v>7040</v>
      </c>
      <c r="D7617" s="60"/>
      <c r="E7617" s="74">
        <v>2023</v>
      </c>
      <c r="F7617" s="74" t="s">
        <v>489</v>
      </c>
      <c r="G7617" s="61">
        <v>1</v>
      </c>
      <c r="H7617" s="61">
        <v>5</v>
      </c>
      <c r="I7617" s="61">
        <v>35.456949999999999</v>
      </c>
    </row>
    <row r="7618" spans="1:9" s="71" customFormat="1" ht="24" hidden="1" customHeight="1" outlineLevel="1" x14ac:dyDescent="0.25">
      <c r="A7618" s="74">
        <v>4446</v>
      </c>
      <c r="B7618" s="45" t="s">
        <v>664</v>
      </c>
      <c r="C7618" s="60" t="s">
        <v>7041</v>
      </c>
      <c r="D7618" s="60"/>
      <c r="E7618" s="74">
        <v>2023</v>
      </c>
      <c r="F7618" s="74" t="s">
        <v>489</v>
      </c>
      <c r="G7618" s="61">
        <v>1</v>
      </c>
      <c r="H7618" s="61">
        <v>150</v>
      </c>
      <c r="I7618" s="61">
        <v>35.456949999999999</v>
      </c>
    </row>
    <row r="7619" spans="1:9" s="71" customFormat="1" ht="24" hidden="1" customHeight="1" outlineLevel="1" x14ac:dyDescent="0.25">
      <c r="A7619" s="74">
        <v>4449</v>
      </c>
      <c r="B7619" s="45" t="s">
        <v>664</v>
      </c>
      <c r="C7619" s="60" t="s">
        <v>7042</v>
      </c>
      <c r="D7619" s="60"/>
      <c r="E7619" s="74">
        <v>2023</v>
      </c>
      <c r="F7619" s="74" t="s">
        <v>489</v>
      </c>
      <c r="G7619" s="61">
        <v>1</v>
      </c>
      <c r="H7619" s="61">
        <v>15</v>
      </c>
      <c r="I7619" s="61">
        <v>24.608820000000001</v>
      </c>
    </row>
    <row r="7620" spans="1:9" s="71" customFormat="1" ht="24" hidden="1" customHeight="1" outlineLevel="1" x14ac:dyDescent="0.25">
      <c r="A7620" s="74">
        <v>4444</v>
      </c>
      <c r="B7620" s="45" t="s">
        <v>664</v>
      </c>
      <c r="C7620" s="60" t="s">
        <v>7043</v>
      </c>
      <c r="D7620" s="60"/>
      <c r="E7620" s="74">
        <v>2023</v>
      </c>
      <c r="F7620" s="74" t="s">
        <v>489</v>
      </c>
      <c r="G7620" s="61">
        <v>2</v>
      </c>
      <c r="H7620" s="61">
        <v>30</v>
      </c>
      <c r="I7620" s="61">
        <v>72.478760000000008</v>
      </c>
    </row>
    <row r="7621" spans="1:9" s="71" customFormat="1" ht="24" hidden="1" customHeight="1" outlineLevel="1" x14ac:dyDescent="0.25">
      <c r="A7621" s="74">
        <v>4445</v>
      </c>
      <c r="B7621" s="45" t="s">
        <v>664</v>
      </c>
      <c r="C7621" s="60" t="s">
        <v>7044</v>
      </c>
      <c r="D7621" s="60"/>
      <c r="E7621" s="74">
        <v>2023</v>
      </c>
      <c r="F7621" s="74" t="s">
        <v>489</v>
      </c>
      <c r="G7621" s="61">
        <v>2</v>
      </c>
      <c r="H7621" s="61">
        <v>25</v>
      </c>
      <c r="I7621" s="61">
        <v>72.479070000000007</v>
      </c>
    </row>
    <row r="7622" spans="1:9" s="71" customFormat="1" ht="24" hidden="1" customHeight="1" outlineLevel="1" x14ac:dyDescent="0.25">
      <c r="A7622" s="74">
        <v>1645</v>
      </c>
      <c r="B7622" s="45" t="s">
        <v>664</v>
      </c>
      <c r="C7622" s="60" t="s">
        <v>7045</v>
      </c>
      <c r="D7622" s="60"/>
      <c r="E7622" s="74">
        <v>2023</v>
      </c>
      <c r="F7622" s="74" t="s">
        <v>489</v>
      </c>
      <c r="G7622" s="61">
        <v>1</v>
      </c>
      <c r="H7622" s="61">
        <v>1</v>
      </c>
      <c r="I7622" s="61">
        <v>37.317280000000004</v>
      </c>
    </row>
    <row r="7623" spans="1:9" s="71" customFormat="1" ht="24" hidden="1" customHeight="1" outlineLevel="1" x14ac:dyDescent="0.25">
      <c r="A7623" s="74">
        <v>4448</v>
      </c>
      <c r="B7623" s="45" t="s">
        <v>664</v>
      </c>
      <c r="C7623" s="60" t="s">
        <v>7046</v>
      </c>
      <c r="D7623" s="60"/>
      <c r="E7623" s="74">
        <v>2023</v>
      </c>
      <c r="F7623" s="74" t="s">
        <v>489</v>
      </c>
      <c r="G7623" s="61">
        <v>1</v>
      </c>
      <c r="H7623" s="61">
        <v>15</v>
      </c>
      <c r="I7623" s="61">
        <v>36.283999999999999</v>
      </c>
    </row>
    <row r="7624" spans="1:9" s="71" customFormat="1" ht="24" hidden="1" customHeight="1" outlineLevel="1" x14ac:dyDescent="0.25">
      <c r="A7624" s="74">
        <v>1924</v>
      </c>
      <c r="B7624" s="45" t="s">
        <v>664</v>
      </c>
      <c r="C7624" s="60" t="s">
        <v>7047</v>
      </c>
      <c r="D7624" s="60"/>
      <c r="E7624" s="74">
        <v>2023</v>
      </c>
      <c r="F7624" s="74" t="s">
        <v>489</v>
      </c>
      <c r="G7624" s="61">
        <v>8</v>
      </c>
      <c r="H7624" s="61">
        <v>108</v>
      </c>
      <c r="I7624" s="61">
        <v>282.9846</v>
      </c>
    </row>
    <row r="7625" spans="1:9" s="71" customFormat="1" ht="24" hidden="1" customHeight="1" outlineLevel="1" x14ac:dyDescent="0.25">
      <c r="A7625" s="74">
        <v>1989</v>
      </c>
      <c r="B7625" s="45" t="s">
        <v>664</v>
      </c>
      <c r="C7625" s="60" t="s">
        <v>7048</v>
      </c>
      <c r="D7625" s="60"/>
      <c r="E7625" s="74">
        <v>2023</v>
      </c>
      <c r="F7625" s="74" t="s">
        <v>489</v>
      </c>
      <c r="G7625" s="61">
        <v>5</v>
      </c>
      <c r="H7625" s="61">
        <v>51</v>
      </c>
      <c r="I7625" s="61">
        <v>176.89002000000002</v>
      </c>
    </row>
    <row r="7626" spans="1:9" s="71" customFormat="1" ht="24" hidden="1" customHeight="1" outlineLevel="1" x14ac:dyDescent="0.25">
      <c r="A7626" s="74">
        <v>1934</v>
      </c>
      <c r="B7626" s="45" t="s">
        <v>664</v>
      </c>
      <c r="C7626" s="60" t="s">
        <v>7049</v>
      </c>
      <c r="D7626" s="60"/>
      <c r="E7626" s="74">
        <v>2023</v>
      </c>
      <c r="F7626" s="74" t="s">
        <v>489</v>
      </c>
      <c r="G7626" s="61">
        <v>3</v>
      </c>
      <c r="H7626" s="61">
        <v>30</v>
      </c>
      <c r="I7626" s="61">
        <v>105.8974</v>
      </c>
    </row>
    <row r="7627" spans="1:9" s="71" customFormat="1" ht="24" hidden="1" customHeight="1" outlineLevel="1" x14ac:dyDescent="0.25">
      <c r="A7627" s="74">
        <v>2024</v>
      </c>
      <c r="B7627" s="45" t="s">
        <v>664</v>
      </c>
      <c r="C7627" s="60" t="s">
        <v>7050</v>
      </c>
      <c r="D7627" s="60"/>
      <c r="E7627" s="74">
        <v>2023</v>
      </c>
      <c r="F7627" s="74" t="s">
        <v>489</v>
      </c>
      <c r="G7627" s="61">
        <v>8</v>
      </c>
      <c r="H7627" s="61">
        <v>100</v>
      </c>
      <c r="I7627" s="61">
        <v>282.90573000000001</v>
      </c>
    </row>
    <row r="7628" spans="1:9" s="71" customFormat="1" ht="24" hidden="1" customHeight="1" outlineLevel="1" x14ac:dyDescent="0.25">
      <c r="A7628" s="74">
        <v>785</v>
      </c>
      <c r="B7628" s="45" t="s">
        <v>664</v>
      </c>
      <c r="C7628" s="60" t="s">
        <v>7051</v>
      </c>
      <c r="D7628" s="60"/>
      <c r="E7628" s="74">
        <v>2023</v>
      </c>
      <c r="F7628" s="74" t="s">
        <v>489</v>
      </c>
      <c r="G7628" s="61">
        <v>18</v>
      </c>
      <c r="H7628" s="61">
        <v>15</v>
      </c>
      <c r="I7628" s="61">
        <v>632.10910000000001</v>
      </c>
    </row>
    <row r="7629" spans="1:9" s="71" customFormat="1" ht="24" hidden="1" customHeight="1" outlineLevel="1" x14ac:dyDescent="0.25">
      <c r="A7629" s="74">
        <v>4463</v>
      </c>
      <c r="B7629" s="45" t="s">
        <v>664</v>
      </c>
      <c r="C7629" s="60" t="s">
        <v>7052</v>
      </c>
      <c r="D7629" s="60"/>
      <c r="E7629" s="74">
        <v>2023</v>
      </c>
      <c r="F7629" s="74" t="s">
        <v>489</v>
      </c>
      <c r="G7629" s="61">
        <v>1</v>
      </c>
      <c r="H7629" s="61">
        <v>6</v>
      </c>
      <c r="I7629" s="61">
        <v>35.761000000000003</v>
      </c>
    </row>
    <row r="7630" spans="1:9" s="71" customFormat="1" ht="24" hidden="1" customHeight="1" outlineLevel="1" x14ac:dyDescent="0.25">
      <c r="A7630" s="74">
        <v>4466</v>
      </c>
      <c r="B7630" s="45" t="s">
        <v>664</v>
      </c>
      <c r="C7630" s="60" t="s">
        <v>7053</v>
      </c>
      <c r="D7630" s="60"/>
      <c r="E7630" s="74">
        <v>2023</v>
      </c>
      <c r="F7630" s="74" t="s">
        <v>489</v>
      </c>
      <c r="G7630" s="61">
        <v>1</v>
      </c>
      <c r="H7630" s="61">
        <v>75</v>
      </c>
      <c r="I7630" s="61">
        <v>35.421990000000001</v>
      </c>
    </row>
    <row r="7631" spans="1:9" s="71" customFormat="1" ht="24" hidden="1" customHeight="1" outlineLevel="1" x14ac:dyDescent="0.25">
      <c r="A7631" s="74">
        <v>4458</v>
      </c>
      <c r="B7631" s="45" t="s">
        <v>664</v>
      </c>
      <c r="C7631" s="60" t="s">
        <v>7054</v>
      </c>
      <c r="D7631" s="60"/>
      <c r="E7631" s="74">
        <v>2023</v>
      </c>
      <c r="F7631" s="74" t="s">
        <v>489</v>
      </c>
      <c r="G7631" s="61">
        <v>4</v>
      </c>
      <c r="H7631" s="61">
        <v>60</v>
      </c>
      <c r="I7631" s="61">
        <v>142.43102999999999</v>
      </c>
    </row>
    <row r="7632" spans="1:9" s="71" customFormat="1" ht="24" hidden="1" customHeight="1" outlineLevel="1" x14ac:dyDescent="0.25">
      <c r="A7632" s="74">
        <v>4457</v>
      </c>
      <c r="B7632" s="45" t="s">
        <v>664</v>
      </c>
      <c r="C7632" s="60" t="s">
        <v>7055</v>
      </c>
      <c r="D7632" s="60"/>
      <c r="E7632" s="74">
        <v>2023</v>
      </c>
      <c r="F7632" s="74" t="s">
        <v>489</v>
      </c>
      <c r="G7632" s="61">
        <v>2</v>
      </c>
      <c r="H7632" s="61">
        <v>30</v>
      </c>
      <c r="I7632" s="61">
        <v>70.466630000000009</v>
      </c>
    </row>
    <row r="7633" spans="1:9" s="71" customFormat="1" ht="24" hidden="1" customHeight="1" outlineLevel="1" x14ac:dyDescent="0.25">
      <c r="A7633" s="74">
        <v>4468</v>
      </c>
      <c r="B7633" s="45" t="s">
        <v>664</v>
      </c>
      <c r="C7633" s="60" t="s">
        <v>7056</v>
      </c>
      <c r="D7633" s="60"/>
      <c r="E7633" s="74">
        <v>2023</v>
      </c>
      <c r="F7633" s="74" t="s">
        <v>489</v>
      </c>
      <c r="G7633" s="61">
        <v>1</v>
      </c>
      <c r="H7633" s="61">
        <v>15</v>
      </c>
      <c r="I7633" s="61">
        <v>36.278509999999997</v>
      </c>
    </row>
    <row r="7634" spans="1:9" s="71" customFormat="1" ht="24" hidden="1" customHeight="1" outlineLevel="1" x14ac:dyDescent="0.25">
      <c r="A7634" s="74">
        <v>2029</v>
      </c>
      <c r="B7634" s="45" t="s">
        <v>664</v>
      </c>
      <c r="C7634" s="60" t="s">
        <v>7057</v>
      </c>
      <c r="D7634" s="60"/>
      <c r="E7634" s="74">
        <v>2023</v>
      </c>
      <c r="F7634" s="74" t="s">
        <v>489</v>
      </c>
      <c r="G7634" s="61">
        <v>9</v>
      </c>
      <c r="H7634" s="61">
        <v>128</v>
      </c>
      <c r="I7634" s="61">
        <v>319.14630999999997</v>
      </c>
    </row>
    <row r="7635" spans="1:9" s="71" customFormat="1" ht="24" hidden="1" customHeight="1" outlineLevel="1" x14ac:dyDescent="0.25">
      <c r="A7635" s="74">
        <v>2084</v>
      </c>
      <c r="B7635" s="45" t="s">
        <v>664</v>
      </c>
      <c r="C7635" s="60" t="s">
        <v>7058</v>
      </c>
      <c r="D7635" s="60"/>
      <c r="E7635" s="74">
        <v>2023</v>
      </c>
      <c r="F7635" s="74" t="s">
        <v>489</v>
      </c>
      <c r="G7635" s="61">
        <v>3</v>
      </c>
      <c r="H7635" s="61">
        <v>35</v>
      </c>
      <c r="I7635" s="61">
        <v>106.10614</v>
      </c>
    </row>
    <row r="7636" spans="1:9" s="71" customFormat="1" ht="24" hidden="1" customHeight="1" outlineLevel="1" x14ac:dyDescent="0.25">
      <c r="A7636" s="74">
        <v>2062</v>
      </c>
      <c r="B7636" s="45" t="s">
        <v>664</v>
      </c>
      <c r="C7636" s="60" t="s">
        <v>7059</v>
      </c>
      <c r="D7636" s="60"/>
      <c r="E7636" s="74">
        <v>2023</v>
      </c>
      <c r="F7636" s="74" t="s">
        <v>489</v>
      </c>
      <c r="G7636" s="61">
        <v>16</v>
      </c>
      <c r="H7636" s="61">
        <v>173</v>
      </c>
      <c r="I7636" s="61">
        <v>563.15170999999998</v>
      </c>
    </row>
    <row r="7637" spans="1:9" s="71" customFormat="1" ht="24" hidden="1" customHeight="1" outlineLevel="1" x14ac:dyDescent="0.25">
      <c r="A7637" s="74">
        <v>2123</v>
      </c>
      <c r="B7637" s="45" t="s">
        <v>664</v>
      </c>
      <c r="C7637" s="60" t="s">
        <v>7060</v>
      </c>
      <c r="D7637" s="60"/>
      <c r="E7637" s="74">
        <v>2023</v>
      </c>
      <c r="F7637" s="74" t="s">
        <v>489</v>
      </c>
      <c r="G7637" s="61">
        <v>19</v>
      </c>
      <c r="H7637" s="61">
        <v>215</v>
      </c>
      <c r="I7637" s="61">
        <v>667.92280000000005</v>
      </c>
    </row>
    <row r="7638" spans="1:9" s="71" customFormat="1" ht="24" hidden="1" customHeight="1" outlineLevel="1" x14ac:dyDescent="0.25">
      <c r="A7638" s="74">
        <v>4461</v>
      </c>
      <c r="B7638" s="45" t="s">
        <v>664</v>
      </c>
      <c r="C7638" s="60" t="s">
        <v>7061</v>
      </c>
      <c r="D7638" s="60"/>
      <c r="E7638" s="74">
        <v>2023</v>
      </c>
      <c r="F7638" s="74" t="s">
        <v>489</v>
      </c>
      <c r="G7638" s="61">
        <v>1</v>
      </c>
      <c r="H7638" s="61">
        <v>15</v>
      </c>
      <c r="I7638" s="61">
        <v>35.424190000000003</v>
      </c>
    </row>
    <row r="7639" spans="1:9" s="71" customFormat="1" ht="24" hidden="1" customHeight="1" outlineLevel="1" x14ac:dyDescent="0.25">
      <c r="A7639" s="74">
        <v>4469</v>
      </c>
      <c r="B7639" s="45" t="s">
        <v>664</v>
      </c>
      <c r="C7639" s="60" t="s">
        <v>7062</v>
      </c>
      <c r="D7639" s="60"/>
      <c r="E7639" s="74">
        <v>2023</v>
      </c>
      <c r="F7639" s="74" t="s">
        <v>489</v>
      </c>
      <c r="G7639" s="61">
        <v>1</v>
      </c>
      <c r="H7639" s="61">
        <v>20</v>
      </c>
      <c r="I7639" s="61">
        <v>35.287269999999999</v>
      </c>
    </row>
    <row r="7640" spans="1:9" s="71" customFormat="1" ht="24" hidden="1" customHeight="1" outlineLevel="1" x14ac:dyDescent="0.25">
      <c r="A7640" s="74">
        <v>4460</v>
      </c>
      <c r="B7640" s="45" t="s">
        <v>664</v>
      </c>
      <c r="C7640" s="60" t="s">
        <v>7063</v>
      </c>
      <c r="D7640" s="60"/>
      <c r="E7640" s="74">
        <v>2023</v>
      </c>
      <c r="F7640" s="74" t="s">
        <v>489</v>
      </c>
      <c r="G7640" s="61">
        <v>1</v>
      </c>
      <c r="H7640" s="61">
        <v>10</v>
      </c>
      <c r="I7640" s="61">
        <v>35.664709999999999</v>
      </c>
    </row>
    <row r="7641" spans="1:9" s="71" customFormat="1" ht="24" hidden="1" customHeight="1" outlineLevel="1" x14ac:dyDescent="0.25">
      <c r="A7641" s="74">
        <v>4464</v>
      </c>
      <c r="B7641" s="45" t="s">
        <v>664</v>
      </c>
      <c r="C7641" s="60" t="s">
        <v>7064</v>
      </c>
      <c r="D7641" s="60"/>
      <c r="E7641" s="74">
        <v>2023</v>
      </c>
      <c r="F7641" s="74" t="s">
        <v>489</v>
      </c>
      <c r="G7641" s="61">
        <v>1</v>
      </c>
      <c r="H7641" s="61">
        <v>10</v>
      </c>
      <c r="I7641" s="61">
        <v>35.644710000000003</v>
      </c>
    </row>
    <row r="7642" spans="1:9" s="71" customFormat="1" ht="24" hidden="1" customHeight="1" outlineLevel="1" x14ac:dyDescent="0.25">
      <c r="A7642" s="74">
        <v>4467</v>
      </c>
      <c r="B7642" s="45" t="s">
        <v>664</v>
      </c>
      <c r="C7642" s="60" t="s">
        <v>7065</v>
      </c>
      <c r="D7642" s="60"/>
      <c r="E7642" s="74">
        <v>2023</v>
      </c>
      <c r="F7642" s="74" t="s">
        <v>489</v>
      </c>
      <c r="G7642" s="61">
        <v>1</v>
      </c>
      <c r="H7642" s="61">
        <v>35</v>
      </c>
      <c r="I7642" s="61">
        <v>35.516390000000001</v>
      </c>
    </row>
    <row r="7643" spans="1:9" s="71" customFormat="1" ht="24" hidden="1" customHeight="1" outlineLevel="1" x14ac:dyDescent="0.25">
      <c r="A7643" s="74">
        <v>4465</v>
      </c>
      <c r="B7643" s="45" t="s">
        <v>664</v>
      </c>
      <c r="C7643" s="60" t="s">
        <v>7066</v>
      </c>
      <c r="D7643" s="60"/>
      <c r="E7643" s="74">
        <v>2023</v>
      </c>
      <c r="F7643" s="74" t="s">
        <v>489</v>
      </c>
      <c r="G7643" s="61">
        <v>1</v>
      </c>
      <c r="H7643" s="61">
        <v>10</v>
      </c>
      <c r="I7643" s="61">
        <v>35.287419999999997</v>
      </c>
    </row>
    <row r="7644" spans="1:9" s="71" customFormat="1" ht="24" hidden="1" customHeight="1" outlineLevel="1" x14ac:dyDescent="0.25">
      <c r="A7644" s="74">
        <v>2057</v>
      </c>
      <c r="B7644" s="45" t="s">
        <v>664</v>
      </c>
      <c r="C7644" s="60" t="s">
        <v>7067</v>
      </c>
      <c r="D7644" s="60"/>
      <c r="E7644" s="74">
        <v>2023</v>
      </c>
      <c r="F7644" s="74" t="s">
        <v>489</v>
      </c>
      <c r="G7644" s="61">
        <v>1</v>
      </c>
      <c r="H7644" s="61">
        <v>2</v>
      </c>
      <c r="I7644" s="61">
        <v>35.86647</v>
      </c>
    </row>
    <row r="7645" spans="1:9" s="71" customFormat="1" ht="24" hidden="1" customHeight="1" outlineLevel="1" x14ac:dyDescent="0.25">
      <c r="A7645" s="74">
        <v>4462</v>
      </c>
      <c r="B7645" s="45" t="s">
        <v>664</v>
      </c>
      <c r="C7645" s="60" t="s">
        <v>7068</v>
      </c>
      <c r="D7645" s="60"/>
      <c r="E7645" s="74">
        <v>2023</v>
      </c>
      <c r="F7645" s="74" t="s">
        <v>489</v>
      </c>
      <c r="G7645" s="61">
        <v>1</v>
      </c>
      <c r="H7645" s="61">
        <v>10</v>
      </c>
      <c r="I7645" s="61">
        <v>35.86647</v>
      </c>
    </row>
    <row r="7646" spans="1:9" s="71" customFormat="1" ht="24" hidden="1" customHeight="1" outlineLevel="1" x14ac:dyDescent="0.25">
      <c r="A7646" s="74">
        <v>851</v>
      </c>
      <c r="B7646" s="45" t="s">
        <v>664</v>
      </c>
      <c r="C7646" s="60" t="s">
        <v>7069</v>
      </c>
      <c r="D7646" s="60"/>
      <c r="E7646" s="74">
        <v>2023</v>
      </c>
      <c r="F7646" s="74" t="s">
        <v>489</v>
      </c>
      <c r="G7646" s="61">
        <v>8</v>
      </c>
      <c r="H7646" s="61">
        <v>130</v>
      </c>
      <c r="I7646" s="61">
        <v>290.85193999999996</v>
      </c>
    </row>
    <row r="7647" spans="1:9" s="71" customFormat="1" ht="24" hidden="1" customHeight="1" outlineLevel="1" x14ac:dyDescent="0.25">
      <c r="A7647" s="74">
        <v>4476</v>
      </c>
      <c r="B7647" s="45" t="s">
        <v>664</v>
      </c>
      <c r="C7647" s="60" t="s">
        <v>7070</v>
      </c>
      <c r="D7647" s="60"/>
      <c r="E7647" s="74">
        <v>2023</v>
      </c>
      <c r="F7647" s="74" t="s">
        <v>489</v>
      </c>
      <c r="G7647" s="61">
        <v>1</v>
      </c>
      <c r="H7647" s="61">
        <v>10</v>
      </c>
      <c r="I7647" s="61">
        <v>35.699199999999998</v>
      </c>
    </row>
    <row r="7648" spans="1:9" s="71" customFormat="1" ht="24" hidden="1" customHeight="1" outlineLevel="1" x14ac:dyDescent="0.25">
      <c r="A7648" s="74">
        <v>2148</v>
      </c>
      <c r="B7648" s="45" t="s">
        <v>664</v>
      </c>
      <c r="C7648" s="60" t="s">
        <v>7071</v>
      </c>
      <c r="D7648" s="60"/>
      <c r="E7648" s="74">
        <v>2023</v>
      </c>
      <c r="F7648" s="74" t="s">
        <v>489</v>
      </c>
      <c r="G7648" s="61">
        <v>9</v>
      </c>
      <c r="H7648" s="61">
        <v>108</v>
      </c>
      <c r="I7648" s="61">
        <v>317.64612</v>
      </c>
    </row>
    <row r="7649" spans="1:9" s="71" customFormat="1" ht="24" hidden="1" customHeight="1" outlineLevel="1" x14ac:dyDescent="0.25">
      <c r="A7649" s="74">
        <v>2150</v>
      </c>
      <c r="B7649" s="45" t="s">
        <v>664</v>
      </c>
      <c r="C7649" s="60" t="s">
        <v>7072</v>
      </c>
      <c r="D7649" s="60"/>
      <c r="E7649" s="74">
        <v>2023</v>
      </c>
      <c r="F7649" s="74" t="s">
        <v>489</v>
      </c>
      <c r="G7649" s="61">
        <v>8</v>
      </c>
      <c r="H7649" s="61">
        <v>85</v>
      </c>
      <c r="I7649" s="61">
        <v>283.16235</v>
      </c>
    </row>
    <row r="7650" spans="1:9" s="71" customFormat="1" ht="24" hidden="1" customHeight="1" outlineLevel="1" x14ac:dyDescent="0.25">
      <c r="A7650" s="74">
        <v>2287</v>
      </c>
      <c r="B7650" s="45" t="s">
        <v>664</v>
      </c>
      <c r="C7650" s="60" t="s">
        <v>7073</v>
      </c>
      <c r="D7650" s="60"/>
      <c r="E7650" s="74">
        <v>2023</v>
      </c>
      <c r="F7650" s="74" t="s">
        <v>489</v>
      </c>
      <c r="G7650" s="61">
        <v>3</v>
      </c>
      <c r="H7650" s="61">
        <v>30</v>
      </c>
      <c r="I7650" s="61">
        <v>107.46227999999999</v>
      </c>
    </row>
    <row r="7651" spans="1:9" s="71" customFormat="1" ht="24" hidden="1" customHeight="1" outlineLevel="1" x14ac:dyDescent="0.25">
      <c r="A7651" s="74">
        <v>2303</v>
      </c>
      <c r="B7651" s="45" t="s">
        <v>664</v>
      </c>
      <c r="C7651" s="60" t="s">
        <v>7074</v>
      </c>
      <c r="D7651" s="60"/>
      <c r="E7651" s="74">
        <v>2023</v>
      </c>
      <c r="F7651" s="74" t="s">
        <v>489</v>
      </c>
      <c r="G7651" s="61">
        <v>20</v>
      </c>
      <c r="H7651" s="61">
        <v>255</v>
      </c>
      <c r="I7651" s="61">
        <v>706.08231000000001</v>
      </c>
    </row>
    <row r="7652" spans="1:9" s="71" customFormat="1" ht="24" hidden="1" customHeight="1" outlineLevel="1" x14ac:dyDescent="0.25">
      <c r="A7652" s="74">
        <v>4471</v>
      </c>
      <c r="B7652" s="45" t="s">
        <v>664</v>
      </c>
      <c r="C7652" s="60" t="s">
        <v>7075</v>
      </c>
      <c r="D7652" s="60"/>
      <c r="E7652" s="74">
        <v>2023</v>
      </c>
      <c r="F7652" s="74" t="s">
        <v>489</v>
      </c>
      <c r="G7652" s="61">
        <v>1</v>
      </c>
      <c r="H7652" s="61">
        <v>15</v>
      </c>
      <c r="I7652" s="61">
        <v>35.344500000000004</v>
      </c>
    </row>
    <row r="7653" spans="1:9" s="71" customFormat="1" ht="24" hidden="1" customHeight="1" outlineLevel="1" x14ac:dyDescent="0.25">
      <c r="A7653" s="74">
        <v>2248</v>
      </c>
      <c r="B7653" s="45" t="s">
        <v>664</v>
      </c>
      <c r="C7653" s="60" t="s">
        <v>7076</v>
      </c>
      <c r="D7653" s="60"/>
      <c r="E7653" s="74">
        <v>2023</v>
      </c>
      <c r="F7653" s="74" t="s">
        <v>489</v>
      </c>
      <c r="G7653" s="61">
        <v>4</v>
      </c>
      <c r="H7653" s="61">
        <v>60</v>
      </c>
      <c r="I7653" s="61">
        <v>141.45919000000001</v>
      </c>
    </row>
    <row r="7654" spans="1:9" s="71" customFormat="1" ht="24" hidden="1" customHeight="1" outlineLevel="1" x14ac:dyDescent="0.25">
      <c r="A7654" s="74">
        <v>2285</v>
      </c>
      <c r="B7654" s="45" t="s">
        <v>664</v>
      </c>
      <c r="C7654" s="60" t="s">
        <v>7077</v>
      </c>
      <c r="D7654" s="60"/>
      <c r="E7654" s="74">
        <v>2023</v>
      </c>
      <c r="F7654" s="74" t="s">
        <v>489</v>
      </c>
      <c r="G7654" s="61">
        <v>8</v>
      </c>
      <c r="H7654" s="61">
        <v>110</v>
      </c>
      <c r="I7654" s="61">
        <v>283.77024</v>
      </c>
    </row>
    <row r="7655" spans="1:9" s="71" customFormat="1" ht="24" hidden="1" customHeight="1" outlineLevel="1" x14ac:dyDescent="0.25">
      <c r="A7655" s="74">
        <v>2212</v>
      </c>
      <c r="B7655" s="45" t="s">
        <v>664</v>
      </c>
      <c r="C7655" s="60" t="s">
        <v>7078</v>
      </c>
      <c r="D7655" s="60"/>
      <c r="E7655" s="74">
        <v>2023</v>
      </c>
      <c r="F7655" s="74" t="s">
        <v>489</v>
      </c>
      <c r="G7655" s="61">
        <v>1</v>
      </c>
      <c r="H7655" s="61">
        <v>1</v>
      </c>
      <c r="I7655" s="61">
        <v>35.452169999999995</v>
      </c>
    </row>
    <row r="7656" spans="1:9" s="71" customFormat="1" ht="24" hidden="1" customHeight="1" outlineLevel="1" x14ac:dyDescent="0.25">
      <c r="A7656" s="74">
        <v>4472</v>
      </c>
      <c r="B7656" s="45" t="s">
        <v>664</v>
      </c>
      <c r="C7656" s="60" t="s">
        <v>7079</v>
      </c>
      <c r="D7656" s="60"/>
      <c r="E7656" s="74">
        <v>2023</v>
      </c>
      <c r="F7656" s="74" t="s">
        <v>489</v>
      </c>
      <c r="G7656" s="61">
        <v>1</v>
      </c>
      <c r="H7656" s="61">
        <v>15</v>
      </c>
      <c r="I7656" s="61">
        <v>35.452169999999995</v>
      </c>
    </row>
    <row r="7657" spans="1:9" s="71" customFormat="1" ht="24" hidden="1" customHeight="1" outlineLevel="1" x14ac:dyDescent="0.25">
      <c r="A7657" s="74">
        <v>4473</v>
      </c>
      <c r="B7657" s="45" t="s">
        <v>664</v>
      </c>
      <c r="C7657" s="60" t="s">
        <v>7080</v>
      </c>
      <c r="D7657" s="60"/>
      <c r="E7657" s="74">
        <v>2023</v>
      </c>
      <c r="F7657" s="74" t="s">
        <v>489</v>
      </c>
      <c r="G7657" s="61">
        <v>1</v>
      </c>
      <c r="H7657" s="61">
        <v>15</v>
      </c>
      <c r="I7657" s="61">
        <v>37.340510000000002</v>
      </c>
    </row>
    <row r="7658" spans="1:9" s="71" customFormat="1" ht="24" hidden="1" customHeight="1" outlineLevel="1" x14ac:dyDescent="0.25">
      <c r="A7658" s="74">
        <v>4479</v>
      </c>
      <c r="B7658" s="45" t="s">
        <v>664</v>
      </c>
      <c r="C7658" s="60" t="s">
        <v>7081</v>
      </c>
      <c r="D7658" s="60"/>
      <c r="E7658" s="74">
        <v>2023</v>
      </c>
      <c r="F7658" s="74" t="s">
        <v>489</v>
      </c>
      <c r="G7658" s="61">
        <v>1</v>
      </c>
      <c r="H7658" s="61">
        <v>15</v>
      </c>
      <c r="I7658" s="61">
        <v>37.340510000000002</v>
      </c>
    </row>
    <row r="7659" spans="1:9" s="71" customFormat="1" ht="24" hidden="1" customHeight="1" outlineLevel="1" x14ac:dyDescent="0.25">
      <c r="A7659" s="74">
        <v>4480</v>
      </c>
      <c r="B7659" s="45" t="s">
        <v>664</v>
      </c>
      <c r="C7659" s="60" t="s">
        <v>7082</v>
      </c>
      <c r="D7659" s="60"/>
      <c r="E7659" s="74">
        <v>2023</v>
      </c>
      <c r="F7659" s="74" t="s">
        <v>489</v>
      </c>
      <c r="G7659" s="61">
        <v>1</v>
      </c>
      <c r="H7659" s="61">
        <v>15</v>
      </c>
      <c r="I7659" s="61">
        <v>37.340510000000002</v>
      </c>
    </row>
    <row r="7660" spans="1:9" s="71" customFormat="1" ht="24" hidden="1" customHeight="1" outlineLevel="1" x14ac:dyDescent="0.25">
      <c r="A7660" s="74">
        <v>4481</v>
      </c>
      <c r="B7660" s="45" t="s">
        <v>664</v>
      </c>
      <c r="C7660" s="60" t="s">
        <v>7083</v>
      </c>
      <c r="D7660" s="60"/>
      <c r="E7660" s="74">
        <v>2023</v>
      </c>
      <c r="F7660" s="74" t="s">
        <v>489</v>
      </c>
      <c r="G7660" s="61">
        <v>1</v>
      </c>
      <c r="H7660" s="61">
        <v>13</v>
      </c>
      <c r="I7660" s="61">
        <v>34.958749999999995</v>
      </c>
    </row>
    <row r="7661" spans="1:9" s="71" customFormat="1" ht="24" hidden="1" customHeight="1" outlineLevel="1" x14ac:dyDescent="0.25">
      <c r="A7661" s="74">
        <v>4478</v>
      </c>
      <c r="B7661" s="45" t="s">
        <v>664</v>
      </c>
      <c r="C7661" s="60" t="s">
        <v>7084</v>
      </c>
      <c r="D7661" s="60"/>
      <c r="E7661" s="74">
        <v>2023</v>
      </c>
      <c r="F7661" s="74" t="s">
        <v>489</v>
      </c>
      <c r="G7661" s="61">
        <v>1</v>
      </c>
      <c r="H7661" s="61">
        <v>10</v>
      </c>
      <c r="I7661" s="61">
        <v>35.542720000000003</v>
      </c>
    </row>
    <row r="7662" spans="1:9" s="71" customFormat="1" ht="24" hidden="1" customHeight="1" outlineLevel="1" x14ac:dyDescent="0.25">
      <c r="A7662" s="74">
        <v>4477</v>
      </c>
      <c r="B7662" s="45" t="s">
        <v>664</v>
      </c>
      <c r="C7662" s="60" t="s">
        <v>7085</v>
      </c>
      <c r="D7662" s="60"/>
      <c r="E7662" s="74">
        <v>2023</v>
      </c>
      <c r="F7662" s="74" t="s">
        <v>489</v>
      </c>
      <c r="G7662" s="61">
        <v>1</v>
      </c>
      <c r="H7662" s="61">
        <v>15</v>
      </c>
      <c r="I7662" s="61">
        <v>35.724989999999998</v>
      </c>
    </row>
    <row r="7663" spans="1:9" s="71" customFormat="1" ht="24" hidden="1" customHeight="1" outlineLevel="1" x14ac:dyDescent="0.25">
      <c r="A7663" s="74">
        <v>4483</v>
      </c>
      <c r="B7663" s="45" t="s">
        <v>664</v>
      </c>
      <c r="C7663" s="60" t="s">
        <v>7086</v>
      </c>
      <c r="D7663" s="60"/>
      <c r="E7663" s="74">
        <v>2023</v>
      </c>
      <c r="F7663" s="74" t="s">
        <v>489</v>
      </c>
      <c r="G7663" s="61">
        <v>1</v>
      </c>
      <c r="H7663" s="61">
        <v>10</v>
      </c>
      <c r="I7663" s="61">
        <v>35.633330000000001</v>
      </c>
    </row>
    <row r="7664" spans="1:9" s="71" customFormat="1" ht="24" hidden="1" customHeight="1" outlineLevel="1" x14ac:dyDescent="0.25">
      <c r="A7664" s="74">
        <v>4474</v>
      </c>
      <c r="B7664" s="45" t="s">
        <v>664</v>
      </c>
      <c r="C7664" s="60" t="s">
        <v>7087</v>
      </c>
      <c r="D7664" s="60"/>
      <c r="E7664" s="74">
        <v>2023</v>
      </c>
      <c r="F7664" s="74" t="s">
        <v>489</v>
      </c>
      <c r="G7664" s="61">
        <v>1</v>
      </c>
      <c r="H7664" s="61">
        <v>15</v>
      </c>
      <c r="I7664" s="61">
        <v>35.633330000000001</v>
      </c>
    </row>
    <row r="7665" spans="1:9" s="71" customFormat="1" ht="24" hidden="1" customHeight="1" outlineLevel="1" x14ac:dyDescent="0.25">
      <c r="A7665" s="74">
        <v>4475</v>
      </c>
      <c r="B7665" s="45" t="s">
        <v>664</v>
      </c>
      <c r="C7665" s="60" t="s">
        <v>7088</v>
      </c>
      <c r="D7665" s="60"/>
      <c r="E7665" s="74">
        <v>2023</v>
      </c>
      <c r="F7665" s="74" t="s">
        <v>489</v>
      </c>
      <c r="G7665" s="61">
        <v>1</v>
      </c>
      <c r="H7665" s="61">
        <v>15</v>
      </c>
      <c r="I7665" s="61">
        <v>35.633330000000001</v>
      </c>
    </row>
    <row r="7666" spans="1:9" s="71" customFormat="1" ht="24" hidden="1" customHeight="1" outlineLevel="1" x14ac:dyDescent="0.25">
      <c r="A7666" s="74">
        <v>4482</v>
      </c>
      <c r="B7666" s="45" t="s">
        <v>664</v>
      </c>
      <c r="C7666" s="60" t="s">
        <v>7089</v>
      </c>
      <c r="D7666" s="60"/>
      <c r="E7666" s="74">
        <v>2023</v>
      </c>
      <c r="F7666" s="74" t="s">
        <v>489</v>
      </c>
      <c r="G7666" s="61">
        <v>1</v>
      </c>
      <c r="H7666" s="61">
        <v>15</v>
      </c>
      <c r="I7666" s="61">
        <v>35.633479999999999</v>
      </c>
    </row>
    <row r="7667" spans="1:9" s="71" customFormat="1" ht="24" hidden="1" customHeight="1" outlineLevel="1" x14ac:dyDescent="0.25">
      <c r="A7667" s="74">
        <v>4488</v>
      </c>
      <c r="B7667" s="45" t="s">
        <v>664</v>
      </c>
      <c r="C7667" s="60" t="s">
        <v>7090</v>
      </c>
      <c r="D7667" s="60"/>
      <c r="E7667" s="74">
        <v>2023</v>
      </c>
      <c r="F7667" s="74" t="s">
        <v>489</v>
      </c>
      <c r="G7667" s="61">
        <v>1</v>
      </c>
      <c r="H7667" s="61">
        <v>100</v>
      </c>
      <c r="I7667" s="61">
        <v>37.201520000000002</v>
      </c>
    </row>
    <row r="7668" spans="1:9" s="71" customFormat="1" ht="24" hidden="1" customHeight="1" outlineLevel="1" x14ac:dyDescent="0.25">
      <c r="A7668" s="74">
        <v>2331</v>
      </c>
      <c r="B7668" s="45" t="s">
        <v>664</v>
      </c>
      <c r="C7668" s="60" t="s">
        <v>7091</v>
      </c>
      <c r="D7668" s="60"/>
      <c r="E7668" s="74">
        <v>2023</v>
      </c>
      <c r="F7668" s="74" t="s">
        <v>489</v>
      </c>
      <c r="G7668" s="61">
        <v>15</v>
      </c>
      <c r="H7668" s="61">
        <v>215</v>
      </c>
      <c r="I7668" s="61">
        <v>545.85574000000008</v>
      </c>
    </row>
    <row r="7669" spans="1:9" s="71" customFormat="1" ht="24" hidden="1" customHeight="1" outlineLevel="1" x14ac:dyDescent="0.25">
      <c r="A7669" s="74">
        <v>1083</v>
      </c>
      <c r="B7669" s="45" t="s">
        <v>664</v>
      </c>
      <c r="C7669" s="60" t="s">
        <v>7092</v>
      </c>
      <c r="D7669" s="60"/>
      <c r="E7669" s="74">
        <v>2023</v>
      </c>
      <c r="F7669" s="74" t="s">
        <v>489</v>
      </c>
      <c r="G7669" s="61">
        <v>3</v>
      </c>
      <c r="H7669" s="61">
        <v>15</v>
      </c>
      <c r="I7669" s="61">
        <v>109.34752</v>
      </c>
    </row>
    <row r="7670" spans="1:9" s="71" customFormat="1" ht="24" hidden="1" customHeight="1" outlineLevel="1" x14ac:dyDescent="0.25">
      <c r="A7670" s="74">
        <v>4499</v>
      </c>
      <c r="B7670" s="45" t="s">
        <v>664</v>
      </c>
      <c r="C7670" s="60" t="s">
        <v>7093</v>
      </c>
      <c r="D7670" s="60"/>
      <c r="E7670" s="74">
        <v>2023</v>
      </c>
      <c r="F7670" s="74" t="s">
        <v>489</v>
      </c>
      <c r="G7670" s="61">
        <v>1</v>
      </c>
      <c r="H7670" s="61">
        <v>150</v>
      </c>
      <c r="I7670" s="61">
        <v>35.781970000000001</v>
      </c>
    </row>
    <row r="7671" spans="1:9" s="71" customFormat="1" ht="24" hidden="1" customHeight="1" outlineLevel="1" x14ac:dyDescent="0.25">
      <c r="A7671" s="74">
        <v>4497</v>
      </c>
      <c r="B7671" s="45" t="s">
        <v>664</v>
      </c>
      <c r="C7671" s="60" t="s">
        <v>7094</v>
      </c>
      <c r="D7671" s="60"/>
      <c r="E7671" s="74">
        <v>2023</v>
      </c>
      <c r="F7671" s="74" t="s">
        <v>489</v>
      </c>
      <c r="G7671" s="61">
        <v>1</v>
      </c>
      <c r="H7671" s="61">
        <v>15</v>
      </c>
      <c r="I7671" s="61">
        <v>35.971540000000005</v>
      </c>
    </row>
    <row r="7672" spans="1:9" s="71" customFormat="1" ht="24" hidden="1" customHeight="1" outlineLevel="1" x14ac:dyDescent="0.25">
      <c r="A7672" s="74">
        <v>1967</v>
      </c>
      <c r="B7672" s="45" t="s">
        <v>664</v>
      </c>
      <c r="C7672" s="60" t="s">
        <v>7095</v>
      </c>
      <c r="D7672" s="60"/>
      <c r="E7672" s="74">
        <v>2023</v>
      </c>
      <c r="F7672" s="74" t="s">
        <v>489</v>
      </c>
      <c r="G7672" s="61">
        <v>1</v>
      </c>
      <c r="H7672" s="61">
        <v>15</v>
      </c>
      <c r="I7672" s="61">
        <v>35.971540000000005</v>
      </c>
    </row>
    <row r="7673" spans="1:9" s="71" customFormat="1" ht="24" hidden="1" customHeight="1" outlineLevel="1" x14ac:dyDescent="0.25">
      <c r="A7673" s="74">
        <v>2389</v>
      </c>
      <c r="B7673" s="45" t="s">
        <v>664</v>
      </c>
      <c r="C7673" s="60" t="s">
        <v>7096</v>
      </c>
      <c r="D7673" s="60"/>
      <c r="E7673" s="74">
        <v>2023</v>
      </c>
      <c r="F7673" s="74" t="s">
        <v>489</v>
      </c>
      <c r="G7673" s="61">
        <v>9</v>
      </c>
      <c r="H7673" s="61">
        <v>125</v>
      </c>
      <c r="I7673" s="61">
        <v>320.63796000000002</v>
      </c>
    </row>
    <row r="7674" spans="1:9" s="71" customFormat="1" ht="24" hidden="1" customHeight="1" outlineLevel="1" x14ac:dyDescent="0.25">
      <c r="A7674" s="74">
        <v>2430</v>
      </c>
      <c r="B7674" s="45" t="s">
        <v>664</v>
      </c>
      <c r="C7674" s="60" t="s">
        <v>7097</v>
      </c>
      <c r="D7674" s="60"/>
      <c r="E7674" s="74">
        <v>2023</v>
      </c>
      <c r="F7674" s="74" t="s">
        <v>489</v>
      </c>
      <c r="G7674" s="61">
        <v>7</v>
      </c>
      <c r="H7674" s="61">
        <v>97</v>
      </c>
      <c r="I7674" s="61">
        <v>247.90595000000002</v>
      </c>
    </row>
    <row r="7675" spans="1:9" s="71" customFormat="1" ht="24" hidden="1" customHeight="1" outlineLevel="1" x14ac:dyDescent="0.25">
      <c r="A7675" s="74">
        <v>2467</v>
      </c>
      <c r="B7675" s="45" t="s">
        <v>664</v>
      </c>
      <c r="C7675" s="60" t="s">
        <v>7098</v>
      </c>
      <c r="D7675" s="60"/>
      <c r="E7675" s="74">
        <v>2023</v>
      </c>
      <c r="F7675" s="74" t="s">
        <v>489</v>
      </c>
      <c r="G7675" s="61">
        <v>10</v>
      </c>
      <c r="H7675" s="61">
        <v>144</v>
      </c>
      <c r="I7675" s="61">
        <v>354.91770000000002</v>
      </c>
    </row>
    <row r="7676" spans="1:9" s="71" customFormat="1" ht="24" hidden="1" customHeight="1" outlineLevel="1" x14ac:dyDescent="0.25">
      <c r="A7676" s="74">
        <v>2508</v>
      </c>
      <c r="B7676" s="45" t="s">
        <v>664</v>
      </c>
      <c r="C7676" s="60" t="s">
        <v>7099</v>
      </c>
      <c r="D7676" s="60"/>
      <c r="E7676" s="74">
        <v>2023</v>
      </c>
      <c r="F7676" s="74" t="s">
        <v>489</v>
      </c>
      <c r="G7676" s="61">
        <v>3</v>
      </c>
      <c r="H7676" s="61">
        <v>25</v>
      </c>
      <c r="I7676" s="61">
        <v>106.45422000000001</v>
      </c>
    </row>
    <row r="7677" spans="1:9" s="71" customFormat="1" ht="24" hidden="1" customHeight="1" outlineLevel="1" x14ac:dyDescent="0.25">
      <c r="A7677" s="74">
        <v>2566</v>
      </c>
      <c r="B7677" s="45" t="s">
        <v>664</v>
      </c>
      <c r="C7677" s="60" t="s">
        <v>7100</v>
      </c>
      <c r="D7677" s="60"/>
      <c r="E7677" s="74">
        <v>2023</v>
      </c>
      <c r="F7677" s="74" t="s">
        <v>489</v>
      </c>
      <c r="G7677" s="61">
        <v>16</v>
      </c>
      <c r="H7677" s="61">
        <v>225</v>
      </c>
      <c r="I7677" s="61">
        <v>567.27828</v>
      </c>
    </row>
    <row r="7678" spans="1:9" s="71" customFormat="1" ht="24" hidden="1" customHeight="1" outlineLevel="1" x14ac:dyDescent="0.25">
      <c r="A7678" s="74">
        <v>4495</v>
      </c>
      <c r="B7678" s="45" t="s">
        <v>664</v>
      </c>
      <c r="C7678" s="60" t="s">
        <v>7101</v>
      </c>
      <c r="D7678" s="60"/>
      <c r="E7678" s="74">
        <v>2023</v>
      </c>
      <c r="F7678" s="74" t="s">
        <v>489</v>
      </c>
      <c r="G7678" s="61">
        <v>1</v>
      </c>
      <c r="H7678" s="61">
        <v>13</v>
      </c>
      <c r="I7678" s="61">
        <v>35.830359999999999</v>
      </c>
    </row>
    <row r="7679" spans="1:9" s="71" customFormat="1" ht="24" hidden="1" customHeight="1" outlineLevel="1" x14ac:dyDescent="0.25">
      <c r="A7679" s="74">
        <v>4491</v>
      </c>
      <c r="B7679" s="45" t="s">
        <v>664</v>
      </c>
      <c r="C7679" s="60" t="s">
        <v>7102</v>
      </c>
      <c r="D7679" s="60"/>
      <c r="E7679" s="74">
        <v>2023</v>
      </c>
      <c r="F7679" s="74" t="s">
        <v>489</v>
      </c>
      <c r="G7679" s="61">
        <v>1</v>
      </c>
      <c r="H7679" s="61">
        <v>7.5</v>
      </c>
      <c r="I7679" s="61">
        <v>35.67906</v>
      </c>
    </row>
    <row r="7680" spans="1:9" s="71" customFormat="1" ht="24" hidden="1" customHeight="1" outlineLevel="1" x14ac:dyDescent="0.25">
      <c r="A7680" s="74">
        <v>4494</v>
      </c>
      <c r="B7680" s="45" t="s">
        <v>664</v>
      </c>
      <c r="C7680" s="60" t="s">
        <v>7103</v>
      </c>
      <c r="D7680" s="60"/>
      <c r="E7680" s="74">
        <v>2023</v>
      </c>
      <c r="F7680" s="74" t="s">
        <v>489</v>
      </c>
      <c r="G7680" s="61">
        <v>1</v>
      </c>
      <c r="H7680" s="61">
        <v>10</v>
      </c>
      <c r="I7680" s="61">
        <v>36.344000000000001</v>
      </c>
    </row>
    <row r="7681" spans="1:9" s="71" customFormat="1" ht="24" hidden="1" customHeight="1" outlineLevel="1" x14ac:dyDescent="0.25">
      <c r="A7681" s="74">
        <v>2294</v>
      </c>
      <c r="B7681" s="45" t="s">
        <v>664</v>
      </c>
      <c r="C7681" s="60" t="s">
        <v>7104</v>
      </c>
      <c r="D7681" s="60"/>
      <c r="E7681" s="74">
        <v>2023</v>
      </c>
      <c r="F7681" s="74" t="s">
        <v>489</v>
      </c>
      <c r="G7681" s="61">
        <v>1</v>
      </c>
      <c r="H7681" s="61">
        <v>3</v>
      </c>
      <c r="I7681" s="61">
        <v>36.528619999999997</v>
      </c>
    </row>
    <row r="7682" spans="1:9" s="71" customFormat="1" ht="24" hidden="1" customHeight="1" outlineLevel="1" x14ac:dyDescent="0.25">
      <c r="A7682" s="74">
        <v>4496</v>
      </c>
      <c r="B7682" s="45" t="s">
        <v>664</v>
      </c>
      <c r="C7682" s="60" t="s">
        <v>7105</v>
      </c>
      <c r="D7682" s="60"/>
      <c r="E7682" s="74">
        <v>2023</v>
      </c>
      <c r="F7682" s="74" t="s">
        <v>489</v>
      </c>
      <c r="G7682" s="61">
        <v>1</v>
      </c>
      <c r="H7682" s="61">
        <v>10</v>
      </c>
      <c r="I7682" s="61">
        <v>37.104469999999999</v>
      </c>
    </row>
    <row r="7683" spans="1:9" s="71" customFormat="1" ht="24" hidden="1" customHeight="1" outlineLevel="1" x14ac:dyDescent="0.25">
      <c r="A7683" s="74">
        <v>4507</v>
      </c>
      <c r="B7683" s="45" t="s">
        <v>664</v>
      </c>
      <c r="C7683" s="60" t="s">
        <v>7106</v>
      </c>
      <c r="D7683" s="60"/>
      <c r="E7683" s="74">
        <v>2023</v>
      </c>
      <c r="F7683" s="74" t="s">
        <v>489</v>
      </c>
      <c r="G7683" s="61">
        <v>1</v>
      </c>
      <c r="H7683" s="61">
        <v>15</v>
      </c>
      <c r="I7683" s="61">
        <v>36.301930000000006</v>
      </c>
    </row>
    <row r="7684" spans="1:9" s="71" customFormat="1" ht="24" hidden="1" customHeight="1" outlineLevel="1" x14ac:dyDescent="0.25">
      <c r="A7684" s="74">
        <v>2519</v>
      </c>
      <c r="B7684" s="45" t="s">
        <v>664</v>
      </c>
      <c r="C7684" s="60" t="s">
        <v>7107</v>
      </c>
      <c r="D7684" s="60"/>
      <c r="E7684" s="74">
        <v>2023</v>
      </c>
      <c r="F7684" s="74" t="s">
        <v>489</v>
      </c>
      <c r="G7684" s="61">
        <v>6</v>
      </c>
      <c r="H7684" s="61">
        <v>80</v>
      </c>
      <c r="I7684" s="61">
        <v>215.57162</v>
      </c>
    </row>
    <row r="7685" spans="1:9" s="71" customFormat="1" ht="24" hidden="1" customHeight="1" outlineLevel="1" x14ac:dyDescent="0.25">
      <c r="A7685" s="74">
        <v>2562</v>
      </c>
      <c r="B7685" s="45" t="s">
        <v>664</v>
      </c>
      <c r="C7685" s="60" t="s">
        <v>7108</v>
      </c>
      <c r="D7685" s="60"/>
      <c r="E7685" s="74">
        <v>2023</v>
      </c>
      <c r="F7685" s="74" t="s">
        <v>489</v>
      </c>
      <c r="G7685" s="61">
        <v>4</v>
      </c>
      <c r="H7685" s="61">
        <v>55</v>
      </c>
      <c r="I7685" s="61">
        <v>143.88156999999998</v>
      </c>
    </row>
    <row r="7686" spans="1:9" s="71" customFormat="1" ht="24" hidden="1" customHeight="1" outlineLevel="1" x14ac:dyDescent="0.25">
      <c r="A7686" s="74">
        <v>4517</v>
      </c>
      <c r="B7686" s="45" t="s">
        <v>664</v>
      </c>
      <c r="C7686" s="60" t="s">
        <v>7109</v>
      </c>
      <c r="D7686" s="60"/>
      <c r="E7686" s="74">
        <v>2023</v>
      </c>
      <c r="F7686" s="74" t="s">
        <v>489</v>
      </c>
      <c r="G7686" s="61">
        <v>1</v>
      </c>
      <c r="H7686" s="61">
        <v>15</v>
      </c>
      <c r="I7686" s="61">
        <v>35.922999999999995</v>
      </c>
    </row>
    <row r="7687" spans="1:9" s="71" customFormat="1" ht="24" hidden="1" customHeight="1" outlineLevel="1" x14ac:dyDescent="0.25">
      <c r="A7687" s="74">
        <v>4518</v>
      </c>
      <c r="B7687" s="45" t="s">
        <v>664</v>
      </c>
      <c r="C7687" s="60" t="s">
        <v>7110</v>
      </c>
      <c r="D7687" s="60"/>
      <c r="E7687" s="74">
        <v>2023</v>
      </c>
      <c r="F7687" s="74" t="s">
        <v>489</v>
      </c>
      <c r="G7687" s="61">
        <v>1</v>
      </c>
      <c r="H7687" s="61">
        <v>15</v>
      </c>
      <c r="I7687" s="61">
        <v>35.923030000000004</v>
      </c>
    </row>
    <row r="7688" spans="1:9" s="71" customFormat="1" ht="24" hidden="1" customHeight="1" outlineLevel="1" x14ac:dyDescent="0.25">
      <c r="A7688" s="74">
        <v>4520</v>
      </c>
      <c r="B7688" s="45" t="s">
        <v>664</v>
      </c>
      <c r="C7688" s="60" t="s">
        <v>7111</v>
      </c>
      <c r="D7688" s="60"/>
      <c r="E7688" s="74">
        <v>2023</v>
      </c>
      <c r="F7688" s="74" t="s">
        <v>489</v>
      </c>
      <c r="G7688" s="61">
        <v>14</v>
      </c>
      <c r="H7688" s="61">
        <v>210</v>
      </c>
      <c r="I7688" s="61">
        <v>502.70212999999995</v>
      </c>
    </row>
    <row r="7689" spans="1:9" s="71" customFormat="1" ht="24" hidden="1" customHeight="1" outlineLevel="1" x14ac:dyDescent="0.25">
      <c r="A7689" s="74">
        <v>2613</v>
      </c>
      <c r="B7689" s="45" t="s">
        <v>664</v>
      </c>
      <c r="C7689" s="60" t="s">
        <v>7112</v>
      </c>
      <c r="D7689" s="60"/>
      <c r="E7689" s="74">
        <v>2023</v>
      </c>
      <c r="F7689" s="74" t="s">
        <v>489</v>
      </c>
      <c r="G7689" s="61">
        <v>21</v>
      </c>
      <c r="H7689" s="61">
        <v>235</v>
      </c>
      <c r="I7689" s="61">
        <v>756.71927000000005</v>
      </c>
    </row>
    <row r="7690" spans="1:9" s="71" customFormat="1" ht="24" hidden="1" customHeight="1" outlineLevel="1" x14ac:dyDescent="0.25">
      <c r="A7690" s="74">
        <v>2608</v>
      </c>
      <c r="B7690" s="45" t="s">
        <v>664</v>
      </c>
      <c r="C7690" s="60" t="s">
        <v>7113</v>
      </c>
      <c r="D7690" s="60"/>
      <c r="E7690" s="74">
        <v>2023</v>
      </c>
      <c r="F7690" s="74" t="s">
        <v>489</v>
      </c>
      <c r="G7690" s="61">
        <v>1</v>
      </c>
      <c r="H7690" s="61">
        <v>10</v>
      </c>
      <c r="I7690" s="61">
        <v>35.79748</v>
      </c>
    </row>
    <row r="7691" spans="1:9" s="71" customFormat="1" ht="24" hidden="1" customHeight="1" outlineLevel="1" x14ac:dyDescent="0.25">
      <c r="A7691" s="74">
        <v>4509</v>
      </c>
      <c r="B7691" s="45" t="s">
        <v>664</v>
      </c>
      <c r="C7691" s="60" t="s">
        <v>7114</v>
      </c>
      <c r="D7691" s="60"/>
      <c r="E7691" s="74">
        <v>2023</v>
      </c>
      <c r="F7691" s="74" t="s">
        <v>489</v>
      </c>
      <c r="G7691" s="61">
        <v>1</v>
      </c>
      <c r="H7691" s="61">
        <v>15</v>
      </c>
      <c r="I7691" s="61">
        <v>36.189100000000003</v>
      </c>
    </row>
    <row r="7692" spans="1:9" s="71" customFormat="1" ht="24" hidden="1" customHeight="1" outlineLevel="1" x14ac:dyDescent="0.25">
      <c r="A7692" s="74">
        <v>4505</v>
      </c>
      <c r="B7692" s="45" t="s">
        <v>664</v>
      </c>
      <c r="C7692" s="60" t="s">
        <v>7115</v>
      </c>
      <c r="D7692" s="60"/>
      <c r="E7692" s="74">
        <v>2023</v>
      </c>
      <c r="F7692" s="74" t="s">
        <v>489</v>
      </c>
      <c r="G7692" s="61">
        <v>1</v>
      </c>
      <c r="H7692" s="61">
        <v>13</v>
      </c>
      <c r="I7692" s="61">
        <v>36.189100000000003</v>
      </c>
    </row>
    <row r="7693" spans="1:9" s="71" customFormat="1" ht="24" hidden="1" customHeight="1" outlineLevel="1" x14ac:dyDescent="0.25">
      <c r="A7693" s="74">
        <v>4511</v>
      </c>
      <c r="B7693" s="45" t="s">
        <v>664</v>
      </c>
      <c r="C7693" s="60" t="s">
        <v>7116</v>
      </c>
      <c r="D7693" s="60"/>
      <c r="E7693" s="74">
        <v>2023</v>
      </c>
      <c r="F7693" s="74" t="s">
        <v>489</v>
      </c>
      <c r="G7693" s="61">
        <v>1</v>
      </c>
      <c r="H7693" s="61">
        <v>15</v>
      </c>
      <c r="I7693" s="61">
        <v>35.94153</v>
      </c>
    </row>
    <row r="7694" spans="1:9" s="71" customFormat="1" ht="24" hidden="1" customHeight="1" outlineLevel="1" x14ac:dyDescent="0.25">
      <c r="A7694" s="74">
        <v>4510</v>
      </c>
      <c r="B7694" s="45" t="s">
        <v>664</v>
      </c>
      <c r="C7694" s="60" t="s">
        <v>7117</v>
      </c>
      <c r="D7694" s="60"/>
      <c r="E7694" s="74">
        <v>2023</v>
      </c>
      <c r="F7694" s="74" t="s">
        <v>489</v>
      </c>
      <c r="G7694" s="61">
        <v>1</v>
      </c>
      <c r="H7694" s="61">
        <v>5</v>
      </c>
      <c r="I7694" s="61">
        <v>24.967010000000002</v>
      </c>
    </row>
    <row r="7695" spans="1:9" s="71" customFormat="1" ht="24" hidden="1" customHeight="1" outlineLevel="1" x14ac:dyDescent="0.25">
      <c r="A7695" s="74">
        <v>2599</v>
      </c>
      <c r="B7695" s="45" t="s">
        <v>664</v>
      </c>
      <c r="C7695" s="60" t="s">
        <v>7118</v>
      </c>
      <c r="D7695" s="60"/>
      <c r="E7695" s="74">
        <v>2023</v>
      </c>
      <c r="F7695" s="74" t="s">
        <v>489</v>
      </c>
      <c r="G7695" s="61">
        <v>1</v>
      </c>
      <c r="H7695" s="61">
        <v>3</v>
      </c>
      <c r="I7695" s="61">
        <v>35.94153</v>
      </c>
    </row>
    <row r="7696" spans="1:9" s="71" customFormat="1" ht="24" hidden="1" customHeight="1" outlineLevel="1" x14ac:dyDescent="0.25">
      <c r="A7696" s="74">
        <v>4516</v>
      </c>
      <c r="B7696" s="45" t="s">
        <v>664</v>
      </c>
      <c r="C7696" s="60" t="s">
        <v>7119</v>
      </c>
      <c r="D7696" s="60"/>
      <c r="E7696" s="74">
        <v>2023</v>
      </c>
      <c r="F7696" s="74" t="s">
        <v>489</v>
      </c>
      <c r="G7696" s="61">
        <v>1</v>
      </c>
      <c r="H7696" s="61">
        <v>15</v>
      </c>
      <c r="I7696" s="61">
        <v>35.941479999999999</v>
      </c>
    </row>
    <row r="7697" spans="1:9" s="71" customFormat="1" ht="24" hidden="1" customHeight="1" outlineLevel="1" x14ac:dyDescent="0.25">
      <c r="A7697" s="74">
        <v>4512</v>
      </c>
      <c r="B7697" s="45" t="s">
        <v>664</v>
      </c>
      <c r="C7697" s="60" t="s">
        <v>7120</v>
      </c>
      <c r="D7697" s="60"/>
      <c r="E7697" s="74">
        <v>2023</v>
      </c>
      <c r="F7697" s="74" t="s">
        <v>489</v>
      </c>
      <c r="G7697" s="61">
        <v>1</v>
      </c>
      <c r="H7697" s="61">
        <v>25</v>
      </c>
      <c r="I7697" s="61">
        <v>35.941569999999999</v>
      </c>
    </row>
    <row r="7698" spans="1:9" s="71" customFormat="1" ht="24" hidden="1" customHeight="1" outlineLevel="1" x14ac:dyDescent="0.25">
      <c r="A7698" s="74">
        <v>4501</v>
      </c>
      <c r="B7698" s="45" t="s">
        <v>664</v>
      </c>
      <c r="C7698" s="60" t="s">
        <v>7121</v>
      </c>
      <c r="D7698" s="60"/>
      <c r="E7698" s="74">
        <v>2023</v>
      </c>
      <c r="F7698" s="74" t="s">
        <v>489</v>
      </c>
      <c r="G7698" s="61">
        <v>1</v>
      </c>
      <c r="H7698" s="61">
        <v>15</v>
      </c>
      <c r="I7698" s="61">
        <v>39.891169999999995</v>
      </c>
    </row>
    <row r="7699" spans="1:9" s="71" customFormat="1" ht="24" hidden="1" customHeight="1" outlineLevel="1" x14ac:dyDescent="0.25">
      <c r="A7699" s="74">
        <v>4519</v>
      </c>
      <c r="B7699" s="45" t="s">
        <v>664</v>
      </c>
      <c r="C7699" s="60" t="s">
        <v>7122</v>
      </c>
      <c r="D7699" s="60"/>
      <c r="E7699" s="74">
        <v>2023</v>
      </c>
      <c r="F7699" s="74" t="s">
        <v>489</v>
      </c>
      <c r="G7699" s="61">
        <v>1</v>
      </c>
      <c r="H7699" s="61">
        <v>5</v>
      </c>
      <c r="I7699" s="61">
        <v>35.626288000000002</v>
      </c>
    </row>
    <row r="7700" spans="1:9" s="71" customFormat="1" ht="24" hidden="1" customHeight="1" outlineLevel="1" x14ac:dyDescent="0.25">
      <c r="A7700" s="74">
        <v>4514</v>
      </c>
      <c r="B7700" s="45" t="s">
        <v>664</v>
      </c>
      <c r="C7700" s="60" t="s">
        <v>7123</v>
      </c>
      <c r="D7700" s="60"/>
      <c r="E7700" s="74">
        <v>2023</v>
      </c>
      <c r="F7700" s="74" t="s">
        <v>489</v>
      </c>
      <c r="G7700" s="61">
        <v>1</v>
      </c>
      <c r="H7700" s="61">
        <v>15</v>
      </c>
      <c r="I7700" s="61">
        <v>36.262889999999999</v>
      </c>
    </row>
    <row r="7701" spans="1:9" s="71" customFormat="1" ht="24" hidden="1" customHeight="1" outlineLevel="1" x14ac:dyDescent="0.25">
      <c r="A7701" s="74">
        <v>4530</v>
      </c>
      <c r="B7701" s="45" t="s">
        <v>664</v>
      </c>
      <c r="C7701" s="60" t="s">
        <v>7124</v>
      </c>
      <c r="D7701" s="60"/>
      <c r="E7701" s="74">
        <v>2023</v>
      </c>
      <c r="F7701" s="74" t="s">
        <v>489</v>
      </c>
      <c r="G7701" s="61">
        <v>1</v>
      </c>
      <c r="H7701" s="61">
        <v>15</v>
      </c>
      <c r="I7701" s="61">
        <v>36.06277</v>
      </c>
    </row>
    <row r="7702" spans="1:9" s="71" customFormat="1" ht="24" hidden="1" customHeight="1" outlineLevel="1" x14ac:dyDescent="0.25">
      <c r="A7702" s="74">
        <v>2124</v>
      </c>
      <c r="B7702" s="45" t="s">
        <v>664</v>
      </c>
      <c r="C7702" s="60" t="s">
        <v>7125</v>
      </c>
      <c r="D7702" s="60"/>
      <c r="E7702" s="74">
        <v>2023</v>
      </c>
      <c r="F7702" s="74" t="s">
        <v>489</v>
      </c>
      <c r="G7702" s="61">
        <v>1</v>
      </c>
      <c r="H7702" s="61">
        <v>15</v>
      </c>
      <c r="I7702" s="61">
        <v>36.062780000000004</v>
      </c>
    </row>
    <row r="7703" spans="1:9" s="71" customFormat="1" ht="24" hidden="1" customHeight="1" outlineLevel="1" x14ac:dyDescent="0.25">
      <c r="A7703" s="74">
        <v>4531</v>
      </c>
      <c r="B7703" s="45" t="s">
        <v>664</v>
      </c>
      <c r="C7703" s="60" t="s">
        <v>7126</v>
      </c>
      <c r="D7703" s="60"/>
      <c r="E7703" s="74">
        <v>2023</v>
      </c>
      <c r="F7703" s="74" t="s">
        <v>489</v>
      </c>
      <c r="G7703" s="61">
        <v>1</v>
      </c>
      <c r="H7703" s="61">
        <v>15</v>
      </c>
      <c r="I7703" s="61">
        <v>35.916700000000006</v>
      </c>
    </row>
    <row r="7704" spans="1:9" s="71" customFormat="1" ht="24" hidden="1" customHeight="1" outlineLevel="1" x14ac:dyDescent="0.25">
      <c r="A7704" s="74">
        <v>4536</v>
      </c>
      <c r="B7704" s="45" t="s">
        <v>664</v>
      </c>
      <c r="C7704" s="60" t="s">
        <v>7127</v>
      </c>
      <c r="D7704" s="60"/>
      <c r="E7704" s="74">
        <v>2023</v>
      </c>
      <c r="F7704" s="74" t="s">
        <v>489</v>
      </c>
      <c r="G7704" s="61">
        <v>1</v>
      </c>
      <c r="H7704" s="61">
        <v>70</v>
      </c>
      <c r="I7704" s="61">
        <v>38.308219999999999</v>
      </c>
    </row>
    <row r="7705" spans="1:9" s="71" customFormat="1" ht="24" hidden="1" customHeight="1" outlineLevel="1" x14ac:dyDescent="0.25">
      <c r="A7705" s="74">
        <v>2838</v>
      </c>
      <c r="B7705" s="45" t="s">
        <v>664</v>
      </c>
      <c r="C7705" s="60" t="s">
        <v>7128</v>
      </c>
      <c r="D7705" s="60"/>
      <c r="E7705" s="74">
        <v>2023</v>
      </c>
      <c r="F7705" s="74" t="s">
        <v>489</v>
      </c>
      <c r="G7705" s="61">
        <v>2</v>
      </c>
      <c r="H7705" s="61">
        <v>20</v>
      </c>
      <c r="I7705" s="61">
        <v>72.125579999999999</v>
      </c>
    </row>
    <row r="7706" spans="1:9" s="71" customFormat="1" ht="24" hidden="1" customHeight="1" outlineLevel="1" x14ac:dyDescent="0.25">
      <c r="A7706" s="74">
        <v>4532</v>
      </c>
      <c r="B7706" s="45" t="s">
        <v>664</v>
      </c>
      <c r="C7706" s="60" t="s">
        <v>7129</v>
      </c>
      <c r="D7706" s="60"/>
      <c r="E7706" s="74">
        <v>2023</v>
      </c>
      <c r="F7706" s="74" t="s">
        <v>489</v>
      </c>
      <c r="G7706" s="61">
        <v>1</v>
      </c>
      <c r="H7706" s="61">
        <v>15</v>
      </c>
      <c r="I7706" s="61">
        <v>35.916700000000006</v>
      </c>
    </row>
    <row r="7707" spans="1:9" s="71" customFormat="1" ht="24" hidden="1" customHeight="1" outlineLevel="1" x14ac:dyDescent="0.25">
      <c r="A7707" s="74">
        <v>2560</v>
      </c>
      <c r="B7707" s="45" t="s">
        <v>664</v>
      </c>
      <c r="C7707" s="60" t="s">
        <v>7130</v>
      </c>
      <c r="D7707" s="60"/>
      <c r="E7707" s="74">
        <v>2023</v>
      </c>
      <c r="F7707" s="74" t="s">
        <v>489</v>
      </c>
      <c r="G7707" s="61">
        <v>1</v>
      </c>
      <c r="H7707" s="61">
        <v>5</v>
      </c>
      <c r="I7707" s="61">
        <v>36.06277</v>
      </c>
    </row>
    <row r="7708" spans="1:9" s="71" customFormat="1" ht="24" hidden="1" customHeight="1" outlineLevel="1" x14ac:dyDescent="0.25">
      <c r="A7708" s="74">
        <v>4528</v>
      </c>
      <c r="B7708" s="45" t="s">
        <v>664</v>
      </c>
      <c r="C7708" s="60" t="s">
        <v>7131</v>
      </c>
      <c r="D7708" s="60"/>
      <c r="E7708" s="74">
        <v>2023</v>
      </c>
      <c r="F7708" s="74" t="s">
        <v>489</v>
      </c>
      <c r="G7708" s="61">
        <v>1</v>
      </c>
      <c r="H7708" s="61">
        <v>15</v>
      </c>
      <c r="I7708" s="61">
        <v>36.062780000000004</v>
      </c>
    </row>
    <row r="7709" spans="1:9" s="71" customFormat="1" ht="24" hidden="1" customHeight="1" outlineLevel="1" x14ac:dyDescent="0.25">
      <c r="A7709" s="74">
        <v>4533</v>
      </c>
      <c r="B7709" s="45" t="s">
        <v>664</v>
      </c>
      <c r="C7709" s="60" t="s">
        <v>7132</v>
      </c>
      <c r="D7709" s="60"/>
      <c r="E7709" s="74">
        <v>2023</v>
      </c>
      <c r="F7709" s="74" t="s">
        <v>489</v>
      </c>
      <c r="G7709" s="61">
        <v>1</v>
      </c>
      <c r="H7709" s="61">
        <v>15</v>
      </c>
      <c r="I7709" s="61">
        <v>35.916709999999995</v>
      </c>
    </row>
    <row r="7710" spans="1:9" s="71" customFormat="1" ht="24" hidden="1" customHeight="1" outlineLevel="1" x14ac:dyDescent="0.25">
      <c r="A7710" s="74">
        <v>4508</v>
      </c>
      <c r="B7710" s="45" t="s">
        <v>664</v>
      </c>
      <c r="C7710" s="60" t="s">
        <v>7133</v>
      </c>
      <c r="D7710" s="60"/>
      <c r="E7710" s="74">
        <v>2023</v>
      </c>
      <c r="F7710" s="74" t="s">
        <v>489</v>
      </c>
      <c r="G7710" s="61">
        <v>1</v>
      </c>
      <c r="H7710" s="61">
        <v>15</v>
      </c>
      <c r="I7710" s="61">
        <v>37.666819999999994</v>
      </c>
    </row>
    <row r="7711" spans="1:9" s="71" customFormat="1" ht="24" hidden="1" customHeight="1" outlineLevel="1" x14ac:dyDescent="0.25">
      <c r="A7711" s="74">
        <v>2609</v>
      </c>
      <c r="B7711" s="45" t="s">
        <v>664</v>
      </c>
      <c r="C7711" s="60" t="s">
        <v>7134</v>
      </c>
      <c r="D7711" s="60"/>
      <c r="E7711" s="74">
        <v>2023</v>
      </c>
      <c r="F7711" s="74" t="s">
        <v>489</v>
      </c>
      <c r="G7711" s="61">
        <v>11</v>
      </c>
      <c r="H7711" s="61">
        <v>160</v>
      </c>
      <c r="I7711" s="61">
        <v>396.54458</v>
      </c>
    </row>
    <row r="7712" spans="1:9" s="71" customFormat="1" ht="24" hidden="1" customHeight="1" outlineLevel="1" x14ac:dyDescent="0.25">
      <c r="A7712" s="74">
        <v>4535</v>
      </c>
      <c r="B7712" s="45" t="s">
        <v>664</v>
      </c>
      <c r="C7712" s="60" t="s">
        <v>7135</v>
      </c>
      <c r="D7712" s="60"/>
      <c r="E7712" s="74">
        <v>2023</v>
      </c>
      <c r="F7712" s="74" t="s">
        <v>489</v>
      </c>
      <c r="G7712" s="61">
        <v>6</v>
      </c>
      <c r="H7712" s="61">
        <v>85</v>
      </c>
      <c r="I7712" s="61">
        <v>216.81416000000002</v>
      </c>
    </row>
    <row r="7713" spans="1:9" s="71" customFormat="1" ht="24" hidden="1" customHeight="1" outlineLevel="1" x14ac:dyDescent="0.25">
      <c r="A7713" s="74">
        <v>2633</v>
      </c>
      <c r="B7713" s="45" t="s">
        <v>664</v>
      </c>
      <c r="C7713" s="60" t="s">
        <v>7136</v>
      </c>
      <c r="D7713" s="60"/>
      <c r="E7713" s="74">
        <v>2023</v>
      </c>
      <c r="F7713" s="74" t="s">
        <v>489</v>
      </c>
      <c r="G7713" s="61">
        <v>7</v>
      </c>
      <c r="H7713" s="61">
        <v>95</v>
      </c>
      <c r="I7713" s="61">
        <v>252.43948999999998</v>
      </c>
    </row>
    <row r="7714" spans="1:9" s="71" customFormat="1" ht="24" hidden="1" customHeight="1" outlineLevel="1" x14ac:dyDescent="0.25">
      <c r="A7714" s="74">
        <v>2655</v>
      </c>
      <c r="B7714" s="45" t="s">
        <v>664</v>
      </c>
      <c r="C7714" s="60" t="s">
        <v>7137</v>
      </c>
      <c r="D7714" s="60"/>
      <c r="E7714" s="74">
        <v>2023</v>
      </c>
      <c r="F7714" s="74" t="s">
        <v>489</v>
      </c>
      <c r="G7714" s="61">
        <v>18</v>
      </c>
      <c r="H7714" s="122">
        <v>228.5</v>
      </c>
      <c r="I7714" s="61">
        <v>647.08826999999997</v>
      </c>
    </row>
    <row r="7715" spans="1:9" s="71" customFormat="1" ht="24" hidden="1" customHeight="1" outlineLevel="1" x14ac:dyDescent="0.25">
      <c r="A7715" s="74">
        <v>2666</v>
      </c>
      <c r="B7715" s="45" t="s">
        <v>664</v>
      </c>
      <c r="C7715" s="60" t="s">
        <v>7138</v>
      </c>
      <c r="D7715" s="60"/>
      <c r="E7715" s="74">
        <v>2023</v>
      </c>
      <c r="F7715" s="74" t="s">
        <v>489</v>
      </c>
      <c r="G7715" s="61">
        <v>26</v>
      </c>
      <c r="H7715" s="61">
        <v>361</v>
      </c>
      <c r="I7715" s="61">
        <v>935.81025</v>
      </c>
    </row>
    <row r="7716" spans="1:9" s="71" customFormat="1" ht="24" hidden="1" customHeight="1" outlineLevel="1" x14ac:dyDescent="0.25">
      <c r="A7716" s="74">
        <v>4529</v>
      </c>
      <c r="B7716" s="45" t="s">
        <v>664</v>
      </c>
      <c r="C7716" s="60" t="s">
        <v>7139</v>
      </c>
      <c r="D7716" s="60"/>
      <c r="E7716" s="74">
        <v>2023</v>
      </c>
      <c r="F7716" s="74" t="s">
        <v>489</v>
      </c>
      <c r="G7716" s="61">
        <v>1</v>
      </c>
      <c r="H7716" s="61">
        <v>13</v>
      </c>
      <c r="I7716" s="61">
        <v>35.904039999999995</v>
      </c>
    </row>
    <row r="7717" spans="1:9" s="71" customFormat="1" ht="24" hidden="1" customHeight="1" outlineLevel="1" x14ac:dyDescent="0.25">
      <c r="A7717" s="74">
        <v>4526</v>
      </c>
      <c r="B7717" s="45" t="s">
        <v>664</v>
      </c>
      <c r="C7717" s="60" t="s">
        <v>7140</v>
      </c>
      <c r="D7717" s="60"/>
      <c r="E7717" s="74">
        <v>2023</v>
      </c>
      <c r="F7717" s="74" t="s">
        <v>489</v>
      </c>
      <c r="G7717" s="61">
        <v>1</v>
      </c>
      <c r="H7717" s="61">
        <v>15</v>
      </c>
      <c r="I7717" s="61">
        <v>36.022659999999995</v>
      </c>
    </row>
    <row r="7718" spans="1:9" s="71" customFormat="1" ht="24" hidden="1" customHeight="1" outlineLevel="1" x14ac:dyDescent="0.25">
      <c r="A7718" s="74">
        <v>4527</v>
      </c>
      <c r="B7718" s="45" t="s">
        <v>664</v>
      </c>
      <c r="C7718" s="60" t="s">
        <v>7141</v>
      </c>
      <c r="D7718" s="60"/>
      <c r="E7718" s="74">
        <v>2023</v>
      </c>
      <c r="F7718" s="74" t="s">
        <v>489</v>
      </c>
      <c r="G7718" s="61">
        <v>1</v>
      </c>
      <c r="H7718" s="61">
        <v>14</v>
      </c>
      <c r="I7718" s="61">
        <v>36.022919999999999</v>
      </c>
    </row>
    <row r="7719" spans="1:9" s="71" customFormat="1" ht="24" hidden="1" customHeight="1" outlineLevel="1" x14ac:dyDescent="0.25">
      <c r="A7719" s="74">
        <v>4534</v>
      </c>
      <c r="B7719" s="45" t="s">
        <v>664</v>
      </c>
      <c r="C7719" s="60" t="s">
        <v>7142</v>
      </c>
      <c r="D7719" s="60"/>
      <c r="E7719" s="74">
        <v>2023</v>
      </c>
      <c r="F7719" s="74" t="s">
        <v>489</v>
      </c>
      <c r="G7719" s="61">
        <v>1</v>
      </c>
      <c r="H7719" s="61">
        <v>10</v>
      </c>
      <c r="I7719" s="61">
        <v>36.022919999999999</v>
      </c>
    </row>
    <row r="7720" spans="1:9" s="71" customFormat="1" ht="24" hidden="1" customHeight="1" outlineLevel="1" x14ac:dyDescent="0.25">
      <c r="A7720" s="74">
        <v>2681</v>
      </c>
      <c r="B7720" s="45" t="s">
        <v>664</v>
      </c>
      <c r="C7720" s="60" t="s">
        <v>7143</v>
      </c>
      <c r="D7720" s="60"/>
      <c r="E7720" s="74">
        <v>2023</v>
      </c>
      <c r="F7720" s="74" t="s">
        <v>489</v>
      </c>
      <c r="G7720" s="61">
        <v>1</v>
      </c>
      <c r="H7720" s="61">
        <v>15</v>
      </c>
      <c r="I7720" s="61">
        <v>36.361270000000005</v>
      </c>
    </row>
    <row r="7721" spans="1:9" s="71" customFormat="1" ht="24" hidden="1" customHeight="1" outlineLevel="1" x14ac:dyDescent="0.25">
      <c r="A7721" s="74">
        <v>4525</v>
      </c>
      <c r="B7721" s="45" t="s">
        <v>664</v>
      </c>
      <c r="C7721" s="60" t="s">
        <v>7144</v>
      </c>
      <c r="D7721" s="60"/>
      <c r="E7721" s="74">
        <v>2023</v>
      </c>
      <c r="F7721" s="74" t="s">
        <v>489</v>
      </c>
      <c r="G7721" s="61">
        <v>1</v>
      </c>
      <c r="H7721" s="61">
        <v>10</v>
      </c>
      <c r="I7721" s="61">
        <v>36.439489999999999</v>
      </c>
    </row>
    <row r="7722" spans="1:9" s="71" customFormat="1" ht="24" hidden="1" customHeight="1" outlineLevel="1" x14ac:dyDescent="0.25">
      <c r="A7722" s="74">
        <v>2626</v>
      </c>
      <c r="B7722" s="45" t="s">
        <v>664</v>
      </c>
      <c r="C7722" s="60" t="s">
        <v>7145</v>
      </c>
      <c r="D7722" s="60"/>
      <c r="E7722" s="74">
        <v>2023</v>
      </c>
      <c r="F7722" s="74" t="s">
        <v>489</v>
      </c>
      <c r="G7722" s="61">
        <v>1</v>
      </c>
      <c r="H7722" s="61">
        <v>1</v>
      </c>
      <c r="I7722" s="61">
        <v>39.267490000000002</v>
      </c>
    </row>
    <row r="7723" spans="1:9" s="71" customFormat="1" ht="24" hidden="1" customHeight="1" outlineLevel="1" x14ac:dyDescent="0.25">
      <c r="A7723" s="74">
        <v>4546</v>
      </c>
      <c r="B7723" s="45" t="s">
        <v>664</v>
      </c>
      <c r="C7723" s="60" t="s">
        <v>7146</v>
      </c>
      <c r="D7723" s="60"/>
      <c r="E7723" s="74">
        <v>2023</v>
      </c>
      <c r="F7723" s="74" t="s">
        <v>489</v>
      </c>
      <c r="G7723" s="61">
        <v>2</v>
      </c>
      <c r="H7723" s="61">
        <v>27</v>
      </c>
      <c r="I7723" s="61">
        <v>72.610649999999993</v>
      </c>
    </row>
    <row r="7724" spans="1:9" s="71" customFormat="1" ht="24" hidden="1" customHeight="1" outlineLevel="1" x14ac:dyDescent="0.25">
      <c r="A7724" s="74">
        <v>2705</v>
      </c>
      <c r="B7724" s="45" t="s">
        <v>664</v>
      </c>
      <c r="C7724" s="60" t="s">
        <v>7147</v>
      </c>
      <c r="D7724" s="60"/>
      <c r="E7724" s="74">
        <v>2023</v>
      </c>
      <c r="F7724" s="74" t="s">
        <v>489</v>
      </c>
      <c r="G7724" s="61">
        <v>6</v>
      </c>
      <c r="H7724" s="61">
        <v>70</v>
      </c>
      <c r="I7724" s="61">
        <v>219.56396999999998</v>
      </c>
    </row>
    <row r="7725" spans="1:9" s="71" customFormat="1" ht="24" hidden="1" customHeight="1" outlineLevel="1" x14ac:dyDescent="0.25">
      <c r="A7725" s="74">
        <v>4545</v>
      </c>
      <c r="B7725" s="45" t="s">
        <v>664</v>
      </c>
      <c r="C7725" s="60" t="s">
        <v>7148</v>
      </c>
      <c r="D7725" s="60"/>
      <c r="E7725" s="74">
        <v>2023</v>
      </c>
      <c r="F7725" s="74" t="s">
        <v>489</v>
      </c>
      <c r="G7725" s="61">
        <v>1</v>
      </c>
      <c r="H7725" s="61">
        <v>15</v>
      </c>
      <c r="I7725" s="61">
        <v>36.305349999999997</v>
      </c>
    </row>
    <row r="7726" spans="1:9" s="71" customFormat="1" ht="24" hidden="1" customHeight="1" outlineLevel="1" x14ac:dyDescent="0.25">
      <c r="A7726" s="74">
        <v>1403</v>
      </c>
      <c r="B7726" s="45" t="s">
        <v>664</v>
      </c>
      <c r="C7726" s="60" t="s">
        <v>7149</v>
      </c>
      <c r="D7726" s="60"/>
      <c r="E7726" s="74">
        <v>2023</v>
      </c>
      <c r="F7726" s="74" t="s">
        <v>489</v>
      </c>
      <c r="G7726" s="61">
        <v>1</v>
      </c>
      <c r="H7726" s="61">
        <v>5</v>
      </c>
      <c r="I7726" s="61">
        <v>36.305349999999997</v>
      </c>
    </row>
    <row r="7727" spans="1:9" s="71" customFormat="1" ht="24" hidden="1" customHeight="1" outlineLevel="1" x14ac:dyDescent="0.25">
      <c r="A7727" s="74">
        <v>4543</v>
      </c>
      <c r="B7727" s="45" t="s">
        <v>664</v>
      </c>
      <c r="C7727" s="60" t="s">
        <v>7150</v>
      </c>
      <c r="D7727" s="60"/>
      <c r="E7727" s="74">
        <v>2023</v>
      </c>
      <c r="F7727" s="74" t="s">
        <v>489</v>
      </c>
      <c r="G7727" s="61">
        <v>1</v>
      </c>
      <c r="H7727" s="61">
        <v>15</v>
      </c>
      <c r="I7727" s="61">
        <v>36.230409999999999</v>
      </c>
    </row>
    <row r="7728" spans="1:9" s="71" customFormat="1" ht="24" hidden="1" customHeight="1" outlineLevel="1" x14ac:dyDescent="0.25">
      <c r="A7728" s="74">
        <v>4539</v>
      </c>
      <c r="B7728" s="45" t="s">
        <v>664</v>
      </c>
      <c r="C7728" s="60" t="s">
        <v>7151</v>
      </c>
      <c r="D7728" s="60"/>
      <c r="E7728" s="74">
        <v>2023</v>
      </c>
      <c r="F7728" s="74" t="s">
        <v>489</v>
      </c>
      <c r="G7728" s="61">
        <v>1</v>
      </c>
      <c r="H7728" s="61">
        <v>15</v>
      </c>
      <c r="I7728" s="61">
        <v>36.305349999999997</v>
      </c>
    </row>
    <row r="7729" spans="1:9" s="71" customFormat="1" ht="24" hidden="1" customHeight="1" outlineLevel="1" x14ac:dyDescent="0.25">
      <c r="A7729" s="74">
        <v>2715</v>
      </c>
      <c r="B7729" s="45" t="s">
        <v>664</v>
      </c>
      <c r="C7729" s="60" t="s">
        <v>7152</v>
      </c>
      <c r="D7729" s="60"/>
      <c r="E7729" s="74">
        <v>2023</v>
      </c>
      <c r="F7729" s="74" t="s">
        <v>489</v>
      </c>
      <c r="G7729" s="61">
        <v>2</v>
      </c>
      <c r="H7729" s="61">
        <v>30</v>
      </c>
      <c r="I7729" s="61">
        <v>72.460729999999998</v>
      </c>
    </row>
    <row r="7730" spans="1:9" s="71" customFormat="1" ht="24" hidden="1" customHeight="1" outlineLevel="1" x14ac:dyDescent="0.25">
      <c r="A7730" s="74">
        <v>2710</v>
      </c>
      <c r="B7730" s="45" t="s">
        <v>664</v>
      </c>
      <c r="C7730" s="60" t="s">
        <v>7153</v>
      </c>
      <c r="D7730" s="60"/>
      <c r="E7730" s="74">
        <v>2023</v>
      </c>
      <c r="F7730" s="74" t="s">
        <v>489</v>
      </c>
      <c r="G7730" s="61">
        <v>19</v>
      </c>
      <c r="H7730" s="61">
        <v>258</v>
      </c>
      <c r="I7730" s="61">
        <v>689.20438999999999</v>
      </c>
    </row>
    <row r="7731" spans="1:9" s="71" customFormat="1" ht="24" hidden="1" customHeight="1" outlineLevel="1" x14ac:dyDescent="0.25">
      <c r="A7731" s="74">
        <v>4552</v>
      </c>
      <c r="B7731" s="45" t="s">
        <v>664</v>
      </c>
      <c r="C7731" s="60" t="s">
        <v>7154</v>
      </c>
      <c r="D7731" s="60"/>
      <c r="E7731" s="74">
        <v>2023</v>
      </c>
      <c r="F7731" s="74" t="s">
        <v>489</v>
      </c>
      <c r="G7731" s="61">
        <v>7</v>
      </c>
      <c r="H7731" s="61">
        <v>95</v>
      </c>
      <c r="I7731" s="61">
        <v>255.64442999999997</v>
      </c>
    </row>
    <row r="7732" spans="1:9" s="71" customFormat="1" ht="24" hidden="1" customHeight="1" outlineLevel="1" x14ac:dyDescent="0.25">
      <c r="A7732" s="74">
        <v>4540</v>
      </c>
      <c r="B7732" s="45" t="s">
        <v>664</v>
      </c>
      <c r="C7732" s="60" t="s">
        <v>7155</v>
      </c>
      <c r="D7732" s="60"/>
      <c r="E7732" s="74">
        <v>2023</v>
      </c>
      <c r="F7732" s="74" t="s">
        <v>489</v>
      </c>
      <c r="G7732" s="61">
        <v>1</v>
      </c>
      <c r="H7732" s="61">
        <v>10</v>
      </c>
      <c r="I7732" s="61">
        <v>36.915089999999999</v>
      </c>
    </row>
    <row r="7733" spans="1:9" s="71" customFormat="1" ht="24" hidden="1" customHeight="1" outlineLevel="1" x14ac:dyDescent="0.25">
      <c r="A7733" s="74">
        <v>2731</v>
      </c>
      <c r="B7733" s="45" t="s">
        <v>664</v>
      </c>
      <c r="C7733" s="60" t="s">
        <v>7156</v>
      </c>
      <c r="D7733" s="60"/>
      <c r="E7733" s="74">
        <v>2023</v>
      </c>
      <c r="F7733" s="74" t="s">
        <v>489</v>
      </c>
      <c r="G7733" s="61">
        <v>1</v>
      </c>
      <c r="H7733" s="61">
        <v>10</v>
      </c>
      <c r="I7733" s="61">
        <v>36.912279999999996</v>
      </c>
    </row>
    <row r="7734" spans="1:9" s="71" customFormat="1" ht="24" hidden="1" customHeight="1" outlineLevel="1" x14ac:dyDescent="0.25">
      <c r="A7734" s="74">
        <v>4548</v>
      </c>
      <c r="B7734" s="45" t="s">
        <v>664</v>
      </c>
      <c r="C7734" s="60" t="s">
        <v>7157</v>
      </c>
      <c r="D7734" s="60"/>
      <c r="E7734" s="74">
        <v>2023</v>
      </c>
      <c r="F7734" s="74" t="s">
        <v>489</v>
      </c>
      <c r="G7734" s="61">
        <v>1</v>
      </c>
      <c r="H7734" s="61">
        <v>10</v>
      </c>
      <c r="I7734" s="61">
        <v>36.582259999999998</v>
      </c>
    </row>
    <row r="7735" spans="1:9" s="71" customFormat="1" ht="24" hidden="1" customHeight="1" outlineLevel="1" x14ac:dyDescent="0.25">
      <c r="A7735" s="74">
        <v>4556</v>
      </c>
      <c r="B7735" s="45" t="s">
        <v>664</v>
      </c>
      <c r="C7735" s="60" t="s">
        <v>7158</v>
      </c>
      <c r="D7735" s="60"/>
      <c r="E7735" s="74">
        <v>2023</v>
      </c>
      <c r="F7735" s="74" t="s">
        <v>489</v>
      </c>
      <c r="G7735" s="61">
        <v>1</v>
      </c>
      <c r="H7735" s="61">
        <v>15</v>
      </c>
      <c r="I7735" s="61">
        <v>37.242840000000001</v>
      </c>
    </row>
    <row r="7736" spans="1:9" s="71" customFormat="1" ht="24" hidden="1" customHeight="1" outlineLevel="1" x14ac:dyDescent="0.25">
      <c r="A7736" s="74">
        <v>4541</v>
      </c>
      <c r="B7736" s="45" t="s">
        <v>664</v>
      </c>
      <c r="C7736" s="60" t="s">
        <v>7159</v>
      </c>
      <c r="D7736" s="60"/>
      <c r="E7736" s="74">
        <v>2023</v>
      </c>
      <c r="F7736" s="74" t="s">
        <v>489</v>
      </c>
      <c r="G7736" s="61">
        <v>1</v>
      </c>
      <c r="H7736" s="61">
        <v>10</v>
      </c>
      <c r="I7736" s="61">
        <v>36.582140000000003</v>
      </c>
    </row>
    <row r="7737" spans="1:9" s="71" customFormat="1" ht="24" hidden="1" customHeight="1" outlineLevel="1" x14ac:dyDescent="0.25">
      <c r="A7737" s="74">
        <v>4549</v>
      </c>
      <c r="B7737" s="45" t="s">
        <v>664</v>
      </c>
      <c r="C7737" s="60" t="s">
        <v>7160</v>
      </c>
      <c r="D7737" s="60"/>
      <c r="E7737" s="74">
        <v>2023</v>
      </c>
      <c r="F7737" s="74" t="s">
        <v>489</v>
      </c>
      <c r="G7737" s="61">
        <v>1</v>
      </c>
      <c r="H7737" s="61">
        <v>10</v>
      </c>
      <c r="I7737" s="61">
        <v>36.681829999999998</v>
      </c>
    </row>
    <row r="7738" spans="1:9" s="71" customFormat="1" ht="24" hidden="1" customHeight="1" outlineLevel="1" x14ac:dyDescent="0.25">
      <c r="A7738" s="74">
        <v>4550</v>
      </c>
      <c r="B7738" s="45" t="s">
        <v>664</v>
      </c>
      <c r="C7738" s="60" t="s">
        <v>7161</v>
      </c>
      <c r="D7738" s="60"/>
      <c r="E7738" s="74">
        <v>2023</v>
      </c>
      <c r="F7738" s="74" t="s">
        <v>489</v>
      </c>
      <c r="G7738" s="61">
        <v>1</v>
      </c>
      <c r="H7738" s="61">
        <v>14</v>
      </c>
      <c r="I7738" s="61">
        <v>36.417920000000002</v>
      </c>
    </row>
    <row r="7739" spans="1:9" s="71" customFormat="1" ht="24" hidden="1" customHeight="1" outlineLevel="1" x14ac:dyDescent="0.25">
      <c r="A7739" s="74">
        <v>4544</v>
      </c>
      <c r="B7739" s="45" t="s">
        <v>664</v>
      </c>
      <c r="C7739" s="60" t="s">
        <v>7162</v>
      </c>
      <c r="D7739" s="60"/>
      <c r="E7739" s="74">
        <v>2023</v>
      </c>
      <c r="F7739" s="74" t="s">
        <v>489</v>
      </c>
      <c r="G7739" s="61">
        <v>1</v>
      </c>
      <c r="H7739" s="61">
        <v>15</v>
      </c>
      <c r="I7739" s="61">
        <v>38.886990000000004</v>
      </c>
    </row>
    <row r="7740" spans="1:9" s="71" customFormat="1" ht="24" hidden="1" customHeight="1" outlineLevel="1" x14ac:dyDescent="0.25">
      <c r="A7740" s="74">
        <v>2720</v>
      </c>
      <c r="B7740" s="45" t="s">
        <v>664</v>
      </c>
      <c r="C7740" s="60" t="s">
        <v>7163</v>
      </c>
      <c r="D7740" s="60"/>
      <c r="E7740" s="74">
        <v>2023</v>
      </c>
      <c r="F7740" s="74" t="s">
        <v>489</v>
      </c>
      <c r="G7740" s="61">
        <v>14</v>
      </c>
      <c r="H7740" s="61">
        <v>174</v>
      </c>
      <c r="I7740" s="61">
        <v>511.15871999999996</v>
      </c>
    </row>
    <row r="7741" spans="1:9" s="71" customFormat="1" ht="24" hidden="1" customHeight="1" outlineLevel="1" x14ac:dyDescent="0.25">
      <c r="A7741" s="74">
        <v>4565</v>
      </c>
      <c r="B7741" s="45" t="s">
        <v>664</v>
      </c>
      <c r="C7741" s="60" t="s">
        <v>7164</v>
      </c>
      <c r="D7741" s="60"/>
      <c r="E7741" s="74">
        <v>2023</v>
      </c>
      <c r="F7741" s="74" t="s">
        <v>489</v>
      </c>
      <c r="G7741" s="61">
        <v>1</v>
      </c>
      <c r="H7741" s="61">
        <v>15</v>
      </c>
      <c r="I7741" s="61">
        <v>36.63288</v>
      </c>
    </row>
    <row r="7742" spans="1:9" s="71" customFormat="1" ht="24" hidden="1" customHeight="1" outlineLevel="1" x14ac:dyDescent="0.25">
      <c r="A7742" s="74">
        <v>2729</v>
      </c>
      <c r="B7742" s="45" t="s">
        <v>664</v>
      </c>
      <c r="C7742" s="60" t="s">
        <v>7165</v>
      </c>
      <c r="D7742" s="60"/>
      <c r="E7742" s="74">
        <v>2023</v>
      </c>
      <c r="F7742" s="74" t="s">
        <v>489</v>
      </c>
      <c r="G7742" s="61">
        <v>12</v>
      </c>
      <c r="H7742" s="61">
        <v>155</v>
      </c>
      <c r="I7742" s="61">
        <v>439.10487999999998</v>
      </c>
    </row>
    <row r="7743" spans="1:9" s="71" customFormat="1" ht="24" hidden="1" customHeight="1" outlineLevel="1" x14ac:dyDescent="0.25">
      <c r="A7743" s="74">
        <v>4567</v>
      </c>
      <c r="B7743" s="45" t="s">
        <v>664</v>
      </c>
      <c r="C7743" s="60" t="s">
        <v>7166</v>
      </c>
      <c r="D7743" s="60"/>
      <c r="E7743" s="74">
        <v>2023</v>
      </c>
      <c r="F7743" s="74" t="s">
        <v>489</v>
      </c>
      <c r="G7743" s="61">
        <v>1</v>
      </c>
      <c r="H7743" s="61">
        <v>15</v>
      </c>
      <c r="I7743" s="61">
        <v>36.63288</v>
      </c>
    </row>
    <row r="7744" spans="1:9" s="71" customFormat="1" ht="24" hidden="1" customHeight="1" outlineLevel="1" x14ac:dyDescent="0.25">
      <c r="A7744" s="74">
        <v>2734</v>
      </c>
      <c r="B7744" s="45" t="s">
        <v>664</v>
      </c>
      <c r="C7744" s="60" t="s">
        <v>7167</v>
      </c>
      <c r="D7744" s="60"/>
      <c r="E7744" s="74">
        <v>2023</v>
      </c>
      <c r="F7744" s="74" t="s">
        <v>489</v>
      </c>
      <c r="G7744" s="61">
        <v>1</v>
      </c>
      <c r="H7744" s="61">
        <v>15</v>
      </c>
      <c r="I7744" s="61">
        <v>36.496639999999999</v>
      </c>
    </row>
    <row r="7745" spans="1:9" s="71" customFormat="1" ht="24" hidden="1" customHeight="1" outlineLevel="1" x14ac:dyDescent="0.25">
      <c r="A7745" s="74">
        <v>2757</v>
      </c>
      <c r="B7745" s="45" t="s">
        <v>664</v>
      </c>
      <c r="C7745" s="60" t="s">
        <v>7168</v>
      </c>
      <c r="D7745" s="60"/>
      <c r="E7745" s="74">
        <v>2023</v>
      </c>
      <c r="F7745" s="74" t="s">
        <v>489</v>
      </c>
      <c r="G7745" s="61">
        <v>1</v>
      </c>
      <c r="H7745" s="61">
        <v>15</v>
      </c>
      <c r="I7745" s="61">
        <v>36.63288</v>
      </c>
    </row>
    <row r="7746" spans="1:9" s="71" customFormat="1" ht="24" hidden="1" customHeight="1" outlineLevel="1" x14ac:dyDescent="0.25">
      <c r="A7746" s="74">
        <v>2763</v>
      </c>
      <c r="B7746" s="45" t="s">
        <v>664</v>
      </c>
      <c r="C7746" s="60" t="s">
        <v>7169</v>
      </c>
      <c r="D7746" s="60"/>
      <c r="E7746" s="74">
        <v>2023</v>
      </c>
      <c r="F7746" s="74" t="s">
        <v>489</v>
      </c>
      <c r="G7746" s="61">
        <v>17</v>
      </c>
      <c r="H7746" s="61">
        <v>119</v>
      </c>
      <c r="I7746" s="61">
        <v>297.82860999999997</v>
      </c>
    </row>
    <row r="7747" spans="1:9" s="71" customFormat="1" ht="24" hidden="1" customHeight="1" outlineLevel="1" x14ac:dyDescent="0.25">
      <c r="A7747" s="74">
        <v>2753</v>
      </c>
      <c r="B7747" s="45" t="s">
        <v>664</v>
      </c>
      <c r="C7747" s="60" t="s">
        <v>7170</v>
      </c>
      <c r="D7747" s="60"/>
      <c r="E7747" s="74">
        <v>2023</v>
      </c>
      <c r="F7747" s="74" t="s">
        <v>489</v>
      </c>
      <c r="G7747" s="61">
        <v>23</v>
      </c>
      <c r="H7747" s="61">
        <v>287</v>
      </c>
      <c r="I7747" s="61">
        <v>847.40301999999997</v>
      </c>
    </row>
    <row r="7748" spans="1:9" s="71" customFormat="1" ht="24" hidden="1" customHeight="1" outlineLevel="1" x14ac:dyDescent="0.25">
      <c r="A7748" s="74">
        <v>2756</v>
      </c>
      <c r="B7748" s="45" t="s">
        <v>664</v>
      </c>
      <c r="C7748" s="60" t="s">
        <v>7171</v>
      </c>
      <c r="D7748" s="60"/>
      <c r="E7748" s="74">
        <v>2023</v>
      </c>
      <c r="F7748" s="74" t="s">
        <v>489</v>
      </c>
      <c r="G7748" s="61">
        <v>2</v>
      </c>
      <c r="H7748" s="61">
        <v>30</v>
      </c>
      <c r="I7748" s="61">
        <v>72.994</v>
      </c>
    </row>
    <row r="7749" spans="1:9" s="71" customFormat="1" ht="24" hidden="1" customHeight="1" outlineLevel="1" x14ac:dyDescent="0.25">
      <c r="A7749" s="74">
        <v>2781</v>
      </c>
      <c r="B7749" s="45" t="s">
        <v>664</v>
      </c>
      <c r="C7749" s="60" t="s">
        <v>7172</v>
      </c>
      <c r="D7749" s="60"/>
      <c r="E7749" s="74">
        <v>2023</v>
      </c>
      <c r="F7749" s="74" t="s">
        <v>489</v>
      </c>
      <c r="G7749" s="61">
        <v>10</v>
      </c>
      <c r="H7749" s="61">
        <v>119</v>
      </c>
      <c r="I7749" s="61">
        <v>361.81075000000004</v>
      </c>
    </row>
    <row r="7750" spans="1:9" s="71" customFormat="1" ht="24" hidden="1" customHeight="1" outlineLevel="1" x14ac:dyDescent="0.25">
      <c r="A7750" s="74">
        <v>4561</v>
      </c>
      <c r="B7750" s="45" t="s">
        <v>664</v>
      </c>
      <c r="C7750" s="60" t="s">
        <v>7173</v>
      </c>
      <c r="D7750" s="60"/>
      <c r="E7750" s="74">
        <v>2023</v>
      </c>
      <c r="F7750" s="74" t="s">
        <v>489</v>
      </c>
      <c r="G7750" s="61">
        <v>8</v>
      </c>
      <c r="H7750" s="61">
        <v>120</v>
      </c>
      <c r="I7750" s="61">
        <v>291.38715999999999</v>
      </c>
    </row>
    <row r="7751" spans="1:9" s="71" customFormat="1" ht="24" hidden="1" customHeight="1" outlineLevel="1" x14ac:dyDescent="0.25">
      <c r="A7751" s="74">
        <v>4563</v>
      </c>
      <c r="B7751" s="45" t="s">
        <v>664</v>
      </c>
      <c r="C7751" s="60" t="s">
        <v>7174</v>
      </c>
      <c r="D7751" s="60"/>
      <c r="E7751" s="74">
        <v>2023</v>
      </c>
      <c r="F7751" s="74" t="s">
        <v>489</v>
      </c>
      <c r="G7751" s="61">
        <v>1</v>
      </c>
      <c r="H7751" s="61">
        <v>15</v>
      </c>
      <c r="I7751" s="61">
        <v>37.192450000000001</v>
      </c>
    </row>
    <row r="7752" spans="1:9" s="71" customFormat="1" ht="24" hidden="1" customHeight="1" outlineLevel="1" x14ac:dyDescent="0.25">
      <c r="A7752" s="74">
        <v>4562</v>
      </c>
      <c r="B7752" s="45" t="s">
        <v>664</v>
      </c>
      <c r="C7752" s="60" t="s">
        <v>7175</v>
      </c>
      <c r="D7752" s="60"/>
      <c r="E7752" s="74">
        <v>2023</v>
      </c>
      <c r="F7752" s="74" t="s">
        <v>489</v>
      </c>
      <c r="G7752" s="61">
        <v>1</v>
      </c>
      <c r="H7752" s="61">
        <v>10</v>
      </c>
      <c r="I7752" s="61">
        <v>37.192599999999999</v>
      </c>
    </row>
    <row r="7753" spans="1:9" s="71" customFormat="1" ht="24" hidden="1" customHeight="1" outlineLevel="1" x14ac:dyDescent="0.25">
      <c r="A7753" s="74">
        <v>4574</v>
      </c>
      <c r="B7753" s="45" t="s">
        <v>664</v>
      </c>
      <c r="C7753" s="60" t="s">
        <v>7176</v>
      </c>
      <c r="D7753" s="60"/>
      <c r="E7753" s="74">
        <v>2023</v>
      </c>
      <c r="F7753" s="74" t="s">
        <v>489</v>
      </c>
      <c r="G7753" s="61">
        <v>19</v>
      </c>
      <c r="H7753" s="61">
        <v>235</v>
      </c>
      <c r="I7753" s="61">
        <v>674.55306999999993</v>
      </c>
    </row>
    <row r="7754" spans="1:9" s="71" customFormat="1" ht="24" hidden="1" customHeight="1" outlineLevel="1" x14ac:dyDescent="0.25">
      <c r="A7754" s="74">
        <v>2796</v>
      </c>
      <c r="B7754" s="45" t="s">
        <v>664</v>
      </c>
      <c r="C7754" s="60" t="s">
        <v>7177</v>
      </c>
      <c r="D7754" s="60"/>
      <c r="E7754" s="74">
        <v>2023</v>
      </c>
      <c r="F7754" s="74" t="s">
        <v>489</v>
      </c>
      <c r="G7754" s="61">
        <v>2</v>
      </c>
      <c r="H7754" s="61">
        <v>30</v>
      </c>
      <c r="I7754" s="61">
        <v>70.672440000000009</v>
      </c>
    </row>
    <row r="7755" spans="1:9" s="71" customFormat="1" ht="24" hidden="1" customHeight="1" outlineLevel="1" x14ac:dyDescent="0.25">
      <c r="A7755" s="74">
        <v>2803</v>
      </c>
      <c r="B7755" s="45" t="s">
        <v>664</v>
      </c>
      <c r="C7755" s="60" t="s">
        <v>7178</v>
      </c>
      <c r="D7755" s="60"/>
      <c r="E7755" s="74">
        <v>2023</v>
      </c>
      <c r="F7755" s="74" t="s">
        <v>489</v>
      </c>
      <c r="G7755" s="61">
        <v>8</v>
      </c>
      <c r="H7755" s="61">
        <v>110</v>
      </c>
      <c r="I7755" s="61">
        <v>287.19521999999995</v>
      </c>
    </row>
    <row r="7756" spans="1:9" s="71" customFormat="1" ht="24" hidden="1" customHeight="1" outlineLevel="1" x14ac:dyDescent="0.25">
      <c r="A7756" s="74">
        <v>4568</v>
      </c>
      <c r="B7756" s="45" t="s">
        <v>664</v>
      </c>
      <c r="C7756" s="60" t="s">
        <v>7179</v>
      </c>
      <c r="D7756" s="60"/>
      <c r="E7756" s="74">
        <v>2023</v>
      </c>
      <c r="F7756" s="74" t="s">
        <v>489</v>
      </c>
      <c r="G7756" s="61">
        <v>1</v>
      </c>
      <c r="H7756" s="61">
        <v>50</v>
      </c>
      <c r="I7756" s="61">
        <v>36.332160000000002</v>
      </c>
    </row>
    <row r="7757" spans="1:9" s="71" customFormat="1" ht="24" hidden="1" customHeight="1" outlineLevel="1" x14ac:dyDescent="0.25">
      <c r="A7757" s="74">
        <v>2797</v>
      </c>
      <c r="B7757" s="45" t="s">
        <v>664</v>
      </c>
      <c r="C7757" s="60" t="s">
        <v>7180</v>
      </c>
      <c r="D7757" s="60"/>
      <c r="E7757" s="74">
        <v>2023</v>
      </c>
      <c r="F7757" s="74" t="s">
        <v>489</v>
      </c>
      <c r="G7757" s="61">
        <v>9</v>
      </c>
      <c r="H7757" s="61">
        <v>125</v>
      </c>
      <c r="I7757" s="61">
        <v>317.20653999999996</v>
      </c>
    </row>
    <row r="7758" spans="1:9" s="71" customFormat="1" ht="24" hidden="1" customHeight="1" outlineLevel="1" x14ac:dyDescent="0.25">
      <c r="A7758" s="74">
        <v>470</v>
      </c>
      <c r="B7758" s="45" t="s">
        <v>664</v>
      </c>
      <c r="C7758" s="60" t="s">
        <v>7181</v>
      </c>
      <c r="D7758" s="60"/>
      <c r="E7758" s="74">
        <v>2023</v>
      </c>
      <c r="F7758" s="74" t="s">
        <v>489</v>
      </c>
      <c r="G7758" s="61">
        <v>1</v>
      </c>
      <c r="H7758" s="61">
        <v>15</v>
      </c>
      <c r="I7758" s="61">
        <v>36.332160000000002</v>
      </c>
    </row>
    <row r="7759" spans="1:9" s="71" customFormat="1" ht="24" hidden="1" customHeight="1" outlineLevel="1" x14ac:dyDescent="0.25">
      <c r="A7759" s="74">
        <v>2806</v>
      </c>
      <c r="B7759" s="45" t="s">
        <v>664</v>
      </c>
      <c r="C7759" s="60" t="s">
        <v>7182</v>
      </c>
      <c r="D7759" s="60"/>
      <c r="E7759" s="74">
        <v>2023</v>
      </c>
      <c r="F7759" s="74" t="s">
        <v>489</v>
      </c>
      <c r="G7759" s="61">
        <v>3</v>
      </c>
      <c r="H7759" s="61">
        <v>45</v>
      </c>
      <c r="I7759" s="61">
        <v>109.54273000000001</v>
      </c>
    </row>
    <row r="7760" spans="1:9" s="71" customFormat="1" ht="24" hidden="1" customHeight="1" outlineLevel="1" x14ac:dyDescent="0.25">
      <c r="A7760" s="74">
        <v>2795</v>
      </c>
      <c r="B7760" s="45" t="s">
        <v>664</v>
      </c>
      <c r="C7760" s="60" t="s">
        <v>7183</v>
      </c>
      <c r="D7760" s="60"/>
      <c r="E7760" s="74">
        <v>2023</v>
      </c>
      <c r="F7760" s="74" t="s">
        <v>489</v>
      </c>
      <c r="G7760" s="61">
        <v>31</v>
      </c>
      <c r="H7760" s="61">
        <v>445</v>
      </c>
      <c r="I7760" s="61">
        <v>1096.4110800000001</v>
      </c>
    </row>
    <row r="7761" spans="1:9" s="71" customFormat="1" ht="24" hidden="1" customHeight="1" outlineLevel="1" x14ac:dyDescent="0.25">
      <c r="A7761" s="74">
        <v>4570</v>
      </c>
      <c r="B7761" s="45" t="s">
        <v>664</v>
      </c>
      <c r="C7761" s="60" t="s">
        <v>7184</v>
      </c>
      <c r="D7761" s="60"/>
      <c r="E7761" s="74">
        <v>2023</v>
      </c>
      <c r="F7761" s="74" t="s">
        <v>489</v>
      </c>
      <c r="G7761" s="61">
        <v>1</v>
      </c>
      <c r="H7761" s="61">
        <v>15</v>
      </c>
      <c r="I7761" s="61">
        <v>36.258130000000001</v>
      </c>
    </row>
    <row r="7762" spans="1:9" s="71" customFormat="1" ht="24" hidden="1" customHeight="1" outlineLevel="1" x14ac:dyDescent="0.25">
      <c r="A7762" s="74">
        <v>4573</v>
      </c>
      <c r="B7762" s="45" t="s">
        <v>664</v>
      </c>
      <c r="C7762" s="60" t="s">
        <v>7185</v>
      </c>
      <c r="D7762" s="60"/>
      <c r="E7762" s="74">
        <v>2023</v>
      </c>
      <c r="F7762" s="74" t="s">
        <v>489</v>
      </c>
      <c r="G7762" s="61">
        <v>1</v>
      </c>
      <c r="H7762" s="61">
        <v>10</v>
      </c>
      <c r="I7762" s="61">
        <v>37.005679999999998</v>
      </c>
    </row>
    <row r="7763" spans="1:9" s="71" customFormat="1" ht="24" hidden="1" customHeight="1" outlineLevel="1" x14ac:dyDescent="0.25">
      <c r="A7763" s="74">
        <v>2773</v>
      </c>
      <c r="B7763" s="45" t="s">
        <v>664</v>
      </c>
      <c r="C7763" s="60" t="s">
        <v>7186</v>
      </c>
      <c r="D7763" s="60"/>
      <c r="E7763" s="74">
        <v>2023</v>
      </c>
      <c r="F7763" s="74" t="s">
        <v>489</v>
      </c>
      <c r="G7763" s="61">
        <v>1</v>
      </c>
      <c r="H7763" s="61">
        <v>5</v>
      </c>
      <c r="I7763" s="61">
        <v>37.07199</v>
      </c>
    </row>
    <row r="7764" spans="1:9" s="71" customFormat="1" ht="24" hidden="1" customHeight="1" outlineLevel="1" x14ac:dyDescent="0.25">
      <c r="A7764" s="74">
        <v>4575</v>
      </c>
      <c r="B7764" s="45" t="s">
        <v>664</v>
      </c>
      <c r="C7764" s="60" t="s">
        <v>7187</v>
      </c>
      <c r="D7764" s="60"/>
      <c r="E7764" s="74">
        <v>2023</v>
      </c>
      <c r="F7764" s="74" t="s">
        <v>489</v>
      </c>
      <c r="G7764" s="61">
        <v>1</v>
      </c>
      <c r="H7764" s="61">
        <v>15</v>
      </c>
      <c r="I7764" s="61">
        <v>36.864570000000001</v>
      </c>
    </row>
    <row r="7765" spans="1:9" s="71" customFormat="1" ht="24" hidden="1" customHeight="1" outlineLevel="1" x14ac:dyDescent="0.25">
      <c r="A7765" s="74">
        <v>4572</v>
      </c>
      <c r="B7765" s="45" t="s">
        <v>664</v>
      </c>
      <c r="C7765" s="60" t="s">
        <v>7188</v>
      </c>
      <c r="D7765" s="60"/>
      <c r="E7765" s="74">
        <v>2023</v>
      </c>
      <c r="F7765" s="74" t="s">
        <v>489</v>
      </c>
      <c r="G7765" s="61">
        <v>1</v>
      </c>
      <c r="H7765" s="61">
        <v>5</v>
      </c>
      <c r="I7765" s="61">
        <v>35.665639999999996</v>
      </c>
    </row>
    <row r="7766" spans="1:9" s="71" customFormat="1" ht="24" hidden="1" customHeight="1" outlineLevel="1" x14ac:dyDescent="0.25">
      <c r="A7766" s="74">
        <v>2794</v>
      </c>
      <c r="B7766" s="45" t="s">
        <v>664</v>
      </c>
      <c r="C7766" s="60" t="s">
        <v>7189</v>
      </c>
      <c r="D7766" s="60"/>
      <c r="E7766" s="74">
        <v>2023</v>
      </c>
      <c r="F7766" s="74" t="s">
        <v>489</v>
      </c>
      <c r="G7766" s="61">
        <v>1</v>
      </c>
      <c r="H7766" s="61">
        <v>15</v>
      </c>
      <c r="I7766" s="61">
        <v>35.959980000000002</v>
      </c>
    </row>
    <row r="7767" spans="1:9" s="71" customFormat="1" ht="24" hidden="1" customHeight="1" outlineLevel="1" x14ac:dyDescent="0.25">
      <c r="A7767" s="74">
        <v>4571</v>
      </c>
      <c r="B7767" s="45" t="s">
        <v>664</v>
      </c>
      <c r="C7767" s="60" t="s">
        <v>7190</v>
      </c>
      <c r="D7767" s="60"/>
      <c r="E7767" s="74">
        <v>2023</v>
      </c>
      <c r="F7767" s="74" t="s">
        <v>489</v>
      </c>
      <c r="G7767" s="61">
        <v>1</v>
      </c>
      <c r="H7767" s="61">
        <v>5</v>
      </c>
      <c r="I7767" s="61">
        <v>35.665649999999999</v>
      </c>
    </row>
    <row r="7768" spans="1:9" s="71" customFormat="1" ht="22.5" hidden="1" customHeight="1" outlineLevel="1" x14ac:dyDescent="0.25">
      <c r="A7768" s="123">
        <v>3121</v>
      </c>
      <c r="B7768" s="45" t="s">
        <v>664</v>
      </c>
      <c r="C7768" s="60" t="s">
        <v>263</v>
      </c>
      <c r="D7768" s="60"/>
      <c r="E7768" s="74">
        <v>2023</v>
      </c>
      <c r="F7768" s="74" t="s">
        <v>489</v>
      </c>
      <c r="G7768" s="45">
        <v>1</v>
      </c>
      <c r="H7768" s="61">
        <v>100</v>
      </c>
      <c r="I7768" s="61">
        <v>36.5</v>
      </c>
    </row>
    <row r="7769" spans="1:9" s="71" customFormat="1" ht="22.5" hidden="1" customHeight="1" outlineLevel="1" x14ac:dyDescent="0.25">
      <c r="A7769" s="123">
        <v>3015</v>
      </c>
      <c r="B7769" s="45" t="s">
        <v>664</v>
      </c>
      <c r="C7769" s="60" t="s">
        <v>460</v>
      </c>
      <c r="D7769" s="60"/>
      <c r="E7769" s="74">
        <v>2023</v>
      </c>
      <c r="F7769" s="74" t="s">
        <v>489</v>
      </c>
      <c r="G7769" s="45">
        <v>1</v>
      </c>
      <c r="H7769" s="61">
        <v>30</v>
      </c>
      <c r="I7769" s="61">
        <v>510.92072999999999</v>
      </c>
    </row>
    <row r="7770" spans="1:9" s="71" customFormat="1" ht="24" hidden="1" customHeight="1" outlineLevel="1" x14ac:dyDescent="0.25">
      <c r="A7770" s="74">
        <v>2807</v>
      </c>
      <c r="B7770" s="45" t="s">
        <v>664</v>
      </c>
      <c r="C7770" s="60" t="s">
        <v>7191</v>
      </c>
      <c r="D7770" s="60"/>
      <c r="E7770" s="74">
        <v>2023</v>
      </c>
      <c r="F7770" s="74" t="s">
        <v>489</v>
      </c>
      <c r="G7770" s="61">
        <v>1</v>
      </c>
      <c r="H7770" s="61">
        <v>3</v>
      </c>
      <c r="I7770" s="61">
        <v>35.926699999999997</v>
      </c>
    </row>
    <row r="7771" spans="1:9" s="71" customFormat="1" ht="33.75" hidden="1" customHeight="1" outlineLevel="1" x14ac:dyDescent="0.25">
      <c r="A7771" s="74">
        <v>3535</v>
      </c>
      <c r="B7771" s="45" t="s">
        <v>664</v>
      </c>
      <c r="C7771" s="60" t="s">
        <v>7192</v>
      </c>
      <c r="D7771" s="60"/>
      <c r="E7771" s="74">
        <v>2023</v>
      </c>
      <c r="F7771" s="74" t="s">
        <v>489</v>
      </c>
      <c r="G7771" s="61">
        <v>1</v>
      </c>
      <c r="H7771" s="61">
        <v>15</v>
      </c>
      <c r="I7771" s="61">
        <v>38.950000000000003</v>
      </c>
    </row>
    <row r="7772" spans="1:9" s="71" customFormat="1" ht="19.5" hidden="1" customHeight="1" outlineLevel="1" x14ac:dyDescent="0.25">
      <c r="A7772" s="124">
        <v>9183</v>
      </c>
      <c r="B7772" s="125" t="s">
        <v>664</v>
      </c>
      <c r="C7772" s="126" t="s">
        <v>7193</v>
      </c>
      <c r="D7772" s="126"/>
      <c r="E7772" s="127">
        <v>2021</v>
      </c>
      <c r="F7772" s="127"/>
      <c r="G7772" s="125">
        <v>1</v>
      </c>
      <c r="H7772" s="125">
        <v>15</v>
      </c>
      <c r="I7772" s="128">
        <v>87</v>
      </c>
    </row>
    <row r="7773" spans="1:9" s="71" customFormat="1" ht="19.5" hidden="1" customHeight="1" outlineLevel="1" x14ac:dyDescent="0.25">
      <c r="A7773" s="84">
        <v>90</v>
      </c>
      <c r="B7773" s="45" t="s">
        <v>664</v>
      </c>
      <c r="C7773" s="82" t="s">
        <v>7194</v>
      </c>
      <c r="D7773" s="82"/>
      <c r="E7773" s="74">
        <v>2021</v>
      </c>
      <c r="F7773" s="74"/>
      <c r="G7773" s="45">
        <v>1</v>
      </c>
      <c r="H7773" s="45">
        <v>15</v>
      </c>
      <c r="I7773" s="45">
        <v>58</v>
      </c>
    </row>
    <row r="7774" spans="1:9" s="71" customFormat="1" ht="19.5" hidden="1" customHeight="1" outlineLevel="1" x14ac:dyDescent="0.25">
      <c r="A7774" s="83">
        <v>9187</v>
      </c>
      <c r="B7774" s="45" t="s">
        <v>664</v>
      </c>
      <c r="C7774" s="82" t="s">
        <v>7195</v>
      </c>
      <c r="D7774" s="82"/>
      <c r="E7774" s="74">
        <v>2021</v>
      </c>
      <c r="F7774" s="74"/>
      <c r="G7774" s="45">
        <v>1</v>
      </c>
      <c r="H7774" s="45">
        <v>15</v>
      </c>
      <c r="I7774" s="45">
        <v>103</v>
      </c>
    </row>
    <row r="7775" spans="1:9" s="71" customFormat="1" ht="19.5" hidden="1" customHeight="1" outlineLevel="1" x14ac:dyDescent="0.25">
      <c r="A7775" s="84">
        <v>101</v>
      </c>
      <c r="B7775" s="45" t="s">
        <v>664</v>
      </c>
      <c r="C7775" s="82" t="s">
        <v>7196</v>
      </c>
      <c r="D7775" s="82"/>
      <c r="E7775" s="74">
        <v>2021</v>
      </c>
      <c r="F7775" s="74"/>
      <c r="G7775" s="45">
        <v>1</v>
      </c>
      <c r="H7775" s="45">
        <v>15</v>
      </c>
      <c r="I7775" s="45">
        <v>78</v>
      </c>
    </row>
    <row r="7776" spans="1:9" s="71" customFormat="1" ht="19.5" hidden="1" customHeight="1" outlineLevel="1" x14ac:dyDescent="0.25">
      <c r="A7776" s="83">
        <v>9185</v>
      </c>
      <c r="B7776" s="45" t="s">
        <v>664</v>
      </c>
      <c r="C7776" s="82" t="s">
        <v>7197</v>
      </c>
      <c r="D7776" s="82"/>
      <c r="E7776" s="74">
        <v>2021</v>
      </c>
      <c r="F7776" s="74"/>
      <c r="G7776" s="45">
        <v>1</v>
      </c>
      <c r="H7776" s="45">
        <v>15</v>
      </c>
      <c r="I7776" s="45">
        <v>117</v>
      </c>
    </row>
    <row r="7777" spans="1:9" s="71" customFormat="1" ht="19.5" hidden="1" customHeight="1" outlineLevel="1" x14ac:dyDescent="0.25">
      <c r="A7777" s="83">
        <v>9796</v>
      </c>
      <c r="B7777" s="45" t="s">
        <v>664</v>
      </c>
      <c r="C7777" s="82" t="s">
        <v>7198</v>
      </c>
      <c r="D7777" s="82"/>
      <c r="E7777" s="74">
        <v>2021</v>
      </c>
      <c r="F7777" s="74"/>
      <c r="G7777" s="45">
        <v>1</v>
      </c>
      <c r="H7777" s="45">
        <v>15</v>
      </c>
      <c r="I7777" s="45">
        <v>41</v>
      </c>
    </row>
    <row r="7778" spans="1:9" s="71" customFormat="1" ht="19.5" hidden="1" customHeight="1" outlineLevel="1" x14ac:dyDescent="0.25">
      <c r="A7778" s="84">
        <v>173</v>
      </c>
      <c r="B7778" s="45" t="s">
        <v>664</v>
      </c>
      <c r="C7778" s="82" t="s">
        <v>7199</v>
      </c>
      <c r="D7778" s="82"/>
      <c r="E7778" s="74">
        <v>2021</v>
      </c>
      <c r="F7778" s="74"/>
      <c r="G7778" s="45">
        <v>1</v>
      </c>
      <c r="H7778" s="45">
        <v>15</v>
      </c>
      <c r="I7778" s="45">
        <v>88</v>
      </c>
    </row>
    <row r="7779" spans="1:9" s="71" customFormat="1" ht="19.5" hidden="1" customHeight="1" outlineLevel="1" x14ac:dyDescent="0.25">
      <c r="A7779" s="84">
        <v>86</v>
      </c>
      <c r="B7779" s="45" t="s">
        <v>664</v>
      </c>
      <c r="C7779" s="82" t="s">
        <v>7200</v>
      </c>
      <c r="D7779" s="82"/>
      <c r="E7779" s="74">
        <v>2021</v>
      </c>
      <c r="F7779" s="74"/>
      <c r="G7779" s="45">
        <v>1</v>
      </c>
      <c r="H7779" s="45">
        <v>15</v>
      </c>
      <c r="I7779" s="45">
        <v>87</v>
      </c>
    </row>
    <row r="7780" spans="1:9" s="71" customFormat="1" ht="19.5" hidden="1" customHeight="1" outlineLevel="1" x14ac:dyDescent="0.25">
      <c r="A7780" s="83">
        <v>9184</v>
      </c>
      <c r="B7780" s="45" t="s">
        <v>664</v>
      </c>
      <c r="C7780" s="82" t="s">
        <v>7201</v>
      </c>
      <c r="D7780" s="82"/>
      <c r="E7780" s="74">
        <v>2021</v>
      </c>
      <c r="F7780" s="74"/>
      <c r="G7780" s="45">
        <v>1</v>
      </c>
      <c r="H7780" s="45">
        <v>15</v>
      </c>
      <c r="I7780" s="45">
        <v>74</v>
      </c>
    </row>
    <row r="7781" spans="1:9" s="71" customFormat="1" ht="19.5" hidden="1" customHeight="1" outlineLevel="1" x14ac:dyDescent="0.25">
      <c r="A7781" s="83">
        <v>9180</v>
      </c>
      <c r="B7781" s="45" t="s">
        <v>664</v>
      </c>
      <c r="C7781" s="82" t="s">
        <v>7202</v>
      </c>
      <c r="D7781" s="82"/>
      <c r="E7781" s="74">
        <v>2021</v>
      </c>
      <c r="F7781" s="74"/>
      <c r="G7781" s="45">
        <v>1</v>
      </c>
      <c r="H7781" s="45">
        <v>10</v>
      </c>
      <c r="I7781" s="45">
        <v>79</v>
      </c>
    </row>
    <row r="7782" spans="1:9" s="71" customFormat="1" ht="19.5" hidden="1" customHeight="1" outlineLevel="1" x14ac:dyDescent="0.25">
      <c r="A7782" s="84">
        <v>27</v>
      </c>
      <c r="B7782" s="45" t="s">
        <v>664</v>
      </c>
      <c r="C7782" s="82" t="s">
        <v>7203</v>
      </c>
      <c r="D7782" s="82"/>
      <c r="E7782" s="74">
        <v>2021</v>
      </c>
      <c r="F7782" s="74"/>
      <c r="G7782" s="45">
        <v>1</v>
      </c>
      <c r="H7782" s="45">
        <v>7</v>
      </c>
      <c r="I7782" s="45">
        <v>68</v>
      </c>
    </row>
    <row r="7783" spans="1:9" s="71" customFormat="1" ht="19.5" hidden="1" customHeight="1" outlineLevel="1" x14ac:dyDescent="0.25">
      <c r="A7783" s="83">
        <v>9191</v>
      </c>
      <c r="B7783" s="45" t="s">
        <v>664</v>
      </c>
      <c r="C7783" s="82" t="s">
        <v>7204</v>
      </c>
      <c r="D7783" s="82"/>
      <c r="E7783" s="74">
        <v>2021</v>
      </c>
      <c r="F7783" s="74"/>
      <c r="G7783" s="45">
        <v>1</v>
      </c>
      <c r="H7783" s="45">
        <v>15</v>
      </c>
      <c r="I7783" s="45">
        <v>83</v>
      </c>
    </row>
    <row r="7784" spans="1:9" s="71" customFormat="1" ht="19.5" hidden="1" customHeight="1" outlineLevel="1" x14ac:dyDescent="0.25">
      <c r="A7784" s="84">
        <v>1434</v>
      </c>
      <c r="B7784" s="45" t="s">
        <v>664</v>
      </c>
      <c r="C7784" s="82" t="s">
        <v>7205</v>
      </c>
      <c r="D7784" s="82"/>
      <c r="E7784" s="74">
        <v>2021</v>
      </c>
      <c r="F7784" s="74"/>
      <c r="G7784" s="45">
        <v>1</v>
      </c>
      <c r="H7784" s="45">
        <v>15</v>
      </c>
      <c r="I7784" s="45">
        <v>32</v>
      </c>
    </row>
    <row r="7785" spans="1:9" s="71" customFormat="1" ht="19.5" hidden="1" customHeight="1" outlineLevel="1" x14ac:dyDescent="0.25">
      <c r="A7785" s="83">
        <v>9226</v>
      </c>
      <c r="B7785" s="45" t="s">
        <v>664</v>
      </c>
      <c r="C7785" s="82" t="s">
        <v>7206</v>
      </c>
      <c r="D7785" s="82"/>
      <c r="E7785" s="74">
        <v>2021</v>
      </c>
      <c r="F7785" s="74"/>
      <c r="G7785" s="45">
        <v>1</v>
      </c>
      <c r="H7785" s="45">
        <v>15</v>
      </c>
      <c r="I7785" s="45">
        <v>59</v>
      </c>
    </row>
    <row r="7786" spans="1:9" s="71" customFormat="1" ht="19.5" hidden="1" customHeight="1" outlineLevel="1" x14ac:dyDescent="0.25">
      <c r="A7786" s="84">
        <v>76</v>
      </c>
      <c r="B7786" s="45" t="s">
        <v>664</v>
      </c>
      <c r="C7786" s="82" t="s">
        <v>7207</v>
      </c>
      <c r="D7786" s="82"/>
      <c r="E7786" s="74">
        <v>2021</v>
      </c>
      <c r="F7786" s="74"/>
      <c r="G7786" s="45">
        <v>1</v>
      </c>
      <c r="H7786" s="45">
        <v>15</v>
      </c>
      <c r="I7786" s="45">
        <v>94</v>
      </c>
    </row>
    <row r="7787" spans="1:9" s="71" customFormat="1" ht="19.5" hidden="1" customHeight="1" outlineLevel="1" x14ac:dyDescent="0.25">
      <c r="A7787" s="84">
        <v>1436</v>
      </c>
      <c r="B7787" s="45" t="s">
        <v>664</v>
      </c>
      <c r="C7787" s="82" t="s">
        <v>7208</v>
      </c>
      <c r="D7787" s="82"/>
      <c r="E7787" s="74">
        <v>2021</v>
      </c>
      <c r="F7787" s="74"/>
      <c r="G7787" s="45">
        <v>1</v>
      </c>
      <c r="H7787" s="45">
        <v>15</v>
      </c>
      <c r="I7787" s="45">
        <v>30</v>
      </c>
    </row>
    <row r="7788" spans="1:9" s="71" customFormat="1" ht="19.5" hidden="1" customHeight="1" outlineLevel="1" x14ac:dyDescent="0.25">
      <c r="A7788" s="83">
        <v>9190</v>
      </c>
      <c r="B7788" s="45" t="s">
        <v>664</v>
      </c>
      <c r="C7788" s="82" t="s">
        <v>7209</v>
      </c>
      <c r="D7788" s="82"/>
      <c r="E7788" s="74">
        <v>2021</v>
      </c>
      <c r="F7788" s="74"/>
      <c r="G7788" s="45">
        <v>1</v>
      </c>
      <c r="H7788" s="45">
        <v>15</v>
      </c>
      <c r="I7788" s="45">
        <v>84</v>
      </c>
    </row>
    <row r="7789" spans="1:9" s="71" customFormat="1" ht="19.5" hidden="1" customHeight="1" outlineLevel="1" x14ac:dyDescent="0.25">
      <c r="A7789" s="83">
        <v>9224</v>
      </c>
      <c r="B7789" s="45" t="s">
        <v>664</v>
      </c>
      <c r="C7789" s="82" t="s">
        <v>7210</v>
      </c>
      <c r="D7789" s="82"/>
      <c r="E7789" s="74">
        <v>2021</v>
      </c>
      <c r="F7789" s="74"/>
      <c r="G7789" s="45">
        <v>1</v>
      </c>
      <c r="H7789" s="45">
        <v>7</v>
      </c>
      <c r="I7789" s="45">
        <v>43</v>
      </c>
    </row>
    <row r="7790" spans="1:9" s="71" customFormat="1" ht="19.5" hidden="1" customHeight="1" outlineLevel="1" x14ac:dyDescent="0.25">
      <c r="A7790" s="83">
        <v>9246</v>
      </c>
      <c r="B7790" s="45" t="s">
        <v>664</v>
      </c>
      <c r="C7790" s="82" t="s">
        <v>7211</v>
      </c>
      <c r="D7790" s="82"/>
      <c r="E7790" s="74">
        <v>2021</v>
      </c>
      <c r="F7790" s="74"/>
      <c r="G7790" s="45">
        <v>1</v>
      </c>
      <c r="H7790" s="45">
        <v>15</v>
      </c>
      <c r="I7790" s="45">
        <v>62</v>
      </c>
    </row>
    <row r="7791" spans="1:9" s="71" customFormat="1" ht="19.5" hidden="1" customHeight="1" outlineLevel="1" x14ac:dyDescent="0.25">
      <c r="A7791" s="83">
        <v>9243</v>
      </c>
      <c r="B7791" s="45" t="s">
        <v>664</v>
      </c>
      <c r="C7791" s="82" t="s">
        <v>7212</v>
      </c>
      <c r="D7791" s="82"/>
      <c r="E7791" s="74">
        <v>2021</v>
      </c>
      <c r="F7791" s="74"/>
      <c r="G7791" s="45">
        <v>1</v>
      </c>
      <c r="H7791" s="45">
        <v>15</v>
      </c>
      <c r="I7791" s="45">
        <v>59</v>
      </c>
    </row>
    <row r="7792" spans="1:9" s="71" customFormat="1" ht="19.5" hidden="1" customHeight="1" outlineLevel="1" x14ac:dyDescent="0.25">
      <c r="A7792" s="83">
        <v>9182</v>
      </c>
      <c r="B7792" s="45" t="s">
        <v>664</v>
      </c>
      <c r="C7792" s="82" t="s">
        <v>7213</v>
      </c>
      <c r="D7792" s="82"/>
      <c r="E7792" s="74">
        <v>2021</v>
      </c>
      <c r="F7792" s="74"/>
      <c r="G7792" s="45">
        <v>1</v>
      </c>
      <c r="H7792" s="45">
        <v>15</v>
      </c>
      <c r="I7792" s="45">
        <v>90</v>
      </c>
    </row>
    <row r="7793" spans="1:9" s="71" customFormat="1" ht="19.5" hidden="1" customHeight="1" outlineLevel="1" x14ac:dyDescent="0.25">
      <c r="A7793" s="83">
        <v>9186</v>
      </c>
      <c r="B7793" s="45" t="s">
        <v>664</v>
      </c>
      <c r="C7793" s="82" t="s">
        <v>7214</v>
      </c>
      <c r="D7793" s="82"/>
      <c r="E7793" s="74">
        <v>2021</v>
      </c>
      <c r="F7793" s="74"/>
      <c r="G7793" s="45">
        <v>1</v>
      </c>
      <c r="H7793" s="45">
        <v>15</v>
      </c>
      <c r="I7793" s="45">
        <v>66</v>
      </c>
    </row>
    <row r="7794" spans="1:9" s="71" customFormat="1" ht="19.5" hidden="1" customHeight="1" outlineLevel="1" x14ac:dyDescent="0.25">
      <c r="A7794" s="84">
        <v>99</v>
      </c>
      <c r="B7794" s="45" t="s">
        <v>664</v>
      </c>
      <c r="C7794" s="82" t="s">
        <v>7215</v>
      </c>
      <c r="D7794" s="82"/>
      <c r="E7794" s="74">
        <v>2021</v>
      </c>
      <c r="F7794" s="74"/>
      <c r="G7794" s="45">
        <v>1</v>
      </c>
      <c r="H7794" s="45">
        <v>15</v>
      </c>
      <c r="I7794" s="45">
        <v>99</v>
      </c>
    </row>
    <row r="7795" spans="1:9" s="71" customFormat="1" ht="19.5" hidden="1" customHeight="1" outlineLevel="1" x14ac:dyDescent="0.25">
      <c r="A7795" s="84">
        <v>83</v>
      </c>
      <c r="B7795" s="45" t="s">
        <v>664</v>
      </c>
      <c r="C7795" s="82" t="s">
        <v>7216</v>
      </c>
      <c r="D7795" s="82"/>
      <c r="E7795" s="74">
        <v>2021</v>
      </c>
      <c r="F7795" s="74"/>
      <c r="G7795" s="45">
        <v>1</v>
      </c>
      <c r="H7795" s="45">
        <v>15</v>
      </c>
      <c r="I7795" s="45">
        <v>72</v>
      </c>
    </row>
    <row r="7796" spans="1:9" s="71" customFormat="1" ht="19.5" hidden="1" customHeight="1" outlineLevel="1" x14ac:dyDescent="0.25">
      <c r="A7796" s="84">
        <v>1400</v>
      </c>
      <c r="B7796" s="45" t="s">
        <v>664</v>
      </c>
      <c r="C7796" s="82" t="s">
        <v>7217</v>
      </c>
      <c r="D7796" s="82"/>
      <c r="E7796" s="74">
        <v>2021</v>
      </c>
      <c r="F7796" s="74"/>
      <c r="G7796" s="45">
        <v>1</v>
      </c>
      <c r="H7796" s="45">
        <v>15</v>
      </c>
      <c r="I7796" s="45">
        <v>34</v>
      </c>
    </row>
    <row r="7797" spans="1:9" s="71" customFormat="1" ht="19.5" hidden="1" customHeight="1" outlineLevel="1" x14ac:dyDescent="0.25">
      <c r="A7797" s="83">
        <v>9788</v>
      </c>
      <c r="B7797" s="45" t="s">
        <v>664</v>
      </c>
      <c r="C7797" s="82" t="s">
        <v>7218</v>
      </c>
      <c r="D7797" s="82"/>
      <c r="E7797" s="74">
        <v>2021</v>
      </c>
      <c r="F7797" s="74"/>
      <c r="G7797" s="45">
        <v>1</v>
      </c>
      <c r="H7797" s="45">
        <v>15</v>
      </c>
      <c r="I7797" s="45">
        <v>39</v>
      </c>
    </row>
    <row r="7798" spans="1:9" s="71" customFormat="1" ht="19.5" hidden="1" customHeight="1" outlineLevel="1" x14ac:dyDescent="0.25">
      <c r="A7798" s="84">
        <v>1491</v>
      </c>
      <c r="B7798" s="45" t="s">
        <v>664</v>
      </c>
      <c r="C7798" s="82" t="s">
        <v>7219</v>
      </c>
      <c r="D7798" s="82"/>
      <c r="E7798" s="74">
        <v>2021</v>
      </c>
      <c r="F7798" s="74"/>
      <c r="G7798" s="45">
        <v>1</v>
      </c>
      <c r="H7798" s="45">
        <v>15</v>
      </c>
      <c r="I7798" s="45">
        <v>31</v>
      </c>
    </row>
    <row r="7799" spans="1:9" s="71" customFormat="1" ht="19.5" hidden="1" customHeight="1" outlineLevel="1" x14ac:dyDescent="0.25">
      <c r="A7799" s="84">
        <v>110</v>
      </c>
      <c r="B7799" s="45" t="s">
        <v>664</v>
      </c>
      <c r="C7799" s="82" t="s">
        <v>7220</v>
      </c>
      <c r="D7799" s="82"/>
      <c r="E7799" s="74">
        <v>2021</v>
      </c>
      <c r="F7799" s="74"/>
      <c r="G7799" s="45">
        <v>1</v>
      </c>
      <c r="H7799" s="45">
        <v>15</v>
      </c>
      <c r="I7799" s="45">
        <v>70</v>
      </c>
    </row>
    <row r="7800" spans="1:9" s="71" customFormat="1" ht="19.5" hidden="1" customHeight="1" outlineLevel="1" x14ac:dyDescent="0.25">
      <c r="A7800" s="84">
        <v>113</v>
      </c>
      <c r="B7800" s="45" t="s">
        <v>664</v>
      </c>
      <c r="C7800" s="82" t="s">
        <v>7221</v>
      </c>
      <c r="D7800" s="82"/>
      <c r="E7800" s="74">
        <v>2021</v>
      </c>
      <c r="F7800" s="74"/>
      <c r="G7800" s="45">
        <v>1</v>
      </c>
      <c r="H7800" s="45">
        <v>15</v>
      </c>
      <c r="I7800" s="45">
        <v>60</v>
      </c>
    </row>
    <row r="7801" spans="1:9" s="71" customFormat="1" ht="19.5" hidden="1" customHeight="1" outlineLevel="1" x14ac:dyDescent="0.25">
      <c r="A7801" s="83">
        <v>9222</v>
      </c>
      <c r="B7801" s="45" t="s">
        <v>664</v>
      </c>
      <c r="C7801" s="82" t="s">
        <v>7222</v>
      </c>
      <c r="D7801" s="82"/>
      <c r="E7801" s="74">
        <v>2021</v>
      </c>
      <c r="F7801" s="74"/>
      <c r="G7801" s="45">
        <v>1</v>
      </c>
      <c r="H7801" s="45">
        <v>15</v>
      </c>
      <c r="I7801" s="45">
        <v>88</v>
      </c>
    </row>
    <row r="7802" spans="1:9" s="71" customFormat="1" ht="19.5" hidden="1" customHeight="1" outlineLevel="1" x14ac:dyDescent="0.25">
      <c r="A7802" s="83">
        <v>9223</v>
      </c>
      <c r="B7802" s="45" t="s">
        <v>664</v>
      </c>
      <c r="C7802" s="82" t="s">
        <v>7223</v>
      </c>
      <c r="D7802" s="82"/>
      <c r="E7802" s="74">
        <v>2021</v>
      </c>
      <c r="F7802" s="74"/>
      <c r="G7802" s="45">
        <v>1</v>
      </c>
      <c r="H7802" s="45">
        <v>15</v>
      </c>
      <c r="I7802" s="45">
        <v>109</v>
      </c>
    </row>
    <row r="7803" spans="1:9" s="71" customFormat="1" ht="19.5" hidden="1" customHeight="1" outlineLevel="1" x14ac:dyDescent="0.25">
      <c r="A7803" s="83">
        <v>9189</v>
      </c>
      <c r="B7803" s="45" t="s">
        <v>664</v>
      </c>
      <c r="C7803" s="82" t="s">
        <v>7224</v>
      </c>
      <c r="D7803" s="82"/>
      <c r="E7803" s="74">
        <v>2021</v>
      </c>
      <c r="F7803" s="74"/>
      <c r="G7803" s="45">
        <v>1</v>
      </c>
      <c r="H7803" s="45">
        <v>15</v>
      </c>
      <c r="I7803" s="45">
        <v>102</v>
      </c>
    </row>
    <row r="7804" spans="1:9" s="71" customFormat="1" ht="19.5" hidden="1" customHeight="1" outlineLevel="1" x14ac:dyDescent="0.25">
      <c r="A7804" s="83">
        <v>9188</v>
      </c>
      <c r="B7804" s="45" t="s">
        <v>664</v>
      </c>
      <c r="C7804" s="82" t="s">
        <v>7225</v>
      </c>
      <c r="D7804" s="82"/>
      <c r="E7804" s="74">
        <v>2021</v>
      </c>
      <c r="F7804" s="74"/>
      <c r="G7804" s="45">
        <v>1</v>
      </c>
      <c r="H7804" s="45">
        <v>15</v>
      </c>
      <c r="I7804" s="45">
        <v>107</v>
      </c>
    </row>
    <row r="7805" spans="1:9" s="71" customFormat="1" ht="19.5" hidden="1" customHeight="1" outlineLevel="1" x14ac:dyDescent="0.25">
      <c r="A7805" s="84">
        <v>832</v>
      </c>
      <c r="B7805" s="45" t="s">
        <v>664</v>
      </c>
      <c r="C7805" s="82" t="s">
        <v>7226</v>
      </c>
      <c r="D7805" s="82"/>
      <c r="E7805" s="74">
        <v>2021</v>
      </c>
      <c r="F7805" s="74"/>
      <c r="G7805" s="45">
        <v>1</v>
      </c>
      <c r="H7805" s="45">
        <v>30</v>
      </c>
      <c r="I7805" s="45">
        <v>34</v>
      </c>
    </row>
    <row r="7806" spans="1:9" s="71" customFormat="1" ht="19.5" hidden="1" customHeight="1" outlineLevel="1" x14ac:dyDescent="0.25">
      <c r="A7806" s="84">
        <v>1575</v>
      </c>
      <c r="B7806" s="45" t="s">
        <v>664</v>
      </c>
      <c r="C7806" s="82" t="s">
        <v>7227</v>
      </c>
      <c r="D7806" s="82"/>
      <c r="E7806" s="74">
        <v>2021</v>
      </c>
      <c r="F7806" s="74"/>
      <c r="G7806" s="45">
        <v>1</v>
      </c>
      <c r="H7806" s="45">
        <v>15</v>
      </c>
      <c r="I7806" s="45">
        <v>112</v>
      </c>
    </row>
    <row r="7807" spans="1:9" s="71" customFormat="1" ht="19.5" hidden="1" customHeight="1" outlineLevel="1" x14ac:dyDescent="0.25">
      <c r="A7807" s="84">
        <v>789</v>
      </c>
      <c r="B7807" s="45" t="s">
        <v>664</v>
      </c>
      <c r="C7807" s="82" t="s">
        <v>7228</v>
      </c>
      <c r="D7807" s="82"/>
      <c r="E7807" s="74">
        <v>2021</v>
      </c>
      <c r="F7807" s="74"/>
      <c r="G7807" s="45">
        <v>1</v>
      </c>
      <c r="H7807" s="45">
        <v>15</v>
      </c>
      <c r="I7807" s="45">
        <v>29</v>
      </c>
    </row>
    <row r="7808" spans="1:9" s="71" customFormat="1" ht="19.5" hidden="1" customHeight="1" outlineLevel="1" x14ac:dyDescent="0.25">
      <c r="A7808" s="83">
        <v>9181</v>
      </c>
      <c r="B7808" s="45" t="s">
        <v>664</v>
      </c>
      <c r="C7808" s="82" t="s">
        <v>7229</v>
      </c>
      <c r="D7808" s="82"/>
      <c r="E7808" s="74">
        <v>2021</v>
      </c>
      <c r="F7808" s="74"/>
      <c r="G7808" s="45">
        <v>1</v>
      </c>
      <c r="H7808" s="45">
        <v>5</v>
      </c>
      <c r="I7808" s="45">
        <v>116</v>
      </c>
    </row>
    <row r="7809" spans="1:9" s="71" customFormat="1" ht="19.5" hidden="1" customHeight="1" outlineLevel="1" x14ac:dyDescent="0.25">
      <c r="A7809" s="84">
        <v>100</v>
      </c>
      <c r="B7809" s="45" t="s">
        <v>664</v>
      </c>
      <c r="C7809" s="82" t="s">
        <v>7230</v>
      </c>
      <c r="D7809" s="82"/>
      <c r="E7809" s="74">
        <v>2021</v>
      </c>
      <c r="F7809" s="74"/>
      <c r="G7809" s="45">
        <v>1</v>
      </c>
      <c r="H7809" s="45">
        <v>15</v>
      </c>
      <c r="I7809" s="45">
        <v>110</v>
      </c>
    </row>
    <row r="7810" spans="1:9" s="71" customFormat="1" ht="19.5" hidden="1" customHeight="1" outlineLevel="1" x14ac:dyDescent="0.25">
      <c r="A7810" s="84">
        <v>1388</v>
      </c>
      <c r="B7810" s="45" t="s">
        <v>664</v>
      </c>
      <c r="C7810" s="82" t="s">
        <v>7231</v>
      </c>
      <c r="D7810" s="82"/>
      <c r="E7810" s="74">
        <v>2021</v>
      </c>
      <c r="F7810" s="74"/>
      <c r="G7810" s="45">
        <v>1</v>
      </c>
      <c r="H7810" s="45">
        <v>15</v>
      </c>
      <c r="I7810" s="45">
        <v>52</v>
      </c>
    </row>
    <row r="7811" spans="1:9" s="71" customFormat="1" ht="19.5" hidden="1" customHeight="1" outlineLevel="1" x14ac:dyDescent="0.25">
      <c r="A7811" s="84">
        <v>1395</v>
      </c>
      <c r="B7811" s="45" t="s">
        <v>664</v>
      </c>
      <c r="C7811" s="82" t="s">
        <v>7232</v>
      </c>
      <c r="D7811" s="82"/>
      <c r="E7811" s="74">
        <v>2021</v>
      </c>
      <c r="F7811" s="74"/>
      <c r="G7811" s="45">
        <v>1</v>
      </c>
      <c r="H7811" s="45">
        <v>15</v>
      </c>
      <c r="I7811" s="45">
        <v>41</v>
      </c>
    </row>
    <row r="7812" spans="1:9" s="71" customFormat="1" ht="19.5" hidden="1" customHeight="1" outlineLevel="1" x14ac:dyDescent="0.25">
      <c r="A7812" s="84">
        <v>105</v>
      </c>
      <c r="B7812" s="45" t="s">
        <v>664</v>
      </c>
      <c r="C7812" s="82" t="s">
        <v>7233</v>
      </c>
      <c r="D7812" s="82"/>
      <c r="E7812" s="74">
        <v>2021</v>
      </c>
      <c r="F7812" s="74"/>
      <c r="G7812" s="45">
        <v>1</v>
      </c>
      <c r="H7812" s="45">
        <v>15</v>
      </c>
      <c r="I7812" s="45">
        <v>109</v>
      </c>
    </row>
    <row r="7813" spans="1:9" s="71" customFormat="1" ht="19.5" hidden="1" customHeight="1" outlineLevel="1" x14ac:dyDescent="0.25">
      <c r="A7813" s="83">
        <v>9898</v>
      </c>
      <c r="B7813" s="45" t="s">
        <v>664</v>
      </c>
      <c r="C7813" s="82" t="s">
        <v>7234</v>
      </c>
      <c r="D7813" s="82"/>
      <c r="E7813" s="74">
        <v>2021</v>
      </c>
      <c r="F7813" s="74"/>
      <c r="G7813" s="45">
        <v>1</v>
      </c>
      <c r="H7813" s="45">
        <v>7</v>
      </c>
      <c r="I7813" s="45">
        <v>94</v>
      </c>
    </row>
    <row r="7814" spans="1:9" s="71" customFormat="1" ht="19.5" hidden="1" customHeight="1" outlineLevel="1" x14ac:dyDescent="0.25">
      <c r="A7814" s="84">
        <v>102</v>
      </c>
      <c r="B7814" s="45" t="s">
        <v>664</v>
      </c>
      <c r="C7814" s="82" t="s">
        <v>7235</v>
      </c>
      <c r="D7814" s="82"/>
      <c r="E7814" s="74">
        <v>2021</v>
      </c>
      <c r="F7814" s="74"/>
      <c r="G7814" s="45">
        <v>1</v>
      </c>
      <c r="H7814" s="45">
        <v>15</v>
      </c>
      <c r="I7814" s="45">
        <v>52</v>
      </c>
    </row>
    <row r="7815" spans="1:9" s="71" customFormat="1" ht="19.5" hidden="1" customHeight="1" outlineLevel="1" x14ac:dyDescent="0.25">
      <c r="A7815" s="84">
        <v>94</v>
      </c>
      <c r="B7815" s="45" t="s">
        <v>664</v>
      </c>
      <c r="C7815" s="82" t="s">
        <v>7236</v>
      </c>
      <c r="D7815" s="82"/>
      <c r="E7815" s="74">
        <v>2021</v>
      </c>
      <c r="F7815" s="74"/>
      <c r="G7815" s="45">
        <v>1</v>
      </c>
      <c r="H7815" s="45">
        <v>15</v>
      </c>
      <c r="I7815" s="45">
        <v>60</v>
      </c>
    </row>
    <row r="7816" spans="1:9" s="71" customFormat="1" ht="19.5" hidden="1" customHeight="1" outlineLevel="1" x14ac:dyDescent="0.25">
      <c r="A7816" s="83">
        <v>9968</v>
      </c>
      <c r="B7816" s="45" t="s">
        <v>664</v>
      </c>
      <c r="C7816" s="82" t="s">
        <v>7237</v>
      </c>
      <c r="D7816" s="82"/>
      <c r="E7816" s="74">
        <v>2021</v>
      </c>
      <c r="F7816" s="74"/>
      <c r="G7816" s="45">
        <v>1</v>
      </c>
      <c r="H7816" s="45">
        <v>15</v>
      </c>
      <c r="I7816" s="45">
        <v>50</v>
      </c>
    </row>
    <row r="7817" spans="1:9" s="71" customFormat="1" ht="19.5" hidden="1" customHeight="1" outlineLevel="1" x14ac:dyDescent="0.25">
      <c r="A7817" s="83">
        <v>9901</v>
      </c>
      <c r="B7817" s="45" t="s">
        <v>664</v>
      </c>
      <c r="C7817" s="82" t="s">
        <v>7238</v>
      </c>
      <c r="D7817" s="82"/>
      <c r="E7817" s="74">
        <v>2021</v>
      </c>
      <c r="F7817" s="74"/>
      <c r="G7817" s="45">
        <v>1</v>
      </c>
      <c r="H7817" s="45">
        <v>15</v>
      </c>
      <c r="I7817" s="45">
        <v>53</v>
      </c>
    </row>
    <row r="7818" spans="1:9" s="71" customFormat="1" ht="19.5" hidden="1" customHeight="1" outlineLevel="1" x14ac:dyDescent="0.25">
      <c r="A7818" s="84">
        <v>1677</v>
      </c>
      <c r="B7818" s="45" t="s">
        <v>664</v>
      </c>
      <c r="C7818" s="82" t="s">
        <v>7239</v>
      </c>
      <c r="D7818" s="82"/>
      <c r="E7818" s="74">
        <v>2021</v>
      </c>
      <c r="F7818" s="74"/>
      <c r="G7818" s="45">
        <v>1</v>
      </c>
      <c r="H7818" s="45">
        <v>15</v>
      </c>
      <c r="I7818" s="45">
        <v>67</v>
      </c>
    </row>
    <row r="7819" spans="1:9" s="71" customFormat="1" ht="19.5" hidden="1" customHeight="1" outlineLevel="1" x14ac:dyDescent="0.25">
      <c r="A7819" s="84">
        <v>75</v>
      </c>
      <c r="B7819" s="45" t="s">
        <v>664</v>
      </c>
      <c r="C7819" s="82" t="s">
        <v>7240</v>
      </c>
      <c r="D7819" s="82"/>
      <c r="E7819" s="74">
        <v>2021</v>
      </c>
      <c r="F7819" s="74"/>
      <c r="G7819" s="45">
        <v>1</v>
      </c>
      <c r="H7819" s="45">
        <v>15</v>
      </c>
      <c r="I7819" s="45">
        <v>114</v>
      </c>
    </row>
    <row r="7820" spans="1:9" s="71" customFormat="1" ht="19.5" hidden="1" customHeight="1" outlineLevel="1" x14ac:dyDescent="0.25">
      <c r="A7820" s="83">
        <v>9900</v>
      </c>
      <c r="B7820" s="45" t="s">
        <v>664</v>
      </c>
      <c r="C7820" s="82" t="s">
        <v>7241</v>
      </c>
      <c r="D7820" s="82"/>
      <c r="E7820" s="74">
        <v>2021</v>
      </c>
      <c r="F7820" s="74"/>
      <c r="G7820" s="45">
        <v>1</v>
      </c>
      <c r="H7820" s="45">
        <v>15</v>
      </c>
      <c r="I7820" s="45">
        <v>114</v>
      </c>
    </row>
    <row r="7821" spans="1:9" s="71" customFormat="1" ht="19.5" hidden="1" customHeight="1" outlineLevel="1" x14ac:dyDescent="0.25">
      <c r="A7821" s="84">
        <v>120</v>
      </c>
      <c r="B7821" s="45" t="s">
        <v>664</v>
      </c>
      <c r="C7821" s="82" t="s">
        <v>7242</v>
      </c>
      <c r="D7821" s="82"/>
      <c r="E7821" s="74">
        <v>2021</v>
      </c>
      <c r="F7821" s="74"/>
      <c r="G7821" s="45">
        <v>1</v>
      </c>
      <c r="H7821" s="45">
        <v>15</v>
      </c>
      <c r="I7821" s="45">
        <v>134</v>
      </c>
    </row>
    <row r="7822" spans="1:9" s="71" customFormat="1" ht="19.5" hidden="1" customHeight="1" outlineLevel="1" x14ac:dyDescent="0.25">
      <c r="A7822" s="84">
        <v>73</v>
      </c>
      <c r="B7822" s="45" t="s">
        <v>664</v>
      </c>
      <c r="C7822" s="82" t="s">
        <v>7243</v>
      </c>
      <c r="D7822" s="82"/>
      <c r="E7822" s="74">
        <v>2021</v>
      </c>
      <c r="F7822" s="74"/>
      <c r="G7822" s="45">
        <v>1</v>
      </c>
      <c r="H7822" s="45">
        <v>15</v>
      </c>
      <c r="I7822" s="45">
        <v>125</v>
      </c>
    </row>
    <row r="7823" spans="1:9" s="71" customFormat="1" ht="19.5" hidden="1" customHeight="1" outlineLevel="1" x14ac:dyDescent="0.25">
      <c r="A7823" s="83">
        <v>9899</v>
      </c>
      <c r="B7823" s="45" t="s">
        <v>664</v>
      </c>
      <c r="C7823" s="82" t="s">
        <v>7244</v>
      </c>
      <c r="D7823" s="82"/>
      <c r="E7823" s="74">
        <v>2021</v>
      </c>
      <c r="F7823" s="74"/>
      <c r="G7823" s="45">
        <v>1</v>
      </c>
      <c r="H7823" s="45">
        <v>15</v>
      </c>
      <c r="I7823" s="45">
        <v>96</v>
      </c>
    </row>
    <row r="7824" spans="1:9" s="71" customFormat="1" ht="19.5" hidden="1" customHeight="1" outlineLevel="1" x14ac:dyDescent="0.25">
      <c r="A7824" s="83">
        <v>9965</v>
      </c>
      <c r="B7824" s="45" t="s">
        <v>664</v>
      </c>
      <c r="C7824" s="82" t="s">
        <v>7245</v>
      </c>
      <c r="D7824" s="82"/>
      <c r="E7824" s="74">
        <v>2021</v>
      </c>
      <c r="F7824" s="74"/>
      <c r="G7824" s="45">
        <v>1</v>
      </c>
      <c r="H7824" s="45">
        <v>50</v>
      </c>
      <c r="I7824" s="45">
        <v>102</v>
      </c>
    </row>
    <row r="7825" spans="1:9" s="71" customFormat="1" ht="19.5" hidden="1" customHeight="1" outlineLevel="1" x14ac:dyDescent="0.25">
      <c r="A7825" s="84">
        <v>1362</v>
      </c>
      <c r="B7825" s="45" t="s">
        <v>664</v>
      </c>
      <c r="C7825" s="82" t="s">
        <v>7246</v>
      </c>
      <c r="D7825" s="82"/>
      <c r="E7825" s="74">
        <v>2021</v>
      </c>
      <c r="F7825" s="74"/>
      <c r="G7825" s="45">
        <v>1</v>
      </c>
      <c r="H7825" s="45">
        <v>15</v>
      </c>
      <c r="I7825" s="45">
        <v>61</v>
      </c>
    </row>
    <row r="7826" spans="1:9" s="71" customFormat="1" ht="19.5" hidden="1" customHeight="1" outlineLevel="1" x14ac:dyDescent="0.25">
      <c r="A7826" s="84">
        <v>1405</v>
      </c>
      <c r="B7826" s="45" t="s">
        <v>664</v>
      </c>
      <c r="C7826" s="82" t="s">
        <v>7247</v>
      </c>
      <c r="D7826" s="82"/>
      <c r="E7826" s="74">
        <v>2021</v>
      </c>
      <c r="F7826" s="74"/>
      <c r="G7826" s="45">
        <v>2</v>
      </c>
      <c r="H7826" s="45">
        <v>30</v>
      </c>
      <c r="I7826" s="45">
        <v>119</v>
      </c>
    </row>
    <row r="7827" spans="1:9" s="71" customFormat="1" ht="19.5" hidden="1" customHeight="1" outlineLevel="1" x14ac:dyDescent="0.25">
      <c r="A7827" s="84">
        <v>1418</v>
      </c>
      <c r="B7827" s="45" t="s">
        <v>664</v>
      </c>
      <c r="C7827" s="82" t="s">
        <v>7248</v>
      </c>
      <c r="D7827" s="82"/>
      <c r="E7827" s="74">
        <v>2021</v>
      </c>
      <c r="F7827" s="74"/>
      <c r="G7827" s="45">
        <v>1</v>
      </c>
      <c r="H7827" s="45">
        <v>15</v>
      </c>
      <c r="I7827" s="45">
        <v>42</v>
      </c>
    </row>
    <row r="7828" spans="1:9" s="71" customFormat="1" ht="19.5" hidden="1" customHeight="1" outlineLevel="1" x14ac:dyDescent="0.25">
      <c r="A7828" s="84">
        <v>1430</v>
      </c>
      <c r="B7828" s="45" t="s">
        <v>664</v>
      </c>
      <c r="C7828" s="82" t="s">
        <v>7249</v>
      </c>
      <c r="D7828" s="82"/>
      <c r="E7828" s="74">
        <v>2021</v>
      </c>
      <c r="F7828" s="74"/>
      <c r="G7828" s="45">
        <v>2</v>
      </c>
      <c r="H7828" s="45">
        <v>30</v>
      </c>
      <c r="I7828" s="45">
        <v>70</v>
      </c>
    </row>
    <row r="7829" spans="1:9" s="71" customFormat="1" ht="19.5" hidden="1" customHeight="1" outlineLevel="1" x14ac:dyDescent="0.25">
      <c r="A7829" s="84">
        <v>1396</v>
      </c>
      <c r="B7829" s="45" t="s">
        <v>664</v>
      </c>
      <c r="C7829" s="82" t="s">
        <v>7250</v>
      </c>
      <c r="D7829" s="82"/>
      <c r="E7829" s="74">
        <v>2021</v>
      </c>
      <c r="F7829" s="74"/>
      <c r="G7829" s="45">
        <v>1</v>
      </c>
      <c r="H7829" s="45">
        <v>15</v>
      </c>
      <c r="I7829" s="45">
        <v>72</v>
      </c>
    </row>
    <row r="7830" spans="1:9" s="71" customFormat="1" ht="19.5" hidden="1" customHeight="1" outlineLevel="1" x14ac:dyDescent="0.25">
      <c r="A7830" s="83">
        <v>9789</v>
      </c>
      <c r="B7830" s="45" t="s">
        <v>664</v>
      </c>
      <c r="C7830" s="82" t="s">
        <v>7251</v>
      </c>
      <c r="D7830" s="82"/>
      <c r="E7830" s="74">
        <v>2021</v>
      </c>
      <c r="F7830" s="74"/>
      <c r="G7830" s="45">
        <v>1</v>
      </c>
      <c r="H7830" s="45">
        <v>15</v>
      </c>
      <c r="I7830" s="45">
        <v>72</v>
      </c>
    </row>
    <row r="7831" spans="1:9" s="71" customFormat="1" ht="19.5" hidden="1" customHeight="1" outlineLevel="1" x14ac:dyDescent="0.25">
      <c r="A7831" s="83">
        <v>9967</v>
      </c>
      <c r="B7831" s="45" t="s">
        <v>664</v>
      </c>
      <c r="C7831" s="82" t="s">
        <v>7252</v>
      </c>
      <c r="D7831" s="82"/>
      <c r="E7831" s="74">
        <v>2021</v>
      </c>
      <c r="F7831" s="74"/>
      <c r="G7831" s="45">
        <v>1</v>
      </c>
      <c r="H7831" s="45">
        <v>10</v>
      </c>
      <c r="I7831" s="45">
        <v>67</v>
      </c>
    </row>
    <row r="7832" spans="1:9" s="71" customFormat="1" ht="19.5" hidden="1" customHeight="1" outlineLevel="1" x14ac:dyDescent="0.25">
      <c r="A7832" s="84">
        <v>1674</v>
      </c>
      <c r="B7832" s="45" t="s">
        <v>664</v>
      </c>
      <c r="C7832" s="82" t="s">
        <v>7253</v>
      </c>
      <c r="D7832" s="82"/>
      <c r="E7832" s="74">
        <v>2021</v>
      </c>
      <c r="F7832" s="74"/>
      <c r="G7832" s="45">
        <v>1</v>
      </c>
      <c r="H7832" s="45">
        <v>15</v>
      </c>
      <c r="I7832" s="45">
        <v>63</v>
      </c>
    </row>
    <row r="7833" spans="1:9" s="71" customFormat="1" ht="19.5" hidden="1" customHeight="1" outlineLevel="1" x14ac:dyDescent="0.25">
      <c r="A7833" s="83">
        <v>9964</v>
      </c>
      <c r="B7833" s="45" t="s">
        <v>664</v>
      </c>
      <c r="C7833" s="82" t="s">
        <v>7254</v>
      </c>
      <c r="D7833" s="82"/>
      <c r="E7833" s="74">
        <v>2021</v>
      </c>
      <c r="F7833" s="74"/>
      <c r="G7833" s="45">
        <v>1</v>
      </c>
      <c r="H7833" s="45">
        <v>30</v>
      </c>
      <c r="I7833" s="45">
        <v>46</v>
      </c>
    </row>
    <row r="7834" spans="1:9" s="71" customFormat="1" ht="19.5" hidden="1" customHeight="1" outlineLevel="1" x14ac:dyDescent="0.25">
      <c r="A7834" s="84">
        <v>92</v>
      </c>
      <c r="B7834" s="45" t="s">
        <v>664</v>
      </c>
      <c r="C7834" s="82" t="s">
        <v>7255</v>
      </c>
      <c r="D7834" s="82"/>
      <c r="E7834" s="74">
        <v>2021</v>
      </c>
      <c r="F7834" s="74"/>
      <c r="G7834" s="45">
        <v>1</v>
      </c>
      <c r="H7834" s="45">
        <v>15</v>
      </c>
      <c r="I7834" s="45">
        <v>40</v>
      </c>
    </row>
    <row r="7835" spans="1:9" s="71" customFormat="1" ht="19.5" hidden="1" customHeight="1" outlineLevel="1" x14ac:dyDescent="0.25">
      <c r="A7835" s="84">
        <v>1557</v>
      </c>
      <c r="B7835" s="45" t="s">
        <v>664</v>
      </c>
      <c r="C7835" s="82" t="s">
        <v>7256</v>
      </c>
      <c r="D7835" s="82"/>
      <c r="E7835" s="74">
        <v>2021</v>
      </c>
      <c r="F7835" s="74"/>
      <c r="G7835" s="45">
        <v>1</v>
      </c>
      <c r="H7835" s="45">
        <v>15</v>
      </c>
      <c r="I7835" s="45">
        <v>52</v>
      </c>
    </row>
    <row r="7836" spans="1:9" s="71" customFormat="1" ht="19.5" hidden="1" customHeight="1" outlineLevel="1" x14ac:dyDescent="0.25">
      <c r="A7836" s="84">
        <v>1738</v>
      </c>
      <c r="B7836" s="45" t="s">
        <v>664</v>
      </c>
      <c r="C7836" s="82" t="s">
        <v>7257</v>
      </c>
      <c r="D7836" s="82"/>
      <c r="E7836" s="74">
        <v>2021</v>
      </c>
      <c r="F7836" s="74"/>
      <c r="G7836" s="45">
        <v>1</v>
      </c>
      <c r="H7836" s="45">
        <v>15</v>
      </c>
      <c r="I7836" s="45">
        <v>45</v>
      </c>
    </row>
    <row r="7837" spans="1:9" s="71" customFormat="1" ht="19.5" hidden="1" customHeight="1" outlineLevel="1" x14ac:dyDescent="0.25">
      <c r="A7837" s="83">
        <v>9746</v>
      </c>
      <c r="B7837" s="45" t="s">
        <v>664</v>
      </c>
      <c r="C7837" s="82" t="s">
        <v>7258</v>
      </c>
      <c r="D7837" s="82"/>
      <c r="E7837" s="74">
        <v>2021</v>
      </c>
      <c r="F7837" s="74"/>
      <c r="G7837" s="45">
        <v>1</v>
      </c>
      <c r="H7837" s="45">
        <v>15</v>
      </c>
      <c r="I7837" s="45">
        <v>43</v>
      </c>
    </row>
    <row r="7838" spans="1:9" s="71" customFormat="1" ht="19.5" hidden="1" customHeight="1" outlineLevel="1" x14ac:dyDescent="0.25">
      <c r="A7838" s="84">
        <v>157</v>
      </c>
      <c r="B7838" s="45" t="s">
        <v>664</v>
      </c>
      <c r="C7838" s="82" t="s">
        <v>7259</v>
      </c>
      <c r="D7838" s="82"/>
      <c r="E7838" s="74">
        <v>2021</v>
      </c>
      <c r="F7838" s="74"/>
      <c r="G7838" s="45">
        <v>1</v>
      </c>
      <c r="H7838" s="45">
        <v>15</v>
      </c>
      <c r="I7838" s="45">
        <v>32</v>
      </c>
    </row>
    <row r="7839" spans="1:9" s="71" customFormat="1" ht="19.5" hidden="1" customHeight="1" outlineLevel="1" x14ac:dyDescent="0.25">
      <c r="A7839" s="84">
        <v>1720</v>
      </c>
      <c r="B7839" s="45" t="s">
        <v>664</v>
      </c>
      <c r="C7839" s="82" t="s">
        <v>7260</v>
      </c>
      <c r="D7839" s="82"/>
      <c r="E7839" s="74">
        <v>2021</v>
      </c>
      <c r="F7839" s="74"/>
      <c r="G7839" s="45">
        <v>1</v>
      </c>
      <c r="H7839" s="45">
        <v>15</v>
      </c>
      <c r="I7839" s="45">
        <v>47</v>
      </c>
    </row>
    <row r="7840" spans="1:9" s="71" customFormat="1" ht="19.5" hidden="1" customHeight="1" outlineLevel="1" x14ac:dyDescent="0.25">
      <c r="A7840" s="84">
        <v>1742</v>
      </c>
      <c r="B7840" s="45" t="s">
        <v>664</v>
      </c>
      <c r="C7840" s="82" t="s">
        <v>7261</v>
      </c>
      <c r="D7840" s="82"/>
      <c r="E7840" s="74">
        <v>2021</v>
      </c>
      <c r="F7840" s="74"/>
      <c r="G7840" s="45">
        <v>1</v>
      </c>
      <c r="H7840" s="45">
        <v>15</v>
      </c>
      <c r="I7840" s="45">
        <v>40</v>
      </c>
    </row>
    <row r="7841" spans="1:9" s="71" customFormat="1" ht="19.5" hidden="1" customHeight="1" outlineLevel="1" x14ac:dyDescent="0.25">
      <c r="A7841" s="84">
        <v>1678</v>
      </c>
      <c r="B7841" s="45" t="s">
        <v>664</v>
      </c>
      <c r="C7841" s="82" t="s">
        <v>7262</v>
      </c>
      <c r="D7841" s="82"/>
      <c r="E7841" s="74">
        <v>2021</v>
      </c>
      <c r="F7841" s="74"/>
      <c r="G7841" s="45">
        <v>1</v>
      </c>
      <c r="H7841" s="45">
        <v>15</v>
      </c>
      <c r="I7841" s="45">
        <v>49</v>
      </c>
    </row>
    <row r="7842" spans="1:9" s="71" customFormat="1" ht="19.5" hidden="1" customHeight="1" outlineLevel="1" x14ac:dyDescent="0.25">
      <c r="A7842" s="84">
        <v>1710</v>
      </c>
      <c r="B7842" s="45" t="s">
        <v>664</v>
      </c>
      <c r="C7842" s="82" t="s">
        <v>7263</v>
      </c>
      <c r="D7842" s="82"/>
      <c r="E7842" s="74">
        <v>2021</v>
      </c>
      <c r="F7842" s="74"/>
      <c r="G7842" s="45">
        <v>1</v>
      </c>
      <c r="H7842" s="45">
        <v>15</v>
      </c>
      <c r="I7842" s="45">
        <v>45</v>
      </c>
    </row>
    <row r="7843" spans="1:9" s="71" customFormat="1" ht="19.5" hidden="1" customHeight="1" outlineLevel="1" x14ac:dyDescent="0.25">
      <c r="A7843" s="83">
        <v>9902</v>
      </c>
      <c r="B7843" s="45" t="s">
        <v>664</v>
      </c>
      <c r="C7843" s="82" t="s">
        <v>7264</v>
      </c>
      <c r="D7843" s="82"/>
      <c r="E7843" s="74">
        <v>2021</v>
      </c>
      <c r="F7843" s="74"/>
      <c r="G7843" s="45">
        <v>1</v>
      </c>
      <c r="H7843" s="45">
        <v>15</v>
      </c>
      <c r="I7843" s="45">
        <v>54</v>
      </c>
    </row>
    <row r="7844" spans="1:9" s="71" customFormat="1" ht="19.5" hidden="1" customHeight="1" outlineLevel="1" x14ac:dyDescent="0.25">
      <c r="A7844" s="83">
        <v>10308</v>
      </c>
      <c r="B7844" s="45" t="s">
        <v>664</v>
      </c>
      <c r="C7844" s="82" t="s">
        <v>7265</v>
      </c>
      <c r="D7844" s="82"/>
      <c r="E7844" s="74">
        <v>2021</v>
      </c>
      <c r="F7844" s="74"/>
      <c r="G7844" s="45">
        <v>2</v>
      </c>
      <c r="H7844" s="45">
        <v>28</v>
      </c>
      <c r="I7844" s="45">
        <v>87</v>
      </c>
    </row>
    <row r="7845" spans="1:9" s="71" customFormat="1" ht="19.5" hidden="1" customHeight="1" outlineLevel="1" x14ac:dyDescent="0.25">
      <c r="A7845" s="84">
        <v>1719</v>
      </c>
      <c r="B7845" s="45" t="s">
        <v>664</v>
      </c>
      <c r="C7845" s="82" t="s">
        <v>7266</v>
      </c>
      <c r="D7845" s="82"/>
      <c r="E7845" s="74">
        <v>2021</v>
      </c>
      <c r="F7845" s="74"/>
      <c r="G7845" s="45">
        <v>1</v>
      </c>
      <c r="H7845" s="45">
        <v>15</v>
      </c>
      <c r="I7845" s="45">
        <v>43</v>
      </c>
    </row>
    <row r="7846" spans="1:9" s="71" customFormat="1" ht="19.5" hidden="1" customHeight="1" outlineLevel="1" x14ac:dyDescent="0.25">
      <c r="A7846" s="83">
        <v>9962</v>
      </c>
      <c r="B7846" s="45" t="s">
        <v>664</v>
      </c>
      <c r="C7846" s="82" t="s">
        <v>7267</v>
      </c>
      <c r="D7846" s="82"/>
      <c r="E7846" s="74">
        <v>2021</v>
      </c>
      <c r="F7846" s="74"/>
      <c r="G7846" s="45">
        <v>1</v>
      </c>
      <c r="H7846" s="45">
        <v>50</v>
      </c>
      <c r="I7846" s="45">
        <v>33</v>
      </c>
    </row>
    <row r="7847" spans="1:9" s="71" customFormat="1" ht="19.5" hidden="1" customHeight="1" outlineLevel="1" x14ac:dyDescent="0.25">
      <c r="A7847" s="84">
        <v>1574</v>
      </c>
      <c r="B7847" s="45" t="s">
        <v>664</v>
      </c>
      <c r="C7847" s="82" t="s">
        <v>7268</v>
      </c>
      <c r="D7847" s="82"/>
      <c r="E7847" s="74">
        <v>2021</v>
      </c>
      <c r="F7847" s="74"/>
      <c r="G7847" s="45">
        <v>1</v>
      </c>
      <c r="H7847" s="45">
        <v>15</v>
      </c>
      <c r="I7847" s="45">
        <v>49</v>
      </c>
    </row>
    <row r="7848" spans="1:9" s="71" customFormat="1" ht="19.5" hidden="1" customHeight="1" outlineLevel="1" x14ac:dyDescent="0.25">
      <c r="A7848" s="84">
        <v>1715</v>
      </c>
      <c r="B7848" s="45" t="s">
        <v>664</v>
      </c>
      <c r="C7848" s="82" t="s">
        <v>7269</v>
      </c>
      <c r="D7848" s="82"/>
      <c r="E7848" s="74">
        <v>2021</v>
      </c>
      <c r="F7848" s="74"/>
      <c r="G7848" s="45">
        <v>1</v>
      </c>
      <c r="H7848" s="45">
        <v>15</v>
      </c>
      <c r="I7848" s="45">
        <v>49</v>
      </c>
    </row>
    <row r="7849" spans="1:9" s="71" customFormat="1" ht="19.5" hidden="1" customHeight="1" outlineLevel="1" x14ac:dyDescent="0.25">
      <c r="A7849" s="84">
        <v>1696</v>
      </c>
      <c r="B7849" s="45" t="s">
        <v>664</v>
      </c>
      <c r="C7849" s="82" t="s">
        <v>7270</v>
      </c>
      <c r="D7849" s="82"/>
      <c r="E7849" s="74">
        <v>2021</v>
      </c>
      <c r="F7849" s="74"/>
      <c r="G7849" s="45">
        <v>1</v>
      </c>
      <c r="H7849" s="45">
        <v>15</v>
      </c>
      <c r="I7849" s="45">
        <v>35</v>
      </c>
    </row>
    <row r="7850" spans="1:9" s="71" customFormat="1" ht="19.5" hidden="1" customHeight="1" outlineLevel="1" x14ac:dyDescent="0.25">
      <c r="A7850" s="83">
        <v>9966</v>
      </c>
      <c r="B7850" s="45" t="s">
        <v>664</v>
      </c>
      <c r="C7850" s="82" t="s">
        <v>7271</v>
      </c>
      <c r="D7850" s="82"/>
      <c r="E7850" s="74">
        <v>2021</v>
      </c>
      <c r="F7850" s="74"/>
      <c r="G7850" s="45">
        <v>1</v>
      </c>
      <c r="H7850" s="45">
        <v>20</v>
      </c>
      <c r="I7850" s="45">
        <v>42</v>
      </c>
    </row>
    <row r="7851" spans="1:9" s="71" customFormat="1" ht="19.5" hidden="1" customHeight="1" outlineLevel="1" x14ac:dyDescent="0.25">
      <c r="A7851" s="83">
        <v>9785</v>
      </c>
      <c r="B7851" s="45" t="s">
        <v>664</v>
      </c>
      <c r="C7851" s="82" t="s">
        <v>7272</v>
      </c>
      <c r="D7851" s="82"/>
      <c r="E7851" s="74">
        <v>2021</v>
      </c>
      <c r="F7851" s="74"/>
      <c r="G7851" s="45">
        <v>1</v>
      </c>
      <c r="H7851" s="45">
        <v>15</v>
      </c>
      <c r="I7851" s="45">
        <v>42</v>
      </c>
    </row>
    <row r="7852" spans="1:9" s="71" customFormat="1" ht="19.5" hidden="1" customHeight="1" outlineLevel="1" x14ac:dyDescent="0.25">
      <c r="A7852" s="84">
        <v>830</v>
      </c>
      <c r="B7852" s="45" t="s">
        <v>664</v>
      </c>
      <c r="C7852" s="82" t="s">
        <v>7273</v>
      </c>
      <c r="D7852" s="82"/>
      <c r="E7852" s="74">
        <v>2021</v>
      </c>
      <c r="F7852" s="74"/>
      <c r="G7852" s="45">
        <v>1</v>
      </c>
      <c r="H7852" s="45">
        <v>10</v>
      </c>
      <c r="I7852" s="45">
        <v>36</v>
      </c>
    </row>
    <row r="7853" spans="1:9" s="71" customFormat="1" ht="19.5" hidden="1" customHeight="1" outlineLevel="1" x14ac:dyDescent="0.25">
      <c r="A7853" s="84">
        <v>1391</v>
      </c>
      <c r="B7853" s="45" t="s">
        <v>664</v>
      </c>
      <c r="C7853" s="82" t="s">
        <v>7274</v>
      </c>
      <c r="D7853" s="82"/>
      <c r="E7853" s="74">
        <v>2021</v>
      </c>
      <c r="F7853" s="74"/>
      <c r="G7853" s="45">
        <v>1</v>
      </c>
      <c r="H7853" s="45">
        <v>30</v>
      </c>
      <c r="I7853" s="45">
        <v>57</v>
      </c>
    </row>
    <row r="7854" spans="1:9" s="71" customFormat="1" ht="19.5" hidden="1" customHeight="1" outlineLevel="1" x14ac:dyDescent="0.25">
      <c r="A7854" s="84">
        <v>1697</v>
      </c>
      <c r="B7854" s="45" t="s">
        <v>664</v>
      </c>
      <c r="C7854" s="82" t="s">
        <v>7275</v>
      </c>
      <c r="D7854" s="82"/>
      <c r="E7854" s="74">
        <v>2021</v>
      </c>
      <c r="F7854" s="74"/>
      <c r="G7854" s="45">
        <v>1</v>
      </c>
      <c r="H7854" s="45">
        <v>15</v>
      </c>
      <c r="I7854" s="45">
        <v>43</v>
      </c>
    </row>
    <row r="7855" spans="1:9" s="71" customFormat="1" ht="19.5" hidden="1" customHeight="1" outlineLevel="1" x14ac:dyDescent="0.25">
      <c r="A7855" s="84">
        <v>1683</v>
      </c>
      <c r="B7855" s="45" t="s">
        <v>664</v>
      </c>
      <c r="C7855" s="82" t="s">
        <v>7276</v>
      </c>
      <c r="D7855" s="82"/>
      <c r="E7855" s="74">
        <v>2021</v>
      </c>
      <c r="F7855" s="74"/>
      <c r="G7855" s="45">
        <v>1</v>
      </c>
      <c r="H7855" s="45">
        <v>15</v>
      </c>
      <c r="I7855" s="45">
        <v>41</v>
      </c>
    </row>
    <row r="7856" spans="1:9" s="71" customFormat="1" ht="19.5" hidden="1" customHeight="1" outlineLevel="1" x14ac:dyDescent="0.25">
      <c r="A7856" s="84">
        <v>1741</v>
      </c>
      <c r="B7856" s="45" t="s">
        <v>664</v>
      </c>
      <c r="C7856" s="82" t="s">
        <v>7277</v>
      </c>
      <c r="D7856" s="82"/>
      <c r="E7856" s="74">
        <v>2021</v>
      </c>
      <c r="F7856" s="74"/>
      <c r="G7856" s="45">
        <v>1</v>
      </c>
      <c r="H7856" s="45">
        <v>15</v>
      </c>
      <c r="I7856" s="45">
        <v>34</v>
      </c>
    </row>
    <row r="7857" spans="1:9" s="71" customFormat="1" ht="19.5" hidden="1" customHeight="1" outlineLevel="1" x14ac:dyDescent="0.25">
      <c r="A7857" s="84">
        <v>115</v>
      </c>
      <c r="B7857" s="45" t="s">
        <v>664</v>
      </c>
      <c r="C7857" s="82" t="s">
        <v>7278</v>
      </c>
      <c r="D7857" s="82"/>
      <c r="E7857" s="74">
        <v>2021</v>
      </c>
      <c r="F7857" s="74"/>
      <c r="G7857" s="45">
        <v>1</v>
      </c>
      <c r="H7857" s="45">
        <v>15</v>
      </c>
      <c r="I7857" s="45">
        <v>46</v>
      </c>
    </row>
    <row r="7858" spans="1:9" s="71" customFormat="1" ht="19.5" hidden="1" customHeight="1" outlineLevel="1" x14ac:dyDescent="0.25">
      <c r="A7858" s="84">
        <v>1728</v>
      </c>
      <c r="B7858" s="45" t="s">
        <v>664</v>
      </c>
      <c r="C7858" s="82" t="s">
        <v>7279</v>
      </c>
      <c r="D7858" s="82"/>
      <c r="E7858" s="74">
        <v>2021</v>
      </c>
      <c r="F7858" s="74"/>
      <c r="G7858" s="45">
        <v>1</v>
      </c>
      <c r="H7858" s="45">
        <v>15</v>
      </c>
      <c r="I7858" s="45">
        <v>48</v>
      </c>
    </row>
    <row r="7859" spans="1:9" s="71" customFormat="1" ht="19.5" hidden="1" customHeight="1" outlineLevel="1" x14ac:dyDescent="0.25">
      <c r="A7859" s="84">
        <v>1567</v>
      </c>
      <c r="B7859" s="45" t="s">
        <v>664</v>
      </c>
      <c r="C7859" s="82" t="s">
        <v>7280</v>
      </c>
      <c r="D7859" s="82"/>
      <c r="E7859" s="74">
        <v>2021</v>
      </c>
      <c r="F7859" s="74"/>
      <c r="G7859" s="45">
        <v>1</v>
      </c>
      <c r="H7859" s="45">
        <v>15</v>
      </c>
      <c r="I7859" s="45">
        <v>52</v>
      </c>
    </row>
    <row r="7860" spans="1:9" s="71" customFormat="1" ht="19.5" hidden="1" customHeight="1" outlineLevel="1" x14ac:dyDescent="0.25">
      <c r="A7860" s="84">
        <v>1661</v>
      </c>
      <c r="B7860" s="45" t="s">
        <v>664</v>
      </c>
      <c r="C7860" s="82" t="s">
        <v>7281</v>
      </c>
      <c r="D7860" s="82"/>
      <c r="E7860" s="74">
        <v>2021</v>
      </c>
      <c r="F7860" s="74"/>
      <c r="G7860" s="45">
        <v>1</v>
      </c>
      <c r="H7860" s="45">
        <v>15</v>
      </c>
      <c r="I7860" s="45">
        <v>40</v>
      </c>
    </row>
    <row r="7861" spans="1:9" s="71" customFormat="1" ht="19.5" hidden="1" customHeight="1" outlineLevel="1" x14ac:dyDescent="0.25">
      <c r="A7861" s="83">
        <v>9903</v>
      </c>
      <c r="B7861" s="45" t="s">
        <v>664</v>
      </c>
      <c r="C7861" s="82" t="s">
        <v>7282</v>
      </c>
      <c r="D7861" s="82"/>
      <c r="E7861" s="74">
        <v>2021</v>
      </c>
      <c r="F7861" s="74"/>
      <c r="G7861" s="45">
        <v>1</v>
      </c>
      <c r="H7861" s="45">
        <v>10</v>
      </c>
      <c r="I7861" s="45">
        <v>38</v>
      </c>
    </row>
    <row r="7862" spans="1:9" s="71" customFormat="1" ht="19.5" hidden="1" customHeight="1" outlineLevel="1" x14ac:dyDescent="0.25">
      <c r="A7862" s="84">
        <v>1704</v>
      </c>
      <c r="B7862" s="45" t="s">
        <v>664</v>
      </c>
      <c r="C7862" s="82" t="s">
        <v>7283</v>
      </c>
      <c r="D7862" s="82"/>
      <c r="E7862" s="74">
        <v>2021</v>
      </c>
      <c r="F7862" s="74"/>
      <c r="G7862" s="45">
        <v>1</v>
      </c>
      <c r="H7862" s="45">
        <v>15</v>
      </c>
      <c r="I7862" s="45">
        <v>36</v>
      </c>
    </row>
    <row r="7863" spans="1:9" s="71" customFormat="1" ht="19.5" hidden="1" customHeight="1" outlineLevel="1" x14ac:dyDescent="0.25">
      <c r="A7863" s="84">
        <v>1743</v>
      </c>
      <c r="B7863" s="45" t="s">
        <v>664</v>
      </c>
      <c r="C7863" s="82" t="s">
        <v>7284</v>
      </c>
      <c r="D7863" s="82"/>
      <c r="E7863" s="74">
        <v>2021</v>
      </c>
      <c r="F7863" s="74"/>
      <c r="G7863" s="45">
        <v>1</v>
      </c>
      <c r="H7863" s="45">
        <v>15</v>
      </c>
      <c r="I7863" s="45">
        <v>48</v>
      </c>
    </row>
    <row r="7864" spans="1:9" s="71" customFormat="1" ht="19.5" hidden="1" customHeight="1" outlineLevel="1" x14ac:dyDescent="0.25">
      <c r="A7864" s="84">
        <v>1703</v>
      </c>
      <c r="B7864" s="45" t="s">
        <v>664</v>
      </c>
      <c r="C7864" s="82" t="s">
        <v>7285</v>
      </c>
      <c r="D7864" s="82"/>
      <c r="E7864" s="74">
        <v>2021</v>
      </c>
      <c r="F7864" s="74"/>
      <c r="G7864" s="45">
        <v>1</v>
      </c>
      <c r="H7864" s="45">
        <v>15</v>
      </c>
      <c r="I7864" s="45">
        <v>46</v>
      </c>
    </row>
    <row r="7865" spans="1:9" s="71" customFormat="1" ht="19.5" hidden="1" customHeight="1" outlineLevel="1" x14ac:dyDescent="0.25">
      <c r="A7865" s="84">
        <v>109</v>
      </c>
      <c r="B7865" s="45" t="s">
        <v>664</v>
      </c>
      <c r="C7865" s="82" t="s">
        <v>7286</v>
      </c>
      <c r="D7865" s="82"/>
      <c r="E7865" s="74">
        <v>2021</v>
      </c>
      <c r="F7865" s="74"/>
      <c r="G7865" s="45">
        <v>1</v>
      </c>
      <c r="H7865" s="45">
        <v>15</v>
      </c>
      <c r="I7865" s="45">
        <v>55</v>
      </c>
    </row>
    <row r="7866" spans="1:9" s="71" customFormat="1" ht="19.5" hidden="1" customHeight="1" outlineLevel="1" x14ac:dyDescent="0.25">
      <c r="A7866" s="84">
        <v>95</v>
      </c>
      <c r="B7866" s="45" t="s">
        <v>664</v>
      </c>
      <c r="C7866" s="82" t="s">
        <v>7287</v>
      </c>
      <c r="D7866" s="82"/>
      <c r="E7866" s="74">
        <v>2021</v>
      </c>
      <c r="F7866" s="74"/>
      <c r="G7866" s="45">
        <v>1</v>
      </c>
      <c r="H7866" s="45">
        <v>15</v>
      </c>
      <c r="I7866" s="45">
        <v>54</v>
      </c>
    </row>
    <row r="7867" spans="1:9" s="71" customFormat="1" ht="19.5" hidden="1" customHeight="1" outlineLevel="1" x14ac:dyDescent="0.25">
      <c r="A7867" s="84">
        <v>1698</v>
      </c>
      <c r="B7867" s="45" t="s">
        <v>664</v>
      </c>
      <c r="C7867" s="82" t="s">
        <v>7288</v>
      </c>
      <c r="D7867" s="82"/>
      <c r="E7867" s="74">
        <v>2021</v>
      </c>
      <c r="F7867" s="74"/>
      <c r="G7867" s="45">
        <v>1</v>
      </c>
      <c r="H7867" s="45">
        <v>15</v>
      </c>
      <c r="I7867" s="45">
        <v>41</v>
      </c>
    </row>
    <row r="7868" spans="1:9" s="71" customFormat="1" ht="19.5" hidden="1" customHeight="1" outlineLevel="1" x14ac:dyDescent="0.25">
      <c r="A7868" s="84">
        <v>835</v>
      </c>
      <c r="B7868" s="45" t="s">
        <v>664</v>
      </c>
      <c r="C7868" s="82" t="s">
        <v>7289</v>
      </c>
      <c r="D7868" s="82"/>
      <c r="E7868" s="74">
        <v>2021</v>
      </c>
      <c r="F7868" s="74"/>
      <c r="G7868" s="45">
        <v>1</v>
      </c>
      <c r="H7868" s="45">
        <v>15</v>
      </c>
      <c r="I7868" s="45">
        <v>36</v>
      </c>
    </row>
    <row r="7869" spans="1:9" s="71" customFormat="1" ht="19.5" hidden="1" customHeight="1" outlineLevel="1" x14ac:dyDescent="0.25">
      <c r="A7869" s="83">
        <v>9787</v>
      </c>
      <c r="B7869" s="45" t="s">
        <v>664</v>
      </c>
      <c r="C7869" s="82" t="s">
        <v>7290</v>
      </c>
      <c r="D7869" s="82"/>
      <c r="E7869" s="74">
        <v>2021</v>
      </c>
      <c r="F7869" s="74"/>
      <c r="G7869" s="45">
        <v>1</v>
      </c>
      <c r="H7869" s="45">
        <v>15</v>
      </c>
      <c r="I7869" s="45">
        <v>36</v>
      </c>
    </row>
    <row r="7870" spans="1:9" s="71" customFormat="1" ht="19.5" hidden="1" customHeight="1" outlineLevel="1" x14ac:dyDescent="0.25">
      <c r="A7870" s="84">
        <v>1415</v>
      </c>
      <c r="B7870" s="45" t="s">
        <v>664</v>
      </c>
      <c r="C7870" s="82" t="s">
        <v>7291</v>
      </c>
      <c r="D7870" s="82"/>
      <c r="E7870" s="74">
        <v>2021</v>
      </c>
      <c r="F7870" s="74"/>
      <c r="G7870" s="45">
        <v>1</v>
      </c>
      <c r="H7870" s="45">
        <v>15</v>
      </c>
      <c r="I7870" s="45">
        <v>49</v>
      </c>
    </row>
    <row r="7871" spans="1:9" s="71" customFormat="1" ht="19.5" hidden="1" customHeight="1" outlineLevel="1" x14ac:dyDescent="0.25">
      <c r="A7871" s="83">
        <v>9742</v>
      </c>
      <c r="B7871" s="45" t="s">
        <v>664</v>
      </c>
      <c r="C7871" s="82" t="s">
        <v>7292</v>
      </c>
      <c r="D7871" s="82"/>
      <c r="E7871" s="74">
        <v>2021</v>
      </c>
      <c r="F7871" s="74"/>
      <c r="G7871" s="45">
        <v>1</v>
      </c>
      <c r="H7871" s="45">
        <v>20</v>
      </c>
      <c r="I7871" s="45">
        <v>144</v>
      </c>
    </row>
    <row r="7872" spans="1:9" s="71" customFormat="1" ht="19.5" hidden="1" customHeight="1" outlineLevel="1" x14ac:dyDescent="0.25">
      <c r="A7872" s="84">
        <v>1397</v>
      </c>
      <c r="B7872" s="45" t="s">
        <v>664</v>
      </c>
      <c r="C7872" s="82" t="s">
        <v>7293</v>
      </c>
      <c r="D7872" s="82"/>
      <c r="E7872" s="74">
        <v>2021</v>
      </c>
      <c r="F7872" s="74"/>
      <c r="G7872" s="45">
        <v>1</v>
      </c>
      <c r="H7872" s="45">
        <v>15</v>
      </c>
      <c r="I7872" s="45">
        <v>52</v>
      </c>
    </row>
    <row r="7873" spans="1:9" s="71" customFormat="1" ht="19.5" hidden="1" customHeight="1" outlineLevel="1" x14ac:dyDescent="0.25">
      <c r="A7873" s="84">
        <v>1265</v>
      </c>
      <c r="B7873" s="45" t="s">
        <v>664</v>
      </c>
      <c r="C7873" s="82" t="s">
        <v>7294</v>
      </c>
      <c r="D7873" s="82"/>
      <c r="E7873" s="74">
        <v>2021</v>
      </c>
      <c r="F7873" s="74"/>
      <c r="G7873" s="45">
        <v>1</v>
      </c>
      <c r="H7873" s="45">
        <v>15</v>
      </c>
      <c r="I7873" s="45">
        <v>53</v>
      </c>
    </row>
    <row r="7874" spans="1:9" s="71" customFormat="1" ht="19.5" hidden="1" customHeight="1" outlineLevel="1" x14ac:dyDescent="0.25">
      <c r="A7874" s="84">
        <v>829</v>
      </c>
      <c r="B7874" s="45" t="s">
        <v>664</v>
      </c>
      <c r="C7874" s="82" t="s">
        <v>7295</v>
      </c>
      <c r="D7874" s="82"/>
      <c r="E7874" s="74">
        <v>2021</v>
      </c>
      <c r="F7874" s="74"/>
      <c r="G7874" s="45">
        <v>1</v>
      </c>
      <c r="H7874" s="45">
        <v>15</v>
      </c>
      <c r="I7874" s="45">
        <v>52</v>
      </c>
    </row>
    <row r="7875" spans="1:9" s="71" customFormat="1" ht="19.5" hidden="1" customHeight="1" outlineLevel="1" x14ac:dyDescent="0.25">
      <c r="A7875" s="84">
        <v>213</v>
      </c>
      <c r="B7875" s="45" t="s">
        <v>664</v>
      </c>
      <c r="C7875" s="82" t="s">
        <v>7296</v>
      </c>
      <c r="D7875" s="82"/>
      <c r="E7875" s="74">
        <v>2021</v>
      </c>
      <c r="F7875" s="74"/>
      <c r="G7875" s="45">
        <v>2</v>
      </c>
      <c r="H7875" s="45">
        <v>10</v>
      </c>
      <c r="I7875" s="45">
        <v>84.909270000000006</v>
      </c>
    </row>
    <row r="7876" spans="1:9" s="71" customFormat="1" ht="19.5" hidden="1" customHeight="1" outlineLevel="1" x14ac:dyDescent="0.25">
      <c r="A7876" s="84">
        <v>219</v>
      </c>
      <c r="B7876" s="45" t="s">
        <v>664</v>
      </c>
      <c r="C7876" s="82" t="s">
        <v>7297</v>
      </c>
      <c r="D7876" s="82"/>
      <c r="E7876" s="74">
        <v>2021</v>
      </c>
      <c r="F7876" s="74"/>
      <c r="G7876" s="45">
        <v>1</v>
      </c>
      <c r="H7876" s="45">
        <v>15</v>
      </c>
      <c r="I7876" s="45">
        <v>70.043599999999998</v>
      </c>
    </row>
    <row r="7877" spans="1:9" s="71" customFormat="1" ht="19.5" hidden="1" customHeight="1" outlineLevel="1" x14ac:dyDescent="0.25">
      <c r="A7877" s="84">
        <v>222</v>
      </c>
      <c r="B7877" s="45" t="s">
        <v>664</v>
      </c>
      <c r="C7877" s="82" t="s">
        <v>7298</v>
      </c>
      <c r="D7877" s="82"/>
      <c r="E7877" s="74">
        <v>2021</v>
      </c>
      <c r="F7877" s="74"/>
      <c r="G7877" s="45">
        <v>1</v>
      </c>
      <c r="H7877" s="45">
        <v>15</v>
      </c>
      <c r="I7877" s="45">
        <v>56.446109999999997</v>
      </c>
    </row>
    <row r="7878" spans="1:9" s="71" customFormat="1" ht="19.5" hidden="1" customHeight="1" outlineLevel="1" x14ac:dyDescent="0.25">
      <c r="A7878" s="83">
        <v>9004</v>
      </c>
      <c r="B7878" s="45" t="s">
        <v>664</v>
      </c>
      <c r="C7878" s="82" t="s">
        <v>7299</v>
      </c>
      <c r="D7878" s="82"/>
      <c r="E7878" s="74">
        <v>2021</v>
      </c>
      <c r="F7878" s="74"/>
      <c r="G7878" s="45">
        <v>1</v>
      </c>
      <c r="H7878" s="45">
        <v>15</v>
      </c>
      <c r="I7878" s="45">
        <v>55.785539999999997</v>
      </c>
    </row>
    <row r="7879" spans="1:9" s="71" customFormat="1" ht="19.5" hidden="1" customHeight="1" outlineLevel="1" x14ac:dyDescent="0.25">
      <c r="A7879" s="83">
        <v>9540</v>
      </c>
      <c r="B7879" s="45" t="s">
        <v>664</v>
      </c>
      <c r="C7879" s="82" t="s">
        <v>7300</v>
      </c>
      <c r="D7879" s="82"/>
      <c r="E7879" s="74">
        <v>2021</v>
      </c>
      <c r="F7879" s="74"/>
      <c r="G7879" s="45">
        <v>1</v>
      </c>
      <c r="H7879" s="45">
        <v>50</v>
      </c>
      <c r="I7879" s="45">
        <v>31.010840000000002</v>
      </c>
    </row>
    <row r="7880" spans="1:9" s="71" customFormat="1" ht="19.5" hidden="1" customHeight="1" outlineLevel="1" x14ac:dyDescent="0.25">
      <c r="A7880" s="84">
        <v>188</v>
      </c>
      <c r="B7880" s="45" t="s">
        <v>664</v>
      </c>
      <c r="C7880" s="82" t="s">
        <v>7301</v>
      </c>
      <c r="D7880" s="82"/>
      <c r="E7880" s="74">
        <v>2021</v>
      </c>
      <c r="F7880" s="74"/>
      <c r="G7880" s="45">
        <v>1</v>
      </c>
      <c r="H7880" s="45">
        <v>15</v>
      </c>
      <c r="I7880" s="45">
        <v>58.5349</v>
      </c>
    </row>
    <row r="7881" spans="1:9" s="71" customFormat="1" ht="19.5" hidden="1" customHeight="1" outlineLevel="1" x14ac:dyDescent="0.25">
      <c r="A7881" s="84">
        <v>184</v>
      </c>
      <c r="B7881" s="45" t="s">
        <v>664</v>
      </c>
      <c r="C7881" s="82" t="s">
        <v>7302</v>
      </c>
      <c r="D7881" s="82"/>
      <c r="E7881" s="74">
        <v>2021</v>
      </c>
      <c r="F7881" s="74"/>
      <c r="G7881" s="45">
        <v>1</v>
      </c>
      <c r="H7881" s="45">
        <v>15</v>
      </c>
      <c r="I7881" s="45">
        <v>64.937389999999994</v>
      </c>
    </row>
    <row r="7882" spans="1:9" s="71" customFormat="1" ht="19.5" hidden="1" customHeight="1" outlineLevel="1" x14ac:dyDescent="0.25">
      <c r="A7882" s="83">
        <v>9006</v>
      </c>
      <c r="B7882" s="45" t="s">
        <v>664</v>
      </c>
      <c r="C7882" s="82" t="s">
        <v>7303</v>
      </c>
      <c r="D7882" s="82"/>
      <c r="E7882" s="74">
        <v>2021</v>
      </c>
      <c r="F7882" s="74"/>
      <c r="G7882" s="45">
        <v>1</v>
      </c>
      <c r="H7882" s="45">
        <v>30</v>
      </c>
      <c r="I7882" s="45">
        <v>53.23395</v>
      </c>
    </row>
    <row r="7883" spans="1:9" s="71" customFormat="1" ht="19.5" hidden="1" customHeight="1" outlineLevel="1" x14ac:dyDescent="0.25">
      <c r="A7883" s="83">
        <v>9562</v>
      </c>
      <c r="B7883" s="45" t="s">
        <v>664</v>
      </c>
      <c r="C7883" s="82" t="s">
        <v>346</v>
      </c>
      <c r="D7883" s="82"/>
      <c r="E7883" s="74">
        <v>2021</v>
      </c>
      <c r="F7883" s="74"/>
      <c r="G7883" s="45">
        <v>1</v>
      </c>
      <c r="H7883" s="45">
        <v>15</v>
      </c>
      <c r="I7883" s="45">
        <v>24.238510000000002</v>
      </c>
    </row>
    <row r="7884" spans="1:9" s="71" customFormat="1" ht="19.5" hidden="1" customHeight="1" outlineLevel="1" x14ac:dyDescent="0.25">
      <c r="A7884" s="84">
        <v>227</v>
      </c>
      <c r="B7884" s="45" t="s">
        <v>664</v>
      </c>
      <c r="C7884" s="82" t="s">
        <v>7304</v>
      </c>
      <c r="D7884" s="82"/>
      <c r="E7884" s="74">
        <v>2021</v>
      </c>
      <c r="F7884" s="74"/>
      <c r="G7884" s="45">
        <v>2</v>
      </c>
      <c r="H7884" s="45">
        <v>30</v>
      </c>
      <c r="I7884" s="45">
        <v>89.336590000000001</v>
      </c>
    </row>
    <row r="7885" spans="1:9" s="71" customFormat="1" ht="19.5" hidden="1" customHeight="1" outlineLevel="1" x14ac:dyDescent="0.25">
      <c r="A7885" s="84">
        <v>243</v>
      </c>
      <c r="B7885" s="45" t="s">
        <v>664</v>
      </c>
      <c r="C7885" s="82" t="s">
        <v>7305</v>
      </c>
      <c r="D7885" s="82"/>
      <c r="E7885" s="74">
        <v>2021</v>
      </c>
      <c r="F7885" s="74"/>
      <c r="G7885" s="45">
        <v>1</v>
      </c>
      <c r="H7885" s="45">
        <v>10</v>
      </c>
      <c r="I7885" s="45">
        <v>30.795819999999999</v>
      </c>
    </row>
    <row r="7886" spans="1:9" s="71" customFormat="1" ht="19.5" hidden="1" customHeight="1" outlineLevel="1" x14ac:dyDescent="0.25">
      <c r="A7886" s="84">
        <v>244</v>
      </c>
      <c r="B7886" s="45" t="s">
        <v>664</v>
      </c>
      <c r="C7886" s="82" t="s">
        <v>7306</v>
      </c>
      <c r="D7886" s="82"/>
      <c r="E7886" s="74">
        <v>2021</v>
      </c>
      <c r="F7886" s="74"/>
      <c r="G7886" s="45">
        <v>1</v>
      </c>
      <c r="H7886" s="45">
        <v>15</v>
      </c>
      <c r="I7886" s="45">
        <v>79.269419999999997</v>
      </c>
    </row>
    <row r="7887" spans="1:9" s="71" customFormat="1" ht="19.5" hidden="1" customHeight="1" outlineLevel="1" x14ac:dyDescent="0.25">
      <c r="A7887" s="84">
        <v>198</v>
      </c>
      <c r="B7887" s="45" t="s">
        <v>664</v>
      </c>
      <c r="C7887" s="82" t="s">
        <v>7307</v>
      </c>
      <c r="D7887" s="82"/>
      <c r="E7887" s="74">
        <v>2021</v>
      </c>
      <c r="F7887" s="74"/>
      <c r="G7887" s="45">
        <v>1</v>
      </c>
      <c r="H7887" s="45">
        <v>15</v>
      </c>
      <c r="I7887" s="45">
        <v>33.205640000000002</v>
      </c>
    </row>
    <row r="7888" spans="1:9" s="71" customFormat="1" ht="19.5" hidden="1" customHeight="1" outlineLevel="1" x14ac:dyDescent="0.25">
      <c r="A7888" s="83">
        <v>9135</v>
      </c>
      <c r="B7888" s="45" t="s">
        <v>664</v>
      </c>
      <c r="C7888" s="82" t="s">
        <v>7308</v>
      </c>
      <c r="D7888" s="82"/>
      <c r="E7888" s="74">
        <v>2021</v>
      </c>
      <c r="F7888" s="74"/>
      <c r="G7888" s="45">
        <v>1</v>
      </c>
      <c r="H7888" s="45">
        <v>9</v>
      </c>
      <c r="I7888" s="45">
        <v>33.50423</v>
      </c>
    </row>
    <row r="7889" spans="1:9" s="71" customFormat="1" ht="19.5" hidden="1" customHeight="1" outlineLevel="1" x14ac:dyDescent="0.25">
      <c r="A7889" s="83">
        <v>9134</v>
      </c>
      <c r="B7889" s="45" t="s">
        <v>664</v>
      </c>
      <c r="C7889" s="82" t="s">
        <v>7309</v>
      </c>
      <c r="D7889" s="82"/>
      <c r="E7889" s="74">
        <v>2021</v>
      </c>
      <c r="F7889" s="74"/>
      <c r="G7889" s="45">
        <v>1</v>
      </c>
      <c r="H7889" s="45">
        <v>9</v>
      </c>
      <c r="I7889" s="45">
        <v>32.924329999999998</v>
      </c>
    </row>
    <row r="7890" spans="1:9" s="71" customFormat="1" ht="19.5" hidden="1" customHeight="1" outlineLevel="1" x14ac:dyDescent="0.25">
      <c r="A7890" s="83">
        <v>9234</v>
      </c>
      <c r="B7890" s="45" t="s">
        <v>664</v>
      </c>
      <c r="C7890" s="82" t="s">
        <v>7310</v>
      </c>
      <c r="D7890" s="82"/>
      <c r="E7890" s="74">
        <v>2021</v>
      </c>
      <c r="F7890" s="74"/>
      <c r="G7890" s="45">
        <v>1</v>
      </c>
      <c r="H7890" s="45">
        <v>30</v>
      </c>
      <c r="I7890" s="45">
        <v>42.860419999999998</v>
      </c>
    </row>
    <row r="7891" spans="1:9" s="71" customFormat="1" ht="19.5" hidden="1" customHeight="1" outlineLevel="1" x14ac:dyDescent="0.25">
      <c r="A7891" s="84">
        <v>234</v>
      </c>
      <c r="B7891" s="45" t="s">
        <v>664</v>
      </c>
      <c r="C7891" s="82" t="s">
        <v>7311</v>
      </c>
      <c r="D7891" s="82"/>
      <c r="E7891" s="74">
        <v>2021</v>
      </c>
      <c r="F7891" s="74"/>
      <c r="G7891" s="45">
        <v>2</v>
      </c>
      <c r="H7891" s="45">
        <v>50</v>
      </c>
      <c r="I7891" s="45">
        <v>42.1004</v>
      </c>
    </row>
    <row r="7892" spans="1:9" s="71" customFormat="1" ht="19.5" hidden="1" customHeight="1" outlineLevel="1" x14ac:dyDescent="0.25">
      <c r="A7892" s="84">
        <v>237</v>
      </c>
      <c r="B7892" s="45" t="s">
        <v>664</v>
      </c>
      <c r="C7892" s="82" t="s">
        <v>7312</v>
      </c>
      <c r="D7892" s="82"/>
      <c r="E7892" s="74">
        <v>2021</v>
      </c>
      <c r="F7892" s="74"/>
      <c r="G7892" s="45">
        <v>1</v>
      </c>
      <c r="H7892" s="45">
        <v>35</v>
      </c>
      <c r="I7892" s="45">
        <v>41.028399999999998</v>
      </c>
    </row>
    <row r="7893" spans="1:9" s="71" customFormat="1" ht="19.5" hidden="1" customHeight="1" outlineLevel="1" x14ac:dyDescent="0.25">
      <c r="A7893" s="84">
        <v>247</v>
      </c>
      <c r="B7893" s="45" t="s">
        <v>664</v>
      </c>
      <c r="C7893" s="82" t="s">
        <v>7313</v>
      </c>
      <c r="D7893" s="82"/>
      <c r="E7893" s="74">
        <v>2021</v>
      </c>
      <c r="F7893" s="74"/>
      <c r="G7893" s="45">
        <v>4</v>
      </c>
      <c r="H7893" s="45">
        <v>55</v>
      </c>
      <c r="I7893" s="45">
        <v>120.1448</v>
      </c>
    </row>
    <row r="7894" spans="1:9" s="71" customFormat="1" ht="19.5" hidden="1" customHeight="1" outlineLevel="1" x14ac:dyDescent="0.25">
      <c r="A7894" s="74">
        <v>59</v>
      </c>
      <c r="B7894" s="45" t="s">
        <v>664</v>
      </c>
      <c r="C7894" s="82" t="s">
        <v>7314</v>
      </c>
      <c r="D7894" s="82"/>
      <c r="E7894" s="74">
        <v>2021</v>
      </c>
      <c r="F7894" s="74"/>
      <c r="G7894" s="45">
        <v>2</v>
      </c>
      <c r="H7894" s="45">
        <v>30</v>
      </c>
      <c r="I7894" s="45">
        <v>52.8</v>
      </c>
    </row>
    <row r="7895" spans="1:9" s="71" customFormat="1" ht="19.5" hidden="1" customHeight="1" outlineLevel="1" x14ac:dyDescent="0.25">
      <c r="A7895" s="84">
        <v>240</v>
      </c>
      <c r="B7895" s="45" t="s">
        <v>664</v>
      </c>
      <c r="C7895" s="82" t="s">
        <v>7315</v>
      </c>
      <c r="D7895" s="82"/>
      <c r="E7895" s="74">
        <v>2021</v>
      </c>
      <c r="F7895" s="74"/>
      <c r="G7895" s="45">
        <v>1</v>
      </c>
      <c r="H7895" s="45">
        <v>25</v>
      </c>
      <c r="I7895" s="45">
        <v>53.38</v>
      </c>
    </row>
    <row r="7896" spans="1:9" s="71" customFormat="1" ht="19.5" hidden="1" customHeight="1" outlineLevel="1" x14ac:dyDescent="0.25">
      <c r="A7896" s="74">
        <v>224</v>
      </c>
      <c r="B7896" s="45" t="s">
        <v>664</v>
      </c>
      <c r="C7896" s="82" t="s">
        <v>7316</v>
      </c>
      <c r="D7896" s="82"/>
      <c r="E7896" s="74">
        <v>2021</v>
      </c>
      <c r="F7896" s="74"/>
      <c r="G7896" s="45">
        <v>1</v>
      </c>
      <c r="H7896" s="45">
        <v>10</v>
      </c>
      <c r="I7896" s="45">
        <v>48.12</v>
      </c>
    </row>
    <row r="7897" spans="1:9" s="71" customFormat="1" ht="19.5" hidden="1" customHeight="1" outlineLevel="1" x14ac:dyDescent="0.25">
      <c r="A7897" s="84">
        <v>202</v>
      </c>
      <c r="B7897" s="45" t="s">
        <v>664</v>
      </c>
      <c r="C7897" s="82" t="s">
        <v>7317</v>
      </c>
      <c r="D7897" s="82"/>
      <c r="E7897" s="74">
        <v>2021</v>
      </c>
      <c r="F7897" s="74"/>
      <c r="G7897" s="45">
        <v>1</v>
      </c>
      <c r="H7897" s="45">
        <v>31</v>
      </c>
      <c r="I7897" s="45">
        <v>42.722999999999999</v>
      </c>
    </row>
    <row r="7898" spans="1:9" s="71" customFormat="1" ht="19.5" hidden="1" customHeight="1" outlineLevel="1" x14ac:dyDescent="0.25">
      <c r="A7898" s="84">
        <v>205</v>
      </c>
      <c r="B7898" s="45" t="s">
        <v>664</v>
      </c>
      <c r="C7898" s="82" t="s">
        <v>7318</v>
      </c>
      <c r="D7898" s="82"/>
      <c r="E7898" s="74">
        <v>2021</v>
      </c>
      <c r="F7898" s="74"/>
      <c r="G7898" s="45">
        <v>1</v>
      </c>
      <c r="H7898" s="45">
        <v>23</v>
      </c>
      <c r="I7898" s="45">
        <v>42.051319999999997</v>
      </c>
    </row>
    <row r="7899" spans="1:9" s="71" customFormat="1" ht="19.5" hidden="1" customHeight="1" outlineLevel="1" x14ac:dyDescent="0.25">
      <c r="A7899" s="84">
        <v>206</v>
      </c>
      <c r="B7899" s="45" t="s">
        <v>664</v>
      </c>
      <c r="C7899" s="82" t="s">
        <v>7319</v>
      </c>
      <c r="D7899" s="82"/>
      <c r="E7899" s="74">
        <v>2021</v>
      </c>
      <c r="F7899" s="74"/>
      <c r="G7899" s="45">
        <v>1</v>
      </c>
      <c r="H7899" s="45">
        <v>23</v>
      </c>
      <c r="I7899" s="45">
        <v>42.856999999999999</v>
      </c>
    </row>
    <row r="7900" spans="1:9" s="71" customFormat="1" ht="19.5" hidden="1" customHeight="1" outlineLevel="1" x14ac:dyDescent="0.25">
      <c r="A7900" s="84">
        <v>828</v>
      </c>
      <c r="B7900" s="45" t="s">
        <v>664</v>
      </c>
      <c r="C7900" s="82" t="s">
        <v>354</v>
      </c>
      <c r="D7900" s="82"/>
      <c r="E7900" s="74">
        <v>2021</v>
      </c>
      <c r="F7900" s="74"/>
      <c r="G7900" s="45">
        <v>1</v>
      </c>
      <c r="H7900" s="45">
        <v>150</v>
      </c>
      <c r="I7900" s="45">
        <v>27.00948</v>
      </c>
    </row>
    <row r="7901" spans="1:9" s="71" customFormat="1" ht="19.5" hidden="1" customHeight="1" outlineLevel="1" x14ac:dyDescent="0.25">
      <c r="A7901" s="84">
        <v>814</v>
      </c>
      <c r="B7901" s="45" t="s">
        <v>664</v>
      </c>
      <c r="C7901" s="82" t="s">
        <v>355</v>
      </c>
      <c r="D7901" s="82"/>
      <c r="E7901" s="74">
        <v>2021</v>
      </c>
      <c r="F7901" s="74"/>
      <c r="G7901" s="45">
        <v>1</v>
      </c>
      <c r="H7901" s="45">
        <v>15</v>
      </c>
      <c r="I7901" s="45">
        <v>22.197279999999999</v>
      </c>
    </row>
    <row r="7902" spans="1:9" s="71" customFormat="1" ht="19.5" hidden="1" customHeight="1" outlineLevel="1" x14ac:dyDescent="0.25">
      <c r="A7902" s="84">
        <v>233</v>
      </c>
      <c r="B7902" s="45" t="s">
        <v>664</v>
      </c>
      <c r="C7902" s="82" t="s">
        <v>7320</v>
      </c>
      <c r="D7902" s="82"/>
      <c r="E7902" s="74">
        <v>2021</v>
      </c>
      <c r="F7902" s="74"/>
      <c r="G7902" s="45">
        <v>1</v>
      </c>
      <c r="H7902" s="45">
        <v>15</v>
      </c>
      <c r="I7902" s="45">
        <v>24.210909999999998</v>
      </c>
    </row>
    <row r="7903" spans="1:9" s="71" customFormat="1" ht="19.5" hidden="1" customHeight="1" outlineLevel="1" x14ac:dyDescent="0.25">
      <c r="A7903" s="83">
        <v>10097</v>
      </c>
      <c r="B7903" s="45" t="s">
        <v>664</v>
      </c>
      <c r="C7903" s="82" t="s">
        <v>7321</v>
      </c>
      <c r="D7903" s="82"/>
      <c r="E7903" s="74">
        <v>2021</v>
      </c>
      <c r="F7903" s="74"/>
      <c r="G7903" s="45">
        <v>1</v>
      </c>
      <c r="H7903" s="45">
        <v>15</v>
      </c>
      <c r="I7903" s="45">
        <v>27.75881</v>
      </c>
    </row>
    <row r="7904" spans="1:9" s="71" customFormat="1" ht="19.5" hidden="1" customHeight="1" outlineLevel="1" x14ac:dyDescent="0.25">
      <c r="A7904" s="83">
        <v>10213</v>
      </c>
      <c r="B7904" s="45" t="s">
        <v>664</v>
      </c>
      <c r="C7904" s="82" t="s">
        <v>7322</v>
      </c>
      <c r="D7904" s="82"/>
      <c r="E7904" s="74">
        <v>2021</v>
      </c>
      <c r="F7904" s="74"/>
      <c r="G7904" s="45">
        <v>1</v>
      </c>
      <c r="H7904" s="45">
        <v>15</v>
      </c>
      <c r="I7904" s="45">
        <v>27.787790000000001</v>
      </c>
    </row>
    <row r="7905" spans="1:9" s="71" customFormat="1" ht="19.5" hidden="1" customHeight="1" outlineLevel="1" x14ac:dyDescent="0.25">
      <c r="A7905" s="83">
        <v>10126</v>
      </c>
      <c r="B7905" s="45" t="s">
        <v>664</v>
      </c>
      <c r="C7905" s="82" t="s">
        <v>7323</v>
      </c>
      <c r="D7905" s="82"/>
      <c r="E7905" s="74">
        <v>2021</v>
      </c>
      <c r="F7905" s="74"/>
      <c r="G7905" s="45">
        <v>1</v>
      </c>
      <c r="H7905" s="45">
        <v>15</v>
      </c>
      <c r="I7905" s="45">
        <v>27.758790000000001</v>
      </c>
    </row>
    <row r="7906" spans="1:9" s="71" customFormat="1" ht="19.5" hidden="1" customHeight="1" outlineLevel="1" x14ac:dyDescent="0.25">
      <c r="A7906" s="83">
        <v>10237</v>
      </c>
      <c r="B7906" s="45" t="s">
        <v>664</v>
      </c>
      <c r="C7906" s="82" t="s">
        <v>7324</v>
      </c>
      <c r="D7906" s="82"/>
      <c r="E7906" s="74">
        <v>2021</v>
      </c>
      <c r="F7906" s="74"/>
      <c r="G7906" s="45">
        <v>1</v>
      </c>
      <c r="H7906" s="45">
        <v>15</v>
      </c>
      <c r="I7906" s="45">
        <v>27.786159999999999</v>
      </c>
    </row>
    <row r="7907" spans="1:9" s="71" customFormat="1" ht="19.5" hidden="1" customHeight="1" outlineLevel="1" x14ac:dyDescent="0.25">
      <c r="A7907" s="83">
        <v>10220</v>
      </c>
      <c r="B7907" s="45" t="s">
        <v>664</v>
      </c>
      <c r="C7907" s="82" t="s">
        <v>7325</v>
      </c>
      <c r="D7907" s="82"/>
      <c r="E7907" s="74">
        <v>2021</v>
      </c>
      <c r="F7907" s="74"/>
      <c r="G7907" s="45">
        <v>1</v>
      </c>
      <c r="H7907" s="45">
        <v>15</v>
      </c>
      <c r="I7907" s="45">
        <v>27.931370000000001</v>
      </c>
    </row>
    <row r="7908" spans="1:9" s="71" customFormat="1" ht="19.5" hidden="1" customHeight="1" outlineLevel="1" x14ac:dyDescent="0.25">
      <c r="A7908" s="83">
        <v>10201</v>
      </c>
      <c r="B7908" s="45" t="s">
        <v>664</v>
      </c>
      <c r="C7908" s="82" t="s">
        <v>7326</v>
      </c>
      <c r="D7908" s="82"/>
      <c r="E7908" s="74">
        <v>2021</v>
      </c>
      <c r="F7908" s="74"/>
      <c r="G7908" s="45">
        <v>1</v>
      </c>
      <c r="H7908" s="45">
        <v>15</v>
      </c>
      <c r="I7908" s="45">
        <v>29.229240000000001</v>
      </c>
    </row>
    <row r="7909" spans="1:9" s="71" customFormat="1" ht="19.5" hidden="1" customHeight="1" outlineLevel="1" x14ac:dyDescent="0.25">
      <c r="A7909" s="83">
        <v>10221</v>
      </c>
      <c r="B7909" s="45" t="s">
        <v>664</v>
      </c>
      <c r="C7909" s="82" t="s">
        <v>7327</v>
      </c>
      <c r="D7909" s="82"/>
      <c r="E7909" s="74">
        <v>2021</v>
      </c>
      <c r="F7909" s="74"/>
      <c r="G7909" s="45">
        <v>1</v>
      </c>
      <c r="H7909" s="45">
        <v>15</v>
      </c>
      <c r="I7909" s="45">
        <v>27.783740000000002</v>
      </c>
    </row>
    <row r="7910" spans="1:9" s="71" customFormat="1" ht="19.5" hidden="1" customHeight="1" outlineLevel="1" x14ac:dyDescent="0.25">
      <c r="A7910" s="83">
        <v>10255</v>
      </c>
      <c r="B7910" s="45" t="s">
        <v>664</v>
      </c>
      <c r="C7910" s="82" t="s">
        <v>7328</v>
      </c>
      <c r="D7910" s="82"/>
      <c r="E7910" s="74">
        <v>2021</v>
      </c>
      <c r="F7910" s="74"/>
      <c r="G7910" s="45">
        <v>1</v>
      </c>
      <c r="H7910" s="45">
        <v>15</v>
      </c>
      <c r="I7910" s="45">
        <v>28.940899999999999</v>
      </c>
    </row>
    <row r="7911" spans="1:9" s="71" customFormat="1" ht="19.5" hidden="1" customHeight="1" outlineLevel="1" x14ac:dyDescent="0.25">
      <c r="A7911" s="83">
        <v>10140</v>
      </c>
      <c r="B7911" s="45" t="s">
        <v>664</v>
      </c>
      <c r="C7911" s="82" t="s">
        <v>7329</v>
      </c>
      <c r="D7911" s="82"/>
      <c r="E7911" s="74">
        <v>2021</v>
      </c>
      <c r="F7911" s="74"/>
      <c r="G7911" s="45">
        <v>1</v>
      </c>
      <c r="H7911" s="45">
        <v>15</v>
      </c>
      <c r="I7911" s="45">
        <v>29.940819999999999</v>
      </c>
    </row>
    <row r="7912" spans="1:9" s="71" customFormat="1" ht="19.5" hidden="1" customHeight="1" outlineLevel="1" x14ac:dyDescent="0.25">
      <c r="A7912" s="83">
        <v>10096</v>
      </c>
      <c r="B7912" s="45" t="s">
        <v>664</v>
      </c>
      <c r="C7912" s="82" t="s">
        <v>7330</v>
      </c>
      <c r="D7912" s="82"/>
      <c r="E7912" s="74">
        <v>2021</v>
      </c>
      <c r="F7912" s="74"/>
      <c r="G7912" s="45">
        <v>1</v>
      </c>
      <c r="H7912" s="45">
        <v>15</v>
      </c>
      <c r="I7912" s="45">
        <v>27.641940000000002</v>
      </c>
    </row>
    <row r="7913" spans="1:9" s="71" customFormat="1" ht="19.5" hidden="1" customHeight="1" outlineLevel="1" x14ac:dyDescent="0.25">
      <c r="A7913" s="83">
        <v>10111</v>
      </c>
      <c r="B7913" s="45" t="s">
        <v>664</v>
      </c>
      <c r="C7913" s="82" t="s">
        <v>7331</v>
      </c>
      <c r="D7913" s="82"/>
      <c r="E7913" s="74">
        <v>2021</v>
      </c>
      <c r="F7913" s="74"/>
      <c r="G7913" s="45">
        <v>1</v>
      </c>
      <c r="H7913" s="45">
        <v>25</v>
      </c>
      <c r="I7913" s="45">
        <v>32.788139999999999</v>
      </c>
    </row>
    <row r="7914" spans="1:9" s="71" customFormat="1" ht="19.5" hidden="1" customHeight="1" outlineLevel="1" x14ac:dyDescent="0.25">
      <c r="A7914" s="83">
        <v>9239</v>
      </c>
      <c r="B7914" s="45" t="s">
        <v>664</v>
      </c>
      <c r="C7914" s="82" t="s">
        <v>7332</v>
      </c>
      <c r="D7914" s="82"/>
      <c r="E7914" s="74">
        <v>2021</v>
      </c>
      <c r="F7914" s="74"/>
      <c r="G7914" s="45">
        <v>1</v>
      </c>
      <c r="H7914" s="45">
        <v>15</v>
      </c>
      <c r="I7914" s="45">
        <v>32.64432</v>
      </c>
    </row>
    <row r="7915" spans="1:9" s="71" customFormat="1" ht="19.5" hidden="1" customHeight="1" outlineLevel="1" x14ac:dyDescent="0.25">
      <c r="A7915" s="84">
        <v>209</v>
      </c>
      <c r="B7915" s="45" t="s">
        <v>664</v>
      </c>
      <c r="C7915" s="82" t="s">
        <v>7333</v>
      </c>
      <c r="D7915" s="82"/>
      <c r="E7915" s="74">
        <v>2021</v>
      </c>
      <c r="F7915" s="74"/>
      <c r="G7915" s="45">
        <v>1</v>
      </c>
      <c r="H7915" s="45">
        <v>15</v>
      </c>
      <c r="I7915" s="45">
        <v>32.414839999999998</v>
      </c>
    </row>
    <row r="7916" spans="1:9" s="71" customFormat="1" ht="19.5" hidden="1" customHeight="1" outlineLevel="1" x14ac:dyDescent="0.25">
      <c r="A7916" s="83">
        <v>10210</v>
      </c>
      <c r="B7916" s="45" t="s">
        <v>664</v>
      </c>
      <c r="C7916" s="82" t="s">
        <v>7334</v>
      </c>
      <c r="D7916" s="82"/>
      <c r="E7916" s="74">
        <v>2021</v>
      </c>
      <c r="F7916" s="74"/>
      <c r="G7916" s="45">
        <v>1</v>
      </c>
      <c r="H7916" s="45">
        <v>15</v>
      </c>
      <c r="I7916" s="45">
        <v>34.539180000000002</v>
      </c>
    </row>
    <row r="7917" spans="1:9" s="71" customFormat="1" ht="19.5" hidden="1" customHeight="1" outlineLevel="1" x14ac:dyDescent="0.25">
      <c r="A7917" s="83">
        <v>10098</v>
      </c>
      <c r="B7917" s="45" t="s">
        <v>664</v>
      </c>
      <c r="C7917" s="82" t="s">
        <v>7335</v>
      </c>
      <c r="D7917" s="82"/>
      <c r="E7917" s="74">
        <v>2021</v>
      </c>
      <c r="F7917" s="74"/>
      <c r="G7917" s="45">
        <v>1</v>
      </c>
      <c r="H7917" s="45">
        <v>10</v>
      </c>
      <c r="I7917" s="45">
        <v>39.014000000000003</v>
      </c>
    </row>
    <row r="7918" spans="1:9" s="71" customFormat="1" ht="19.5" hidden="1" customHeight="1" outlineLevel="1" x14ac:dyDescent="0.25">
      <c r="A7918" s="83">
        <v>9959</v>
      </c>
      <c r="B7918" s="45" t="s">
        <v>664</v>
      </c>
      <c r="C7918" s="82" t="s">
        <v>7336</v>
      </c>
      <c r="D7918" s="82"/>
      <c r="E7918" s="74">
        <v>2021</v>
      </c>
      <c r="F7918" s="74"/>
      <c r="G7918" s="45">
        <v>1</v>
      </c>
      <c r="H7918" s="45">
        <v>10</v>
      </c>
      <c r="I7918" s="45">
        <v>32.373820000000002</v>
      </c>
    </row>
    <row r="7919" spans="1:9" s="71" customFormat="1" ht="19.5" hidden="1" customHeight="1" outlineLevel="1" x14ac:dyDescent="0.25">
      <c r="A7919" s="83">
        <v>9542</v>
      </c>
      <c r="B7919" s="45" t="s">
        <v>664</v>
      </c>
      <c r="C7919" s="82" t="s">
        <v>7337</v>
      </c>
      <c r="D7919" s="82"/>
      <c r="E7919" s="74">
        <v>2021</v>
      </c>
      <c r="F7919" s="74"/>
      <c r="G7919" s="45">
        <v>1</v>
      </c>
      <c r="H7919" s="45">
        <v>15</v>
      </c>
      <c r="I7919" s="45">
        <v>38.942999999999998</v>
      </c>
    </row>
    <row r="7920" spans="1:9" s="71" customFormat="1" ht="19.5" hidden="1" customHeight="1" outlineLevel="1" x14ac:dyDescent="0.25">
      <c r="A7920" s="83">
        <v>9563</v>
      </c>
      <c r="B7920" s="45" t="s">
        <v>664</v>
      </c>
      <c r="C7920" s="82" t="s">
        <v>374</v>
      </c>
      <c r="D7920" s="82"/>
      <c r="E7920" s="74">
        <v>2021</v>
      </c>
      <c r="F7920" s="74"/>
      <c r="G7920" s="45">
        <v>1</v>
      </c>
      <c r="H7920" s="45">
        <v>15</v>
      </c>
      <c r="I7920" s="45">
        <v>30.483000000000001</v>
      </c>
    </row>
    <row r="7921" spans="1:9" s="71" customFormat="1" ht="19.5" hidden="1" customHeight="1" outlineLevel="1" x14ac:dyDescent="0.25">
      <c r="A7921" s="83">
        <v>9554</v>
      </c>
      <c r="B7921" s="45" t="s">
        <v>664</v>
      </c>
      <c r="C7921" s="82" t="s">
        <v>375</v>
      </c>
      <c r="D7921" s="82"/>
      <c r="E7921" s="74">
        <v>2021</v>
      </c>
      <c r="F7921" s="74"/>
      <c r="G7921" s="45">
        <v>1</v>
      </c>
      <c r="H7921" s="45">
        <v>15</v>
      </c>
      <c r="I7921" s="45">
        <v>29.59</v>
      </c>
    </row>
    <row r="7922" spans="1:9" s="71" customFormat="1" ht="19.5" hidden="1" customHeight="1" outlineLevel="1" x14ac:dyDescent="0.25">
      <c r="A7922" s="83">
        <v>9561</v>
      </c>
      <c r="B7922" s="45" t="s">
        <v>664</v>
      </c>
      <c r="C7922" s="82" t="s">
        <v>376</v>
      </c>
      <c r="D7922" s="82"/>
      <c r="E7922" s="74">
        <v>2021</v>
      </c>
      <c r="F7922" s="74"/>
      <c r="G7922" s="45">
        <v>1</v>
      </c>
      <c r="H7922" s="45">
        <v>15</v>
      </c>
      <c r="I7922" s="45">
        <v>28.588000000000001</v>
      </c>
    </row>
    <row r="7923" spans="1:9" s="71" customFormat="1" ht="19.5" hidden="1" customHeight="1" outlineLevel="1" x14ac:dyDescent="0.25">
      <c r="A7923" s="83">
        <v>10095</v>
      </c>
      <c r="B7923" s="45" t="s">
        <v>664</v>
      </c>
      <c r="C7923" s="82" t="s">
        <v>7338</v>
      </c>
      <c r="D7923" s="82"/>
      <c r="E7923" s="74">
        <v>2021</v>
      </c>
      <c r="F7923" s="74"/>
      <c r="G7923" s="45">
        <v>1</v>
      </c>
      <c r="H7923" s="45">
        <v>15</v>
      </c>
      <c r="I7923" s="45">
        <v>25.181000000000001</v>
      </c>
    </row>
    <row r="7924" spans="1:9" s="71" customFormat="1" ht="19.5" hidden="1" customHeight="1" outlineLevel="1" x14ac:dyDescent="0.25">
      <c r="A7924" s="83">
        <v>10165</v>
      </c>
      <c r="B7924" s="45" t="s">
        <v>664</v>
      </c>
      <c r="C7924" s="82" t="s">
        <v>7339</v>
      </c>
      <c r="D7924" s="82"/>
      <c r="E7924" s="74">
        <v>2021</v>
      </c>
      <c r="F7924" s="74"/>
      <c r="G7924" s="45">
        <v>1</v>
      </c>
      <c r="H7924" s="45">
        <v>15</v>
      </c>
      <c r="I7924" s="45">
        <v>24.852</v>
      </c>
    </row>
    <row r="7925" spans="1:9" s="71" customFormat="1" ht="19.5" hidden="1" customHeight="1" outlineLevel="1" x14ac:dyDescent="0.25">
      <c r="A7925" s="84">
        <v>2043</v>
      </c>
      <c r="B7925" s="45" t="s">
        <v>664</v>
      </c>
      <c r="C7925" s="82" t="s">
        <v>7340</v>
      </c>
      <c r="D7925" s="82"/>
      <c r="E7925" s="74">
        <v>2021</v>
      </c>
      <c r="F7925" s="74"/>
      <c r="G7925" s="45">
        <v>1</v>
      </c>
      <c r="H7925" s="45">
        <v>15</v>
      </c>
      <c r="I7925" s="45">
        <v>25.338999999999999</v>
      </c>
    </row>
    <row r="7926" spans="1:9" s="71" customFormat="1" ht="19.5" hidden="1" customHeight="1" outlineLevel="1" x14ac:dyDescent="0.25">
      <c r="A7926" s="83">
        <v>10195</v>
      </c>
      <c r="B7926" s="45" t="s">
        <v>664</v>
      </c>
      <c r="C7926" s="82" t="s">
        <v>7341</v>
      </c>
      <c r="D7926" s="82"/>
      <c r="E7926" s="74">
        <v>2021</v>
      </c>
      <c r="F7926" s="74"/>
      <c r="G7926" s="45">
        <v>1</v>
      </c>
      <c r="H7926" s="45">
        <v>15</v>
      </c>
      <c r="I7926" s="45">
        <v>24.852</v>
      </c>
    </row>
    <row r="7927" spans="1:9" s="71" customFormat="1" ht="19.5" hidden="1" customHeight="1" outlineLevel="1" x14ac:dyDescent="0.25">
      <c r="A7927" s="84">
        <v>826</v>
      </c>
      <c r="B7927" s="45" t="s">
        <v>664</v>
      </c>
      <c r="C7927" s="82" t="s">
        <v>7342</v>
      </c>
      <c r="D7927" s="82"/>
      <c r="E7927" s="74">
        <v>2021</v>
      </c>
      <c r="F7927" s="74"/>
      <c r="G7927" s="45">
        <v>1</v>
      </c>
      <c r="H7927" s="45">
        <v>15</v>
      </c>
      <c r="I7927" s="45">
        <v>26.571000000000002</v>
      </c>
    </row>
    <row r="7928" spans="1:9" s="71" customFormat="1" ht="19.5" hidden="1" customHeight="1" outlineLevel="1" x14ac:dyDescent="0.25">
      <c r="A7928" s="83">
        <v>9560</v>
      </c>
      <c r="B7928" s="45" t="s">
        <v>664</v>
      </c>
      <c r="C7928" s="82" t="s">
        <v>7343</v>
      </c>
      <c r="D7928" s="82"/>
      <c r="E7928" s="74">
        <v>2021</v>
      </c>
      <c r="F7928" s="74"/>
      <c r="G7928" s="45">
        <v>1</v>
      </c>
      <c r="H7928" s="45">
        <v>25</v>
      </c>
      <c r="I7928" s="45">
        <v>29.27</v>
      </c>
    </row>
    <row r="7929" spans="1:9" s="71" customFormat="1" ht="19.5" hidden="1" customHeight="1" outlineLevel="1" x14ac:dyDescent="0.25">
      <c r="A7929" s="83">
        <v>9543</v>
      </c>
      <c r="B7929" s="45" t="s">
        <v>664</v>
      </c>
      <c r="C7929" s="82" t="s">
        <v>7344</v>
      </c>
      <c r="D7929" s="82"/>
      <c r="E7929" s="74">
        <v>2021</v>
      </c>
      <c r="F7929" s="74"/>
      <c r="G7929" s="45">
        <v>2</v>
      </c>
      <c r="H7929" s="45">
        <v>30</v>
      </c>
      <c r="I7929" s="45">
        <v>58.712000000000003</v>
      </c>
    </row>
    <row r="7930" spans="1:9" s="71" customFormat="1" ht="19.5" hidden="1" customHeight="1" outlineLevel="1" x14ac:dyDescent="0.25">
      <c r="A7930" s="84">
        <v>812</v>
      </c>
      <c r="B7930" s="45" t="s">
        <v>664</v>
      </c>
      <c r="C7930" s="82" t="s">
        <v>7345</v>
      </c>
      <c r="D7930" s="82"/>
      <c r="E7930" s="74">
        <v>2021</v>
      </c>
      <c r="F7930" s="74"/>
      <c r="G7930" s="45">
        <v>1</v>
      </c>
      <c r="H7930" s="45">
        <v>15</v>
      </c>
      <c r="I7930" s="45">
        <v>27.771000000000001</v>
      </c>
    </row>
    <row r="7931" spans="1:9" s="71" customFormat="1" ht="19.5" hidden="1" customHeight="1" outlineLevel="1" x14ac:dyDescent="0.25">
      <c r="A7931" s="83">
        <v>9559</v>
      </c>
      <c r="B7931" s="45" t="s">
        <v>664</v>
      </c>
      <c r="C7931" s="82" t="s">
        <v>378</v>
      </c>
      <c r="D7931" s="82"/>
      <c r="E7931" s="74">
        <v>2021</v>
      </c>
      <c r="F7931" s="74"/>
      <c r="G7931" s="45">
        <v>1</v>
      </c>
      <c r="H7931" s="45">
        <v>15</v>
      </c>
      <c r="I7931" s="45">
        <v>30.189</v>
      </c>
    </row>
    <row r="7932" spans="1:9" s="71" customFormat="1" ht="19.5" hidden="1" customHeight="1" outlineLevel="1" x14ac:dyDescent="0.25">
      <c r="A7932" s="84">
        <v>1181</v>
      </c>
      <c r="B7932" s="45" t="s">
        <v>664</v>
      </c>
      <c r="C7932" s="82" t="s">
        <v>379</v>
      </c>
      <c r="D7932" s="82"/>
      <c r="E7932" s="74">
        <v>2021</v>
      </c>
      <c r="F7932" s="74"/>
      <c r="G7932" s="45">
        <v>2</v>
      </c>
      <c r="H7932" s="45">
        <v>100</v>
      </c>
      <c r="I7932" s="45">
        <v>57.8</v>
      </c>
    </row>
    <row r="7933" spans="1:9" s="71" customFormat="1" ht="19.5" hidden="1" customHeight="1" outlineLevel="1" x14ac:dyDescent="0.25">
      <c r="A7933" s="83">
        <v>9221</v>
      </c>
      <c r="B7933" s="45" t="s">
        <v>664</v>
      </c>
      <c r="C7933" s="82" t="s">
        <v>7346</v>
      </c>
      <c r="D7933" s="82"/>
      <c r="E7933" s="74">
        <v>2021</v>
      </c>
      <c r="F7933" s="74"/>
      <c r="G7933" s="45">
        <v>1</v>
      </c>
      <c r="H7933" s="45">
        <v>40</v>
      </c>
      <c r="I7933" s="45">
        <v>27.882000000000001</v>
      </c>
    </row>
    <row r="7934" spans="1:9" s="71" customFormat="1" ht="19.5" hidden="1" customHeight="1" outlineLevel="1" x14ac:dyDescent="0.25">
      <c r="A7934" s="83">
        <v>9237</v>
      </c>
      <c r="B7934" s="45" t="s">
        <v>664</v>
      </c>
      <c r="C7934" s="82" t="s">
        <v>7347</v>
      </c>
      <c r="D7934" s="82"/>
      <c r="E7934" s="74">
        <v>2021</v>
      </c>
      <c r="F7934" s="74"/>
      <c r="G7934" s="45">
        <v>1</v>
      </c>
      <c r="H7934" s="45">
        <v>15</v>
      </c>
      <c r="I7934" s="45">
        <v>27.844999999999999</v>
      </c>
    </row>
    <row r="7935" spans="1:9" s="71" customFormat="1" ht="19.5" hidden="1" customHeight="1" outlineLevel="1" x14ac:dyDescent="0.25">
      <c r="A7935" s="83">
        <v>9891</v>
      </c>
      <c r="B7935" s="45" t="s">
        <v>664</v>
      </c>
      <c r="C7935" s="82" t="s">
        <v>7348</v>
      </c>
      <c r="D7935" s="82"/>
      <c r="E7935" s="74">
        <v>2021</v>
      </c>
      <c r="F7935" s="74"/>
      <c r="G7935" s="45">
        <v>1</v>
      </c>
      <c r="H7935" s="45">
        <v>148.61000000000001</v>
      </c>
      <c r="I7935" s="45">
        <v>32.459000000000003</v>
      </c>
    </row>
    <row r="7936" spans="1:9" s="71" customFormat="1" ht="19.5" hidden="1" customHeight="1" outlineLevel="1" x14ac:dyDescent="0.25">
      <c r="A7936" s="83">
        <v>9546</v>
      </c>
      <c r="B7936" s="45" t="s">
        <v>664</v>
      </c>
      <c r="C7936" s="82" t="s">
        <v>382</v>
      </c>
      <c r="D7936" s="82"/>
      <c r="E7936" s="74">
        <v>2021</v>
      </c>
      <c r="F7936" s="74"/>
      <c r="G7936" s="45">
        <v>1</v>
      </c>
      <c r="H7936" s="45">
        <v>15</v>
      </c>
      <c r="I7936" s="45">
        <v>30.114000000000001</v>
      </c>
    </row>
    <row r="7937" spans="1:9" s="71" customFormat="1" ht="19.5" hidden="1" customHeight="1" outlineLevel="1" x14ac:dyDescent="0.25">
      <c r="A7937" s="83">
        <v>9550</v>
      </c>
      <c r="B7937" s="45" t="s">
        <v>664</v>
      </c>
      <c r="C7937" s="82" t="s">
        <v>7349</v>
      </c>
      <c r="D7937" s="82"/>
      <c r="E7937" s="74">
        <v>2021</v>
      </c>
      <c r="F7937" s="74"/>
      <c r="G7937" s="45">
        <v>1</v>
      </c>
      <c r="H7937" s="45">
        <v>15</v>
      </c>
      <c r="I7937" s="45">
        <v>31.558</v>
      </c>
    </row>
    <row r="7938" spans="1:9" s="71" customFormat="1" ht="19.5" hidden="1" customHeight="1" outlineLevel="1" x14ac:dyDescent="0.25">
      <c r="A7938" s="83">
        <v>9548</v>
      </c>
      <c r="B7938" s="45" t="s">
        <v>664</v>
      </c>
      <c r="C7938" s="82" t="s">
        <v>7350</v>
      </c>
      <c r="D7938" s="82"/>
      <c r="E7938" s="74">
        <v>2021</v>
      </c>
      <c r="F7938" s="74"/>
      <c r="G7938" s="45">
        <v>1</v>
      </c>
      <c r="H7938" s="45">
        <v>15</v>
      </c>
      <c r="I7938" s="45">
        <v>34.454999999999998</v>
      </c>
    </row>
    <row r="7939" spans="1:9" s="71" customFormat="1" ht="19.5" hidden="1" customHeight="1" outlineLevel="1" x14ac:dyDescent="0.25">
      <c r="A7939" s="83">
        <v>9235</v>
      </c>
      <c r="B7939" s="45" t="s">
        <v>664</v>
      </c>
      <c r="C7939" s="82" t="s">
        <v>7351</v>
      </c>
      <c r="D7939" s="82"/>
      <c r="E7939" s="74">
        <v>2021</v>
      </c>
      <c r="F7939" s="74"/>
      <c r="G7939" s="45">
        <v>1</v>
      </c>
      <c r="H7939" s="45">
        <v>15</v>
      </c>
      <c r="I7939" s="45">
        <v>32.5</v>
      </c>
    </row>
    <row r="7940" spans="1:9" s="71" customFormat="1" ht="19.5" hidden="1" customHeight="1" outlineLevel="1" x14ac:dyDescent="0.25">
      <c r="A7940" s="83">
        <v>9227</v>
      </c>
      <c r="B7940" s="45" t="s">
        <v>664</v>
      </c>
      <c r="C7940" s="82" t="s">
        <v>7352</v>
      </c>
      <c r="D7940" s="82"/>
      <c r="E7940" s="74">
        <v>2021</v>
      </c>
      <c r="F7940" s="74"/>
      <c r="G7940" s="45">
        <v>1</v>
      </c>
      <c r="H7940" s="45">
        <v>15</v>
      </c>
      <c r="I7940" s="45">
        <v>38.81</v>
      </c>
    </row>
    <row r="7941" spans="1:9" s="71" customFormat="1" ht="19.5" hidden="1" customHeight="1" outlineLevel="1" x14ac:dyDescent="0.25">
      <c r="A7941" s="83">
        <v>9230</v>
      </c>
      <c r="B7941" s="45" t="s">
        <v>664</v>
      </c>
      <c r="C7941" s="82" t="s">
        <v>7353</v>
      </c>
      <c r="D7941" s="82"/>
      <c r="E7941" s="74">
        <v>2021</v>
      </c>
      <c r="F7941" s="74"/>
      <c r="G7941" s="45">
        <v>1</v>
      </c>
      <c r="H7941" s="45">
        <v>10</v>
      </c>
      <c r="I7941" s="45">
        <v>35.609000000000002</v>
      </c>
    </row>
    <row r="7942" spans="1:9" s="71" customFormat="1" ht="19.5" hidden="1" customHeight="1" outlineLevel="1" x14ac:dyDescent="0.25">
      <c r="A7942" s="83">
        <v>10130</v>
      </c>
      <c r="B7942" s="45" t="s">
        <v>664</v>
      </c>
      <c r="C7942" s="82" t="s">
        <v>7354</v>
      </c>
      <c r="D7942" s="82"/>
      <c r="E7942" s="74">
        <v>2021</v>
      </c>
      <c r="F7942" s="74"/>
      <c r="G7942" s="45">
        <v>1</v>
      </c>
      <c r="H7942" s="45">
        <v>15</v>
      </c>
      <c r="I7942" s="45">
        <v>33.036999999999999</v>
      </c>
    </row>
    <row r="7943" spans="1:9" s="71" customFormat="1" ht="19.5" hidden="1" customHeight="1" outlineLevel="1" x14ac:dyDescent="0.25">
      <c r="A7943" s="83">
        <v>10152</v>
      </c>
      <c r="B7943" s="45" t="s">
        <v>664</v>
      </c>
      <c r="C7943" s="82" t="s">
        <v>7355</v>
      </c>
      <c r="D7943" s="82"/>
      <c r="E7943" s="74">
        <v>2021</v>
      </c>
      <c r="F7943" s="74"/>
      <c r="G7943" s="45">
        <v>1</v>
      </c>
      <c r="H7943" s="45">
        <v>15</v>
      </c>
      <c r="I7943" s="45">
        <v>24.396999999999998</v>
      </c>
    </row>
    <row r="7944" spans="1:9" s="71" customFormat="1" ht="19.5" hidden="1" customHeight="1" outlineLevel="1" x14ac:dyDescent="0.25">
      <c r="A7944" s="83">
        <v>9229</v>
      </c>
      <c r="B7944" s="45" t="s">
        <v>664</v>
      </c>
      <c r="C7944" s="82" t="s">
        <v>7356</v>
      </c>
      <c r="D7944" s="82"/>
      <c r="E7944" s="74">
        <v>2021</v>
      </c>
      <c r="F7944" s="74"/>
      <c r="G7944" s="45">
        <v>1</v>
      </c>
      <c r="H7944" s="45">
        <v>15</v>
      </c>
      <c r="I7944" s="45">
        <v>39.927999999999997</v>
      </c>
    </row>
    <row r="7945" spans="1:9" s="71" customFormat="1" ht="19.5" hidden="1" customHeight="1" outlineLevel="1" x14ac:dyDescent="0.25">
      <c r="A7945" s="83">
        <v>9539</v>
      </c>
      <c r="B7945" s="45" t="s">
        <v>664</v>
      </c>
      <c r="C7945" s="82" t="s">
        <v>7357</v>
      </c>
      <c r="D7945" s="82"/>
      <c r="E7945" s="74">
        <v>2021</v>
      </c>
      <c r="F7945" s="74"/>
      <c r="G7945" s="45">
        <v>1</v>
      </c>
      <c r="H7945" s="45">
        <v>15</v>
      </c>
      <c r="I7945" s="45">
        <v>27.373000000000001</v>
      </c>
    </row>
    <row r="7946" spans="1:9" s="71" customFormat="1" ht="19.5" hidden="1" customHeight="1" outlineLevel="1" x14ac:dyDescent="0.25">
      <c r="A7946" s="84">
        <v>1170</v>
      </c>
      <c r="B7946" s="45" t="s">
        <v>664</v>
      </c>
      <c r="C7946" s="82" t="s">
        <v>384</v>
      </c>
      <c r="D7946" s="82"/>
      <c r="E7946" s="74">
        <v>2021</v>
      </c>
      <c r="F7946" s="74"/>
      <c r="G7946" s="45">
        <v>1</v>
      </c>
      <c r="H7946" s="45">
        <v>60</v>
      </c>
      <c r="I7946" s="45">
        <v>32.5</v>
      </c>
    </row>
    <row r="7947" spans="1:9" s="71" customFormat="1" ht="19.5" hidden="1" customHeight="1" outlineLevel="1" x14ac:dyDescent="0.25">
      <c r="A7947" s="83">
        <v>10120</v>
      </c>
      <c r="B7947" s="45" t="s">
        <v>664</v>
      </c>
      <c r="C7947" s="82" t="s">
        <v>7358</v>
      </c>
      <c r="D7947" s="82"/>
      <c r="E7947" s="74">
        <v>2021</v>
      </c>
      <c r="F7947" s="74"/>
      <c r="G7947" s="45">
        <v>1</v>
      </c>
      <c r="H7947" s="45">
        <v>15</v>
      </c>
      <c r="I7947" s="45">
        <v>24.029</v>
      </c>
    </row>
    <row r="7948" spans="1:9" s="71" customFormat="1" ht="19.5" hidden="1" customHeight="1" outlineLevel="1" x14ac:dyDescent="0.25">
      <c r="A7948" s="83">
        <v>10236</v>
      </c>
      <c r="B7948" s="45" t="s">
        <v>664</v>
      </c>
      <c r="C7948" s="82" t="s">
        <v>7359</v>
      </c>
      <c r="D7948" s="82"/>
      <c r="E7948" s="74">
        <v>2021</v>
      </c>
      <c r="F7948" s="74"/>
      <c r="G7948" s="45">
        <v>1</v>
      </c>
      <c r="H7948" s="45">
        <v>15</v>
      </c>
      <c r="I7948" s="45">
        <v>24.029</v>
      </c>
    </row>
    <row r="7949" spans="1:9" s="71" customFormat="1" ht="19.5" hidden="1" customHeight="1" outlineLevel="1" x14ac:dyDescent="0.25">
      <c r="A7949" s="83">
        <v>10061</v>
      </c>
      <c r="B7949" s="45" t="s">
        <v>664</v>
      </c>
      <c r="C7949" s="82" t="s">
        <v>7360</v>
      </c>
      <c r="D7949" s="82"/>
      <c r="E7949" s="74">
        <v>2021</v>
      </c>
      <c r="F7949" s="74"/>
      <c r="G7949" s="45">
        <v>1</v>
      </c>
      <c r="H7949" s="45">
        <v>15</v>
      </c>
      <c r="I7949" s="45">
        <v>24.018000000000001</v>
      </c>
    </row>
    <row r="7950" spans="1:9" s="71" customFormat="1" ht="19.5" hidden="1" customHeight="1" outlineLevel="1" x14ac:dyDescent="0.25">
      <c r="A7950" s="83">
        <v>10118</v>
      </c>
      <c r="B7950" s="45" t="s">
        <v>664</v>
      </c>
      <c r="C7950" s="82" t="s">
        <v>7361</v>
      </c>
      <c r="D7950" s="82"/>
      <c r="E7950" s="74">
        <v>2021</v>
      </c>
      <c r="F7950" s="74"/>
      <c r="G7950" s="45">
        <v>1</v>
      </c>
      <c r="H7950" s="45">
        <v>15</v>
      </c>
      <c r="I7950" s="45">
        <v>24.018000000000001</v>
      </c>
    </row>
    <row r="7951" spans="1:9" s="71" customFormat="1" ht="19.5" hidden="1" customHeight="1" outlineLevel="1" x14ac:dyDescent="0.25">
      <c r="A7951" s="83">
        <v>10117</v>
      </c>
      <c r="B7951" s="45" t="s">
        <v>664</v>
      </c>
      <c r="C7951" s="82" t="s">
        <v>7362</v>
      </c>
      <c r="D7951" s="82"/>
      <c r="E7951" s="74">
        <v>2021</v>
      </c>
      <c r="F7951" s="74"/>
      <c r="G7951" s="45">
        <v>1</v>
      </c>
      <c r="H7951" s="45">
        <v>15</v>
      </c>
      <c r="I7951" s="45">
        <v>25.481999999999999</v>
      </c>
    </row>
    <row r="7952" spans="1:9" s="71" customFormat="1" ht="19.5" hidden="1" customHeight="1" outlineLevel="1" x14ac:dyDescent="0.25">
      <c r="A7952" s="83">
        <v>10324</v>
      </c>
      <c r="B7952" s="45" t="s">
        <v>664</v>
      </c>
      <c r="C7952" s="82" t="s">
        <v>7363</v>
      </c>
      <c r="D7952" s="82"/>
      <c r="E7952" s="74">
        <v>2021</v>
      </c>
      <c r="F7952" s="74"/>
      <c r="G7952" s="45">
        <v>1</v>
      </c>
      <c r="H7952" s="45">
        <v>15</v>
      </c>
      <c r="I7952" s="45">
        <v>24.51</v>
      </c>
    </row>
    <row r="7953" spans="1:9" s="71" customFormat="1" ht="19.5" hidden="1" customHeight="1" outlineLevel="1" x14ac:dyDescent="0.25">
      <c r="A7953" s="83">
        <v>10235</v>
      </c>
      <c r="B7953" s="45" t="s">
        <v>664</v>
      </c>
      <c r="C7953" s="82" t="s">
        <v>7364</v>
      </c>
      <c r="D7953" s="82"/>
      <c r="E7953" s="74">
        <v>2021</v>
      </c>
      <c r="F7953" s="74"/>
      <c r="G7953" s="45">
        <v>1</v>
      </c>
      <c r="H7953" s="45">
        <v>15</v>
      </c>
      <c r="I7953" s="45">
        <v>25.475999999999999</v>
      </c>
    </row>
    <row r="7954" spans="1:9" s="71" customFormat="1" ht="19.5" hidden="1" customHeight="1" outlineLevel="1" x14ac:dyDescent="0.25">
      <c r="A7954" s="83">
        <v>9158</v>
      </c>
      <c r="B7954" s="45" t="s">
        <v>664</v>
      </c>
      <c r="C7954" s="82" t="s">
        <v>7365</v>
      </c>
      <c r="D7954" s="82"/>
      <c r="E7954" s="74">
        <v>2021</v>
      </c>
      <c r="F7954" s="74"/>
      <c r="G7954" s="45">
        <v>1</v>
      </c>
      <c r="H7954" s="45">
        <v>36</v>
      </c>
      <c r="I7954" s="45">
        <v>30.341999999999999</v>
      </c>
    </row>
    <row r="7955" spans="1:9" s="71" customFormat="1" ht="19.5" hidden="1" customHeight="1" outlineLevel="1" x14ac:dyDescent="0.25">
      <c r="A7955" s="83">
        <v>10116</v>
      </c>
      <c r="B7955" s="45" t="s">
        <v>664</v>
      </c>
      <c r="C7955" s="82" t="s">
        <v>7366</v>
      </c>
      <c r="D7955" s="82"/>
      <c r="E7955" s="74">
        <v>2021</v>
      </c>
      <c r="F7955" s="74"/>
      <c r="G7955" s="45">
        <v>1</v>
      </c>
      <c r="H7955" s="45">
        <v>150</v>
      </c>
      <c r="I7955" s="45">
        <v>32.366</v>
      </c>
    </row>
    <row r="7956" spans="1:9" s="71" customFormat="1" ht="19.5" hidden="1" customHeight="1" outlineLevel="1" x14ac:dyDescent="0.25">
      <c r="A7956" s="83">
        <v>9558</v>
      </c>
      <c r="B7956" s="45" t="s">
        <v>664</v>
      </c>
      <c r="C7956" s="82" t="s">
        <v>7367</v>
      </c>
      <c r="D7956" s="82"/>
      <c r="E7956" s="74">
        <v>2021</v>
      </c>
      <c r="F7956" s="74"/>
      <c r="G7956" s="45">
        <v>1</v>
      </c>
      <c r="H7956" s="45">
        <v>15</v>
      </c>
      <c r="I7956" s="45">
        <v>28.378</v>
      </c>
    </row>
    <row r="7957" spans="1:9" s="71" customFormat="1" ht="19.5" hidden="1" customHeight="1" outlineLevel="1" x14ac:dyDescent="0.25">
      <c r="A7957" s="83">
        <v>9233</v>
      </c>
      <c r="B7957" s="45" t="s">
        <v>664</v>
      </c>
      <c r="C7957" s="82" t="s">
        <v>7368</v>
      </c>
      <c r="D7957" s="82"/>
      <c r="E7957" s="74">
        <v>2021</v>
      </c>
      <c r="F7957" s="74"/>
      <c r="G7957" s="45">
        <v>1</v>
      </c>
      <c r="H7957" s="45">
        <v>30</v>
      </c>
      <c r="I7957" s="45">
        <v>31.352</v>
      </c>
    </row>
    <row r="7958" spans="1:9" s="71" customFormat="1" ht="19.5" hidden="1" customHeight="1" outlineLevel="1" x14ac:dyDescent="0.25">
      <c r="A7958" s="83">
        <v>9232</v>
      </c>
      <c r="B7958" s="45" t="s">
        <v>664</v>
      </c>
      <c r="C7958" s="82" t="s">
        <v>7369</v>
      </c>
      <c r="D7958" s="82"/>
      <c r="E7958" s="74">
        <v>2021</v>
      </c>
      <c r="F7958" s="74"/>
      <c r="G7958" s="45">
        <v>1</v>
      </c>
      <c r="H7958" s="45">
        <v>30</v>
      </c>
      <c r="I7958" s="45">
        <v>29.271999999999998</v>
      </c>
    </row>
    <row r="7959" spans="1:9" s="71" customFormat="1" ht="19.5" hidden="1" customHeight="1" outlineLevel="1" x14ac:dyDescent="0.25">
      <c r="A7959" s="83">
        <v>9682</v>
      </c>
      <c r="B7959" s="45" t="s">
        <v>664</v>
      </c>
      <c r="C7959" s="82" t="s">
        <v>7370</v>
      </c>
      <c r="D7959" s="82"/>
      <c r="E7959" s="74">
        <v>2021</v>
      </c>
      <c r="F7959" s="74"/>
      <c r="G7959" s="45">
        <v>1</v>
      </c>
      <c r="H7959" s="45">
        <v>15</v>
      </c>
      <c r="I7959" s="45">
        <v>29.013999999999999</v>
      </c>
    </row>
    <row r="7960" spans="1:9" s="71" customFormat="1" ht="19.5" hidden="1" customHeight="1" outlineLevel="1" x14ac:dyDescent="0.25">
      <c r="A7960" s="83">
        <v>9434</v>
      </c>
      <c r="B7960" s="45" t="s">
        <v>664</v>
      </c>
      <c r="C7960" s="82" t="s">
        <v>7371</v>
      </c>
      <c r="D7960" s="82"/>
      <c r="E7960" s="74">
        <v>2021</v>
      </c>
      <c r="F7960" s="74"/>
      <c r="G7960" s="45">
        <v>1</v>
      </c>
      <c r="H7960" s="45">
        <v>15</v>
      </c>
      <c r="I7960" s="45">
        <v>27.908999999999999</v>
      </c>
    </row>
    <row r="7961" spans="1:9" s="71" customFormat="1" ht="19.5" hidden="1" customHeight="1" outlineLevel="1" x14ac:dyDescent="0.25">
      <c r="A7961" s="83">
        <v>10053</v>
      </c>
      <c r="B7961" s="45" t="s">
        <v>664</v>
      </c>
      <c r="C7961" s="82" t="s">
        <v>7372</v>
      </c>
      <c r="D7961" s="82"/>
      <c r="E7961" s="74">
        <v>2021</v>
      </c>
      <c r="F7961" s="74"/>
      <c r="G7961" s="45">
        <v>1</v>
      </c>
      <c r="H7961" s="45">
        <v>14</v>
      </c>
      <c r="I7961" s="45">
        <v>28.36</v>
      </c>
    </row>
    <row r="7962" spans="1:9" s="71" customFormat="1" ht="19.5" hidden="1" customHeight="1" outlineLevel="1" x14ac:dyDescent="0.25">
      <c r="A7962" s="83">
        <v>10099</v>
      </c>
      <c r="B7962" s="45" t="s">
        <v>664</v>
      </c>
      <c r="C7962" s="82" t="s">
        <v>7373</v>
      </c>
      <c r="D7962" s="82"/>
      <c r="E7962" s="74">
        <v>2021</v>
      </c>
      <c r="F7962" s="74"/>
      <c r="G7962" s="45">
        <v>1</v>
      </c>
      <c r="H7962" s="45">
        <v>14</v>
      </c>
      <c r="I7962" s="45">
        <v>24.640999999999998</v>
      </c>
    </row>
    <row r="7963" spans="1:9" s="71" customFormat="1" ht="19.5" hidden="1" customHeight="1" outlineLevel="1" x14ac:dyDescent="0.25">
      <c r="A7963" s="83">
        <v>10252</v>
      </c>
      <c r="B7963" s="45" t="s">
        <v>664</v>
      </c>
      <c r="C7963" s="82" t="s">
        <v>7374</v>
      </c>
      <c r="D7963" s="82"/>
      <c r="E7963" s="74">
        <v>2021</v>
      </c>
      <c r="F7963" s="74"/>
      <c r="G7963" s="45">
        <v>1</v>
      </c>
      <c r="H7963" s="45">
        <v>15</v>
      </c>
      <c r="I7963" s="45">
        <v>24.260999999999999</v>
      </c>
    </row>
    <row r="7964" spans="1:9" s="71" customFormat="1" ht="19.5" hidden="1" customHeight="1" outlineLevel="1" x14ac:dyDescent="0.25">
      <c r="A7964" s="83">
        <v>9435</v>
      </c>
      <c r="B7964" s="45" t="s">
        <v>664</v>
      </c>
      <c r="C7964" s="82" t="s">
        <v>7375</v>
      </c>
      <c r="D7964" s="82"/>
      <c r="E7964" s="74">
        <v>2021</v>
      </c>
      <c r="F7964" s="74"/>
      <c r="G7964" s="45">
        <v>1</v>
      </c>
      <c r="H7964" s="45">
        <v>15</v>
      </c>
      <c r="I7964" s="45">
        <v>23.748000000000001</v>
      </c>
    </row>
    <row r="7965" spans="1:9" s="71" customFormat="1" ht="19.5" hidden="1" customHeight="1" outlineLevel="1" x14ac:dyDescent="0.25">
      <c r="A7965" s="83">
        <v>10121</v>
      </c>
      <c r="B7965" s="45" t="s">
        <v>664</v>
      </c>
      <c r="C7965" s="82" t="s">
        <v>7376</v>
      </c>
      <c r="D7965" s="82"/>
      <c r="E7965" s="74">
        <v>2021</v>
      </c>
      <c r="F7965" s="74"/>
      <c r="G7965" s="45">
        <v>1</v>
      </c>
      <c r="H7965" s="45">
        <v>15</v>
      </c>
      <c r="I7965" s="45">
        <v>26.657</v>
      </c>
    </row>
    <row r="7966" spans="1:9" s="71" customFormat="1" ht="19.5" hidden="1" customHeight="1" outlineLevel="1" x14ac:dyDescent="0.25">
      <c r="A7966" s="83">
        <v>10139</v>
      </c>
      <c r="B7966" s="45" t="s">
        <v>664</v>
      </c>
      <c r="C7966" s="82" t="s">
        <v>7377</v>
      </c>
      <c r="D7966" s="82"/>
      <c r="E7966" s="74">
        <v>2021</v>
      </c>
      <c r="F7966" s="74"/>
      <c r="G7966" s="45">
        <v>1</v>
      </c>
      <c r="H7966" s="45">
        <v>15</v>
      </c>
      <c r="I7966" s="45">
        <v>25.574000000000002</v>
      </c>
    </row>
    <row r="7967" spans="1:9" s="71" customFormat="1" ht="19.5" hidden="1" customHeight="1" outlineLevel="1" x14ac:dyDescent="0.25">
      <c r="A7967" s="74">
        <v>245</v>
      </c>
      <c r="B7967" s="45" t="s">
        <v>664</v>
      </c>
      <c r="C7967" s="82" t="s">
        <v>7378</v>
      </c>
      <c r="D7967" s="82"/>
      <c r="E7967" s="74">
        <v>2021</v>
      </c>
      <c r="F7967" s="74"/>
      <c r="G7967" s="45">
        <v>1</v>
      </c>
      <c r="H7967" s="45">
        <v>25</v>
      </c>
      <c r="I7967" s="45">
        <v>25.68</v>
      </c>
    </row>
    <row r="7968" spans="1:9" s="71" customFormat="1" ht="19.5" hidden="1" customHeight="1" outlineLevel="1" x14ac:dyDescent="0.25">
      <c r="A7968" s="84">
        <v>836</v>
      </c>
      <c r="B7968" s="45" t="s">
        <v>664</v>
      </c>
      <c r="C7968" s="82" t="s">
        <v>388</v>
      </c>
      <c r="D7968" s="82"/>
      <c r="E7968" s="74">
        <v>2021</v>
      </c>
      <c r="F7968" s="74"/>
      <c r="G7968" s="45">
        <v>4</v>
      </c>
      <c r="H7968" s="45">
        <v>150</v>
      </c>
      <c r="I7968" s="45">
        <v>151.77000000000001</v>
      </c>
    </row>
    <row r="7969" spans="1:9" s="71" customFormat="1" ht="19.5" hidden="1" customHeight="1" outlineLevel="1" x14ac:dyDescent="0.25">
      <c r="A7969" s="83">
        <v>9093</v>
      </c>
      <c r="B7969" s="45" t="s">
        <v>664</v>
      </c>
      <c r="C7969" s="82" t="s">
        <v>7379</v>
      </c>
      <c r="D7969" s="82"/>
      <c r="E7969" s="74">
        <v>2021</v>
      </c>
      <c r="F7969" s="74"/>
      <c r="G7969" s="45">
        <v>1</v>
      </c>
      <c r="H7969" s="45" t="s">
        <v>7380</v>
      </c>
      <c r="I7969" s="45">
        <v>64</v>
      </c>
    </row>
    <row r="7970" spans="1:9" s="71" customFormat="1" ht="19.5" hidden="1" customHeight="1" outlineLevel="1" x14ac:dyDescent="0.25">
      <c r="A7970" s="83">
        <v>9261</v>
      </c>
      <c r="B7970" s="45" t="s">
        <v>664</v>
      </c>
      <c r="C7970" s="82" t="s">
        <v>7381</v>
      </c>
      <c r="D7970" s="82"/>
      <c r="E7970" s="74">
        <v>2021</v>
      </c>
      <c r="F7970" s="74"/>
      <c r="G7970" s="45">
        <v>1</v>
      </c>
      <c r="H7970" s="45" t="s">
        <v>7382</v>
      </c>
      <c r="I7970" s="45">
        <v>100</v>
      </c>
    </row>
    <row r="7971" spans="1:9" s="71" customFormat="1" ht="19.5" hidden="1" customHeight="1" outlineLevel="1" x14ac:dyDescent="0.25">
      <c r="A7971" s="83">
        <v>9258</v>
      </c>
      <c r="B7971" s="45" t="s">
        <v>664</v>
      </c>
      <c r="C7971" s="82" t="s">
        <v>7383</v>
      </c>
      <c r="D7971" s="82"/>
      <c r="E7971" s="74">
        <v>2021</v>
      </c>
      <c r="F7971" s="74"/>
      <c r="G7971" s="45">
        <v>1</v>
      </c>
      <c r="H7971" s="45" t="s">
        <v>7382</v>
      </c>
      <c r="I7971" s="45">
        <v>98</v>
      </c>
    </row>
    <row r="7972" spans="1:9" s="71" customFormat="1" ht="19.5" hidden="1" customHeight="1" outlineLevel="1" x14ac:dyDescent="0.25">
      <c r="A7972" s="83">
        <v>9248</v>
      </c>
      <c r="B7972" s="45" t="s">
        <v>664</v>
      </c>
      <c r="C7972" s="82" t="s">
        <v>7384</v>
      </c>
      <c r="D7972" s="82"/>
      <c r="E7972" s="74">
        <v>2021</v>
      </c>
      <c r="F7972" s="74"/>
      <c r="G7972" s="45">
        <v>1</v>
      </c>
      <c r="H7972" s="45" t="s">
        <v>7382</v>
      </c>
      <c r="I7972" s="45">
        <v>94</v>
      </c>
    </row>
    <row r="7973" spans="1:9" s="71" customFormat="1" ht="19.5" hidden="1" customHeight="1" outlineLevel="1" x14ac:dyDescent="0.25">
      <c r="A7973" s="83">
        <v>9145</v>
      </c>
      <c r="B7973" s="45" t="s">
        <v>664</v>
      </c>
      <c r="C7973" s="82" t="s">
        <v>7385</v>
      </c>
      <c r="D7973" s="82"/>
      <c r="E7973" s="74">
        <v>2021</v>
      </c>
      <c r="F7973" s="74"/>
      <c r="G7973" s="45">
        <v>1</v>
      </c>
      <c r="H7973" s="45" t="s">
        <v>7382</v>
      </c>
      <c r="I7973" s="45">
        <v>85</v>
      </c>
    </row>
    <row r="7974" spans="1:9" s="71" customFormat="1" ht="19.5" hidden="1" customHeight="1" outlineLevel="1" x14ac:dyDescent="0.25">
      <c r="A7974" s="83">
        <v>9143</v>
      </c>
      <c r="B7974" s="45" t="s">
        <v>664</v>
      </c>
      <c r="C7974" s="82" t="s">
        <v>7386</v>
      </c>
      <c r="D7974" s="82"/>
      <c r="E7974" s="74">
        <v>2021</v>
      </c>
      <c r="F7974" s="74"/>
      <c r="G7974" s="45">
        <v>1</v>
      </c>
      <c r="H7974" s="45" t="s">
        <v>7382</v>
      </c>
      <c r="I7974" s="45">
        <v>102</v>
      </c>
    </row>
    <row r="7975" spans="1:9" s="71" customFormat="1" ht="19.5" hidden="1" customHeight="1" outlineLevel="1" x14ac:dyDescent="0.25">
      <c r="A7975" s="83">
        <v>9253</v>
      </c>
      <c r="B7975" s="45" t="s">
        <v>664</v>
      </c>
      <c r="C7975" s="82" t="s">
        <v>7387</v>
      </c>
      <c r="D7975" s="82"/>
      <c r="E7975" s="74">
        <v>2021</v>
      </c>
      <c r="F7975" s="74"/>
      <c r="G7975" s="45">
        <v>1</v>
      </c>
      <c r="H7975" s="45" t="s">
        <v>7382</v>
      </c>
      <c r="I7975" s="45">
        <v>97</v>
      </c>
    </row>
    <row r="7976" spans="1:9" s="71" customFormat="1" ht="19.5" hidden="1" customHeight="1" outlineLevel="1" x14ac:dyDescent="0.25">
      <c r="A7976" s="83">
        <v>9728</v>
      </c>
      <c r="B7976" s="45" t="s">
        <v>664</v>
      </c>
      <c r="C7976" s="82" t="s">
        <v>7388</v>
      </c>
      <c r="D7976" s="82"/>
      <c r="E7976" s="74">
        <v>2021</v>
      </c>
      <c r="F7976" s="74"/>
      <c r="G7976" s="45">
        <v>1</v>
      </c>
      <c r="H7976" s="45" t="s">
        <v>7380</v>
      </c>
      <c r="I7976" s="45">
        <v>15</v>
      </c>
    </row>
    <row r="7977" spans="1:9" s="71" customFormat="1" ht="19.5" hidden="1" customHeight="1" outlineLevel="1" x14ac:dyDescent="0.25">
      <c r="A7977" s="83">
        <v>9249</v>
      </c>
      <c r="B7977" s="45" t="s">
        <v>664</v>
      </c>
      <c r="C7977" s="82" t="s">
        <v>7389</v>
      </c>
      <c r="D7977" s="82"/>
      <c r="E7977" s="74">
        <v>2021</v>
      </c>
      <c r="F7977" s="74"/>
      <c r="G7977" s="45">
        <v>1</v>
      </c>
      <c r="H7977" s="45" t="s">
        <v>7382</v>
      </c>
      <c r="I7977" s="45">
        <v>99</v>
      </c>
    </row>
    <row r="7978" spans="1:9" s="71" customFormat="1" ht="19.5" hidden="1" customHeight="1" outlineLevel="1" x14ac:dyDescent="0.25">
      <c r="A7978" s="83">
        <v>9252</v>
      </c>
      <c r="B7978" s="45" t="s">
        <v>664</v>
      </c>
      <c r="C7978" s="82" t="s">
        <v>7390</v>
      </c>
      <c r="D7978" s="82"/>
      <c r="E7978" s="74">
        <v>2021</v>
      </c>
      <c r="F7978" s="74"/>
      <c r="G7978" s="45">
        <v>1</v>
      </c>
      <c r="H7978" s="45" t="s">
        <v>7382</v>
      </c>
      <c r="I7978" s="45">
        <v>98</v>
      </c>
    </row>
    <row r="7979" spans="1:9" s="71" customFormat="1" ht="19.5" hidden="1" customHeight="1" outlineLevel="1" x14ac:dyDescent="0.25">
      <c r="A7979" s="83">
        <v>10033</v>
      </c>
      <c r="B7979" s="45" t="s">
        <v>664</v>
      </c>
      <c r="C7979" s="82" t="s">
        <v>7391</v>
      </c>
      <c r="D7979" s="82"/>
      <c r="E7979" s="74">
        <v>2021</v>
      </c>
      <c r="F7979" s="74"/>
      <c r="G7979" s="45">
        <v>1</v>
      </c>
      <c r="H7979" s="45" t="s">
        <v>7382</v>
      </c>
      <c r="I7979" s="45">
        <v>97</v>
      </c>
    </row>
    <row r="7980" spans="1:9" s="71" customFormat="1" ht="19.5" hidden="1" customHeight="1" outlineLevel="1" x14ac:dyDescent="0.25">
      <c r="A7980" s="83">
        <v>10037</v>
      </c>
      <c r="B7980" s="45" t="s">
        <v>664</v>
      </c>
      <c r="C7980" s="82" t="s">
        <v>7392</v>
      </c>
      <c r="D7980" s="82"/>
      <c r="E7980" s="74">
        <v>2021</v>
      </c>
      <c r="F7980" s="74"/>
      <c r="G7980" s="45">
        <v>1</v>
      </c>
      <c r="H7980" s="45" t="s">
        <v>7382</v>
      </c>
      <c r="I7980" s="45">
        <v>96</v>
      </c>
    </row>
    <row r="7981" spans="1:9" s="71" customFormat="1" ht="19.5" hidden="1" customHeight="1" outlineLevel="1" x14ac:dyDescent="0.25">
      <c r="A7981" s="83">
        <v>10038</v>
      </c>
      <c r="B7981" s="45" t="s">
        <v>664</v>
      </c>
      <c r="C7981" s="82" t="s">
        <v>7393</v>
      </c>
      <c r="D7981" s="82"/>
      <c r="E7981" s="74">
        <v>2021</v>
      </c>
      <c r="F7981" s="74"/>
      <c r="G7981" s="45">
        <v>1</v>
      </c>
      <c r="H7981" s="45" t="s">
        <v>7382</v>
      </c>
      <c r="I7981" s="45">
        <v>97</v>
      </c>
    </row>
    <row r="7982" spans="1:9" s="71" customFormat="1" ht="19.5" hidden="1" customHeight="1" outlineLevel="1" x14ac:dyDescent="0.25">
      <c r="A7982" s="83">
        <v>10040</v>
      </c>
      <c r="B7982" s="45" t="s">
        <v>664</v>
      </c>
      <c r="C7982" s="82" t="s">
        <v>7394</v>
      </c>
      <c r="D7982" s="82"/>
      <c r="E7982" s="74">
        <v>2021</v>
      </c>
      <c r="F7982" s="74"/>
      <c r="G7982" s="45">
        <v>1</v>
      </c>
      <c r="H7982" s="45">
        <v>15</v>
      </c>
      <c r="I7982" s="45">
        <v>96</v>
      </c>
    </row>
    <row r="7983" spans="1:9" s="71" customFormat="1" ht="19.5" hidden="1" customHeight="1" outlineLevel="1" x14ac:dyDescent="0.25">
      <c r="A7983" s="83">
        <v>9144</v>
      </c>
      <c r="B7983" s="45" t="s">
        <v>664</v>
      </c>
      <c r="C7983" s="82" t="s">
        <v>7395</v>
      </c>
      <c r="D7983" s="82"/>
      <c r="E7983" s="74">
        <v>2021</v>
      </c>
      <c r="F7983" s="74"/>
      <c r="G7983" s="45">
        <v>1</v>
      </c>
      <c r="H7983" s="45" t="s">
        <v>7382</v>
      </c>
      <c r="I7983" s="45">
        <v>89</v>
      </c>
    </row>
    <row r="7984" spans="1:9" s="71" customFormat="1" ht="19.5" hidden="1" customHeight="1" outlineLevel="1" x14ac:dyDescent="0.25">
      <c r="A7984" s="83">
        <v>9247</v>
      </c>
      <c r="B7984" s="45" t="s">
        <v>664</v>
      </c>
      <c r="C7984" s="82" t="s">
        <v>7396</v>
      </c>
      <c r="D7984" s="82"/>
      <c r="E7984" s="74">
        <v>2021</v>
      </c>
      <c r="F7984" s="74"/>
      <c r="G7984" s="45">
        <v>1</v>
      </c>
      <c r="H7984" s="45" t="s">
        <v>7382</v>
      </c>
      <c r="I7984" s="45">
        <v>100</v>
      </c>
    </row>
    <row r="7985" spans="1:9" s="71" customFormat="1" ht="19.5" hidden="1" customHeight="1" outlineLevel="1" x14ac:dyDescent="0.25">
      <c r="A7985" s="83">
        <v>10027</v>
      </c>
      <c r="B7985" s="45" t="s">
        <v>664</v>
      </c>
      <c r="C7985" s="82" t="s">
        <v>7397</v>
      </c>
      <c r="D7985" s="82"/>
      <c r="E7985" s="74">
        <v>2021</v>
      </c>
      <c r="F7985" s="74"/>
      <c r="G7985" s="45">
        <v>1</v>
      </c>
      <c r="H7985" s="45" t="s">
        <v>7382</v>
      </c>
      <c r="I7985" s="45">
        <v>80</v>
      </c>
    </row>
    <row r="7986" spans="1:9" s="71" customFormat="1" ht="19.5" hidden="1" customHeight="1" outlineLevel="1" x14ac:dyDescent="0.25">
      <c r="A7986" s="83">
        <v>9255</v>
      </c>
      <c r="B7986" s="45" t="s">
        <v>664</v>
      </c>
      <c r="C7986" s="82" t="s">
        <v>7398</v>
      </c>
      <c r="D7986" s="82"/>
      <c r="E7986" s="74">
        <v>2021</v>
      </c>
      <c r="F7986" s="74"/>
      <c r="G7986" s="45">
        <v>1</v>
      </c>
      <c r="H7986" s="45" t="s">
        <v>7382</v>
      </c>
      <c r="I7986" s="45">
        <v>89</v>
      </c>
    </row>
    <row r="7987" spans="1:9" s="71" customFormat="1" ht="19.5" hidden="1" customHeight="1" outlineLevel="1" x14ac:dyDescent="0.25">
      <c r="A7987" s="83">
        <v>10031</v>
      </c>
      <c r="B7987" s="45" t="s">
        <v>664</v>
      </c>
      <c r="C7987" s="82" t="s">
        <v>7399</v>
      </c>
      <c r="D7987" s="82"/>
      <c r="E7987" s="74">
        <v>2021</v>
      </c>
      <c r="F7987" s="74"/>
      <c r="G7987" s="45">
        <v>1</v>
      </c>
      <c r="H7987" s="45" t="s">
        <v>7400</v>
      </c>
      <c r="I7987" s="45">
        <v>97</v>
      </c>
    </row>
    <row r="7988" spans="1:9" s="71" customFormat="1" ht="19.5" hidden="1" customHeight="1" outlineLevel="1" x14ac:dyDescent="0.25">
      <c r="A7988" s="83">
        <v>10046</v>
      </c>
      <c r="B7988" s="45" t="s">
        <v>664</v>
      </c>
      <c r="C7988" s="129" t="s">
        <v>7401</v>
      </c>
      <c r="D7988" s="129"/>
      <c r="E7988" s="74">
        <v>2021</v>
      </c>
      <c r="F7988" s="74"/>
      <c r="G7988" s="45">
        <v>1</v>
      </c>
      <c r="H7988" s="45" t="s">
        <v>7400</v>
      </c>
      <c r="I7988" s="45">
        <v>69</v>
      </c>
    </row>
    <row r="7989" spans="1:9" s="71" customFormat="1" ht="19.5" hidden="1" customHeight="1" outlineLevel="1" x14ac:dyDescent="0.25">
      <c r="A7989" s="83">
        <v>10030</v>
      </c>
      <c r="B7989" s="45" t="s">
        <v>664</v>
      </c>
      <c r="C7989" s="82" t="s">
        <v>7402</v>
      </c>
      <c r="D7989" s="82"/>
      <c r="E7989" s="74">
        <v>2021</v>
      </c>
      <c r="F7989" s="74"/>
      <c r="G7989" s="45">
        <v>1</v>
      </c>
      <c r="H7989" s="45" t="s">
        <v>7382</v>
      </c>
      <c r="I7989" s="45">
        <v>101</v>
      </c>
    </row>
    <row r="7990" spans="1:9" s="71" customFormat="1" ht="19.5" hidden="1" customHeight="1" outlineLevel="1" x14ac:dyDescent="0.25">
      <c r="A7990" s="83">
        <v>10032</v>
      </c>
      <c r="B7990" s="45" t="s">
        <v>664</v>
      </c>
      <c r="C7990" s="82" t="s">
        <v>7403</v>
      </c>
      <c r="D7990" s="82"/>
      <c r="E7990" s="74">
        <v>2021</v>
      </c>
      <c r="F7990" s="74"/>
      <c r="G7990" s="45">
        <v>1</v>
      </c>
      <c r="H7990" s="45" t="s">
        <v>7382</v>
      </c>
      <c r="I7990" s="45">
        <v>96</v>
      </c>
    </row>
    <row r="7991" spans="1:9" s="71" customFormat="1" ht="19.5" hidden="1" customHeight="1" outlineLevel="1" x14ac:dyDescent="0.25">
      <c r="A7991" s="84">
        <v>1197</v>
      </c>
      <c r="B7991" s="45" t="s">
        <v>664</v>
      </c>
      <c r="C7991" s="82" t="s">
        <v>7404</v>
      </c>
      <c r="D7991" s="82"/>
      <c r="E7991" s="74">
        <v>2021</v>
      </c>
      <c r="F7991" s="74"/>
      <c r="G7991" s="45">
        <v>1</v>
      </c>
      <c r="H7991" s="45" t="s">
        <v>7382</v>
      </c>
      <c r="I7991" s="45">
        <v>50</v>
      </c>
    </row>
    <row r="7992" spans="1:9" s="71" customFormat="1" ht="19.5" hidden="1" customHeight="1" outlineLevel="1" x14ac:dyDescent="0.25">
      <c r="A7992" s="84">
        <v>1262</v>
      </c>
      <c r="B7992" s="45" t="s">
        <v>664</v>
      </c>
      <c r="C7992" s="82" t="s">
        <v>7405</v>
      </c>
      <c r="D7992" s="82"/>
      <c r="E7992" s="74">
        <v>2021</v>
      </c>
      <c r="F7992" s="74"/>
      <c r="G7992" s="45">
        <v>1</v>
      </c>
      <c r="H7992" s="45">
        <v>30</v>
      </c>
      <c r="I7992" s="45">
        <v>25</v>
      </c>
    </row>
    <row r="7993" spans="1:9" s="71" customFormat="1" ht="19.5" hidden="1" customHeight="1" outlineLevel="1" x14ac:dyDescent="0.25">
      <c r="A7993" s="84">
        <v>1199</v>
      </c>
      <c r="B7993" s="45" t="s">
        <v>664</v>
      </c>
      <c r="C7993" s="82" t="s">
        <v>7406</v>
      </c>
      <c r="D7993" s="82"/>
      <c r="E7993" s="74">
        <v>2021</v>
      </c>
      <c r="F7993" s="74"/>
      <c r="G7993" s="45">
        <v>1</v>
      </c>
      <c r="H7993" s="45" t="s">
        <v>7407</v>
      </c>
      <c r="I7993" s="45">
        <v>47</v>
      </c>
    </row>
    <row r="7994" spans="1:9" s="71" customFormat="1" ht="19.5" hidden="1" customHeight="1" outlineLevel="1" x14ac:dyDescent="0.25">
      <c r="A7994" s="83">
        <v>10029</v>
      </c>
      <c r="B7994" s="45" t="s">
        <v>664</v>
      </c>
      <c r="C7994" s="82" t="s">
        <v>7408</v>
      </c>
      <c r="D7994" s="82"/>
      <c r="E7994" s="74">
        <v>2021</v>
      </c>
      <c r="F7994" s="74"/>
      <c r="G7994" s="45">
        <v>1</v>
      </c>
      <c r="H7994" s="45" t="s">
        <v>7382</v>
      </c>
      <c r="I7994" s="45">
        <v>93</v>
      </c>
    </row>
    <row r="7995" spans="1:9" s="71" customFormat="1" ht="19.5" hidden="1" customHeight="1" outlineLevel="1" x14ac:dyDescent="0.25">
      <c r="A7995" s="83">
        <v>9776</v>
      </c>
      <c r="B7995" s="45" t="s">
        <v>664</v>
      </c>
      <c r="C7995" s="82" t="s">
        <v>7409</v>
      </c>
      <c r="D7995" s="82"/>
      <c r="E7995" s="74">
        <v>2021</v>
      </c>
      <c r="F7995" s="74"/>
      <c r="G7995" s="45">
        <v>1</v>
      </c>
      <c r="H7995" s="45" t="s">
        <v>7382</v>
      </c>
      <c r="I7995" s="45">
        <v>59</v>
      </c>
    </row>
    <row r="7996" spans="1:9" s="71" customFormat="1" ht="19.5" hidden="1" customHeight="1" outlineLevel="1" x14ac:dyDescent="0.25">
      <c r="A7996" s="83">
        <v>9702</v>
      </c>
      <c r="B7996" s="45" t="s">
        <v>664</v>
      </c>
      <c r="C7996" s="82" t="s">
        <v>7410</v>
      </c>
      <c r="D7996" s="82"/>
      <c r="E7996" s="74">
        <v>2021</v>
      </c>
      <c r="F7996" s="74"/>
      <c r="G7996" s="45">
        <v>1</v>
      </c>
      <c r="H7996" s="45" t="s">
        <v>7382</v>
      </c>
      <c r="I7996" s="45">
        <v>60</v>
      </c>
    </row>
    <row r="7997" spans="1:9" s="71" customFormat="1" ht="19.5" hidden="1" customHeight="1" outlineLevel="1" x14ac:dyDescent="0.25">
      <c r="A7997" s="83">
        <v>9719</v>
      </c>
      <c r="B7997" s="45" t="s">
        <v>664</v>
      </c>
      <c r="C7997" s="82" t="s">
        <v>7411</v>
      </c>
      <c r="D7997" s="82"/>
      <c r="E7997" s="74">
        <v>2021</v>
      </c>
      <c r="F7997" s="74"/>
      <c r="G7997" s="45">
        <v>1</v>
      </c>
      <c r="H7997" s="45" t="s">
        <v>7382</v>
      </c>
      <c r="I7997" s="45">
        <v>66</v>
      </c>
    </row>
    <row r="7998" spans="1:9" s="71" customFormat="1" ht="19.5" hidden="1" customHeight="1" outlineLevel="1" x14ac:dyDescent="0.25">
      <c r="A7998" s="83">
        <v>10050</v>
      </c>
      <c r="B7998" s="45" t="s">
        <v>664</v>
      </c>
      <c r="C7998" s="82" t="s">
        <v>7412</v>
      </c>
      <c r="D7998" s="82"/>
      <c r="E7998" s="74">
        <v>2021</v>
      </c>
      <c r="F7998" s="74"/>
      <c r="G7998" s="45">
        <v>1</v>
      </c>
      <c r="H7998" s="45" t="s">
        <v>610</v>
      </c>
      <c r="I7998" s="45">
        <v>98</v>
      </c>
    </row>
    <row r="7999" spans="1:9" s="71" customFormat="1" ht="19.5" hidden="1" customHeight="1" outlineLevel="1" x14ac:dyDescent="0.25">
      <c r="A7999" s="84">
        <v>1239</v>
      </c>
      <c r="B7999" s="45" t="s">
        <v>664</v>
      </c>
      <c r="C7999" s="82" t="s">
        <v>7413</v>
      </c>
      <c r="D7999" s="82"/>
      <c r="E7999" s="74">
        <v>2021</v>
      </c>
      <c r="F7999" s="74"/>
      <c r="G7999" s="45">
        <v>1</v>
      </c>
      <c r="H7999" s="45" t="s">
        <v>7382</v>
      </c>
      <c r="I7999" s="45">
        <v>29</v>
      </c>
    </row>
    <row r="8000" spans="1:9" s="71" customFormat="1" ht="19.5" hidden="1" customHeight="1" outlineLevel="1" x14ac:dyDescent="0.25">
      <c r="A8000" s="84">
        <v>1222</v>
      </c>
      <c r="B8000" s="45" t="s">
        <v>664</v>
      </c>
      <c r="C8000" s="82" t="s">
        <v>7414</v>
      </c>
      <c r="D8000" s="82"/>
      <c r="E8000" s="74">
        <v>2021</v>
      </c>
      <c r="F8000" s="74"/>
      <c r="G8000" s="45">
        <v>1</v>
      </c>
      <c r="H8000" s="45" t="s">
        <v>7382</v>
      </c>
      <c r="I8000" s="45">
        <v>33</v>
      </c>
    </row>
    <row r="8001" spans="1:9" s="71" customFormat="1" ht="19.5" hidden="1" customHeight="1" outlineLevel="1" x14ac:dyDescent="0.25">
      <c r="A8001" s="83">
        <v>9695</v>
      </c>
      <c r="B8001" s="45" t="s">
        <v>664</v>
      </c>
      <c r="C8001" s="82" t="s">
        <v>7415</v>
      </c>
      <c r="D8001" s="82"/>
      <c r="E8001" s="74">
        <v>2021</v>
      </c>
      <c r="F8001" s="74"/>
      <c r="G8001" s="45">
        <v>1</v>
      </c>
      <c r="H8001" s="45" t="s">
        <v>7382</v>
      </c>
      <c r="I8001" s="45">
        <v>32</v>
      </c>
    </row>
    <row r="8002" spans="1:9" s="71" customFormat="1" ht="19.5" hidden="1" customHeight="1" outlineLevel="1" x14ac:dyDescent="0.25">
      <c r="A8002" s="83">
        <v>9698</v>
      </c>
      <c r="B8002" s="45" t="s">
        <v>664</v>
      </c>
      <c r="C8002" s="82" t="s">
        <v>7416</v>
      </c>
      <c r="D8002" s="82"/>
      <c r="E8002" s="74">
        <v>2021</v>
      </c>
      <c r="F8002" s="74"/>
      <c r="G8002" s="45">
        <v>1</v>
      </c>
      <c r="H8002" s="45" t="s">
        <v>7382</v>
      </c>
      <c r="I8002" s="45">
        <v>38</v>
      </c>
    </row>
    <row r="8003" spans="1:9" s="71" customFormat="1" ht="19.5" hidden="1" customHeight="1" outlineLevel="1" x14ac:dyDescent="0.25">
      <c r="A8003" s="83">
        <v>9257</v>
      </c>
      <c r="B8003" s="45" t="s">
        <v>664</v>
      </c>
      <c r="C8003" s="82" t="s">
        <v>7417</v>
      </c>
      <c r="D8003" s="82"/>
      <c r="E8003" s="74">
        <v>2021</v>
      </c>
      <c r="F8003" s="74"/>
      <c r="G8003" s="45">
        <v>1</v>
      </c>
      <c r="H8003" s="45" t="s">
        <v>7382</v>
      </c>
      <c r="I8003" s="45">
        <v>49</v>
      </c>
    </row>
    <row r="8004" spans="1:9" s="71" customFormat="1" ht="19.5" hidden="1" customHeight="1" outlineLevel="1" x14ac:dyDescent="0.25">
      <c r="A8004" s="83">
        <v>9250</v>
      </c>
      <c r="B8004" s="45" t="s">
        <v>664</v>
      </c>
      <c r="C8004" s="82" t="s">
        <v>7418</v>
      </c>
      <c r="D8004" s="82"/>
      <c r="E8004" s="74">
        <v>2021</v>
      </c>
      <c r="F8004" s="74"/>
      <c r="G8004" s="45">
        <v>1</v>
      </c>
      <c r="H8004" s="45" t="s">
        <v>7382</v>
      </c>
      <c r="I8004" s="45">
        <v>47</v>
      </c>
    </row>
    <row r="8005" spans="1:9" s="71" customFormat="1" ht="19.5" hidden="1" customHeight="1" outlineLevel="1" x14ac:dyDescent="0.25">
      <c r="A8005" s="83">
        <v>9254</v>
      </c>
      <c r="B8005" s="45" t="s">
        <v>664</v>
      </c>
      <c r="C8005" s="82" t="s">
        <v>7419</v>
      </c>
      <c r="D8005" s="82"/>
      <c r="E8005" s="74">
        <v>2021</v>
      </c>
      <c r="F8005" s="74"/>
      <c r="G8005" s="45">
        <v>1</v>
      </c>
      <c r="H8005" s="45" t="s">
        <v>7382</v>
      </c>
      <c r="I8005" s="45">
        <v>48</v>
      </c>
    </row>
    <row r="8006" spans="1:9" s="71" customFormat="1" ht="19.5" hidden="1" customHeight="1" outlineLevel="1" x14ac:dyDescent="0.25">
      <c r="A8006" s="83">
        <v>9800</v>
      </c>
      <c r="B8006" s="45" t="s">
        <v>664</v>
      </c>
      <c r="C8006" s="82" t="s">
        <v>7420</v>
      </c>
      <c r="D8006" s="82"/>
      <c r="E8006" s="74">
        <v>2021</v>
      </c>
      <c r="F8006" s="74"/>
      <c r="G8006" s="45">
        <v>1</v>
      </c>
      <c r="H8006" s="45" t="s">
        <v>7382</v>
      </c>
      <c r="I8006" s="45">
        <v>72</v>
      </c>
    </row>
    <row r="8007" spans="1:9" s="71" customFormat="1" ht="19.5" hidden="1" customHeight="1" outlineLevel="1" x14ac:dyDescent="0.25">
      <c r="A8007" s="83">
        <v>9723</v>
      </c>
      <c r="B8007" s="45" t="s">
        <v>664</v>
      </c>
      <c r="C8007" s="82" t="s">
        <v>7421</v>
      </c>
      <c r="D8007" s="82"/>
      <c r="E8007" s="74">
        <v>2021</v>
      </c>
      <c r="F8007" s="74"/>
      <c r="G8007" s="45">
        <v>1</v>
      </c>
      <c r="H8007" s="45" t="s">
        <v>7407</v>
      </c>
      <c r="I8007" s="45">
        <v>78</v>
      </c>
    </row>
    <row r="8008" spans="1:9" s="71" customFormat="1" ht="19.5" hidden="1" customHeight="1" outlineLevel="1" x14ac:dyDescent="0.25">
      <c r="A8008" s="83">
        <v>9724</v>
      </c>
      <c r="B8008" s="45" t="s">
        <v>664</v>
      </c>
      <c r="C8008" s="82" t="s">
        <v>7422</v>
      </c>
      <c r="D8008" s="82"/>
      <c r="E8008" s="74">
        <v>2021</v>
      </c>
      <c r="F8008" s="74"/>
      <c r="G8008" s="45">
        <v>1</v>
      </c>
      <c r="H8008" s="45" t="s">
        <v>7407</v>
      </c>
      <c r="I8008" s="45">
        <v>79</v>
      </c>
    </row>
    <row r="8009" spans="1:9" s="71" customFormat="1" ht="19.5" hidden="1" customHeight="1" outlineLevel="1" x14ac:dyDescent="0.25">
      <c r="A8009" s="83">
        <v>10035</v>
      </c>
      <c r="B8009" s="45" t="s">
        <v>664</v>
      </c>
      <c r="C8009" s="82" t="s">
        <v>7423</v>
      </c>
      <c r="D8009" s="82"/>
      <c r="E8009" s="74">
        <v>2021</v>
      </c>
      <c r="F8009" s="74"/>
      <c r="G8009" s="45">
        <v>1</v>
      </c>
      <c r="H8009" s="45" t="s">
        <v>7382</v>
      </c>
      <c r="I8009" s="45">
        <v>52</v>
      </c>
    </row>
    <row r="8010" spans="1:9" s="71" customFormat="1" ht="19.5" hidden="1" customHeight="1" outlineLevel="1" x14ac:dyDescent="0.25">
      <c r="A8010" s="83">
        <v>9137</v>
      </c>
      <c r="B8010" s="45" t="s">
        <v>664</v>
      </c>
      <c r="C8010" s="82" t="s">
        <v>7424</v>
      </c>
      <c r="D8010" s="82"/>
      <c r="E8010" s="74">
        <v>2021</v>
      </c>
      <c r="F8010" s="74"/>
      <c r="G8010" s="45">
        <v>1</v>
      </c>
      <c r="H8010" s="45" t="s">
        <v>7400</v>
      </c>
      <c r="I8010" s="45">
        <v>53</v>
      </c>
    </row>
    <row r="8011" spans="1:9" s="71" customFormat="1" ht="19.5" hidden="1" customHeight="1" outlineLevel="1" x14ac:dyDescent="0.25">
      <c r="A8011" s="84">
        <v>9</v>
      </c>
      <c r="B8011" s="45" t="s">
        <v>664</v>
      </c>
      <c r="C8011" s="82" t="s">
        <v>7425</v>
      </c>
      <c r="D8011" s="82"/>
      <c r="E8011" s="74">
        <v>2021</v>
      </c>
      <c r="F8011" s="74"/>
      <c r="G8011" s="45">
        <v>1</v>
      </c>
      <c r="H8011" s="45" t="s">
        <v>7382</v>
      </c>
      <c r="I8011" s="45">
        <v>53</v>
      </c>
    </row>
    <row r="8012" spans="1:9" s="71" customFormat="1" ht="19.5" hidden="1" customHeight="1" outlineLevel="1" x14ac:dyDescent="0.25">
      <c r="A8012" s="84">
        <v>1227</v>
      </c>
      <c r="B8012" s="45" t="s">
        <v>664</v>
      </c>
      <c r="C8012" s="82" t="s">
        <v>7426</v>
      </c>
      <c r="D8012" s="82"/>
      <c r="E8012" s="74">
        <v>2021</v>
      </c>
      <c r="F8012" s="74"/>
      <c r="G8012" s="45">
        <v>1</v>
      </c>
      <c r="H8012" s="45" t="s">
        <v>7382</v>
      </c>
      <c r="I8012" s="45">
        <v>71</v>
      </c>
    </row>
    <row r="8013" spans="1:9" s="71" customFormat="1" ht="19.5" hidden="1" customHeight="1" outlineLevel="1" x14ac:dyDescent="0.25">
      <c r="A8013" s="83">
        <v>9697</v>
      </c>
      <c r="B8013" s="45" t="s">
        <v>664</v>
      </c>
      <c r="C8013" s="82" t="s">
        <v>7427</v>
      </c>
      <c r="D8013" s="82"/>
      <c r="E8013" s="74">
        <v>2021</v>
      </c>
      <c r="F8013" s="74"/>
      <c r="G8013" s="45">
        <v>1</v>
      </c>
      <c r="H8013" s="45" t="s">
        <v>7382</v>
      </c>
      <c r="I8013" s="45">
        <v>80</v>
      </c>
    </row>
    <row r="8014" spans="1:9" s="71" customFormat="1" ht="19.5" hidden="1" customHeight="1" outlineLevel="1" x14ac:dyDescent="0.25">
      <c r="A8014" s="83">
        <v>9700</v>
      </c>
      <c r="B8014" s="45" t="s">
        <v>664</v>
      </c>
      <c r="C8014" s="82" t="s">
        <v>7428</v>
      </c>
      <c r="D8014" s="82"/>
      <c r="E8014" s="74">
        <v>2021</v>
      </c>
      <c r="F8014" s="74"/>
      <c r="G8014" s="45">
        <v>1</v>
      </c>
      <c r="H8014" s="45" t="s">
        <v>7382</v>
      </c>
      <c r="I8014" s="45">
        <v>81</v>
      </c>
    </row>
    <row r="8015" spans="1:9" s="71" customFormat="1" ht="19.5" hidden="1" customHeight="1" outlineLevel="1" x14ac:dyDescent="0.25">
      <c r="A8015" s="83">
        <v>9709</v>
      </c>
      <c r="B8015" s="45" t="s">
        <v>664</v>
      </c>
      <c r="C8015" s="82" t="s">
        <v>7429</v>
      </c>
      <c r="D8015" s="82"/>
      <c r="E8015" s="74">
        <v>2021</v>
      </c>
      <c r="F8015" s="74"/>
      <c r="G8015" s="45">
        <v>1</v>
      </c>
      <c r="H8015" s="45" t="s">
        <v>7382</v>
      </c>
      <c r="I8015" s="45">
        <v>75</v>
      </c>
    </row>
    <row r="8016" spans="1:9" s="71" customFormat="1" ht="19.5" hidden="1" customHeight="1" outlineLevel="1" x14ac:dyDescent="0.25">
      <c r="A8016" s="83">
        <v>10036</v>
      </c>
      <c r="B8016" s="45" t="s">
        <v>664</v>
      </c>
      <c r="C8016" s="82" t="s">
        <v>7430</v>
      </c>
      <c r="D8016" s="82"/>
      <c r="E8016" s="74">
        <v>2021</v>
      </c>
      <c r="F8016" s="74"/>
      <c r="G8016" s="45">
        <v>1</v>
      </c>
      <c r="H8016" s="45" t="s">
        <v>7382</v>
      </c>
      <c r="I8016" s="45">
        <v>69</v>
      </c>
    </row>
    <row r="8017" spans="1:9" s="71" customFormat="1" ht="19.5" hidden="1" customHeight="1" outlineLevel="1" x14ac:dyDescent="0.25">
      <c r="A8017" s="83">
        <v>10048</v>
      </c>
      <c r="B8017" s="45" t="s">
        <v>664</v>
      </c>
      <c r="C8017" s="82" t="s">
        <v>7431</v>
      </c>
      <c r="D8017" s="82"/>
      <c r="E8017" s="74">
        <v>2021</v>
      </c>
      <c r="F8017" s="74"/>
      <c r="G8017" s="45">
        <v>1</v>
      </c>
      <c r="H8017" s="45" t="s">
        <v>7382</v>
      </c>
      <c r="I8017" s="45">
        <v>69</v>
      </c>
    </row>
    <row r="8018" spans="1:9" s="71" customFormat="1" ht="19.5" hidden="1" customHeight="1" outlineLevel="1" x14ac:dyDescent="0.25">
      <c r="A8018" s="83">
        <v>10045</v>
      </c>
      <c r="B8018" s="45" t="s">
        <v>664</v>
      </c>
      <c r="C8018" s="82" t="s">
        <v>7432</v>
      </c>
      <c r="D8018" s="82"/>
      <c r="E8018" s="74">
        <v>2021</v>
      </c>
      <c r="F8018" s="74"/>
      <c r="G8018" s="45">
        <v>1</v>
      </c>
      <c r="H8018" s="45" t="s">
        <v>7382</v>
      </c>
      <c r="I8018" s="45">
        <v>68</v>
      </c>
    </row>
    <row r="8019" spans="1:9" s="71" customFormat="1" ht="19.5" hidden="1" customHeight="1" outlineLevel="1" x14ac:dyDescent="0.25">
      <c r="A8019" s="83">
        <v>10041</v>
      </c>
      <c r="B8019" s="45" t="s">
        <v>664</v>
      </c>
      <c r="C8019" s="82" t="s">
        <v>7433</v>
      </c>
      <c r="D8019" s="82"/>
      <c r="E8019" s="74">
        <v>2021</v>
      </c>
      <c r="F8019" s="74"/>
      <c r="G8019" s="45">
        <v>1</v>
      </c>
      <c r="H8019" s="45" t="s">
        <v>7434</v>
      </c>
      <c r="I8019" s="45">
        <v>57</v>
      </c>
    </row>
    <row r="8020" spans="1:9" s="71" customFormat="1" ht="19.5" hidden="1" customHeight="1" outlineLevel="1" x14ac:dyDescent="0.25">
      <c r="A8020" s="83">
        <v>9713</v>
      </c>
      <c r="B8020" s="45" t="s">
        <v>664</v>
      </c>
      <c r="C8020" s="82" t="s">
        <v>7435</v>
      </c>
      <c r="D8020" s="82"/>
      <c r="E8020" s="74">
        <v>2021</v>
      </c>
      <c r="F8020" s="74"/>
      <c r="G8020" s="45">
        <v>1</v>
      </c>
      <c r="H8020" s="45" t="s">
        <v>7382</v>
      </c>
      <c r="I8020" s="45">
        <v>52</v>
      </c>
    </row>
    <row r="8021" spans="1:9" s="71" customFormat="1" ht="19.5" hidden="1" customHeight="1" outlineLevel="1" x14ac:dyDescent="0.25">
      <c r="A8021" s="83">
        <v>9149</v>
      </c>
      <c r="B8021" s="45" t="s">
        <v>664</v>
      </c>
      <c r="C8021" s="82" t="s">
        <v>7436</v>
      </c>
      <c r="D8021" s="82"/>
      <c r="E8021" s="74">
        <v>2021</v>
      </c>
      <c r="F8021" s="74"/>
      <c r="G8021" s="45">
        <v>1</v>
      </c>
      <c r="H8021" s="45" t="s">
        <v>7382</v>
      </c>
      <c r="I8021" s="45">
        <v>64</v>
      </c>
    </row>
    <row r="8022" spans="1:9" s="71" customFormat="1" ht="19.5" hidden="1" customHeight="1" outlineLevel="1" x14ac:dyDescent="0.25">
      <c r="A8022" s="83">
        <v>9139</v>
      </c>
      <c r="B8022" s="45" t="s">
        <v>664</v>
      </c>
      <c r="C8022" s="82" t="s">
        <v>7437</v>
      </c>
      <c r="D8022" s="82"/>
      <c r="E8022" s="74">
        <v>2021</v>
      </c>
      <c r="F8022" s="74"/>
      <c r="G8022" s="45">
        <v>1</v>
      </c>
      <c r="H8022" s="45" t="s">
        <v>7382</v>
      </c>
      <c r="I8022" s="45">
        <v>69</v>
      </c>
    </row>
    <row r="8023" spans="1:9" s="71" customFormat="1" ht="19.5" hidden="1" customHeight="1" outlineLevel="1" x14ac:dyDescent="0.25">
      <c r="A8023" s="83">
        <v>9142</v>
      </c>
      <c r="B8023" s="45" t="s">
        <v>664</v>
      </c>
      <c r="C8023" s="82" t="s">
        <v>7438</v>
      </c>
      <c r="D8023" s="82"/>
      <c r="E8023" s="74">
        <v>2021</v>
      </c>
      <c r="F8023" s="74"/>
      <c r="G8023" s="45">
        <v>1</v>
      </c>
      <c r="H8023" s="45" t="s">
        <v>7382</v>
      </c>
      <c r="I8023" s="45">
        <v>78</v>
      </c>
    </row>
    <row r="8024" spans="1:9" s="71" customFormat="1" ht="19.5" hidden="1" customHeight="1" outlineLevel="1" x14ac:dyDescent="0.25">
      <c r="A8024" s="83">
        <v>9140</v>
      </c>
      <c r="B8024" s="45" t="s">
        <v>664</v>
      </c>
      <c r="C8024" s="82" t="s">
        <v>7439</v>
      </c>
      <c r="D8024" s="82"/>
      <c r="E8024" s="74">
        <v>2021</v>
      </c>
      <c r="F8024" s="74"/>
      <c r="G8024" s="45">
        <v>1</v>
      </c>
      <c r="H8024" s="45" t="s">
        <v>7382</v>
      </c>
      <c r="I8024" s="45">
        <v>56</v>
      </c>
    </row>
    <row r="8025" spans="1:9" s="71" customFormat="1" ht="19.5" hidden="1" customHeight="1" outlineLevel="1" x14ac:dyDescent="0.25">
      <c r="A8025" s="83">
        <v>10051</v>
      </c>
      <c r="B8025" s="45" t="s">
        <v>664</v>
      </c>
      <c r="C8025" s="82" t="s">
        <v>7440</v>
      </c>
      <c r="D8025" s="82"/>
      <c r="E8025" s="74">
        <v>2021</v>
      </c>
      <c r="F8025" s="74"/>
      <c r="G8025" s="45">
        <v>1</v>
      </c>
      <c r="H8025" s="45" t="s">
        <v>7382</v>
      </c>
      <c r="I8025" s="45">
        <v>56</v>
      </c>
    </row>
    <row r="8026" spans="1:9" s="71" customFormat="1" ht="19.5" hidden="1" customHeight="1" outlineLevel="1" x14ac:dyDescent="0.25">
      <c r="A8026" s="83">
        <v>9701</v>
      </c>
      <c r="B8026" s="45" t="s">
        <v>664</v>
      </c>
      <c r="C8026" s="82" t="s">
        <v>7441</v>
      </c>
      <c r="D8026" s="82"/>
      <c r="E8026" s="74">
        <v>2021</v>
      </c>
      <c r="F8026" s="74"/>
      <c r="G8026" s="45">
        <v>1</v>
      </c>
      <c r="H8026" s="45" t="s">
        <v>7382</v>
      </c>
      <c r="I8026" s="45">
        <v>68</v>
      </c>
    </row>
    <row r="8027" spans="1:9" s="71" customFormat="1" ht="19.5" hidden="1" customHeight="1" outlineLevel="1" x14ac:dyDescent="0.25">
      <c r="A8027" s="83">
        <v>10028</v>
      </c>
      <c r="B8027" s="45" t="s">
        <v>664</v>
      </c>
      <c r="C8027" s="82" t="s">
        <v>7442</v>
      </c>
      <c r="D8027" s="82"/>
      <c r="E8027" s="74">
        <v>2021</v>
      </c>
      <c r="F8027" s="74"/>
      <c r="G8027" s="45">
        <v>1</v>
      </c>
      <c r="H8027" s="45" t="s">
        <v>7443</v>
      </c>
      <c r="I8027" s="45">
        <v>68</v>
      </c>
    </row>
    <row r="8028" spans="1:9" s="71" customFormat="1" ht="19.5" hidden="1" customHeight="1" outlineLevel="1" x14ac:dyDescent="0.25">
      <c r="A8028" s="83">
        <v>10043</v>
      </c>
      <c r="B8028" s="45" t="s">
        <v>664</v>
      </c>
      <c r="C8028" s="82" t="s">
        <v>7444</v>
      </c>
      <c r="D8028" s="82"/>
      <c r="E8028" s="74">
        <v>2021</v>
      </c>
      <c r="F8028" s="74"/>
      <c r="G8028" s="45">
        <v>1</v>
      </c>
      <c r="H8028" s="45" t="s">
        <v>7382</v>
      </c>
      <c r="I8028" s="45">
        <v>69</v>
      </c>
    </row>
    <row r="8029" spans="1:9" s="71" customFormat="1" ht="19.5" hidden="1" customHeight="1" outlineLevel="1" x14ac:dyDescent="0.25">
      <c r="A8029" s="83">
        <v>9726</v>
      </c>
      <c r="B8029" s="45" t="s">
        <v>664</v>
      </c>
      <c r="C8029" s="82" t="s">
        <v>7445</v>
      </c>
      <c r="D8029" s="82"/>
      <c r="E8029" s="74">
        <v>2021</v>
      </c>
      <c r="F8029" s="74"/>
      <c r="G8029" s="45">
        <v>1</v>
      </c>
      <c r="H8029" s="45" t="s">
        <v>610</v>
      </c>
      <c r="I8029" s="45">
        <v>52</v>
      </c>
    </row>
    <row r="8030" spans="1:9" s="71" customFormat="1" ht="19.5" hidden="1" customHeight="1" outlineLevel="1" x14ac:dyDescent="0.25">
      <c r="A8030" s="84">
        <v>1205</v>
      </c>
      <c r="B8030" s="45" t="s">
        <v>664</v>
      </c>
      <c r="C8030" s="82" t="s">
        <v>7446</v>
      </c>
      <c r="D8030" s="82"/>
      <c r="E8030" s="74">
        <v>2021</v>
      </c>
      <c r="F8030" s="74"/>
      <c r="G8030" s="45">
        <v>1</v>
      </c>
      <c r="H8030" s="45" t="s">
        <v>7382</v>
      </c>
      <c r="I8030" s="45">
        <v>50</v>
      </c>
    </row>
    <row r="8031" spans="1:9" s="71" customFormat="1" ht="19.5" hidden="1" customHeight="1" outlineLevel="1" x14ac:dyDescent="0.25">
      <c r="A8031" s="84">
        <v>1225</v>
      </c>
      <c r="B8031" s="45" t="s">
        <v>664</v>
      </c>
      <c r="C8031" s="82" t="s">
        <v>7447</v>
      </c>
      <c r="D8031" s="82"/>
      <c r="E8031" s="74">
        <v>2021</v>
      </c>
      <c r="F8031" s="74"/>
      <c r="G8031" s="45">
        <v>1</v>
      </c>
      <c r="H8031" s="45" t="s">
        <v>7382</v>
      </c>
      <c r="I8031" s="45">
        <v>59</v>
      </c>
    </row>
    <row r="8032" spans="1:9" s="71" customFormat="1" ht="19.5" hidden="1" customHeight="1" outlineLevel="1" x14ac:dyDescent="0.25">
      <c r="A8032" s="83">
        <v>9465</v>
      </c>
      <c r="B8032" s="45" t="s">
        <v>664</v>
      </c>
      <c r="C8032" s="82" t="s">
        <v>7448</v>
      </c>
      <c r="D8032" s="82"/>
      <c r="E8032" s="74">
        <v>2021</v>
      </c>
      <c r="F8032" s="74"/>
      <c r="G8032" s="45">
        <v>1</v>
      </c>
      <c r="H8032" s="45">
        <v>15</v>
      </c>
      <c r="I8032" s="45">
        <v>61.137</v>
      </c>
    </row>
    <row r="8033" spans="1:9" s="71" customFormat="1" ht="19.5" hidden="1" customHeight="1" outlineLevel="1" x14ac:dyDescent="0.25">
      <c r="A8033" s="83">
        <v>9194</v>
      </c>
      <c r="B8033" s="45" t="s">
        <v>664</v>
      </c>
      <c r="C8033" s="82" t="s">
        <v>7449</v>
      </c>
      <c r="D8033" s="82"/>
      <c r="E8033" s="74">
        <v>2021</v>
      </c>
      <c r="F8033" s="74"/>
      <c r="G8033" s="45">
        <v>1</v>
      </c>
      <c r="H8033" s="45">
        <v>15</v>
      </c>
      <c r="I8033" s="45">
        <v>68.972999999999999</v>
      </c>
    </row>
    <row r="8034" spans="1:9" s="71" customFormat="1" ht="19.5" hidden="1" customHeight="1" outlineLevel="1" x14ac:dyDescent="0.25">
      <c r="A8034" s="83">
        <v>9457</v>
      </c>
      <c r="B8034" s="45" t="s">
        <v>664</v>
      </c>
      <c r="C8034" s="82" t="s">
        <v>7450</v>
      </c>
      <c r="D8034" s="82"/>
      <c r="E8034" s="74">
        <v>2021</v>
      </c>
      <c r="F8034" s="74"/>
      <c r="G8034" s="45">
        <v>1</v>
      </c>
      <c r="H8034" s="45">
        <v>15</v>
      </c>
      <c r="I8034" s="45">
        <v>54.597999999999999</v>
      </c>
    </row>
    <row r="8035" spans="1:9" s="71" customFormat="1" ht="19.5" hidden="1" customHeight="1" outlineLevel="1" x14ac:dyDescent="0.25">
      <c r="A8035" s="83">
        <v>9203</v>
      </c>
      <c r="B8035" s="45" t="s">
        <v>664</v>
      </c>
      <c r="C8035" s="82" t="s">
        <v>7451</v>
      </c>
      <c r="D8035" s="82"/>
      <c r="E8035" s="74">
        <v>2021</v>
      </c>
      <c r="F8035" s="74"/>
      <c r="G8035" s="45">
        <v>1</v>
      </c>
      <c r="H8035" s="45">
        <v>30</v>
      </c>
      <c r="I8035" s="45">
        <v>115.923</v>
      </c>
    </row>
    <row r="8036" spans="1:9" s="71" customFormat="1" ht="19.5" hidden="1" customHeight="1" outlineLevel="1" x14ac:dyDescent="0.25">
      <c r="A8036" s="83">
        <v>9200</v>
      </c>
      <c r="B8036" s="45" t="s">
        <v>664</v>
      </c>
      <c r="C8036" s="82" t="s">
        <v>7452</v>
      </c>
      <c r="D8036" s="82"/>
      <c r="E8036" s="74">
        <v>2021</v>
      </c>
      <c r="F8036" s="74"/>
      <c r="G8036" s="45">
        <v>1</v>
      </c>
      <c r="H8036" s="45">
        <v>15</v>
      </c>
      <c r="I8036" s="45">
        <v>99.54</v>
      </c>
    </row>
    <row r="8037" spans="1:9" s="71" customFormat="1" ht="19.5" hidden="1" customHeight="1" outlineLevel="1" x14ac:dyDescent="0.25">
      <c r="A8037" s="83">
        <v>9204</v>
      </c>
      <c r="B8037" s="45" t="s">
        <v>664</v>
      </c>
      <c r="C8037" s="82" t="s">
        <v>7453</v>
      </c>
      <c r="D8037" s="82"/>
      <c r="E8037" s="74">
        <v>2021</v>
      </c>
      <c r="F8037" s="74"/>
      <c r="G8037" s="45">
        <v>1</v>
      </c>
      <c r="H8037" s="45">
        <v>15</v>
      </c>
      <c r="I8037" s="45">
        <v>76.141000000000005</v>
      </c>
    </row>
    <row r="8038" spans="1:9" s="71" customFormat="1" ht="19.5" hidden="1" customHeight="1" outlineLevel="1" x14ac:dyDescent="0.25">
      <c r="A8038" s="83">
        <v>9205</v>
      </c>
      <c r="B8038" s="45" t="s">
        <v>664</v>
      </c>
      <c r="C8038" s="82" t="s">
        <v>7454</v>
      </c>
      <c r="D8038" s="82"/>
      <c r="E8038" s="74">
        <v>2021</v>
      </c>
      <c r="F8038" s="74"/>
      <c r="G8038" s="45">
        <v>1</v>
      </c>
      <c r="H8038" s="45">
        <v>15</v>
      </c>
      <c r="I8038" s="45">
        <v>106.145</v>
      </c>
    </row>
    <row r="8039" spans="1:9" s="71" customFormat="1" ht="19.5" hidden="1" customHeight="1" outlineLevel="1" x14ac:dyDescent="0.25">
      <c r="A8039" s="83">
        <v>9202</v>
      </c>
      <c r="B8039" s="45" t="s">
        <v>664</v>
      </c>
      <c r="C8039" s="82" t="s">
        <v>7455</v>
      </c>
      <c r="D8039" s="82"/>
      <c r="E8039" s="74">
        <v>2021</v>
      </c>
      <c r="F8039" s="74"/>
      <c r="G8039" s="45">
        <v>1</v>
      </c>
      <c r="H8039" s="45">
        <v>14</v>
      </c>
      <c r="I8039" s="45">
        <v>72.438000000000002</v>
      </c>
    </row>
    <row r="8040" spans="1:9" s="71" customFormat="1" ht="19.5" hidden="1" customHeight="1" outlineLevel="1" x14ac:dyDescent="0.25">
      <c r="A8040" s="83">
        <v>9206</v>
      </c>
      <c r="B8040" s="45" t="s">
        <v>664</v>
      </c>
      <c r="C8040" s="82" t="s">
        <v>7456</v>
      </c>
      <c r="D8040" s="82"/>
      <c r="E8040" s="74">
        <v>2021</v>
      </c>
      <c r="F8040" s="74"/>
      <c r="G8040" s="45">
        <v>1</v>
      </c>
      <c r="H8040" s="45">
        <v>15</v>
      </c>
      <c r="I8040" s="45">
        <v>102.092</v>
      </c>
    </row>
    <row r="8041" spans="1:9" s="71" customFormat="1" ht="19.5" hidden="1" customHeight="1" outlineLevel="1" x14ac:dyDescent="0.25">
      <c r="A8041" s="83">
        <v>9214</v>
      </c>
      <c r="B8041" s="45" t="s">
        <v>664</v>
      </c>
      <c r="C8041" s="82" t="s">
        <v>7457</v>
      </c>
      <c r="D8041" s="82"/>
      <c r="E8041" s="74">
        <v>2021</v>
      </c>
      <c r="F8041" s="74"/>
      <c r="G8041" s="45">
        <v>1</v>
      </c>
      <c r="H8041" s="45">
        <v>15</v>
      </c>
      <c r="I8041" s="45">
        <v>77.13</v>
      </c>
    </row>
    <row r="8042" spans="1:9" s="71" customFormat="1" ht="19.5" hidden="1" customHeight="1" outlineLevel="1" x14ac:dyDescent="0.25">
      <c r="A8042" s="83">
        <v>9201</v>
      </c>
      <c r="B8042" s="45" t="s">
        <v>664</v>
      </c>
      <c r="C8042" s="82" t="s">
        <v>7458</v>
      </c>
      <c r="D8042" s="82"/>
      <c r="E8042" s="74">
        <v>2021</v>
      </c>
      <c r="F8042" s="74"/>
      <c r="G8042" s="45">
        <v>1</v>
      </c>
      <c r="H8042" s="45">
        <v>10</v>
      </c>
      <c r="I8042" s="45">
        <v>37.921999999999997</v>
      </c>
    </row>
    <row r="8043" spans="1:9" s="71" customFormat="1" ht="19.5" hidden="1" customHeight="1" outlineLevel="1" x14ac:dyDescent="0.25">
      <c r="A8043" s="83">
        <v>9210</v>
      </c>
      <c r="B8043" s="45" t="s">
        <v>664</v>
      </c>
      <c r="C8043" s="82" t="s">
        <v>7459</v>
      </c>
      <c r="D8043" s="82"/>
      <c r="E8043" s="74">
        <v>2021</v>
      </c>
      <c r="F8043" s="74"/>
      <c r="G8043" s="45">
        <v>1</v>
      </c>
      <c r="H8043" s="45">
        <v>15</v>
      </c>
      <c r="I8043" s="45">
        <v>78.116</v>
      </c>
    </row>
    <row r="8044" spans="1:9" s="71" customFormat="1" ht="19.5" hidden="1" customHeight="1" outlineLevel="1" x14ac:dyDescent="0.25">
      <c r="A8044" s="83">
        <v>9216</v>
      </c>
      <c r="B8044" s="45" t="s">
        <v>664</v>
      </c>
      <c r="C8044" s="82" t="s">
        <v>7460</v>
      </c>
      <c r="D8044" s="82"/>
      <c r="E8044" s="74">
        <v>2021</v>
      </c>
      <c r="F8044" s="74"/>
      <c r="G8044" s="45">
        <v>1</v>
      </c>
      <c r="H8044" s="45">
        <v>15</v>
      </c>
      <c r="I8044" s="45">
        <v>88.655000000000001</v>
      </c>
    </row>
    <row r="8045" spans="1:9" s="71" customFormat="1" ht="19.5" hidden="1" customHeight="1" outlineLevel="1" x14ac:dyDescent="0.25">
      <c r="A8045" s="83">
        <v>9467</v>
      </c>
      <c r="B8045" s="45" t="s">
        <v>664</v>
      </c>
      <c r="C8045" s="82" t="s">
        <v>7461</v>
      </c>
      <c r="D8045" s="82"/>
      <c r="E8045" s="74">
        <v>2021</v>
      </c>
      <c r="F8045" s="74"/>
      <c r="G8045" s="45">
        <v>1</v>
      </c>
      <c r="H8045" s="45">
        <v>15</v>
      </c>
      <c r="I8045" s="45">
        <v>67.900999999999996</v>
      </c>
    </row>
    <row r="8046" spans="1:9" s="71" customFormat="1" ht="19.5" hidden="1" customHeight="1" outlineLevel="1" x14ac:dyDescent="0.25">
      <c r="A8046" s="83">
        <v>9470</v>
      </c>
      <c r="B8046" s="45" t="s">
        <v>664</v>
      </c>
      <c r="C8046" s="82" t="s">
        <v>7462</v>
      </c>
      <c r="D8046" s="82"/>
      <c r="E8046" s="74">
        <v>2021</v>
      </c>
      <c r="F8046" s="74"/>
      <c r="G8046" s="45">
        <v>1</v>
      </c>
      <c r="H8046" s="45">
        <v>15</v>
      </c>
      <c r="I8046" s="45">
        <v>78.055999999999997</v>
      </c>
    </row>
    <row r="8047" spans="1:9" s="71" customFormat="1" ht="19.5" hidden="1" customHeight="1" outlineLevel="1" x14ac:dyDescent="0.25">
      <c r="A8047" s="74">
        <v>3</v>
      </c>
      <c r="B8047" s="45" t="s">
        <v>664</v>
      </c>
      <c r="C8047" s="82" t="s">
        <v>7463</v>
      </c>
      <c r="D8047" s="82"/>
      <c r="E8047" s="74">
        <v>2021</v>
      </c>
      <c r="F8047" s="74"/>
      <c r="G8047" s="45">
        <v>1</v>
      </c>
      <c r="H8047" s="45">
        <v>15</v>
      </c>
      <c r="I8047" s="45">
        <v>62.595999999999997</v>
      </c>
    </row>
    <row r="8048" spans="1:9" s="71" customFormat="1" ht="19.5" hidden="1" customHeight="1" outlineLevel="1" x14ac:dyDescent="0.25">
      <c r="A8048" s="83">
        <v>9209</v>
      </c>
      <c r="B8048" s="45" t="s">
        <v>664</v>
      </c>
      <c r="C8048" s="82" t="s">
        <v>7464</v>
      </c>
      <c r="D8048" s="82"/>
      <c r="E8048" s="74">
        <v>2021</v>
      </c>
      <c r="F8048" s="74"/>
      <c r="G8048" s="45">
        <v>1</v>
      </c>
      <c r="H8048" s="45">
        <v>10</v>
      </c>
      <c r="I8048" s="45">
        <v>79.283000000000001</v>
      </c>
    </row>
    <row r="8049" spans="1:9" s="71" customFormat="1" ht="19.5" hidden="1" customHeight="1" outlineLevel="1" x14ac:dyDescent="0.25">
      <c r="A8049" s="84">
        <v>151</v>
      </c>
      <c r="B8049" s="45" t="s">
        <v>664</v>
      </c>
      <c r="C8049" s="82" t="s">
        <v>7465</v>
      </c>
      <c r="D8049" s="82"/>
      <c r="E8049" s="74">
        <v>2021</v>
      </c>
      <c r="F8049" s="74"/>
      <c r="G8049" s="45">
        <v>1</v>
      </c>
      <c r="H8049" s="45">
        <v>15</v>
      </c>
      <c r="I8049" s="45">
        <v>80.277000000000001</v>
      </c>
    </row>
    <row r="8050" spans="1:9" s="71" customFormat="1" ht="19.5" hidden="1" customHeight="1" outlineLevel="1" x14ac:dyDescent="0.25">
      <c r="A8050" s="83">
        <v>9218</v>
      </c>
      <c r="B8050" s="45" t="s">
        <v>664</v>
      </c>
      <c r="C8050" s="82" t="s">
        <v>7466</v>
      </c>
      <c r="D8050" s="82"/>
      <c r="E8050" s="74">
        <v>2021</v>
      </c>
      <c r="F8050" s="74"/>
      <c r="G8050" s="45">
        <v>1</v>
      </c>
      <c r="H8050" s="45">
        <v>5</v>
      </c>
      <c r="I8050" s="45">
        <v>71.331000000000003</v>
      </c>
    </row>
    <row r="8051" spans="1:9" s="71" customFormat="1" ht="19.5" hidden="1" customHeight="1" outlineLevel="1" x14ac:dyDescent="0.25">
      <c r="A8051" s="83">
        <v>9219</v>
      </c>
      <c r="B8051" s="45" t="s">
        <v>664</v>
      </c>
      <c r="C8051" s="82" t="s">
        <v>7467</v>
      </c>
      <c r="D8051" s="82"/>
      <c r="E8051" s="74">
        <v>2021</v>
      </c>
      <c r="F8051" s="74"/>
      <c r="G8051" s="45">
        <v>1</v>
      </c>
      <c r="H8051" s="45">
        <v>15</v>
      </c>
      <c r="I8051" s="45">
        <v>71.631</v>
      </c>
    </row>
    <row r="8052" spans="1:9" s="71" customFormat="1" ht="19.5" hidden="1" customHeight="1" outlineLevel="1" x14ac:dyDescent="0.25">
      <c r="A8052" s="83">
        <v>9211</v>
      </c>
      <c r="B8052" s="45" t="s">
        <v>664</v>
      </c>
      <c r="C8052" s="82" t="s">
        <v>7468</v>
      </c>
      <c r="D8052" s="82"/>
      <c r="E8052" s="74">
        <v>2021</v>
      </c>
      <c r="F8052" s="74"/>
      <c r="G8052" s="45">
        <v>1</v>
      </c>
      <c r="H8052" s="45">
        <v>15</v>
      </c>
      <c r="I8052" s="45">
        <v>79.328999999999994</v>
      </c>
    </row>
    <row r="8053" spans="1:9" s="71" customFormat="1" ht="19.5" hidden="1" customHeight="1" outlineLevel="1" x14ac:dyDescent="0.25">
      <c r="A8053" s="83">
        <v>9515</v>
      </c>
      <c r="B8053" s="45" t="s">
        <v>664</v>
      </c>
      <c r="C8053" s="82" t="s">
        <v>7469</v>
      </c>
      <c r="D8053" s="82"/>
      <c r="E8053" s="74">
        <v>2021</v>
      </c>
      <c r="F8053" s="74"/>
      <c r="G8053" s="45">
        <v>1</v>
      </c>
      <c r="H8053" s="45">
        <v>15</v>
      </c>
      <c r="I8053" s="45">
        <v>42.564</v>
      </c>
    </row>
    <row r="8054" spans="1:9" s="71" customFormat="1" ht="19.5" hidden="1" customHeight="1" outlineLevel="1" x14ac:dyDescent="0.25">
      <c r="A8054" s="83">
        <v>9463</v>
      </c>
      <c r="B8054" s="45" t="s">
        <v>664</v>
      </c>
      <c r="C8054" s="82" t="s">
        <v>7470</v>
      </c>
      <c r="D8054" s="82"/>
      <c r="E8054" s="74">
        <v>2021</v>
      </c>
      <c r="F8054" s="74"/>
      <c r="G8054" s="45">
        <v>1</v>
      </c>
      <c r="H8054" s="45">
        <v>15</v>
      </c>
      <c r="I8054" s="45">
        <v>55.823</v>
      </c>
    </row>
    <row r="8055" spans="1:9" s="71" customFormat="1" ht="19.5" hidden="1" customHeight="1" outlineLevel="1" x14ac:dyDescent="0.25">
      <c r="A8055" s="83">
        <v>9215</v>
      </c>
      <c r="B8055" s="45" t="s">
        <v>664</v>
      </c>
      <c r="C8055" s="82" t="s">
        <v>7471</v>
      </c>
      <c r="D8055" s="82"/>
      <c r="E8055" s="74">
        <v>2021</v>
      </c>
      <c r="F8055" s="74"/>
      <c r="G8055" s="45">
        <v>1</v>
      </c>
      <c r="H8055" s="45">
        <v>15</v>
      </c>
      <c r="I8055" s="45">
        <v>84.656999999999996</v>
      </c>
    </row>
    <row r="8056" spans="1:9" s="71" customFormat="1" ht="19.5" hidden="1" customHeight="1" outlineLevel="1" x14ac:dyDescent="0.25">
      <c r="A8056" s="83">
        <v>9220</v>
      </c>
      <c r="B8056" s="45" t="s">
        <v>664</v>
      </c>
      <c r="C8056" s="82" t="s">
        <v>7472</v>
      </c>
      <c r="D8056" s="82"/>
      <c r="E8056" s="74">
        <v>2021</v>
      </c>
      <c r="F8056" s="74"/>
      <c r="G8056" s="45">
        <v>1</v>
      </c>
      <c r="H8056" s="45">
        <v>15</v>
      </c>
      <c r="I8056" s="45">
        <v>101.453</v>
      </c>
    </row>
    <row r="8057" spans="1:9" s="71" customFormat="1" ht="19.5" hidden="1" customHeight="1" outlineLevel="1" x14ac:dyDescent="0.25">
      <c r="A8057" s="83">
        <v>9213</v>
      </c>
      <c r="B8057" s="45" t="s">
        <v>664</v>
      </c>
      <c r="C8057" s="82" t="s">
        <v>7473</v>
      </c>
      <c r="D8057" s="82"/>
      <c r="E8057" s="74">
        <v>2021</v>
      </c>
      <c r="F8057" s="74"/>
      <c r="G8057" s="45">
        <v>1</v>
      </c>
      <c r="H8057" s="45">
        <v>15</v>
      </c>
      <c r="I8057" s="45">
        <v>78.355000000000004</v>
      </c>
    </row>
    <row r="8058" spans="1:9" s="71" customFormat="1" ht="19.5" hidden="1" customHeight="1" outlineLevel="1" x14ac:dyDescent="0.25">
      <c r="A8058" s="83">
        <v>9197</v>
      </c>
      <c r="B8058" s="45" t="s">
        <v>664</v>
      </c>
      <c r="C8058" s="82" t="s">
        <v>7474</v>
      </c>
      <c r="D8058" s="82"/>
      <c r="E8058" s="74">
        <v>2021</v>
      </c>
      <c r="F8058" s="74"/>
      <c r="G8058" s="45">
        <v>1</v>
      </c>
      <c r="H8058" s="45">
        <v>15</v>
      </c>
      <c r="I8058" s="45">
        <v>84.855000000000004</v>
      </c>
    </row>
    <row r="8059" spans="1:9" s="71" customFormat="1" ht="19.5" hidden="1" customHeight="1" outlineLevel="1" x14ac:dyDescent="0.25">
      <c r="A8059" s="83">
        <v>9193</v>
      </c>
      <c r="B8059" s="45" t="s">
        <v>664</v>
      </c>
      <c r="C8059" s="82" t="s">
        <v>7475</v>
      </c>
      <c r="D8059" s="82"/>
      <c r="E8059" s="74">
        <v>2021</v>
      </c>
      <c r="F8059" s="74"/>
      <c r="G8059" s="45">
        <v>1</v>
      </c>
      <c r="H8059" s="45">
        <v>15</v>
      </c>
      <c r="I8059" s="45">
        <v>75.850999999999999</v>
      </c>
    </row>
    <row r="8060" spans="1:9" s="71" customFormat="1" ht="19.5" hidden="1" customHeight="1" outlineLevel="1" x14ac:dyDescent="0.25">
      <c r="A8060" s="83">
        <v>9013</v>
      </c>
      <c r="B8060" s="45" t="s">
        <v>664</v>
      </c>
      <c r="C8060" s="82" t="s">
        <v>7476</v>
      </c>
      <c r="D8060" s="82"/>
      <c r="E8060" s="74">
        <v>2021</v>
      </c>
      <c r="F8060" s="74"/>
      <c r="G8060" s="45">
        <v>1</v>
      </c>
      <c r="H8060" s="45">
        <v>15</v>
      </c>
      <c r="I8060" s="45">
        <v>94.695999999999998</v>
      </c>
    </row>
    <row r="8061" spans="1:9" s="71" customFormat="1" ht="19.5" hidden="1" customHeight="1" outlineLevel="1" x14ac:dyDescent="0.25">
      <c r="A8061" s="74">
        <v>133</v>
      </c>
      <c r="B8061" s="45" t="s">
        <v>664</v>
      </c>
      <c r="C8061" s="82" t="s">
        <v>7477</v>
      </c>
      <c r="D8061" s="82"/>
      <c r="E8061" s="74">
        <v>2021</v>
      </c>
      <c r="F8061" s="74"/>
      <c r="G8061" s="45">
        <v>1</v>
      </c>
      <c r="H8061" s="45">
        <v>15</v>
      </c>
      <c r="I8061" s="45">
        <v>85.254999999999995</v>
      </c>
    </row>
    <row r="8062" spans="1:9" s="71" customFormat="1" ht="19.5" hidden="1" customHeight="1" outlineLevel="1" x14ac:dyDescent="0.25">
      <c r="A8062" s="83">
        <v>9014</v>
      </c>
      <c r="B8062" s="45" t="s">
        <v>664</v>
      </c>
      <c r="C8062" s="82" t="s">
        <v>7478</v>
      </c>
      <c r="D8062" s="82"/>
      <c r="E8062" s="74">
        <v>2021</v>
      </c>
      <c r="F8062" s="74"/>
      <c r="G8062" s="45">
        <v>1</v>
      </c>
      <c r="H8062" s="45">
        <v>10</v>
      </c>
      <c r="I8062" s="45">
        <v>71.600999999999999</v>
      </c>
    </row>
    <row r="8063" spans="1:9" s="71" customFormat="1" ht="19.5" hidden="1" customHeight="1" outlineLevel="1" x14ac:dyDescent="0.25">
      <c r="A8063" s="83">
        <v>9195</v>
      </c>
      <c r="B8063" s="45" t="s">
        <v>664</v>
      </c>
      <c r="C8063" s="82" t="s">
        <v>7479</v>
      </c>
      <c r="D8063" s="82"/>
      <c r="E8063" s="74">
        <v>2021</v>
      </c>
      <c r="F8063" s="74"/>
      <c r="G8063" s="45">
        <v>1</v>
      </c>
      <c r="H8063" s="45">
        <v>10</v>
      </c>
      <c r="I8063" s="45">
        <v>76.628</v>
      </c>
    </row>
    <row r="8064" spans="1:9" s="71" customFormat="1" ht="19.5" hidden="1" customHeight="1" outlineLevel="1" x14ac:dyDescent="0.25">
      <c r="A8064" s="83">
        <v>9015</v>
      </c>
      <c r="B8064" s="45" t="s">
        <v>664</v>
      </c>
      <c r="C8064" s="82" t="s">
        <v>7480</v>
      </c>
      <c r="D8064" s="82"/>
      <c r="E8064" s="74">
        <v>2021</v>
      </c>
      <c r="F8064" s="74"/>
      <c r="G8064" s="45">
        <v>1</v>
      </c>
      <c r="H8064" s="45">
        <v>10</v>
      </c>
      <c r="I8064" s="45">
        <v>77.849999999999994</v>
      </c>
    </row>
    <row r="8065" spans="1:9" s="71" customFormat="1" ht="19.5" hidden="1" customHeight="1" outlineLevel="1" x14ac:dyDescent="0.25">
      <c r="A8065" s="83">
        <v>9461</v>
      </c>
      <c r="B8065" s="45" t="s">
        <v>664</v>
      </c>
      <c r="C8065" s="82" t="s">
        <v>7481</v>
      </c>
      <c r="D8065" s="82"/>
      <c r="E8065" s="74">
        <v>2021</v>
      </c>
      <c r="F8065" s="74"/>
      <c r="G8065" s="45">
        <v>1</v>
      </c>
      <c r="H8065" s="45">
        <v>15</v>
      </c>
      <c r="I8065" s="45">
        <v>53.133000000000003</v>
      </c>
    </row>
    <row r="8066" spans="1:9" s="71" customFormat="1" ht="19.5" hidden="1" customHeight="1" outlineLevel="1" x14ac:dyDescent="0.25">
      <c r="A8066" s="83">
        <v>9514</v>
      </c>
      <c r="B8066" s="45" t="s">
        <v>664</v>
      </c>
      <c r="C8066" s="82" t="s">
        <v>7482</v>
      </c>
      <c r="D8066" s="82"/>
      <c r="E8066" s="74">
        <v>2021</v>
      </c>
      <c r="F8066" s="74"/>
      <c r="G8066" s="45">
        <v>16</v>
      </c>
      <c r="H8066" s="45">
        <v>15</v>
      </c>
      <c r="I8066" s="45">
        <v>511.79399999999998</v>
      </c>
    </row>
    <row r="8067" spans="1:9" s="71" customFormat="1" ht="19.5" hidden="1" customHeight="1" outlineLevel="1" x14ac:dyDescent="0.25">
      <c r="A8067" s="83">
        <v>9496</v>
      </c>
      <c r="B8067" s="45" t="s">
        <v>664</v>
      </c>
      <c r="C8067" s="82" t="s">
        <v>7483</v>
      </c>
      <c r="D8067" s="82"/>
      <c r="E8067" s="74">
        <v>2021</v>
      </c>
      <c r="F8067" s="74"/>
      <c r="G8067" s="45">
        <v>1</v>
      </c>
      <c r="H8067" s="45">
        <v>15</v>
      </c>
      <c r="I8067" s="45">
        <v>36.274999999999999</v>
      </c>
    </row>
    <row r="8068" spans="1:9" s="71" customFormat="1" ht="19.5" hidden="1" customHeight="1" outlineLevel="1" x14ac:dyDescent="0.25">
      <c r="A8068" s="83">
        <v>9462</v>
      </c>
      <c r="B8068" s="45" t="s">
        <v>664</v>
      </c>
      <c r="C8068" s="82" t="s">
        <v>7484</v>
      </c>
      <c r="D8068" s="82"/>
      <c r="E8068" s="74">
        <v>2021</v>
      </c>
      <c r="F8068" s="74"/>
      <c r="G8068" s="45">
        <v>1</v>
      </c>
      <c r="H8068" s="45">
        <v>15</v>
      </c>
      <c r="I8068" s="45">
        <v>55.140999999999998</v>
      </c>
    </row>
    <row r="8069" spans="1:9" s="71" customFormat="1" ht="19.5" hidden="1" customHeight="1" outlineLevel="1" x14ac:dyDescent="0.25">
      <c r="A8069" s="83">
        <v>9473</v>
      </c>
      <c r="B8069" s="45" t="s">
        <v>664</v>
      </c>
      <c r="C8069" s="82" t="s">
        <v>7485</v>
      </c>
      <c r="D8069" s="82"/>
      <c r="E8069" s="74">
        <v>2021</v>
      </c>
      <c r="F8069" s="74"/>
      <c r="G8069" s="45">
        <v>1</v>
      </c>
      <c r="H8069" s="45">
        <v>15</v>
      </c>
      <c r="I8069" s="45">
        <v>39.457999999999998</v>
      </c>
    </row>
    <row r="8070" spans="1:9" s="71" customFormat="1" ht="19.5" hidden="1" customHeight="1" outlineLevel="1" x14ac:dyDescent="0.25">
      <c r="A8070" s="83">
        <v>9192</v>
      </c>
      <c r="B8070" s="45" t="s">
        <v>664</v>
      </c>
      <c r="C8070" s="82" t="s">
        <v>7486</v>
      </c>
      <c r="D8070" s="82"/>
      <c r="E8070" s="74">
        <v>2021</v>
      </c>
      <c r="F8070" s="74"/>
      <c r="G8070" s="45">
        <v>1</v>
      </c>
      <c r="H8070" s="45">
        <v>10</v>
      </c>
      <c r="I8070" s="45">
        <v>88.33</v>
      </c>
    </row>
    <row r="8071" spans="1:9" s="71" customFormat="1" ht="19.5" hidden="1" customHeight="1" outlineLevel="1" x14ac:dyDescent="0.25">
      <c r="A8071" s="83">
        <v>9009</v>
      </c>
      <c r="B8071" s="45" t="s">
        <v>664</v>
      </c>
      <c r="C8071" s="82" t="s">
        <v>7487</v>
      </c>
      <c r="D8071" s="82"/>
      <c r="E8071" s="74">
        <v>2021</v>
      </c>
      <c r="F8071" s="74"/>
      <c r="G8071" s="45">
        <v>1</v>
      </c>
      <c r="H8071" s="45">
        <v>10</v>
      </c>
      <c r="I8071" s="45">
        <v>79.381</v>
      </c>
    </row>
    <row r="8072" spans="1:9" s="71" customFormat="1" ht="19.5" hidden="1" customHeight="1" outlineLevel="1" x14ac:dyDescent="0.25">
      <c r="A8072" s="83">
        <v>9010</v>
      </c>
      <c r="B8072" s="45" t="s">
        <v>664</v>
      </c>
      <c r="C8072" s="82" t="s">
        <v>7488</v>
      </c>
      <c r="D8072" s="82"/>
      <c r="E8072" s="74">
        <v>2021</v>
      </c>
      <c r="F8072" s="74"/>
      <c r="G8072" s="45">
        <v>1</v>
      </c>
      <c r="H8072" s="45">
        <v>15</v>
      </c>
      <c r="I8072" s="45">
        <v>40.468000000000004</v>
      </c>
    </row>
    <row r="8073" spans="1:9" s="71" customFormat="1" ht="19.5" hidden="1" customHeight="1" outlineLevel="1" x14ac:dyDescent="0.25">
      <c r="A8073" s="83">
        <v>9011</v>
      </c>
      <c r="B8073" s="45" t="s">
        <v>664</v>
      </c>
      <c r="C8073" s="82" t="s">
        <v>7489</v>
      </c>
      <c r="D8073" s="82"/>
      <c r="E8073" s="74">
        <v>2021</v>
      </c>
      <c r="F8073" s="74"/>
      <c r="G8073" s="45">
        <v>1</v>
      </c>
      <c r="H8073" s="45">
        <v>10</v>
      </c>
      <c r="I8073" s="45">
        <v>37.433999999999997</v>
      </c>
    </row>
    <row r="8074" spans="1:9" s="71" customFormat="1" ht="19.5" hidden="1" customHeight="1" outlineLevel="1" x14ac:dyDescent="0.25">
      <c r="A8074" s="83">
        <v>9196</v>
      </c>
      <c r="B8074" s="45" t="s">
        <v>664</v>
      </c>
      <c r="C8074" s="82" t="s">
        <v>7490</v>
      </c>
      <c r="D8074" s="82"/>
      <c r="E8074" s="74">
        <v>2021</v>
      </c>
      <c r="F8074" s="74"/>
      <c r="G8074" s="45">
        <v>1</v>
      </c>
      <c r="H8074" s="45">
        <v>10</v>
      </c>
      <c r="I8074" s="45">
        <v>79.646000000000001</v>
      </c>
    </row>
    <row r="8075" spans="1:9" s="71" customFormat="1" ht="19.5" hidden="1" customHeight="1" outlineLevel="1" x14ac:dyDescent="0.25">
      <c r="A8075" s="83">
        <v>9217</v>
      </c>
      <c r="B8075" s="45" t="s">
        <v>664</v>
      </c>
      <c r="C8075" s="82" t="s">
        <v>7491</v>
      </c>
      <c r="D8075" s="82"/>
      <c r="E8075" s="74">
        <v>2021</v>
      </c>
      <c r="F8075" s="74"/>
      <c r="G8075" s="45">
        <v>1</v>
      </c>
      <c r="H8075" s="45">
        <v>15</v>
      </c>
      <c r="I8075" s="45">
        <v>73.805999999999997</v>
      </c>
    </row>
    <row r="8076" spans="1:9" s="71" customFormat="1" ht="19.5" hidden="1" customHeight="1" outlineLevel="1" x14ac:dyDescent="0.25">
      <c r="A8076" s="83">
        <v>9212</v>
      </c>
      <c r="B8076" s="45" t="s">
        <v>664</v>
      </c>
      <c r="C8076" s="82" t="s">
        <v>7492</v>
      </c>
      <c r="D8076" s="82"/>
      <c r="E8076" s="74">
        <v>2021</v>
      </c>
      <c r="F8076" s="74"/>
      <c r="G8076" s="45">
        <v>1</v>
      </c>
      <c r="H8076" s="45">
        <v>15</v>
      </c>
      <c r="I8076" s="45">
        <v>73.007999999999996</v>
      </c>
    </row>
    <row r="8077" spans="1:9" s="71" customFormat="1" ht="19.5" hidden="1" customHeight="1" outlineLevel="1" x14ac:dyDescent="0.25">
      <c r="A8077" s="83">
        <v>10287</v>
      </c>
      <c r="B8077" s="45" t="s">
        <v>664</v>
      </c>
      <c r="C8077" s="82" t="s">
        <v>7493</v>
      </c>
      <c r="D8077" s="82"/>
      <c r="E8077" s="74">
        <v>2021</v>
      </c>
      <c r="F8077" s="74"/>
      <c r="G8077" s="45">
        <v>1</v>
      </c>
      <c r="H8077" s="45">
        <v>15</v>
      </c>
      <c r="I8077" s="45">
        <v>78.983999999999995</v>
      </c>
    </row>
    <row r="8078" spans="1:9" s="71" customFormat="1" ht="19.5" hidden="1" customHeight="1" outlineLevel="1" x14ac:dyDescent="0.25">
      <c r="A8078" s="83">
        <v>9207</v>
      </c>
      <c r="B8078" s="45" t="s">
        <v>664</v>
      </c>
      <c r="C8078" s="82" t="s">
        <v>7494</v>
      </c>
      <c r="D8078" s="82"/>
      <c r="E8078" s="74">
        <v>2021</v>
      </c>
      <c r="F8078" s="74"/>
      <c r="G8078" s="45">
        <v>1</v>
      </c>
      <c r="H8078" s="45">
        <v>15</v>
      </c>
      <c r="I8078" s="45">
        <v>30.968</v>
      </c>
    </row>
    <row r="8079" spans="1:9" s="71" customFormat="1" ht="19.5" hidden="1" customHeight="1" outlineLevel="1" x14ac:dyDescent="0.25">
      <c r="A8079" s="83">
        <v>9199</v>
      </c>
      <c r="B8079" s="45" t="s">
        <v>664</v>
      </c>
      <c r="C8079" s="82" t="s">
        <v>7495</v>
      </c>
      <c r="D8079" s="82"/>
      <c r="E8079" s="74">
        <v>2021</v>
      </c>
      <c r="F8079" s="74"/>
      <c r="G8079" s="45">
        <v>1</v>
      </c>
      <c r="H8079" s="45">
        <v>15</v>
      </c>
      <c r="I8079" s="45">
        <v>27.556000000000001</v>
      </c>
    </row>
    <row r="8080" spans="1:9" s="71" customFormat="1" ht="19.5" hidden="1" customHeight="1" outlineLevel="1" x14ac:dyDescent="0.25">
      <c r="A8080" s="83">
        <v>9208</v>
      </c>
      <c r="B8080" s="45" t="s">
        <v>664</v>
      </c>
      <c r="C8080" s="82" t="s">
        <v>7496</v>
      </c>
      <c r="D8080" s="82"/>
      <c r="E8080" s="74">
        <v>2021</v>
      </c>
      <c r="F8080" s="74"/>
      <c r="G8080" s="45">
        <v>1</v>
      </c>
      <c r="H8080" s="45">
        <v>15</v>
      </c>
      <c r="I8080" s="45">
        <v>30.588000000000001</v>
      </c>
    </row>
    <row r="8081" spans="1:9" s="71" customFormat="1" ht="19.5" hidden="1" customHeight="1" outlineLevel="1" x14ac:dyDescent="0.25">
      <c r="A8081" s="83">
        <v>9482</v>
      </c>
      <c r="B8081" s="45" t="s">
        <v>664</v>
      </c>
      <c r="C8081" s="82" t="s">
        <v>7497</v>
      </c>
      <c r="D8081" s="82"/>
      <c r="E8081" s="74">
        <v>2021</v>
      </c>
      <c r="F8081" s="74"/>
      <c r="G8081" s="45">
        <v>1</v>
      </c>
      <c r="H8081" s="45">
        <v>15</v>
      </c>
      <c r="I8081" s="45">
        <v>52.149000000000001</v>
      </c>
    </row>
    <row r="8082" spans="1:9" s="71" customFormat="1" ht="19.5" hidden="1" customHeight="1" outlineLevel="1" x14ac:dyDescent="0.25">
      <c r="A8082" s="83">
        <v>9474</v>
      </c>
      <c r="B8082" s="45" t="s">
        <v>664</v>
      </c>
      <c r="C8082" s="82" t="s">
        <v>7498</v>
      </c>
      <c r="D8082" s="82"/>
      <c r="E8082" s="74">
        <v>2021</v>
      </c>
      <c r="F8082" s="74"/>
      <c r="G8082" s="45">
        <v>1</v>
      </c>
      <c r="H8082" s="45">
        <v>15</v>
      </c>
      <c r="I8082" s="45">
        <v>38.664000000000001</v>
      </c>
    </row>
    <row r="8083" spans="1:9" s="71" customFormat="1" ht="19.5" hidden="1" customHeight="1" outlineLevel="1" x14ac:dyDescent="0.25">
      <c r="A8083" s="83">
        <v>9505</v>
      </c>
      <c r="B8083" s="45" t="s">
        <v>664</v>
      </c>
      <c r="C8083" s="82" t="s">
        <v>7499</v>
      </c>
      <c r="D8083" s="82"/>
      <c r="E8083" s="74">
        <v>2021</v>
      </c>
      <c r="F8083" s="74"/>
      <c r="G8083" s="45">
        <v>1</v>
      </c>
      <c r="H8083" s="45">
        <v>15</v>
      </c>
      <c r="I8083" s="45">
        <v>32.808</v>
      </c>
    </row>
    <row r="8084" spans="1:9" s="71" customFormat="1" ht="19.5" hidden="1" customHeight="1" outlineLevel="1" x14ac:dyDescent="0.25">
      <c r="A8084" s="83">
        <v>9460</v>
      </c>
      <c r="B8084" s="45" t="s">
        <v>664</v>
      </c>
      <c r="C8084" s="82" t="s">
        <v>7500</v>
      </c>
      <c r="D8084" s="82"/>
      <c r="E8084" s="74">
        <v>2021</v>
      </c>
      <c r="F8084" s="74"/>
      <c r="G8084" s="45">
        <v>1</v>
      </c>
      <c r="H8084" s="45">
        <v>15</v>
      </c>
      <c r="I8084" s="45">
        <v>47.776000000000003</v>
      </c>
    </row>
    <row r="8085" spans="1:9" s="71" customFormat="1" ht="19.5" hidden="1" customHeight="1" outlineLevel="1" x14ac:dyDescent="0.25">
      <c r="A8085" s="74">
        <v>10901</v>
      </c>
      <c r="B8085" s="45" t="s">
        <v>664</v>
      </c>
      <c r="C8085" s="82" t="s">
        <v>7501</v>
      </c>
      <c r="D8085" s="82"/>
      <c r="E8085" s="74">
        <v>2021</v>
      </c>
      <c r="F8085" s="74"/>
      <c r="G8085" s="45">
        <v>1</v>
      </c>
      <c r="H8085" s="45">
        <v>15</v>
      </c>
      <c r="I8085" s="45">
        <v>58.378</v>
      </c>
    </row>
    <row r="8086" spans="1:9" s="71" customFormat="1" ht="19.5" hidden="1" customHeight="1" outlineLevel="1" x14ac:dyDescent="0.25">
      <c r="A8086" s="83">
        <v>9469</v>
      </c>
      <c r="B8086" s="45" t="s">
        <v>664</v>
      </c>
      <c r="C8086" s="82" t="s">
        <v>7502</v>
      </c>
      <c r="D8086" s="82"/>
      <c r="E8086" s="74">
        <v>2021</v>
      </c>
      <c r="F8086" s="74"/>
      <c r="G8086" s="45">
        <v>1</v>
      </c>
      <c r="H8086" s="45">
        <v>15</v>
      </c>
      <c r="I8086" s="45">
        <v>43.146000000000001</v>
      </c>
    </row>
    <row r="8087" spans="1:9" s="71" customFormat="1" ht="19.5" hidden="1" customHeight="1" outlineLevel="1" x14ac:dyDescent="0.25">
      <c r="A8087" s="83">
        <v>9459</v>
      </c>
      <c r="B8087" s="45" t="s">
        <v>664</v>
      </c>
      <c r="C8087" s="82" t="s">
        <v>7503</v>
      </c>
      <c r="D8087" s="82"/>
      <c r="E8087" s="74">
        <v>2021</v>
      </c>
      <c r="F8087" s="74"/>
      <c r="G8087" s="45">
        <v>1</v>
      </c>
      <c r="H8087" s="45">
        <v>15</v>
      </c>
      <c r="I8087" s="45">
        <v>51.817</v>
      </c>
    </row>
    <row r="8088" spans="1:9" s="71" customFormat="1" ht="19.5" hidden="1" customHeight="1" outlineLevel="1" x14ac:dyDescent="0.25">
      <c r="A8088" s="83">
        <v>10297</v>
      </c>
      <c r="B8088" s="45" t="s">
        <v>664</v>
      </c>
      <c r="C8088" s="82" t="s">
        <v>7504</v>
      </c>
      <c r="D8088" s="82"/>
      <c r="E8088" s="74">
        <v>2021</v>
      </c>
      <c r="F8088" s="74"/>
      <c r="G8088" s="45">
        <v>1</v>
      </c>
      <c r="H8088" s="45">
        <v>15</v>
      </c>
      <c r="I8088" s="45">
        <v>37.134999999999998</v>
      </c>
    </row>
    <row r="8089" spans="1:9" s="71" customFormat="1" ht="19.5" hidden="1" customHeight="1" outlineLevel="1" x14ac:dyDescent="0.25">
      <c r="A8089" s="83">
        <v>10295</v>
      </c>
      <c r="B8089" s="45" t="s">
        <v>664</v>
      </c>
      <c r="C8089" s="82" t="s">
        <v>7505</v>
      </c>
      <c r="D8089" s="82"/>
      <c r="E8089" s="74">
        <v>2021</v>
      </c>
      <c r="F8089" s="74"/>
      <c r="G8089" s="45">
        <v>1</v>
      </c>
      <c r="H8089" s="45">
        <v>15</v>
      </c>
      <c r="I8089" s="45">
        <v>39.101999999999997</v>
      </c>
    </row>
    <row r="8090" spans="1:9" s="71" customFormat="1" ht="19.5" hidden="1" customHeight="1" outlineLevel="1" x14ac:dyDescent="0.25">
      <c r="A8090" s="84">
        <v>2201</v>
      </c>
      <c r="B8090" s="45" t="s">
        <v>664</v>
      </c>
      <c r="C8090" s="82" t="s">
        <v>7506</v>
      </c>
      <c r="D8090" s="82"/>
      <c r="E8090" s="74">
        <v>2021</v>
      </c>
      <c r="F8090" s="74"/>
      <c r="G8090" s="45">
        <v>1</v>
      </c>
      <c r="H8090" s="45">
        <v>15</v>
      </c>
      <c r="I8090" s="45">
        <v>36.616</v>
      </c>
    </row>
    <row r="8091" spans="1:9" s="71" customFormat="1" ht="19.5" hidden="1" customHeight="1" outlineLevel="1" x14ac:dyDescent="0.25">
      <c r="A8091" s="83">
        <v>10302</v>
      </c>
      <c r="B8091" s="45" t="s">
        <v>664</v>
      </c>
      <c r="C8091" s="82" t="s">
        <v>7507</v>
      </c>
      <c r="D8091" s="82"/>
      <c r="E8091" s="74">
        <v>2021</v>
      </c>
      <c r="F8091" s="74"/>
      <c r="G8091" s="45">
        <v>1</v>
      </c>
      <c r="H8091" s="45">
        <v>15</v>
      </c>
      <c r="I8091" s="45">
        <v>87.177000000000007</v>
      </c>
    </row>
    <row r="8092" spans="1:9" s="71" customFormat="1" ht="19.5" hidden="1" customHeight="1" outlineLevel="1" x14ac:dyDescent="0.25">
      <c r="A8092" s="83">
        <v>10296</v>
      </c>
      <c r="B8092" s="45" t="s">
        <v>664</v>
      </c>
      <c r="C8092" s="82" t="s">
        <v>7508</v>
      </c>
      <c r="D8092" s="82"/>
      <c r="E8092" s="74">
        <v>2021</v>
      </c>
      <c r="F8092" s="74"/>
      <c r="G8092" s="45">
        <v>1</v>
      </c>
      <c r="H8092" s="45">
        <v>8</v>
      </c>
      <c r="I8092" s="45">
        <v>36.984000000000002</v>
      </c>
    </row>
    <row r="8093" spans="1:9" s="71" customFormat="1" ht="19.5" hidden="1" customHeight="1" outlineLevel="1" x14ac:dyDescent="0.25">
      <c r="A8093" s="83">
        <v>10279</v>
      </c>
      <c r="B8093" s="45" t="s">
        <v>664</v>
      </c>
      <c r="C8093" s="82" t="s">
        <v>7509</v>
      </c>
      <c r="D8093" s="82"/>
      <c r="E8093" s="74">
        <v>2021</v>
      </c>
      <c r="F8093" s="74"/>
      <c r="G8093" s="45">
        <v>1</v>
      </c>
      <c r="H8093" s="45">
        <v>15</v>
      </c>
      <c r="I8093" s="45">
        <v>34.131</v>
      </c>
    </row>
    <row r="8094" spans="1:9" s="71" customFormat="1" ht="19.5" hidden="1" customHeight="1" outlineLevel="1" x14ac:dyDescent="0.25">
      <c r="A8094" s="83">
        <v>10286</v>
      </c>
      <c r="B8094" s="45" t="s">
        <v>664</v>
      </c>
      <c r="C8094" s="82" t="s">
        <v>7510</v>
      </c>
      <c r="D8094" s="82"/>
      <c r="E8094" s="74">
        <v>2021</v>
      </c>
      <c r="F8094" s="74"/>
      <c r="G8094" s="45">
        <v>1</v>
      </c>
      <c r="H8094" s="45">
        <v>15</v>
      </c>
      <c r="I8094" s="45">
        <v>38.25</v>
      </c>
    </row>
    <row r="8095" spans="1:9" s="71" customFormat="1" ht="19.5" hidden="1" customHeight="1" outlineLevel="1" x14ac:dyDescent="0.25">
      <c r="A8095" s="83">
        <v>10293</v>
      </c>
      <c r="B8095" s="45" t="s">
        <v>664</v>
      </c>
      <c r="C8095" s="82" t="s">
        <v>7511</v>
      </c>
      <c r="D8095" s="82"/>
      <c r="E8095" s="74">
        <v>2021</v>
      </c>
      <c r="F8095" s="74"/>
      <c r="G8095" s="45">
        <v>1</v>
      </c>
      <c r="H8095" s="45">
        <v>15</v>
      </c>
      <c r="I8095" s="45">
        <v>38.798999999999999</v>
      </c>
    </row>
    <row r="8096" spans="1:9" s="71" customFormat="1" ht="19.5" hidden="1" customHeight="1" outlineLevel="1" x14ac:dyDescent="0.25">
      <c r="A8096" s="84">
        <v>2202</v>
      </c>
      <c r="B8096" s="45" t="s">
        <v>664</v>
      </c>
      <c r="C8096" s="82" t="s">
        <v>7512</v>
      </c>
      <c r="D8096" s="82"/>
      <c r="E8096" s="74">
        <v>2021</v>
      </c>
      <c r="F8096" s="74"/>
      <c r="G8096" s="45">
        <v>1</v>
      </c>
      <c r="H8096" s="45">
        <v>15</v>
      </c>
      <c r="I8096" s="45">
        <v>35.073</v>
      </c>
    </row>
    <row r="8097" spans="1:9" s="71" customFormat="1" ht="19.5" hidden="1" customHeight="1" outlineLevel="1" x14ac:dyDescent="0.25">
      <c r="A8097" s="83">
        <v>10294</v>
      </c>
      <c r="B8097" s="45" t="s">
        <v>664</v>
      </c>
      <c r="C8097" s="82" t="s">
        <v>7513</v>
      </c>
      <c r="D8097" s="82"/>
      <c r="E8097" s="74">
        <v>2021</v>
      </c>
      <c r="F8097" s="74"/>
      <c r="G8097" s="45">
        <v>1</v>
      </c>
      <c r="H8097" s="45">
        <v>15</v>
      </c>
      <c r="I8097" s="45">
        <v>39.423999999999999</v>
      </c>
    </row>
    <row r="8098" spans="1:9" s="71" customFormat="1" ht="19.5" hidden="1" customHeight="1" outlineLevel="1" x14ac:dyDescent="0.25">
      <c r="A8098" s="83">
        <v>10284</v>
      </c>
      <c r="B8098" s="45" t="s">
        <v>664</v>
      </c>
      <c r="C8098" s="82" t="s">
        <v>7514</v>
      </c>
      <c r="D8098" s="82"/>
      <c r="E8098" s="74">
        <v>2021</v>
      </c>
      <c r="F8098" s="74"/>
      <c r="G8098" s="45">
        <v>1</v>
      </c>
      <c r="H8098" s="45">
        <v>10</v>
      </c>
      <c r="I8098" s="45">
        <v>36.322000000000003</v>
      </c>
    </row>
    <row r="8099" spans="1:9" s="71" customFormat="1" ht="19.5" hidden="1" customHeight="1" outlineLevel="1" x14ac:dyDescent="0.25">
      <c r="A8099" s="83">
        <v>10281</v>
      </c>
      <c r="B8099" s="45" t="s">
        <v>664</v>
      </c>
      <c r="C8099" s="82" t="s">
        <v>7515</v>
      </c>
      <c r="D8099" s="82"/>
      <c r="E8099" s="74">
        <v>2021</v>
      </c>
      <c r="F8099" s="74"/>
      <c r="G8099" s="45">
        <v>1</v>
      </c>
      <c r="H8099" s="45">
        <v>15</v>
      </c>
      <c r="I8099" s="45">
        <v>44.668999999999997</v>
      </c>
    </row>
    <row r="8100" spans="1:9" s="71" customFormat="1" ht="19.5" hidden="1" customHeight="1" outlineLevel="1" x14ac:dyDescent="0.25">
      <c r="A8100" s="83">
        <v>10292</v>
      </c>
      <c r="B8100" s="45" t="s">
        <v>664</v>
      </c>
      <c r="C8100" s="82" t="s">
        <v>7516</v>
      </c>
      <c r="D8100" s="82"/>
      <c r="E8100" s="74">
        <v>2021</v>
      </c>
      <c r="F8100" s="74"/>
      <c r="G8100" s="45">
        <v>1</v>
      </c>
      <c r="H8100" s="45">
        <v>15</v>
      </c>
      <c r="I8100" s="45">
        <v>37.902999999999999</v>
      </c>
    </row>
    <row r="8101" spans="1:9" s="71" customFormat="1" ht="19.5" hidden="1" customHeight="1" outlineLevel="1" x14ac:dyDescent="0.25">
      <c r="A8101" s="83">
        <v>10304</v>
      </c>
      <c r="B8101" s="45" t="s">
        <v>664</v>
      </c>
      <c r="C8101" s="82" t="s">
        <v>7517</v>
      </c>
      <c r="D8101" s="82"/>
      <c r="E8101" s="74">
        <v>2021</v>
      </c>
      <c r="F8101" s="74"/>
      <c r="G8101" s="45">
        <v>1</v>
      </c>
      <c r="H8101" s="45">
        <v>15</v>
      </c>
      <c r="I8101" s="45">
        <v>28.288</v>
      </c>
    </row>
    <row r="8102" spans="1:9" s="71" customFormat="1" ht="19.5" hidden="1" customHeight="1" outlineLevel="1" x14ac:dyDescent="0.25">
      <c r="A8102" s="83">
        <v>9497</v>
      </c>
      <c r="B8102" s="45" t="s">
        <v>664</v>
      </c>
      <c r="C8102" s="82" t="s">
        <v>7518</v>
      </c>
      <c r="D8102" s="82"/>
      <c r="E8102" s="74">
        <v>2021</v>
      </c>
      <c r="F8102" s="74"/>
      <c r="G8102" s="45">
        <v>3</v>
      </c>
      <c r="H8102" s="45">
        <v>45</v>
      </c>
      <c r="I8102" s="45">
        <v>107.339</v>
      </c>
    </row>
    <row r="8103" spans="1:9" s="71" customFormat="1" ht="19.5" hidden="1" customHeight="1" outlineLevel="1" x14ac:dyDescent="0.25">
      <c r="A8103" s="83">
        <v>9510</v>
      </c>
      <c r="B8103" s="45" t="s">
        <v>664</v>
      </c>
      <c r="C8103" s="82" t="s">
        <v>7519</v>
      </c>
      <c r="D8103" s="82"/>
      <c r="E8103" s="74">
        <v>2021</v>
      </c>
      <c r="F8103" s="74"/>
      <c r="G8103" s="45">
        <v>1</v>
      </c>
      <c r="H8103" s="45">
        <v>100</v>
      </c>
      <c r="I8103" s="45">
        <v>66.305000000000007</v>
      </c>
    </row>
    <row r="8104" spans="1:9" s="71" customFormat="1" ht="19.5" hidden="1" customHeight="1" outlineLevel="1" x14ac:dyDescent="0.25">
      <c r="A8104" s="83">
        <v>10289</v>
      </c>
      <c r="B8104" s="45" t="s">
        <v>664</v>
      </c>
      <c r="C8104" s="82" t="s">
        <v>7520</v>
      </c>
      <c r="D8104" s="82"/>
      <c r="E8104" s="74">
        <v>2021</v>
      </c>
      <c r="F8104" s="74"/>
      <c r="G8104" s="45">
        <v>1</v>
      </c>
      <c r="H8104" s="45">
        <v>15</v>
      </c>
      <c r="I8104" s="45">
        <v>32.630000000000003</v>
      </c>
    </row>
    <row r="8105" spans="1:9" s="71" customFormat="1" ht="19.5" hidden="1" customHeight="1" outlineLevel="1" x14ac:dyDescent="0.25">
      <c r="A8105" s="83">
        <v>10291</v>
      </c>
      <c r="B8105" s="45" t="s">
        <v>664</v>
      </c>
      <c r="C8105" s="82" t="s">
        <v>7521</v>
      </c>
      <c r="D8105" s="82"/>
      <c r="E8105" s="74">
        <v>2021</v>
      </c>
      <c r="F8105" s="74"/>
      <c r="G8105" s="45">
        <v>1</v>
      </c>
      <c r="H8105" s="45">
        <v>10</v>
      </c>
      <c r="I8105" s="45">
        <v>30.379000000000001</v>
      </c>
    </row>
    <row r="8106" spans="1:9" s="71" customFormat="1" ht="19.5" hidden="1" customHeight="1" outlineLevel="1" x14ac:dyDescent="0.25">
      <c r="A8106" s="83">
        <v>10282</v>
      </c>
      <c r="B8106" s="45" t="s">
        <v>664</v>
      </c>
      <c r="C8106" s="82" t="s">
        <v>7522</v>
      </c>
      <c r="D8106" s="82"/>
      <c r="E8106" s="74">
        <v>2021</v>
      </c>
      <c r="F8106" s="74"/>
      <c r="G8106" s="45">
        <v>1</v>
      </c>
      <c r="H8106" s="45">
        <v>15</v>
      </c>
      <c r="I8106" s="45">
        <v>33.923000000000002</v>
      </c>
    </row>
    <row r="8107" spans="1:9" s="71" customFormat="1" ht="19.5" hidden="1" customHeight="1" outlineLevel="1" x14ac:dyDescent="0.25">
      <c r="A8107" s="83">
        <v>10290</v>
      </c>
      <c r="B8107" s="45" t="s">
        <v>664</v>
      </c>
      <c r="C8107" s="82" t="s">
        <v>7523</v>
      </c>
      <c r="D8107" s="82"/>
      <c r="E8107" s="74">
        <v>2021</v>
      </c>
      <c r="F8107" s="74"/>
      <c r="G8107" s="45">
        <v>1</v>
      </c>
      <c r="H8107" s="45">
        <v>15</v>
      </c>
      <c r="I8107" s="45">
        <v>33.847999999999999</v>
      </c>
    </row>
    <row r="8108" spans="1:9" s="71" customFormat="1" ht="19.5" hidden="1" customHeight="1" outlineLevel="1" x14ac:dyDescent="0.25">
      <c r="A8108" s="83">
        <v>10299</v>
      </c>
      <c r="B8108" s="45" t="s">
        <v>664</v>
      </c>
      <c r="C8108" s="82" t="s">
        <v>7524</v>
      </c>
      <c r="D8108" s="82"/>
      <c r="E8108" s="74">
        <v>2021</v>
      </c>
      <c r="F8108" s="74"/>
      <c r="G8108" s="45">
        <v>1</v>
      </c>
      <c r="H8108" s="45">
        <v>15</v>
      </c>
      <c r="I8108" s="45">
        <v>31.143000000000001</v>
      </c>
    </row>
    <row r="8109" spans="1:9" s="71" customFormat="1" ht="19.5" hidden="1" customHeight="1" outlineLevel="1" x14ac:dyDescent="0.25">
      <c r="A8109" s="83">
        <v>10298</v>
      </c>
      <c r="B8109" s="45" t="s">
        <v>664</v>
      </c>
      <c r="C8109" s="82" t="s">
        <v>7525</v>
      </c>
      <c r="D8109" s="82"/>
      <c r="E8109" s="74">
        <v>2021</v>
      </c>
      <c r="F8109" s="74"/>
      <c r="G8109" s="45">
        <v>1</v>
      </c>
      <c r="H8109" s="45">
        <v>15</v>
      </c>
      <c r="I8109" s="45">
        <v>29.890999999999998</v>
      </c>
    </row>
    <row r="8110" spans="1:9" s="71" customFormat="1" ht="19.5" hidden="1" customHeight="1" outlineLevel="1" x14ac:dyDescent="0.25">
      <c r="A8110" s="83">
        <v>10305</v>
      </c>
      <c r="B8110" s="45" t="s">
        <v>664</v>
      </c>
      <c r="C8110" s="82" t="s">
        <v>7526</v>
      </c>
      <c r="D8110" s="82"/>
      <c r="E8110" s="74">
        <v>2021</v>
      </c>
      <c r="F8110" s="74"/>
      <c r="G8110" s="45">
        <v>1</v>
      </c>
      <c r="H8110" s="45">
        <v>15</v>
      </c>
      <c r="I8110" s="45">
        <v>32.515999999999998</v>
      </c>
    </row>
    <row r="8111" spans="1:9" s="71" customFormat="1" ht="19.5" hidden="1" customHeight="1" outlineLevel="1" x14ac:dyDescent="0.25">
      <c r="A8111" s="83">
        <v>10303</v>
      </c>
      <c r="B8111" s="45" t="s">
        <v>664</v>
      </c>
      <c r="C8111" s="82" t="s">
        <v>7527</v>
      </c>
      <c r="D8111" s="82"/>
      <c r="E8111" s="74">
        <v>2021</v>
      </c>
      <c r="F8111" s="74"/>
      <c r="G8111" s="45">
        <v>1</v>
      </c>
      <c r="H8111" s="45">
        <v>15</v>
      </c>
      <c r="I8111" s="45">
        <v>32.505000000000003</v>
      </c>
    </row>
    <row r="8112" spans="1:9" s="71" customFormat="1" ht="19.5" hidden="1" customHeight="1" outlineLevel="1" x14ac:dyDescent="0.25">
      <c r="A8112" s="83">
        <v>10285</v>
      </c>
      <c r="B8112" s="45" t="s">
        <v>664</v>
      </c>
      <c r="C8112" s="82" t="s">
        <v>7528</v>
      </c>
      <c r="D8112" s="82"/>
      <c r="E8112" s="74">
        <v>2021</v>
      </c>
      <c r="F8112" s="74"/>
      <c r="G8112" s="45">
        <v>1</v>
      </c>
      <c r="H8112" s="45">
        <v>15</v>
      </c>
      <c r="I8112" s="45">
        <v>35.957000000000001</v>
      </c>
    </row>
    <row r="8113" spans="1:9" s="71" customFormat="1" ht="19.5" hidden="1" customHeight="1" outlineLevel="1" x14ac:dyDescent="0.25">
      <c r="A8113" s="83">
        <v>10307</v>
      </c>
      <c r="B8113" s="45" t="s">
        <v>664</v>
      </c>
      <c r="C8113" s="82" t="s">
        <v>3753</v>
      </c>
      <c r="D8113" s="82"/>
      <c r="E8113" s="74">
        <v>2021</v>
      </c>
      <c r="F8113" s="74"/>
      <c r="G8113" s="45">
        <v>1</v>
      </c>
      <c r="H8113" s="45">
        <v>3.12</v>
      </c>
      <c r="I8113" s="45">
        <v>24.797999999999998</v>
      </c>
    </row>
    <row r="8114" spans="1:9" s="71" customFormat="1" ht="19.5" hidden="1" customHeight="1" outlineLevel="1" x14ac:dyDescent="0.25">
      <c r="A8114" s="83">
        <v>9501</v>
      </c>
      <c r="B8114" s="45" t="s">
        <v>664</v>
      </c>
      <c r="C8114" s="82" t="s">
        <v>7529</v>
      </c>
      <c r="D8114" s="82"/>
      <c r="E8114" s="74">
        <v>2021</v>
      </c>
      <c r="F8114" s="74"/>
      <c r="G8114" s="45">
        <v>3</v>
      </c>
      <c r="H8114" s="45">
        <v>115</v>
      </c>
      <c r="I8114" s="45">
        <v>72.733000000000004</v>
      </c>
    </row>
    <row r="8115" spans="1:9" s="71" customFormat="1" ht="19.5" hidden="1" customHeight="1" outlineLevel="1" x14ac:dyDescent="0.25">
      <c r="A8115" s="83">
        <v>9481</v>
      </c>
      <c r="B8115" s="45" t="s">
        <v>664</v>
      </c>
      <c r="C8115" s="82" t="s">
        <v>7530</v>
      </c>
      <c r="D8115" s="82"/>
      <c r="E8115" s="74">
        <v>2021</v>
      </c>
      <c r="F8115" s="74"/>
      <c r="G8115" s="45">
        <v>1</v>
      </c>
      <c r="H8115" s="45">
        <v>7.5</v>
      </c>
      <c r="I8115" s="45">
        <v>54.896999999999998</v>
      </c>
    </row>
    <row r="8116" spans="1:9" s="71" customFormat="1" ht="19.5" hidden="1" customHeight="1" outlineLevel="1" x14ac:dyDescent="0.25">
      <c r="A8116" s="83">
        <v>10283</v>
      </c>
      <c r="B8116" s="45" t="s">
        <v>664</v>
      </c>
      <c r="C8116" s="82" t="s">
        <v>7531</v>
      </c>
      <c r="D8116" s="82"/>
      <c r="E8116" s="74">
        <v>2021</v>
      </c>
      <c r="F8116" s="74"/>
      <c r="G8116" s="45">
        <v>1</v>
      </c>
      <c r="H8116" s="45">
        <v>15</v>
      </c>
      <c r="I8116" s="45">
        <v>31.998000000000001</v>
      </c>
    </row>
    <row r="8117" spans="1:9" s="71" customFormat="1" ht="19.5" hidden="1" customHeight="1" outlineLevel="1" x14ac:dyDescent="0.25">
      <c r="A8117" s="83">
        <v>9466</v>
      </c>
      <c r="B8117" s="45" t="s">
        <v>664</v>
      </c>
      <c r="C8117" s="82" t="s">
        <v>7532</v>
      </c>
      <c r="D8117" s="82"/>
      <c r="E8117" s="74">
        <v>2021</v>
      </c>
      <c r="F8117" s="74"/>
      <c r="G8117" s="45">
        <v>1</v>
      </c>
      <c r="H8117" s="45">
        <v>15</v>
      </c>
      <c r="I8117" s="45">
        <v>53.488</v>
      </c>
    </row>
    <row r="8118" spans="1:9" s="71" customFormat="1" ht="19.5" hidden="1" customHeight="1" outlineLevel="1" x14ac:dyDescent="0.25">
      <c r="A8118" s="83">
        <v>9503</v>
      </c>
      <c r="B8118" s="45" t="s">
        <v>664</v>
      </c>
      <c r="C8118" s="82" t="s">
        <v>7533</v>
      </c>
      <c r="D8118" s="82"/>
      <c r="E8118" s="74">
        <v>2021</v>
      </c>
      <c r="F8118" s="74"/>
      <c r="G8118" s="45">
        <v>1</v>
      </c>
      <c r="H8118" s="45">
        <v>100</v>
      </c>
      <c r="I8118" s="45">
        <v>52.945</v>
      </c>
    </row>
    <row r="8119" spans="1:9" s="71" customFormat="1" ht="19.5" hidden="1" customHeight="1" outlineLevel="1" x14ac:dyDescent="0.25">
      <c r="A8119" s="83">
        <v>10280</v>
      </c>
      <c r="B8119" s="45" t="s">
        <v>664</v>
      </c>
      <c r="C8119" s="82" t="s">
        <v>7534</v>
      </c>
      <c r="D8119" s="82"/>
      <c r="E8119" s="74">
        <v>2021</v>
      </c>
      <c r="F8119" s="74"/>
      <c r="G8119" s="45">
        <v>1</v>
      </c>
      <c r="H8119" s="45">
        <v>15</v>
      </c>
      <c r="I8119" s="45">
        <v>32.570999999999998</v>
      </c>
    </row>
    <row r="8120" spans="1:9" s="71" customFormat="1" ht="19.5" hidden="1" customHeight="1" outlineLevel="1" x14ac:dyDescent="0.25">
      <c r="A8120" s="83">
        <v>10277</v>
      </c>
      <c r="B8120" s="45" t="s">
        <v>664</v>
      </c>
      <c r="C8120" s="82" t="s">
        <v>7535</v>
      </c>
      <c r="D8120" s="82"/>
      <c r="E8120" s="74">
        <v>2021</v>
      </c>
      <c r="F8120" s="74"/>
      <c r="G8120" s="45">
        <v>1</v>
      </c>
      <c r="H8120" s="45">
        <v>15</v>
      </c>
      <c r="I8120" s="45">
        <v>34.75</v>
      </c>
    </row>
    <row r="8121" spans="1:9" s="71" customFormat="1" ht="19.5" hidden="1" customHeight="1" outlineLevel="1" x14ac:dyDescent="0.25">
      <c r="A8121" s="83">
        <v>10301</v>
      </c>
      <c r="B8121" s="45" t="s">
        <v>664</v>
      </c>
      <c r="C8121" s="82" t="s">
        <v>7536</v>
      </c>
      <c r="D8121" s="82"/>
      <c r="E8121" s="74">
        <v>2021</v>
      </c>
      <c r="F8121" s="74"/>
      <c r="G8121" s="45">
        <v>1</v>
      </c>
      <c r="H8121" s="45">
        <v>15</v>
      </c>
      <c r="I8121" s="45">
        <v>35.503999999999998</v>
      </c>
    </row>
    <row r="8122" spans="1:9" s="71" customFormat="1" ht="19.5" hidden="1" customHeight="1" outlineLevel="1" x14ac:dyDescent="0.25">
      <c r="A8122" s="83">
        <v>9502</v>
      </c>
      <c r="B8122" s="45" t="s">
        <v>664</v>
      </c>
      <c r="C8122" s="82" t="s">
        <v>7537</v>
      </c>
      <c r="D8122" s="82"/>
      <c r="E8122" s="74">
        <v>2021</v>
      </c>
      <c r="F8122" s="74"/>
      <c r="G8122" s="45">
        <v>1</v>
      </c>
      <c r="H8122" s="45">
        <v>15</v>
      </c>
      <c r="I8122" s="45">
        <v>102.81</v>
      </c>
    </row>
    <row r="8123" spans="1:9" s="71" customFormat="1" ht="19.5" hidden="1" customHeight="1" outlineLevel="1" x14ac:dyDescent="0.25">
      <c r="A8123" s="83">
        <v>9495</v>
      </c>
      <c r="B8123" s="45" t="s">
        <v>664</v>
      </c>
      <c r="C8123" s="82" t="s">
        <v>7538</v>
      </c>
      <c r="D8123" s="82"/>
      <c r="E8123" s="74">
        <v>2021</v>
      </c>
      <c r="F8123" s="74"/>
      <c r="G8123" s="45">
        <v>1</v>
      </c>
      <c r="H8123" s="45">
        <v>15</v>
      </c>
      <c r="I8123" s="45">
        <v>165.33600000000001</v>
      </c>
    </row>
    <row r="8124" spans="1:9" s="71" customFormat="1" ht="19.5" hidden="1" customHeight="1" outlineLevel="1" x14ac:dyDescent="0.25">
      <c r="A8124" s="83">
        <v>9103</v>
      </c>
      <c r="B8124" s="45" t="s">
        <v>664</v>
      </c>
      <c r="C8124" s="82" t="s">
        <v>7539</v>
      </c>
      <c r="D8124" s="82"/>
      <c r="E8124" s="74">
        <v>2021</v>
      </c>
      <c r="F8124" s="74"/>
      <c r="G8124" s="45">
        <v>1</v>
      </c>
      <c r="H8124" s="45">
        <v>15</v>
      </c>
      <c r="I8124" s="45">
        <v>32.177</v>
      </c>
    </row>
    <row r="8125" spans="1:9" s="71" customFormat="1" ht="19.5" hidden="1" customHeight="1" outlineLevel="1" x14ac:dyDescent="0.25">
      <c r="A8125" s="83">
        <v>9499</v>
      </c>
      <c r="B8125" s="45" t="s">
        <v>664</v>
      </c>
      <c r="C8125" s="82" t="s">
        <v>7540</v>
      </c>
      <c r="D8125" s="82"/>
      <c r="E8125" s="74">
        <v>2021</v>
      </c>
      <c r="F8125" s="74"/>
      <c r="G8125" s="45">
        <v>1</v>
      </c>
      <c r="H8125" s="45">
        <v>15</v>
      </c>
      <c r="I8125" s="45">
        <v>59.594000000000001</v>
      </c>
    </row>
    <row r="8126" spans="1:9" s="71" customFormat="1" ht="19.5" hidden="1" customHeight="1" outlineLevel="1" x14ac:dyDescent="0.25">
      <c r="A8126" s="83">
        <v>9102</v>
      </c>
      <c r="B8126" s="45" t="s">
        <v>664</v>
      </c>
      <c r="C8126" s="82" t="s">
        <v>7541</v>
      </c>
      <c r="D8126" s="82"/>
      <c r="E8126" s="74">
        <v>2021</v>
      </c>
      <c r="F8126" s="74"/>
      <c r="G8126" s="45">
        <v>1</v>
      </c>
      <c r="H8126" s="45">
        <v>15</v>
      </c>
      <c r="I8126" s="45">
        <v>38.570999999999998</v>
      </c>
    </row>
    <row r="8127" spans="1:9" s="71" customFormat="1" ht="19.5" hidden="1" customHeight="1" outlineLevel="1" x14ac:dyDescent="0.25">
      <c r="A8127" s="83">
        <v>9500</v>
      </c>
      <c r="B8127" s="45" t="s">
        <v>664</v>
      </c>
      <c r="C8127" s="82" t="s">
        <v>7542</v>
      </c>
      <c r="D8127" s="82"/>
      <c r="E8127" s="74">
        <v>2021</v>
      </c>
      <c r="F8127" s="74"/>
      <c r="G8127" s="45">
        <v>1</v>
      </c>
      <c r="H8127" s="45">
        <v>15</v>
      </c>
      <c r="I8127" s="45">
        <v>49.920999999999999</v>
      </c>
    </row>
    <row r="8128" spans="1:9" s="71" customFormat="1" ht="19.5" hidden="1" customHeight="1" outlineLevel="1" x14ac:dyDescent="0.25">
      <c r="A8128" s="83">
        <v>9478</v>
      </c>
      <c r="B8128" s="45" t="s">
        <v>664</v>
      </c>
      <c r="C8128" s="82" t="s">
        <v>7543</v>
      </c>
      <c r="D8128" s="82"/>
      <c r="E8128" s="74">
        <v>2021</v>
      </c>
      <c r="F8128" s="74"/>
      <c r="G8128" s="45">
        <v>1</v>
      </c>
      <c r="H8128" s="45">
        <v>15</v>
      </c>
      <c r="I8128" s="45">
        <v>89.468999999999994</v>
      </c>
    </row>
    <row r="8129" spans="1:9" s="71" customFormat="1" ht="19.5" hidden="1" customHeight="1" outlineLevel="1" x14ac:dyDescent="0.25">
      <c r="A8129" s="83">
        <v>10288</v>
      </c>
      <c r="B8129" s="45" t="s">
        <v>664</v>
      </c>
      <c r="C8129" s="82" t="s">
        <v>7544</v>
      </c>
      <c r="D8129" s="82"/>
      <c r="E8129" s="74">
        <v>2021</v>
      </c>
      <c r="F8129" s="74"/>
      <c r="G8129" s="45">
        <v>1</v>
      </c>
      <c r="H8129" s="45">
        <v>15</v>
      </c>
      <c r="I8129" s="45">
        <v>27.81</v>
      </c>
    </row>
    <row r="8130" spans="1:9" s="71" customFormat="1" ht="19.5" hidden="1" customHeight="1" outlineLevel="1" x14ac:dyDescent="0.25">
      <c r="A8130" s="83">
        <v>10300</v>
      </c>
      <c r="B8130" s="45" t="s">
        <v>664</v>
      </c>
      <c r="C8130" s="82" t="s">
        <v>7545</v>
      </c>
      <c r="D8130" s="82"/>
      <c r="E8130" s="74">
        <v>2021</v>
      </c>
      <c r="F8130" s="74"/>
      <c r="G8130" s="45">
        <v>1</v>
      </c>
      <c r="H8130" s="45">
        <v>10</v>
      </c>
      <c r="I8130" s="45">
        <v>31.899000000000001</v>
      </c>
    </row>
    <row r="8131" spans="1:9" s="71" customFormat="1" ht="19.5" hidden="1" customHeight="1" outlineLevel="1" x14ac:dyDescent="0.25">
      <c r="A8131" s="84">
        <v>2204</v>
      </c>
      <c r="B8131" s="45" t="s">
        <v>664</v>
      </c>
      <c r="C8131" s="82" t="s">
        <v>7546</v>
      </c>
      <c r="D8131" s="82"/>
      <c r="E8131" s="74">
        <v>2021</v>
      </c>
      <c r="F8131" s="74"/>
      <c r="G8131" s="45">
        <v>1</v>
      </c>
      <c r="H8131" s="45">
        <v>15</v>
      </c>
      <c r="I8131" s="45">
        <v>30.672999999999998</v>
      </c>
    </row>
    <row r="8132" spans="1:9" s="71" customFormat="1" ht="19.5" hidden="1" customHeight="1" outlineLevel="1" x14ac:dyDescent="0.25">
      <c r="A8132" s="83">
        <v>10306</v>
      </c>
      <c r="B8132" s="45" t="s">
        <v>664</v>
      </c>
      <c r="C8132" s="82" t="s">
        <v>7547</v>
      </c>
      <c r="D8132" s="82"/>
      <c r="E8132" s="74">
        <v>2021</v>
      </c>
      <c r="F8132" s="74"/>
      <c r="G8132" s="45">
        <v>1</v>
      </c>
      <c r="H8132" s="45">
        <v>15</v>
      </c>
      <c r="I8132" s="45">
        <v>30.878</v>
      </c>
    </row>
    <row r="8133" spans="1:9" s="71" customFormat="1" ht="19.5" hidden="1" customHeight="1" outlineLevel="1" x14ac:dyDescent="0.25">
      <c r="A8133" s="83">
        <v>10278</v>
      </c>
      <c r="B8133" s="45" t="s">
        <v>664</v>
      </c>
      <c r="C8133" s="82" t="s">
        <v>7548</v>
      </c>
      <c r="D8133" s="82"/>
      <c r="E8133" s="74">
        <v>2021</v>
      </c>
      <c r="F8133" s="74"/>
      <c r="G8133" s="45">
        <v>1</v>
      </c>
      <c r="H8133" s="45">
        <v>15</v>
      </c>
      <c r="I8133" s="45">
        <v>34.567999999999998</v>
      </c>
    </row>
    <row r="8134" spans="1:9" s="71" customFormat="1" ht="19.5" hidden="1" customHeight="1" outlineLevel="1" x14ac:dyDescent="0.25">
      <c r="A8134" s="84">
        <v>362</v>
      </c>
      <c r="B8134" s="45" t="s">
        <v>664</v>
      </c>
      <c r="C8134" s="82" t="s">
        <v>7549</v>
      </c>
      <c r="D8134" s="82"/>
      <c r="E8134" s="74">
        <v>2021</v>
      </c>
      <c r="F8134" s="74"/>
      <c r="G8134" s="45">
        <v>1</v>
      </c>
      <c r="H8134" s="45">
        <v>15</v>
      </c>
      <c r="I8134" s="45">
        <v>38</v>
      </c>
    </row>
    <row r="8135" spans="1:9" s="71" customFormat="1" ht="19.5" hidden="1" customHeight="1" outlineLevel="1" x14ac:dyDescent="0.25">
      <c r="A8135" s="83">
        <v>9433</v>
      </c>
      <c r="B8135" s="45" t="s">
        <v>664</v>
      </c>
      <c r="C8135" s="82" t="s">
        <v>7550</v>
      </c>
      <c r="D8135" s="82"/>
      <c r="E8135" s="74">
        <v>2021</v>
      </c>
      <c r="F8135" s="74"/>
      <c r="G8135" s="45">
        <v>1</v>
      </c>
      <c r="H8135" s="45">
        <v>15</v>
      </c>
      <c r="I8135" s="45">
        <v>25</v>
      </c>
    </row>
    <row r="8136" spans="1:9" s="71" customFormat="1" ht="19.5" hidden="1" customHeight="1" outlineLevel="1" x14ac:dyDescent="0.25">
      <c r="A8136" s="83">
        <v>9321</v>
      </c>
      <c r="B8136" s="45" t="s">
        <v>664</v>
      </c>
      <c r="C8136" s="82" t="s">
        <v>7551</v>
      </c>
      <c r="D8136" s="82"/>
      <c r="E8136" s="74">
        <v>2021</v>
      </c>
      <c r="F8136" s="74"/>
      <c r="G8136" s="45">
        <v>1</v>
      </c>
      <c r="H8136" s="45">
        <v>15</v>
      </c>
      <c r="I8136" s="45">
        <v>30</v>
      </c>
    </row>
    <row r="8137" spans="1:9" s="71" customFormat="1" ht="19.5" hidden="1" customHeight="1" outlineLevel="1" x14ac:dyDescent="0.25">
      <c r="A8137" s="84">
        <v>1124</v>
      </c>
      <c r="B8137" s="45" t="s">
        <v>664</v>
      </c>
      <c r="C8137" s="82" t="s">
        <v>7552</v>
      </c>
      <c r="D8137" s="82"/>
      <c r="E8137" s="74">
        <v>2021</v>
      </c>
      <c r="F8137" s="74"/>
      <c r="G8137" s="45">
        <v>1</v>
      </c>
      <c r="H8137" s="45">
        <v>150</v>
      </c>
      <c r="I8137" s="45">
        <v>23</v>
      </c>
    </row>
    <row r="8138" spans="1:9" s="71" customFormat="1" ht="19.5" hidden="1" customHeight="1" outlineLevel="1" x14ac:dyDescent="0.25">
      <c r="A8138" s="83">
        <v>9451</v>
      </c>
      <c r="B8138" s="45" t="s">
        <v>664</v>
      </c>
      <c r="C8138" s="82" t="s">
        <v>7553</v>
      </c>
      <c r="D8138" s="82"/>
      <c r="E8138" s="74">
        <v>2021</v>
      </c>
      <c r="F8138" s="74"/>
      <c r="G8138" s="45">
        <v>1</v>
      </c>
      <c r="H8138" s="45">
        <v>150</v>
      </c>
      <c r="I8138" s="45">
        <v>25</v>
      </c>
    </row>
    <row r="8139" spans="1:9" s="71" customFormat="1" ht="19.5" hidden="1" customHeight="1" outlineLevel="1" x14ac:dyDescent="0.25">
      <c r="A8139" s="83">
        <v>9087</v>
      </c>
      <c r="B8139" s="45" t="s">
        <v>664</v>
      </c>
      <c r="C8139" s="82" t="s">
        <v>7554</v>
      </c>
      <c r="D8139" s="82"/>
      <c r="E8139" s="74">
        <v>2021</v>
      </c>
      <c r="F8139" s="74"/>
      <c r="G8139" s="45">
        <v>1</v>
      </c>
      <c r="H8139" s="45">
        <v>15</v>
      </c>
      <c r="I8139" s="45">
        <v>39</v>
      </c>
    </row>
    <row r="8140" spans="1:9" s="71" customFormat="1" ht="19.5" hidden="1" customHeight="1" outlineLevel="1" x14ac:dyDescent="0.25">
      <c r="A8140" s="83">
        <v>9300</v>
      </c>
      <c r="B8140" s="45" t="s">
        <v>664</v>
      </c>
      <c r="C8140" s="82" t="s">
        <v>7555</v>
      </c>
      <c r="D8140" s="82"/>
      <c r="E8140" s="74">
        <v>2021</v>
      </c>
      <c r="F8140" s="74"/>
      <c r="G8140" s="45">
        <v>1</v>
      </c>
      <c r="H8140" s="45">
        <v>15</v>
      </c>
      <c r="I8140" s="45">
        <v>38</v>
      </c>
    </row>
    <row r="8141" spans="1:9" s="71" customFormat="1" ht="19.5" hidden="1" customHeight="1" outlineLevel="1" x14ac:dyDescent="0.25">
      <c r="A8141" s="84">
        <v>543</v>
      </c>
      <c r="B8141" s="45" t="s">
        <v>664</v>
      </c>
      <c r="C8141" s="82" t="s">
        <v>7556</v>
      </c>
      <c r="D8141" s="82"/>
      <c r="E8141" s="74">
        <v>2021</v>
      </c>
      <c r="F8141" s="74"/>
      <c r="G8141" s="45">
        <v>1</v>
      </c>
      <c r="H8141" s="45">
        <v>40</v>
      </c>
      <c r="I8141" s="45">
        <v>39</v>
      </c>
    </row>
    <row r="8142" spans="1:9" s="71" customFormat="1" ht="19.5" hidden="1" customHeight="1" outlineLevel="1" x14ac:dyDescent="0.25">
      <c r="A8142" s="83">
        <v>10124</v>
      </c>
      <c r="B8142" s="45" t="s">
        <v>664</v>
      </c>
      <c r="C8142" s="82" t="s">
        <v>7557</v>
      </c>
      <c r="D8142" s="82"/>
      <c r="E8142" s="74">
        <v>2021</v>
      </c>
      <c r="F8142" s="74"/>
      <c r="G8142" s="45">
        <v>1</v>
      </c>
      <c r="H8142" s="45">
        <v>15</v>
      </c>
      <c r="I8142" s="45">
        <v>26</v>
      </c>
    </row>
    <row r="8143" spans="1:9" s="71" customFormat="1" ht="19.5" hidden="1" customHeight="1" outlineLevel="1" x14ac:dyDescent="0.25">
      <c r="A8143" s="83">
        <v>10125</v>
      </c>
      <c r="B8143" s="45" t="s">
        <v>664</v>
      </c>
      <c r="C8143" s="82" t="s">
        <v>7558</v>
      </c>
      <c r="D8143" s="82"/>
      <c r="E8143" s="74">
        <v>2021</v>
      </c>
      <c r="F8143" s="74"/>
      <c r="G8143" s="45">
        <v>1</v>
      </c>
      <c r="H8143" s="45">
        <v>15</v>
      </c>
      <c r="I8143" s="45">
        <v>26</v>
      </c>
    </row>
    <row r="8144" spans="1:9" s="71" customFormat="1" ht="19.5" hidden="1" customHeight="1" outlineLevel="1" x14ac:dyDescent="0.25">
      <c r="A8144" s="83">
        <v>10154</v>
      </c>
      <c r="B8144" s="45" t="s">
        <v>664</v>
      </c>
      <c r="C8144" s="82" t="s">
        <v>7559</v>
      </c>
      <c r="D8144" s="82"/>
      <c r="E8144" s="74">
        <v>2021</v>
      </c>
      <c r="F8144" s="74"/>
      <c r="G8144" s="45">
        <v>1</v>
      </c>
      <c r="H8144" s="45">
        <v>15</v>
      </c>
      <c r="I8144" s="45">
        <v>26</v>
      </c>
    </row>
    <row r="8145" spans="1:9" s="71" customFormat="1" ht="19.5" hidden="1" customHeight="1" outlineLevel="1" x14ac:dyDescent="0.25">
      <c r="A8145" s="83">
        <v>10159</v>
      </c>
      <c r="B8145" s="45" t="s">
        <v>664</v>
      </c>
      <c r="C8145" s="82" t="s">
        <v>7560</v>
      </c>
      <c r="D8145" s="82"/>
      <c r="E8145" s="74">
        <v>2021</v>
      </c>
      <c r="F8145" s="74"/>
      <c r="G8145" s="45">
        <v>1</v>
      </c>
      <c r="H8145" s="45">
        <v>15</v>
      </c>
      <c r="I8145" s="45">
        <v>26</v>
      </c>
    </row>
    <row r="8146" spans="1:9" s="71" customFormat="1" ht="19.5" hidden="1" customHeight="1" outlineLevel="1" x14ac:dyDescent="0.25">
      <c r="A8146" s="83">
        <v>10181</v>
      </c>
      <c r="B8146" s="45" t="s">
        <v>664</v>
      </c>
      <c r="C8146" s="82" t="s">
        <v>7561</v>
      </c>
      <c r="D8146" s="82"/>
      <c r="E8146" s="74">
        <v>2021</v>
      </c>
      <c r="F8146" s="74"/>
      <c r="G8146" s="45">
        <v>1</v>
      </c>
      <c r="H8146" s="45">
        <v>15</v>
      </c>
      <c r="I8146" s="45">
        <v>26</v>
      </c>
    </row>
    <row r="8147" spans="1:9" s="71" customFormat="1" ht="19.5" hidden="1" customHeight="1" outlineLevel="1" x14ac:dyDescent="0.25">
      <c r="A8147" s="83">
        <v>10127</v>
      </c>
      <c r="B8147" s="45" t="s">
        <v>664</v>
      </c>
      <c r="C8147" s="82" t="s">
        <v>7562</v>
      </c>
      <c r="D8147" s="82"/>
      <c r="E8147" s="74">
        <v>2021</v>
      </c>
      <c r="F8147" s="74"/>
      <c r="G8147" s="45">
        <v>1</v>
      </c>
      <c r="H8147" s="45">
        <v>15</v>
      </c>
      <c r="I8147" s="45">
        <v>26</v>
      </c>
    </row>
    <row r="8148" spans="1:9" s="71" customFormat="1" ht="19.5" hidden="1" customHeight="1" outlineLevel="1" x14ac:dyDescent="0.25">
      <c r="A8148" s="83">
        <v>10129</v>
      </c>
      <c r="B8148" s="45" t="s">
        <v>664</v>
      </c>
      <c r="C8148" s="82" t="s">
        <v>7563</v>
      </c>
      <c r="D8148" s="82"/>
      <c r="E8148" s="74">
        <v>2021</v>
      </c>
      <c r="F8148" s="74"/>
      <c r="G8148" s="45">
        <v>1</v>
      </c>
      <c r="H8148" s="45">
        <v>15</v>
      </c>
      <c r="I8148" s="45">
        <v>27</v>
      </c>
    </row>
    <row r="8149" spans="1:9" s="71" customFormat="1" ht="19.5" hidden="1" customHeight="1" outlineLevel="1" x14ac:dyDescent="0.25">
      <c r="A8149" s="83">
        <v>10133</v>
      </c>
      <c r="B8149" s="45" t="s">
        <v>664</v>
      </c>
      <c r="C8149" s="82" t="s">
        <v>7564</v>
      </c>
      <c r="D8149" s="82"/>
      <c r="E8149" s="74">
        <v>2021</v>
      </c>
      <c r="F8149" s="74"/>
      <c r="G8149" s="45">
        <v>1</v>
      </c>
      <c r="H8149" s="45">
        <v>15</v>
      </c>
      <c r="I8149" s="45">
        <v>26</v>
      </c>
    </row>
    <row r="8150" spans="1:9" s="71" customFormat="1" ht="19.5" hidden="1" customHeight="1" outlineLevel="1" x14ac:dyDescent="0.25">
      <c r="A8150" s="83">
        <v>10134</v>
      </c>
      <c r="B8150" s="45" t="s">
        <v>664</v>
      </c>
      <c r="C8150" s="82" t="s">
        <v>7565</v>
      </c>
      <c r="D8150" s="82"/>
      <c r="E8150" s="74">
        <v>2021</v>
      </c>
      <c r="F8150" s="74"/>
      <c r="G8150" s="45">
        <v>1</v>
      </c>
      <c r="H8150" s="45">
        <v>15</v>
      </c>
      <c r="I8150" s="45">
        <v>26</v>
      </c>
    </row>
    <row r="8151" spans="1:9" s="71" customFormat="1" ht="19.5" hidden="1" customHeight="1" outlineLevel="1" x14ac:dyDescent="0.25">
      <c r="A8151" s="83">
        <v>10155</v>
      </c>
      <c r="B8151" s="45" t="s">
        <v>664</v>
      </c>
      <c r="C8151" s="82" t="s">
        <v>7566</v>
      </c>
      <c r="D8151" s="82"/>
      <c r="E8151" s="74">
        <v>2021</v>
      </c>
      <c r="F8151" s="74"/>
      <c r="G8151" s="45">
        <v>1</v>
      </c>
      <c r="H8151" s="45">
        <v>7</v>
      </c>
      <c r="I8151" s="45">
        <v>26</v>
      </c>
    </row>
    <row r="8152" spans="1:9" s="71" customFormat="1" ht="19.5" hidden="1" customHeight="1" outlineLevel="1" x14ac:dyDescent="0.25">
      <c r="A8152" s="84">
        <v>2089</v>
      </c>
      <c r="B8152" s="45" t="s">
        <v>664</v>
      </c>
      <c r="C8152" s="82" t="s">
        <v>7567</v>
      </c>
      <c r="D8152" s="82"/>
      <c r="E8152" s="74">
        <v>2021</v>
      </c>
      <c r="F8152" s="74"/>
      <c r="G8152" s="45">
        <v>1</v>
      </c>
      <c r="H8152" s="45">
        <v>14</v>
      </c>
      <c r="I8152" s="45">
        <v>27</v>
      </c>
    </row>
    <row r="8153" spans="1:9" s="71" customFormat="1" ht="19.5" hidden="1" customHeight="1" outlineLevel="1" x14ac:dyDescent="0.25">
      <c r="A8153" s="83">
        <v>10158</v>
      </c>
      <c r="B8153" s="45" t="s">
        <v>664</v>
      </c>
      <c r="C8153" s="82" t="s">
        <v>7568</v>
      </c>
      <c r="D8153" s="82"/>
      <c r="E8153" s="74">
        <v>2021</v>
      </c>
      <c r="F8153" s="74"/>
      <c r="G8153" s="45">
        <v>1</v>
      </c>
      <c r="H8153" s="45">
        <v>15</v>
      </c>
      <c r="I8153" s="45">
        <v>26</v>
      </c>
    </row>
    <row r="8154" spans="1:9" s="71" customFormat="1" ht="19.5" hidden="1" customHeight="1" outlineLevel="1" x14ac:dyDescent="0.25">
      <c r="A8154" s="84">
        <v>2094</v>
      </c>
      <c r="B8154" s="45" t="s">
        <v>664</v>
      </c>
      <c r="C8154" s="82" t="s">
        <v>7569</v>
      </c>
      <c r="D8154" s="82"/>
      <c r="E8154" s="74">
        <v>2021</v>
      </c>
      <c r="F8154" s="74"/>
      <c r="G8154" s="45">
        <v>1</v>
      </c>
      <c r="H8154" s="45">
        <v>15</v>
      </c>
      <c r="I8154" s="45">
        <v>26</v>
      </c>
    </row>
    <row r="8155" spans="1:9" s="71" customFormat="1" ht="19.5" hidden="1" customHeight="1" outlineLevel="1" x14ac:dyDescent="0.25">
      <c r="A8155" s="83">
        <v>10172</v>
      </c>
      <c r="B8155" s="45" t="s">
        <v>664</v>
      </c>
      <c r="C8155" s="82" t="s">
        <v>7570</v>
      </c>
      <c r="D8155" s="82"/>
      <c r="E8155" s="74">
        <v>2021</v>
      </c>
      <c r="F8155" s="74"/>
      <c r="G8155" s="45">
        <v>1</v>
      </c>
      <c r="H8155" s="45">
        <v>15</v>
      </c>
      <c r="I8155" s="45">
        <v>26</v>
      </c>
    </row>
    <row r="8156" spans="1:9" s="71" customFormat="1" ht="19.5" hidden="1" customHeight="1" outlineLevel="1" x14ac:dyDescent="0.25">
      <c r="A8156" s="83">
        <v>10175</v>
      </c>
      <c r="B8156" s="45" t="s">
        <v>664</v>
      </c>
      <c r="C8156" s="82" t="s">
        <v>7571</v>
      </c>
      <c r="D8156" s="82"/>
      <c r="E8156" s="74">
        <v>2021</v>
      </c>
      <c r="F8156" s="74"/>
      <c r="G8156" s="45">
        <v>1</v>
      </c>
      <c r="H8156" s="45">
        <v>30</v>
      </c>
      <c r="I8156" s="45">
        <v>27</v>
      </c>
    </row>
    <row r="8157" spans="1:9" s="71" customFormat="1" ht="19.5" hidden="1" customHeight="1" outlineLevel="1" x14ac:dyDescent="0.25">
      <c r="A8157" s="83">
        <v>10179</v>
      </c>
      <c r="B8157" s="45" t="s">
        <v>664</v>
      </c>
      <c r="C8157" s="82" t="s">
        <v>7572</v>
      </c>
      <c r="D8157" s="82"/>
      <c r="E8157" s="74">
        <v>2021</v>
      </c>
      <c r="F8157" s="74"/>
      <c r="G8157" s="45">
        <v>1</v>
      </c>
      <c r="H8157" s="45">
        <v>15</v>
      </c>
      <c r="I8157" s="45">
        <v>26</v>
      </c>
    </row>
    <row r="8158" spans="1:9" s="71" customFormat="1" ht="19.5" hidden="1" customHeight="1" outlineLevel="1" x14ac:dyDescent="0.25">
      <c r="A8158" s="83">
        <v>10184</v>
      </c>
      <c r="B8158" s="45" t="s">
        <v>664</v>
      </c>
      <c r="C8158" s="82" t="s">
        <v>7573</v>
      </c>
      <c r="D8158" s="82"/>
      <c r="E8158" s="74">
        <v>2021</v>
      </c>
      <c r="F8158" s="74"/>
      <c r="G8158" s="45">
        <v>1</v>
      </c>
      <c r="H8158" s="45">
        <v>15</v>
      </c>
      <c r="I8158" s="45">
        <v>27</v>
      </c>
    </row>
    <row r="8159" spans="1:9" s="71" customFormat="1" ht="19.5" hidden="1" customHeight="1" outlineLevel="1" x14ac:dyDescent="0.25">
      <c r="A8159" s="83">
        <v>10191</v>
      </c>
      <c r="B8159" s="45" t="s">
        <v>664</v>
      </c>
      <c r="C8159" s="82" t="s">
        <v>7574</v>
      </c>
      <c r="D8159" s="82"/>
      <c r="E8159" s="74">
        <v>2021</v>
      </c>
      <c r="F8159" s="74"/>
      <c r="G8159" s="45">
        <v>1</v>
      </c>
      <c r="H8159" s="45">
        <v>15</v>
      </c>
      <c r="I8159" s="45">
        <v>26</v>
      </c>
    </row>
    <row r="8160" spans="1:9" s="71" customFormat="1" ht="19.5" hidden="1" customHeight="1" outlineLevel="1" x14ac:dyDescent="0.25">
      <c r="A8160" s="83">
        <v>10200</v>
      </c>
      <c r="B8160" s="45" t="s">
        <v>664</v>
      </c>
      <c r="C8160" s="82" t="s">
        <v>7575</v>
      </c>
      <c r="D8160" s="82"/>
      <c r="E8160" s="74">
        <v>2021</v>
      </c>
      <c r="F8160" s="74"/>
      <c r="G8160" s="45">
        <v>1</v>
      </c>
      <c r="H8160" s="45">
        <v>15</v>
      </c>
      <c r="I8160" s="45">
        <v>26</v>
      </c>
    </row>
    <row r="8161" spans="1:9" s="71" customFormat="1" ht="19.5" hidden="1" customHeight="1" outlineLevel="1" x14ac:dyDescent="0.25">
      <c r="A8161" s="83">
        <v>10066</v>
      </c>
      <c r="B8161" s="45" t="s">
        <v>664</v>
      </c>
      <c r="C8161" s="82" t="s">
        <v>7576</v>
      </c>
      <c r="D8161" s="82"/>
      <c r="E8161" s="74">
        <v>2021</v>
      </c>
      <c r="F8161" s="74"/>
      <c r="G8161" s="45">
        <v>1</v>
      </c>
      <c r="H8161" s="45">
        <v>15</v>
      </c>
      <c r="I8161" s="45">
        <v>38</v>
      </c>
    </row>
    <row r="8162" spans="1:9" s="71" customFormat="1" ht="19.5" hidden="1" customHeight="1" outlineLevel="1" x14ac:dyDescent="0.25">
      <c r="A8162" s="83">
        <v>10078</v>
      </c>
      <c r="B8162" s="45" t="s">
        <v>664</v>
      </c>
      <c r="C8162" s="82" t="s">
        <v>7577</v>
      </c>
      <c r="D8162" s="82"/>
      <c r="E8162" s="74">
        <v>2021</v>
      </c>
      <c r="F8162" s="74"/>
      <c r="G8162" s="45">
        <v>1</v>
      </c>
      <c r="H8162" s="45">
        <v>15</v>
      </c>
      <c r="I8162" s="45">
        <v>34</v>
      </c>
    </row>
    <row r="8163" spans="1:9" s="71" customFormat="1" ht="19.5" hidden="1" customHeight="1" outlineLevel="1" x14ac:dyDescent="0.25">
      <c r="A8163" s="84">
        <v>2069</v>
      </c>
      <c r="B8163" s="45" t="s">
        <v>664</v>
      </c>
      <c r="C8163" s="82" t="s">
        <v>7578</v>
      </c>
      <c r="D8163" s="82"/>
      <c r="E8163" s="74">
        <v>2021</v>
      </c>
      <c r="F8163" s="74"/>
      <c r="G8163" s="45">
        <v>1</v>
      </c>
      <c r="H8163" s="45">
        <v>15</v>
      </c>
      <c r="I8163" s="45">
        <v>27</v>
      </c>
    </row>
    <row r="8164" spans="1:9" s="71" customFormat="1" ht="19.5" hidden="1" customHeight="1" outlineLevel="1" x14ac:dyDescent="0.25">
      <c r="A8164" s="83">
        <v>10128</v>
      </c>
      <c r="B8164" s="45" t="s">
        <v>664</v>
      </c>
      <c r="C8164" s="82" t="s">
        <v>7579</v>
      </c>
      <c r="D8164" s="82"/>
      <c r="E8164" s="74">
        <v>2021</v>
      </c>
      <c r="F8164" s="74"/>
      <c r="G8164" s="45">
        <v>1</v>
      </c>
      <c r="H8164" s="45">
        <v>15</v>
      </c>
      <c r="I8164" s="45">
        <v>26</v>
      </c>
    </row>
    <row r="8165" spans="1:9" s="71" customFormat="1" ht="19.5" hidden="1" customHeight="1" outlineLevel="1" x14ac:dyDescent="0.25">
      <c r="A8165" s="83">
        <v>10131</v>
      </c>
      <c r="B8165" s="45" t="s">
        <v>664</v>
      </c>
      <c r="C8165" s="82" t="s">
        <v>7580</v>
      </c>
      <c r="D8165" s="82"/>
      <c r="E8165" s="74">
        <v>2021</v>
      </c>
      <c r="F8165" s="74"/>
      <c r="G8165" s="45">
        <v>1</v>
      </c>
      <c r="H8165" s="45">
        <v>15</v>
      </c>
      <c r="I8165" s="45">
        <v>27</v>
      </c>
    </row>
    <row r="8166" spans="1:9" s="71" customFormat="1" ht="19.5" hidden="1" customHeight="1" outlineLevel="1" x14ac:dyDescent="0.25">
      <c r="A8166" s="83">
        <v>10136</v>
      </c>
      <c r="B8166" s="45" t="s">
        <v>664</v>
      </c>
      <c r="C8166" s="82" t="s">
        <v>7581</v>
      </c>
      <c r="D8166" s="82"/>
      <c r="E8166" s="74">
        <v>2021</v>
      </c>
      <c r="F8166" s="74"/>
      <c r="G8166" s="45">
        <v>1</v>
      </c>
      <c r="H8166" s="45">
        <v>15</v>
      </c>
      <c r="I8166" s="45">
        <v>26</v>
      </c>
    </row>
    <row r="8167" spans="1:9" s="71" customFormat="1" ht="19.5" hidden="1" customHeight="1" outlineLevel="1" x14ac:dyDescent="0.25">
      <c r="A8167" s="83">
        <v>10137</v>
      </c>
      <c r="B8167" s="45" t="s">
        <v>664</v>
      </c>
      <c r="C8167" s="82" t="s">
        <v>7582</v>
      </c>
      <c r="D8167" s="82"/>
      <c r="E8167" s="74">
        <v>2021</v>
      </c>
      <c r="F8167" s="74"/>
      <c r="G8167" s="45">
        <v>1</v>
      </c>
      <c r="H8167" s="45">
        <v>15</v>
      </c>
      <c r="I8167" s="45">
        <v>26</v>
      </c>
    </row>
    <row r="8168" spans="1:9" s="71" customFormat="1" ht="19.5" hidden="1" customHeight="1" outlineLevel="1" x14ac:dyDescent="0.25">
      <c r="A8168" s="83">
        <v>10144</v>
      </c>
      <c r="B8168" s="45" t="s">
        <v>664</v>
      </c>
      <c r="C8168" s="82" t="s">
        <v>7583</v>
      </c>
      <c r="D8168" s="82"/>
      <c r="E8168" s="74">
        <v>2021</v>
      </c>
      <c r="F8168" s="74"/>
      <c r="G8168" s="45">
        <v>1</v>
      </c>
      <c r="H8168" s="45">
        <v>30</v>
      </c>
      <c r="I8168" s="45">
        <v>26</v>
      </c>
    </row>
    <row r="8169" spans="1:9" s="71" customFormat="1" ht="19.5" hidden="1" customHeight="1" outlineLevel="1" x14ac:dyDescent="0.25">
      <c r="A8169" s="83">
        <v>10150</v>
      </c>
      <c r="B8169" s="45" t="s">
        <v>664</v>
      </c>
      <c r="C8169" s="82" t="s">
        <v>7584</v>
      </c>
      <c r="D8169" s="82"/>
      <c r="E8169" s="74">
        <v>2021</v>
      </c>
      <c r="F8169" s="74"/>
      <c r="G8169" s="45">
        <v>1</v>
      </c>
      <c r="H8169" s="45">
        <v>15</v>
      </c>
      <c r="I8169" s="45">
        <v>26</v>
      </c>
    </row>
    <row r="8170" spans="1:9" s="71" customFormat="1" ht="19.5" hidden="1" customHeight="1" outlineLevel="1" x14ac:dyDescent="0.25">
      <c r="A8170" s="83">
        <v>10151</v>
      </c>
      <c r="B8170" s="45" t="s">
        <v>664</v>
      </c>
      <c r="C8170" s="82" t="s">
        <v>7585</v>
      </c>
      <c r="D8170" s="82"/>
      <c r="E8170" s="74">
        <v>2021</v>
      </c>
      <c r="F8170" s="74"/>
      <c r="G8170" s="45">
        <v>1</v>
      </c>
      <c r="H8170" s="45">
        <v>5</v>
      </c>
      <c r="I8170" s="45">
        <v>25</v>
      </c>
    </row>
    <row r="8171" spans="1:9" s="71" customFormat="1" ht="19.5" hidden="1" customHeight="1" outlineLevel="1" x14ac:dyDescent="0.25">
      <c r="A8171" s="83">
        <v>10162</v>
      </c>
      <c r="B8171" s="45" t="s">
        <v>664</v>
      </c>
      <c r="C8171" s="82" t="s">
        <v>7586</v>
      </c>
      <c r="D8171" s="82"/>
      <c r="E8171" s="74">
        <v>2021</v>
      </c>
      <c r="F8171" s="74"/>
      <c r="G8171" s="45">
        <v>1</v>
      </c>
      <c r="H8171" s="45">
        <v>15</v>
      </c>
      <c r="I8171" s="45">
        <v>27</v>
      </c>
    </row>
    <row r="8172" spans="1:9" s="71" customFormat="1" ht="19.5" hidden="1" customHeight="1" outlineLevel="1" x14ac:dyDescent="0.25">
      <c r="A8172" s="83">
        <v>10168</v>
      </c>
      <c r="B8172" s="45" t="s">
        <v>664</v>
      </c>
      <c r="C8172" s="82" t="s">
        <v>7587</v>
      </c>
      <c r="D8172" s="82"/>
      <c r="E8172" s="74">
        <v>2021</v>
      </c>
      <c r="F8172" s="74"/>
      <c r="G8172" s="45">
        <v>1</v>
      </c>
      <c r="H8172" s="45">
        <v>15</v>
      </c>
      <c r="I8172" s="45">
        <v>26</v>
      </c>
    </row>
    <row r="8173" spans="1:9" s="71" customFormat="1" ht="19.5" hidden="1" customHeight="1" outlineLevel="1" x14ac:dyDescent="0.25">
      <c r="A8173" s="83">
        <v>10169</v>
      </c>
      <c r="B8173" s="45" t="s">
        <v>664</v>
      </c>
      <c r="C8173" s="82" t="s">
        <v>7588</v>
      </c>
      <c r="D8173" s="82"/>
      <c r="E8173" s="74">
        <v>2021</v>
      </c>
      <c r="F8173" s="74"/>
      <c r="G8173" s="45">
        <v>1</v>
      </c>
      <c r="H8173" s="45">
        <v>15</v>
      </c>
      <c r="I8173" s="45">
        <v>26</v>
      </c>
    </row>
    <row r="8174" spans="1:9" s="71" customFormat="1" ht="19.5" hidden="1" customHeight="1" outlineLevel="1" x14ac:dyDescent="0.25">
      <c r="A8174" s="83">
        <v>10170</v>
      </c>
      <c r="B8174" s="45" t="s">
        <v>664</v>
      </c>
      <c r="C8174" s="82" t="s">
        <v>7589</v>
      </c>
      <c r="D8174" s="82"/>
      <c r="E8174" s="74">
        <v>2021</v>
      </c>
      <c r="F8174" s="74"/>
      <c r="G8174" s="45">
        <v>1</v>
      </c>
      <c r="H8174" s="45">
        <v>15</v>
      </c>
      <c r="I8174" s="45">
        <v>26</v>
      </c>
    </row>
    <row r="8175" spans="1:9" s="71" customFormat="1" ht="19.5" hidden="1" customHeight="1" outlineLevel="1" x14ac:dyDescent="0.25">
      <c r="A8175" s="83">
        <v>10171</v>
      </c>
      <c r="B8175" s="45" t="s">
        <v>664</v>
      </c>
      <c r="C8175" s="82" t="s">
        <v>7590</v>
      </c>
      <c r="D8175" s="82"/>
      <c r="E8175" s="74">
        <v>2021</v>
      </c>
      <c r="F8175" s="74"/>
      <c r="G8175" s="45">
        <v>1</v>
      </c>
      <c r="H8175" s="45">
        <v>15</v>
      </c>
      <c r="I8175" s="45">
        <v>27</v>
      </c>
    </row>
    <row r="8176" spans="1:9" s="71" customFormat="1" ht="19.5" hidden="1" customHeight="1" outlineLevel="1" x14ac:dyDescent="0.25">
      <c r="A8176" s="83">
        <v>10178</v>
      </c>
      <c r="B8176" s="45" t="s">
        <v>664</v>
      </c>
      <c r="C8176" s="82" t="s">
        <v>7591</v>
      </c>
      <c r="D8176" s="82"/>
      <c r="E8176" s="74">
        <v>2021</v>
      </c>
      <c r="F8176" s="74"/>
      <c r="G8176" s="45">
        <v>1</v>
      </c>
      <c r="H8176" s="45">
        <v>15</v>
      </c>
      <c r="I8176" s="45">
        <v>27</v>
      </c>
    </row>
    <row r="8177" spans="1:9" s="71" customFormat="1" ht="19.5" hidden="1" customHeight="1" outlineLevel="1" x14ac:dyDescent="0.25">
      <c r="A8177" s="83">
        <v>10188</v>
      </c>
      <c r="B8177" s="45" t="s">
        <v>664</v>
      </c>
      <c r="C8177" s="82" t="s">
        <v>7592</v>
      </c>
      <c r="D8177" s="82"/>
      <c r="E8177" s="74">
        <v>2021</v>
      </c>
      <c r="F8177" s="74"/>
      <c r="G8177" s="45">
        <v>1</v>
      </c>
      <c r="H8177" s="45">
        <v>15</v>
      </c>
      <c r="I8177" s="45">
        <v>26</v>
      </c>
    </row>
    <row r="8178" spans="1:9" s="71" customFormat="1" ht="19.5" hidden="1" customHeight="1" outlineLevel="1" x14ac:dyDescent="0.25">
      <c r="A8178" s="83">
        <v>10189</v>
      </c>
      <c r="B8178" s="45" t="s">
        <v>664</v>
      </c>
      <c r="C8178" s="82" t="s">
        <v>7593</v>
      </c>
      <c r="D8178" s="82"/>
      <c r="E8178" s="74">
        <v>2021</v>
      </c>
      <c r="F8178" s="74"/>
      <c r="G8178" s="45">
        <v>1</v>
      </c>
      <c r="H8178" s="45">
        <v>15</v>
      </c>
      <c r="I8178" s="45">
        <v>26</v>
      </c>
    </row>
    <row r="8179" spans="1:9" s="71" customFormat="1" ht="19.5" hidden="1" customHeight="1" outlineLevel="1" x14ac:dyDescent="0.25">
      <c r="A8179" s="83">
        <v>10190</v>
      </c>
      <c r="B8179" s="45" t="s">
        <v>664</v>
      </c>
      <c r="C8179" s="82" t="s">
        <v>7594</v>
      </c>
      <c r="D8179" s="82"/>
      <c r="E8179" s="74">
        <v>2021</v>
      </c>
      <c r="F8179" s="74"/>
      <c r="G8179" s="45">
        <v>1</v>
      </c>
      <c r="H8179" s="45">
        <v>15</v>
      </c>
      <c r="I8179" s="45">
        <v>26</v>
      </c>
    </row>
    <row r="8180" spans="1:9" s="71" customFormat="1" ht="19.5" hidden="1" customHeight="1" outlineLevel="1" x14ac:dyDescent="0.25">
      <c r="A8180" s="83">
        <v>10193</v>
      </c>
      <c r="B8180" s="45" t="s">
        <v>664</v>
      </c>
      <c r="C8180" s="82" t="s">
        <v>7595</v>
      </c>
      <c r="D8180" s="82"/>
      <c r="E8180" s="74">
        <v>2021</v>
      </c>
      <c r="F8180" s="74"/>
      <c r="G8180" s="45">
        <v>1</v>
      </c>
      <c r="H8180" s="45">
        <v>15</v>
      </c>
      <c r="I8180" s="45">
        <v>26</v>
      </c>
    </row>
    <row r="8181" spans="1:9" s="71" customFormat="1" ht="19.5" hidden="1" customHeight="1" outlineLevel="1" x14ac:dyDescent="0.25">
      <c r="A8181" s="83">
        <v>10325</v>
      </c>
      <c r="B8181" s="45" t="s">
        <v>664</v>
      </c>
      <c r="C8181" s="82" t="s">
        <v>7596</v>
      </c>
      <c r="D8181" s="82"/>
      <c r="E8181" s="74">
        <v>2021</v>
      </c>
      <c r="F8181" s="74"/>
      <c r="G8181" s="45">
        <v>2</v>
      </c>
      <c r="H8181" s="45">
        <v>30</v>
      </c>
      <c r="I8181" s="45">
        <v>48</v>
      </c>
    </row>
    <row r="8182" spans="1:9" s="71" customFormat="1" ht="19.5" hidden="1" customHeight="1" outlineLevel="1" x14ac:dyDescent="0.25">
      <c r="A8182" s="83">
        <v>10326</v>
      </c>
      <c r="B8182" s="45" t="s">
        <v>664</v>
      </c>
      <c r="C8182" s="82" t="s">
        <v>7597</v>
      </c>
      <c r="D8182" s="82"/>
      <c r="E8182" s="74">
        <v>2021</v>
      </c>
      <c r="F8182" s="74"/>
      <c r="G8182" s="45">
        <v>2</v>
      </c>
      <c r="H8182" s="45">
        <v>30</v>
      </c>
      <c r="I8182" s="45">
        <v>50</v>
      </c>
    </row>
    <row r="8183" spans="1:9" s="71" customFormat="1" ht="19.5" hidden="1" customHeight="1" outlineLevel="1" x14ac:dyDescent="0.25">
      <c r="A8183" s="83">
        <v>10203</v>
      </c>
      <c r="B8183" s="45" t="s">
        <v>664</v>
      </c>
      <c r="C8183" s="82" t="s">
        <v>7598</v>
      </c>
      <c r="D8183" s="82"/>
      <c r="E8183" s="74">
        <v>2021</v>
      </c>
      <c r="F8183" s="74"/>
      <c r="G8183" s="45">
        <v>3</v>
      </c>
      <c r="H8183" s="45">
        <v>45</v>
      </c>
      <c r="I8183" s="45">
        <v>75</v>
      </c>
    </row>
    <row r="8184" spans="1:9" s="71" customFormat="1" ht="19.5" hidden="1" customHeight="1" outlineLevel="1" x14ac:dyDescent="0.25">
      <c r="A8184" s="83">
        <v>10329</v>
      </c>
      <c r="B8184" s="45" t="s">
        <v>664</v>
      </c>
      <c r="C8184" s="82" t="s">
        <v>7599</v>
      </c>
      <c r="D8184" s="82"/>
      <c r="E8184" s="74">
        <v>2021</v>
      </c>
      <c r="F8184" s="74"/>
      <c r="G8184" s="45">
        <v>2</v>
      </c>
      <c r="H8184" s="45">
        <v>30</v>
      </c>
      <c r="I8184" s="45">
        <v>50</v>
      </c>
    </row>
    <row r="8185" spans="1:9" s="71" customFormat="1" ht="19.5" hidden="1" customHeight="1" outlineLevel="1" x14ac:dyDescent="0.25">
      <c r="A8185" s="83">
        <v>10330</v>
      </c>
      <c r="B8185" s="45" t="s">
        <v>664</v>
      </c>
      <c r="C8185" s="82" t="s">
        <v>7600</v>
      </c>
      <c r="D8185" s="82"/>
      <c r="E8185" s="74">
        <v>2021</v>
      </c>
      <c r="F8185" s="74"/>
      <c r="G8185" s="45">
        <v>6</v>
      </c>
      <c r="H8185" s="45">
        <v>90</v>
      </c>
      <c r="I8185" s="45">
        <v>138</v>
      </c>
    </row>
    <row r="8186" spans="1:9" s="71" customFormat="1" ht="19.5" hidden="1" customHeight="1" outlineLevel="1" x14ac:dyDescent="0.25">
      <c r="A8186" s="83">
        <v>10208</v>
      </c>
      <c r="B8186" s="45" t="s">
        <v>664</v>
      </c>
      <c r="C8186" s="82" t="s">
        <v>7601</v>
      </c>
      <c r="D8186" s="82"/>
      <c r="E8186" s="74">
        <v>2021</v>
      </c>
      <c r="F8186" s="74"/>
      <c r="G8186" s="45">
        <v>2</v>
      </c>
      <c r="H8186" s="45">
        <v>30</v>
      </c>
      <c r="I8186" s="45">
        <v>51</v>
      </c>
    </row>
    <row r="8187" spans="1:9" s="71" customFormat="1" ht="19.5" hidden="1" customHeight="1" outlineLevel="1" x14ac:dyDescent="0.25">
      <c r="A8187" s="83">
        <v>10333</v>
      </c>
      <c r="B8187" s="45" t="s">
        <v>664</v>
      </c>
      <c r="C8187" s="82" t="s">
        <v>7602</v>
      </c>
      <c r="D8187" s="82"/>
      <c r="E8187" s="74">
        <v>2021</v>
      </c>
      <c r="F8187" s="74"/>
      <c r="G8187" s="45">
        <v>1</v>
      </c>
      <c r="H8187" s="45">
        <v>30</v>
      </c>
      <c r="I8187" s="45">
        <v>25</v>
      </c>
    </row>
    <row r="8188" spans="1:9" s="71" customFormat="1" ht="19.5" hidden="1" customHeight="1" outlineLevel="1" x14ac:dyDescent="0.25">
      <c r="A8188" s="83">
        <v>10160</v>
      </c>
      <c r="B8188" s="45" t="s">
        <v>664</v>
      </c>
      <c r="C8188" s="82" t="s">
        <v>7603</v>
      </c>
      <c r="D8188" s="82"/>
      <c r="E8188" s="74">
        <v>2021</v>
      </c>
      <c r="F8188" s="74"/>
      <c r="G8188" s="45">
        <v>1</v>
      </c>
      <c r="H8188" s="45">
        <v>15</v>
      </c>
      <c r="I8188" s="45">
        <v>26</v>
      </c>
    </row>
    <row r="8189" spans="1:9" s="71" customFormat="1" ht="19.5" hidden="1" customHeight="1" outlineLevel="1" x14ac:dyDescent="0.25">
      <c r="A8189" s="83">
        <v>10331</v>
      </c>
      <c r="B8189" s="45" t="s">
        <v>664</v>
      </c>
      <c r="C8189" s="82" t="s">
        <v>7604</v>
      </c>
      <c r="D8189" s="82"/>
      <c r="E8189" s="74">
        <v>2021</v>
      </c>
      <c r="F8189" s="74"/>
      <c r="G8189" s="45">
        <v>4</v>
      </c>
      <c r="H8189" s="45">
        <v>60</v>
      </c>
      <c r="I8189" s="45">
        <v>101</v>
      </c>
    </row>
    <row r="8190" spans="1:9" s="71" customFormat="1" ht="19.5" hidden="1" customHeight="1" outlineLevel="1" x14ac:dyDescent="0.25">
      <c r="A8190" s="83">
        <v>10207</v>
      </c>
      <c r="B8190" s="45" t="s">
        <v>664</v>
      </c>
      <c r="C8190" s="82" t="s">
        <v>7605</v>
      </c>
      <c r="D8190" s="82"/>
      <c r="E8190" s="74">
        <v>2021</v>
      </c>
      <c r="F8190" s="74"/>
      <c r="G8190" s="45">
        <v>3</v>
      </c>
      <c r="H8190" s="45">
        <v>45</v>
      </c>
      <c r="I8190" s="45">
        <v>76</v>
      </c>
    </row>
    <row r="8191" spans="1:9" s="71" customFormat="1" ht="19.5" hidden="1" customHeight="1" outlineLevel="1" x14ac:dyDescent="0.25">
      <c r="A8191" s="83">
        <v>10204</v>
      </c>
      <c r="B8191" s="45" t="s">
        <v>664</v>
      </c>
      <c r="C8191" s="82" t="s">
        <v>7606</v>
      </c>
      <c r="D8191" s="82"/>
      <c r="E8191" s="74">
        <v>2021</v>
      </c>
      <c r="F8191" s="74"/>
      <c r="G8191" s="45">
        <v>2</v>
      </c>
      <c r="H8191" s="45">
        <v>30</v>
      </c>
      <c r="I8191" s="45">
        <v>50</v>
      </c>
    </row>
    <row r="8192" spans="1:9" s="71" customFormat="1" ht="19.5" hidden="1" customHeight="1" outlineLevel="1" x14ac:dyDescent="0.25">
      <c r="A8192" s="83">
        <v>10227</v>
      </c>
      <c r="B8192" s="45" t="s">
        <v>664</v>
      </c>
      <c r="C8192" s="82" t="s">
        <v>7607</v>
      </c>
      <c r="D8192" s="82"/>
      <c r="E8192" s="74">
        <v>2021</v>
      </c>
      <c r="F8192" s="74"/>
      <c r="G8192" s="45">
        <v>2</v>
      </c>
      <c r="H8192" s="45">
        <v>30</v>
      </c>
      <c r="I8192" s="45">
        <v>51</v>
      </c>
    </row>
    <row r="8193" spans="1:9" s="71" customFormat="1" ht="19.5" hidden="1" customHeight="1" outlineLevel="1" x14ac:dyDescent="0.25">
      <c r="A8193" s="83">
        <v>10205</v>
      </c>
      <c r="B8193" s="45" t="s">
        <v>664</v>
      </c>
      <c r="C8193" s="82" t="s">
        <v>7608</v>
      </c>
      <c r="D8193" s="82"/>
      <c r="E8193" s="74">
        <v>2021</v>
      </c>
      <c r="F8193" s="74"/>
      <c r="G8193" s="45">
        <v>3</v>
      </c>
      <c r="H8193" s="45">
        <v>30</v>
      </c>
      <c r="I8193" s="45">
        <v>71</v>
      </c>
    </row>
    <row r="8194" spans="1:9" s="71" customFormat="1" ht="19.5" hidden="1" customHeight="1" outlineLevel="1" x14ac:dyDescent="0.25">
      <c r="A8194" s="83">
        <v>10206</v>
      </c>
      <c r="B8194" s="45" t="s">
        <v>664</v>
      </c>
      <c r="C8194" s="82" t="s">
        <v>7609</v>
      </c>
      <c r="D8194" s="82"/>
      <c r="E8194" s="74">
        <v>2021</v>
      </c>
      <c r="F8194" s="74"/>
      <c r="G8194" s="45">
        <v>3</v>
      </c>
      <c r="H8194" s="45">
        <v>15</v>
      </c>
      <c r="I8194" s="45">
        <v>70</v>
      </c>
    </row>
    <row r="8195" spans="1:9" s="71" customFormat="1" ht="19.5" hidden="1" customHeight="1" outlineLevel="1" x14ac:dyDescent="0.25">
      <c r="A8195" s="83">
        <v>10336</v>
      </c>
      <c r="B8195" s="45" t="s">
        <v>664</v>
      </c>
      <c r="C8195" s="82" t="s">
        <v>7610</v>
      </c>
      <c r="D8195" s="82"/>
      <c r="E8195" s="74">
        <v>2021</v>
      </c>
      <c r="F8195" s="74"/>
      <c r="G8195" s="45">
        <v>3</v>
      </c>
      <c r="H8195" s="45">
        <v>45</v>
      </c>
      <c r="I8195" s="45">
        <v>76</v>
      </c>
    </row>
    <row r="8196" spans="1:9" s="71" customFormat="1" ht="19.5" hidden="1" customHeight="1" outlineLevel="1" x14ac:dyDescent="0.25">
      <c r="A8196" s="83">
        <v>10332</v>
      </c>
      <c r="B8196" s="45" t="s">
        <v>664</v>
      </c>
      <c r="C8196" s="82" t="s">
        <v>7611</v>
      </c>
      <c r="D8196" s="82"/>
      <c r="E8196" s="74">
        <v>2021</v>
      </c>
      <c r="F8196" s="74"/>
      <c r="G8196" s="45">
        <v>2</v>
      </c>
      <c r="H8196" s="45">
        <v>30</v>
      </c>
      <c r="I8196" s="45">
        <v>57</v>
      </c>
    </row>
    <row r="8197" spans="1:9" s="71" customFormat="1" ht="19.5" hidden="1" customHeight="1" outlineLevel="1" x14ac:dyDescent="0.25">
      <c r="A8197" s="83">
        <v>10335</v>
      </c>
      <c r="B8197" s="45" t="s">
        <v>664</v>
      </c>
      <c r="C8197" s="82" t="s">
        <v>7612</v>
      </c>
      <c r="D8197" s="82"/>
      <c r="E8197" s="74">
        <v>2021</v>
      </c>
      <c r="F8197" s="74"/>
      <c r="G8197" s="45">
        <v>2</v>
      </c>
      <c r="H8197" s="45">
        <v>20</v>
      </c>
      <c r="I8197" s="45">
        <v>51</v>
      </c>
    </row>
    <row r="8198" spans="1:9" s="71" customFormat="1" ht="19.5" hidden="1" customHeight="1" outlineLevel="1" x14ac:dyDescent="0.25">
      <c r="A8198" s="83">
        <v>9318</v>
      </c>
      <c r="B8198" s="45" t="s">
        <v>664</v>
      </c>
      <c r="C8198" s="82" t="s">
        <v>7613</v>
      </c>
      <c r="D8198" s="82"/>
      <c r="E8198" s="74">
        <v>2021</v>
      </c>
      <c r="F8198" s="74"/>
      <c r="G8198" s="45">
        <v>1</v>
      </c>
      <c r="H8198" s="45">
        <v>15</v>
      </c>
      <c r="I8198" s="45">
        <v>28</v>
      </c>
    </row>
    <row r="8199" spans="1:9" s="71" customFormat="1" ht="19.5" hidden="1" customHeight="1" outlineLevel="1" x14ac:dyDescent="0.25">
      <c r="A8199" s="83">
        <v>10059</v>
      </c>
      <c r="B8199" s="45" t="s">
        <v>664</v>
      </c>
      <c r="C8199" s="82" t="s">
        <v>7614</v>
      </c>
      <c r="D8199" s="82"/>
      <c r="E8199" s="74">
        <v>2021</v>
      </c>
      <c r="F8199" s="74"/>
      <c r="G8199" s="45">
        <v>1</v>
      </c>
      <c r="H8199" s="45">
        <v>15</v>
      </c>
      <c r="I8199" s="45">
        <v>38</v>
      </c>
    </row>
    <row r="8200" spans="1:9" s="71" customFormat="1" ht="19.5" hidden="1" customHeight="1" outlineLevel="1" x14ac:dyDescent="0.25">
      <c r="A8200" s="83">
        <v>10093</v>
      </c>
      <c r="B8200" s="45" t="s">
        <v>664</v>
      </c>
      <c r="C8200" s="82" t="s">
        <v>7615</v>
      </c>
      <c r="D8200" s="82"/>
      <c r="E8200" s="74">
        <v>2021</v>
      </c>
      <c r="F8200" s="74"/>
      <c r="G8200" s="45">
        <v>1</v>
      </c>
      <c r="H8200" s="45">
        <v>15</v>
      </c>
      <c r="I8200" s="45">
        <v>32</v>
      </c>
    </row>
    <row r="8201" spans="1:9" s="71" customFormat="1" ht="19.5" hidden="1" customHeight="1" outlineLevel="1" x14ac:dyDescent="0.25">
      <c r="A8201" s="83">
        <v>10092</v>
      </c>
      <c r="B8201" s="45" t="s">
        <v>664</v>
      </c>
      <c r="C8201" s="82" t="s">
        <v>7616</v>
      </c>
      <c r="D8201" s="82"/>
      <c r="E8201" s="74">
        <v>2021</v>
      </c>
      <c r="F8201" s="74"/>
      <c r="G8201" s="45">
        <v>1</v>
      </c>
      <c r="H8201" s="45">
        <v>15</v>
      </c>
      <c r="I8201" s="45">
        <v>34</v>
      </c>
    </row>
    <row r="8202" spans="1:9" s="71" customFormat="1" ht="19.5" hidden="1" customHeight="1" outlineLevel="1" x14ac:dyDescent="0.25">
      <c r="A8202" s="83">
        <v>10081</v>
      </c>
      <c r="B8202" s="45" t="s">
        <v>664</v>
      </c>
      <c r="C8202" s="82" t="s">
        <v>7617</v>
      </c>
      <c r="D8202" s="82"/>
      <c r="E8202" s="74">
        <v>2021</v>
      </c>
      <c r="F8202" s="74"/>
      <c r="G8202" s="45">
        <v>1</v>
      </c>
      <c r="H8202" s="45">
        <v>15</v>
      </c>
      <c r="I8202" s="45">
        <v>34</v>
      </c>
    </row>
    <row r="8203" spans="1:9" s="71" customFormat="1" ht="19.5" hidden="1" customHeight="1" outlineLevel="1" x14ac:dyDescent="0.25">
      <c r="A8203" s="83">
        <v>10088</v>
      </c>
      <c r="B8203" s="45" t="s">
        <v>664</v>
      </c>
      <c r="C8203" s="82" t="s">
        <v>7618</v>
      </c>
      <c r="D8203" s="82"/>
      <c r="E8203" s="74">
        <v>2021</v>
      </c>
      <c r="F8203" s="74"/>
      <c r="G8203" s="45">
        <v>1</v>
      </c>
      <c r="H8203" s="45">
        <v>15</v>
      </c>
      <c r="I8203" s="45">
        <v>32</v>
      </c>
    </row>
    <row r="8204" spans="1:9" s="71" customFormat="1" ht="19.5" hidden="1" customHeight="1" outlineLevel="1" x14ac:dyDescent="0.25">
      <c r="A8204" s="83">
        <v>10089</v>
      </c>
      <c r="B8204" s="45" t="s">
        <v>664</v>
      </c>
      <c r="C8204" s="82" t="s">
        <v>7619</v>
      </c>
      <c r="D8204" s="82"/>
      <c r="E8204" s="74">
        <v>2021</v>
      </c>
      <c r="F8204" s="74"/>
      <c r="G8204" s="45">
        <v>1</v>
      </c>
      <c r="H8204" s="45">
        <v>15</v>
      </c>
      <c r="I8204" s="45">
        <v>31</v>
      </c>
    </row>
    <row r="8205" spans="1:9" s="71" customFormat="1" ht="19.5" hidden="1" customHeight="1" outlineLevel="1" x14ac:dyDescent="0.25">
      <c r="A8205" s="83">
        <v>9378</v>
      </c>
      <c r="B8205" s="45" t="s">
        <v>664</v>
      </c>
      <c r="C8205" s="82" t="s">
        <v>7620</v>
      </c>
      <c r="D8205" s="82"/>
      <c r="E8205" s="74">
        <v>2021</v>
      </c>
      <c r="F8205" s="74"/>
      <c r="G8205" s="45">
        <v>1</v>
      </c>
      <c r="H8205" s="45">
        <v>8</v>
      </c>
      <c r="I8205" s="45">
        <v>42</v>
      </c>
    </row>
    <row r="8206" spans="1:9" s="71" customFormat="1" ht="19.5" hidden="1" customHeight="1" outlineLevel="1" x14ac:dyDescent="0.25">
      <c r="A8206" s="83">
        <v>9290</v>
      </c>
      <c r="B8206" s="45" t="s">
        <v>664</v>
      </c>
      <c r="C8206" s="82" t="s">
        <v>7621</v>
      </c>
      <c r="D8206" s="82"/>
      <c r="E8206" s="74">
        <v>2021</v>
      </c>
      <c r="F8206" s="74"/>
      <c r="G8206" s="45">
        <v>1</v>
      </c>
      <c r="H8206" s="45">
        <v>30</v>
      </c>
      <c r="I8206" s="45">
        <v>22</v>
      </c>
    </row>
    <row r="8207" spans="1:9" s="71" customFormat="1" ht="19.5" hidden="1" customHeight="1" outlineLevel="1" x14ac:dyDescent="0.25">
      <c r="A8207" s="74">
        <v>10900</v>
      </c>
      <c r="B8207" s="45" t="s">
        <v>664</v>
      </c>
      <c r="C8207" s="82" t="s">
        <v>7622</v>
      </c>
      <c r="D8207" s="82"/>
      <c r="E8207" s="74">
        <v>2021</v>
      </c>
      <c r="F8207" s="74"/>
      <c r="G8207" s="45">
        <v>1</v>
      </c>
      <c r="H8207" s="45">
        <v>15</v>
      </c>
      <c r="I8207" s="45">
        <v>26</v>
      </c>
    </row>
    <row r="8208" spans="1:9" s="71" customFormat="1" ht="19.5" hidden="1" customHeight="1" outlineLevel="1" x14ac:dyDescent="0.25">
      <c r="A8208" s="83">
        <v>9480</v>
      </c>
      <c r="B8208" s="45" t="s">
        <v>664</v>
      </c>
      <c r="C8208" s="82" t="s">
        <v>7623</v>
      </c>
      <c r="D8208" s="82"/>
      <c r="E8208" s="74">
        <v>2021</v>
      </c>
      <c r="F8208" s="74"/>
      <c r="G8208" s="45">
        <v>1</v>
      </c>
      <c r="H8208" s="45">
        <v>15</v>
      </c>
      <c r="I8208" s="45">
        <v>28</v>
      </c>
    </row>
    <row r="8209" spans="1:9" s="71" customFormat="1" ht="19.5" hidden="1" customHeight="1" outlineLevel="1" x14ac:dyDescent="0.25">
      <c r="A8209" s="83">
        <v>9409</v>
      </c>
      <c r="B8209" s="45" t="s">
        <v>664</v>
      </c>
      <c r="C8209" s="82" t="s">
        <v>7624</v>
      </c>
      <c r="D8209" s="82"/>
      <c r="E8209" s="74">
        <v>2021</v>
      </c>
      <c r="F8209" s="74"/>
      <c r="G8209" s="45">
        <v>1</v>
      </c>
      <c r="H8209" s="45">
        <v>15</v>
      </c>
      <c r="I8209" s="45">
        <v>34</v>
      </c>
    </row>
    <row r="8210" spans="1:9" s="71" customFormat="1" ht="19.5" hidden="1" customHeight="1" outlineLevel="1" x14ac:dyDescent="0.25">
      <c r="A8210" s="83">
        <v>10058</v>
      </c>
      <c r="B8210" s="45" t="s">
        <v>664</v>
      </c>
      <c r="C8210" s="82" t="s">
        <v>7625</v>
      </c>
      <c r="D8210" s="82"/>
      <c r="E8210" s="74">
        <v>2021</v>
      </c>
      <c r="F8210" s="74"/>
      <c r="G8210" s="45">
        <v>1</v>
      </c>
      <c r="H8210" s="45">
        <v>40</v>
      </c>
      <c r="I8210" s="45">
        <v>27</v>
      </c>
    </row>
    <row r="8211" spans="1:9" s="71" customFormat="1" ht="19.5" hidden="1" customHeight="1" outlineLevel="1" x14ac:dyDescent="0.25">
      <c r="A8211" s="83">
        <v>10060</v>
      </c>
      <c r="B8211" s="45" t="s">
        <v>664</v>
      </c>
      <c r="C8211" s="82" t="s">
        <v>7626</v>
      </c>
      <c r="D8211" s="82"/>
      <c r="E8211" s="74">
        <v>2021</v>
      </c>
      <c r="F8211" s="74"/>
      <c r="G8211" s="45">
        <v>1</v>
      </c>
      <c r="H8211" s="45">
        <v>15</v>
      </c>
      <c r="I8211" s="45">
        <v>27</v>
      </c>
    </row>
    <row r="8212" spans="1:9" s="71" customFormat="1" ht="19.5" hidden="1" customHeight="1" outlineLevel="1" x14ac:dyDescent="0.25">
      <c r="A8212" s="83">
        <v>10074</v>
      </c>
      <c r="B8212" s="45" t="s">
        <v>664</v>
      </c>
      <c r="C8212" s="82" t="s">
        <v>7627</v>
      </c>
      <c r="D8212" s="82"/>
      <c r="E8212" s="74">
        <v>2021</v>
      </c>
      <c r="F8212" s="74"/>
      <c r="G8212" s="45">
        <v>1</v>
      </c>
      <c r="H8212" s="45">
        <v>15</v>
      </c>
      <c r="I8212" s="45">
        <v>26</v>
      </c>
    </row>
    <row r="8213" spans="1:9" s="71" customFormat="1" ht="19.5" hidden="1" customHeight="1" outlineLevel="1" x14ac:dyDescent="0.25">
      <c r="A8213" s="83">
        <v>10079</v>
      </c>
      <c r="B8213" s="45" t="s">
        <v>664</v>
      </c>
      <c r="C8213" s="82" t="s">
        <v>7628</v>
      </c>
      <c r="D8213" s="82"/>
      <c r="E8213" s="74">
        <v>2021</v>
      </c>
      <c r="F8213" s="74"/>
      <c r="G8213" s="45">
        <v>1</v>
      </c>
      <c r="H8213" s="45">
        <v>15</v>
      </c>
      <c r="I8213" s="45">
        <v>23</v>
      </c>
    </row>
    <row r="8214" spans="1:9" s="71" customFormat="1" ht="19.5" hidden="1" customHeight="1" outlineLevel="1" x14ac:dyDescent="0.25">
      <c r="A8214" s="83">
        <v>9656</v>
      </c>
      <c r="B8214" s="45" t="s">
        <v>664</v>
      </c>
      <c r="C8214" s="82" t="s">
        <v>7629</v>
      </c>
      <c r="D8214" s="82"/>
      <c r="E8214" s="74">
        <v>2021</v>
      </c>
      <c r="F8214" s="74"/>
      <c r="G8214" s="45">
        <v>1</v>
      </c>
      <c r="H8214" s="45">
        <v>140</v>
      </c>
      <c r="I8214" s="45">
        <v>24</v>
      </c>
    </row>
    <row r="8215" spans="1:9" s="71" customFormat="1" ht="19.5" hidden="1" customHeight="1" outlineLevel="1" x14ac:dyDescent="0.25">
      <c r="A8215" s="84">
        <v>358</v>
      </c>
      <c r="B8215" s="45" t="s">
        <v>664</v>
      </c>
      <c r="C8215" s="82" t="s">
        <v>7630</v>
      </c>
      <c r="D8215" s="82"/>
      <c r="E8215" s="74">
        <v>2021</v>
      </c>
      <c r="F8215" s="74"/>
      <c r="G8215" s="45">
        <v>1</v>
      </c>
      <c r="H8215" s="45">
        <v>15</v>
      </c>
      <c r="I8215" s="45">
        <v>29</v>
      </c>
    </row>
    <row r="8216" spans="1:9" s="71" customFormat="1" ht="19.5" hidden="1" customHeight="1" outlineLevel="1" x14ac:dyDescent="0.25">
      <c r="A8216" s="83">
        <v>9438</v>
      </c>
      <c r="B8216" s="45" t="s">
        <v>664</v>
      </c>
      <c r="C8216" s="82" t="s">
        <v>7631</v>
      </c>
      <c r="D8216" s="82"/>
      <c r="E8216" s="74">
        <v>2021</v>
      </c>
      <c r="F8216" s="74"/>
      <c r="G8216" s="45">
        <v>1</v>
      </c>
      <c r="H8216" s="45">
        <v>15</v>
      </c>
      <c r="I8216" s="45">
        <v>25</v>
      </c>
    </row>
    <row r="8217" spans="1:9" s="71" customFormat="1" ht="19.5" hidden="1" customHeight="1" outlineLevel="1" x14ac:dyDescent="0.25">
      <c r="A8217" s="83">
        <v>10106</v>
      </c>
      <c r="B8217" s="45" t="s">
        <v>664</v>
      </c>
      <c r="C8217" s="82" t="s">
        <v>7632</v>
      </c>
      <c r="D8217" s="82"/>
      <c r="E8217" s="74">
        <v>2021</v>
      </c>
      <c r="F8217" s="74"/>
      <c r="G8217" s="45">
        <v>1</v>
      </c>
      <c r="H8217" s="45">
        <v>8</v>
      </c>
      <c r="I8217" s="45">
        <v>23</v>
      </c>
    </row>
    <row r="8218" spans="1:9" s="71" customFormat="1" ht="19.5" hidden="1" customHeight="1" outlineLevel="1" x14ac:dyDescent="0.25">
      <c r="A8218" s="83">
        <v>10105</v>
      </c>
      <c r="B8218" s="45" t="s">
        <v>664</v>
      </c>
      <c r="C8218" s="82" t="s">
        <v>7633</v>
      </c>
      <c r="D8218" s="82"/>
      <c r="E8218" s="74">
        <v>2021</v>
      </c>
      <c r="F8218" s="74"/>
      <c r="G8218" s="45">
        <v>1</v>
      </c>
      <c r="H8218" s="45">
        <v>5</v>
      </c>
      <c r="I8218" s="45">
        <v>21</v>
      </c>
    </row>
    <row r="8219" spans="1:9" s="71" customFormat="1" ht="19.5" hidden="1" customHeight="1" outlineLevel="1" x14ac:dyDescent="0.25">
      <c r="A8219" s="83">
        <v>10322</v>
      </c>
      <c r="B8219" s="45" t="s">
        <v>664</v>
      </c>
      <c r="C8219" s="82" t="s">
        <v>7634</v>
      </c>
      <c r="D8219" s="82"/>
      <c r="E8219" s="74">
        <v>2021</v>
      </c>
      <c r="F8219" s="74"/>
      <c r="G8219" s="45">
        <v>10</v>
      </c>
      <c r="H8219" s="45">
        <v>230</v>
      </c>
      <c r="I8219" s="45">
        <v>333</v>
      </c>
    </row>
    <row r="8220" spans="1:9" s="71" customFormat="1" ht="19.5" hidden="1" customHeight="1" outlineLevel="1" x14ac:dyDescent="0.25">
      <c r="A8220" s="74">
        <v>10906</v>
      </c>
      <c r="B8220" s="45" t="s">
        <v>664</v>
      </c>
      <c r="C8220" s="82" t="s">
        <v>7635</v>
      </c>
      <c r="D8220" s="82"/>
      <c r="E8220" s="74">
        <v>2021</v>
      </c>
      <c r="F8220" s="74"/>
      <c r="G8220" s="45">
        <v>75</v>
      </c>
      <c r="H8220" s="45">
        <v>1215</v>
      </c>
      <c r="I8220" s="45">
        <v>1844</v>
      </c>
    </row>
    <row r="8221" spans="1:9" s="71" customFormat="1" ht="19.5" hidden="1" customHeight="1" outlineLevel="1" x14ac:dyDescent="0.25">
      <c r="A8221" s="83">
        <v>9392</v>
      </c>
      <c r="B8221" s="45" t="s">
        <v>664</v>
      </c>
      <c r="C8221" s="82" t="s">
        <v>7636</v>
      </c>
      <c r="D8221" s="82"/>
      <c r="E8221" s="74">
        <v>2021</v>
      </c>
      <c r="F8221" s="74"/>
      <c r="G8221" s="45">
        <v>1</v>
      </c>
      <c r="H8221" s="45">
        <v>15</v>
      </c>
      <c r="I8221" s="45">
        <v>32</v>
      </c>
    </row>
    <row r="8222" spans="1:9" s="71" customFormat="1" ht="19.5" hidden="1" customHeight="1" outlineLevel="1" x14ac:dyDescent="0.25">
      <c r="A8222" s="83">
        <v>9332</v>
      </c>
      <c r="B8222" s="45" t="s">
        <v>664</v>
      </c>
      <c r="C8222" s="82" t="s">
        <v>7637</v>
      </c>
      <c r="D8222" s="82"/>
      <c r="E8222" s="74">
        <v>2021</v>
      </c>
      <c r="F8222" s="74"/>
      <c r="G8222" s="45">
        <v>1</v>
      </c>
      <c r="H8222" s="45">
        <v>14</v>
      </c>
      <c r="I8222" s="45">
        <v>27</v>
      </c>
    </row>
    <row r="8223" spans="1:9" s="71" customFormat="1" ht="19.5" hidden="1" customHeight="1" outlineLevel="1" x14ac:dyDescent="0.25">
      <c r="A8223" s="83">
        <v>9086</v>
      </c>
      <c r="B8223" s="45" t="s">
        <v>664</v>
      </c>
      <c r="C8223" s="82" t="s">
        <v>7638</v>
      </c>
      <c r="D8223" s="82"/>
      <c r="E8223" s="74">
        <v>2021</v>
      </c>
      <c r="F8223" s="74"/>
      <c r="G8223" s="45">
        <v>1</v>
      </c>
      <c r="H8223" s="45">
        <v>30</v>
      </c>
      <c r="I8223" s="45">
        <v>24</v>
      </c>
    </row>
    <row r="8224" spans="1:9" s="71" customFormat="1" ht="19.5" hidden="1" customHeight="1" outlineLevel="1" x14ac:dyDescent="0.25">
      <c r="A8224" s="83">
        <v>9323</v>
      </c>
      <c r="B8224" s="45" t="s">
        <v>664</v>
      </c>
      <c r="C8224" s="82" t="s">
        <v>7639</v>
      </c>
      <c r="D8224" s="82"/>
      <c r="E8224" s="74">
        <v>2021</v>
      </c>
      <c r="F8224" s="74"/>
      <c r="G8224" s="45">
        <v>1</v>
      </c>
      <c r="H8224" s="45">
        <v>15</v>
      </c>
      <c r="I8224" s="45">
        <v>27</v>
      </c>
    </row>
    <row r="8225" spans="1:9" s="71" customFormat="1" ht="19.5" hidden="1" customHeight="1" outlineLevel="1" x14ac:dyDescent="0.25">
      <c r="A8225" s="83">
        <v>9397</v>
      </c>
      <c r="B8225" s="45" t="s">
        <v>664</v>
      </c>
      <c r="C8225" s="82" t="s">
        <v>7640</v>
      </c>
      <c r="D8225" s="82"/>
      <c r="E8225" s="74">
        <v>2021</v>
      </c>
      <c r="F8225" s="74"/>
      <c r="G8225" s="45">
        <v>1</v>
      </c>
      <c r="H8225" s="45">
        <v>15</v>
      </c>
      <c r="I8225" s="45">
        <v>27</v>
      </c>
    </row>
    <row r="8226" spans="1:9" s="71" customFormat="1" ht="19.5" hidden="1" customHeight="1" outlineLevel="1" x14ac:dyDescent="0.25">
      <c r="A8226" s="83">
        <v>9674</v>
      </c>
      <c r="B8226" s="45" t="s">
        <v>664</v>
      </c>
      <c r="C8226" s="82" t="s">
        <v>618</v>
      </c>
      <c r="D8226" s="82"/>
      <c r="E8226" s="74">
        <v>2021</v>
      </c>
      <c r="F8226" s="74"/>
      <c r="G8226" s="45">
        <v>1</v>
      </c>
      <c r="H8226" s="45">
        <v>50</v>
      </c>
      <c r="I8226" s="45">
        <v>27</v>
      </c>
    </row>
    <row r="8227" spans="1:9" s="71" customFormat="1" ht="19.5" hidden="1" customHeight="1" outlineLevel="1" x14ac:dyDescent="0.25">
      <c r="A8227" s="84">
        <v>351</v>
      </c>
      <c r="B8227" s="45" t="s">
        <v>664</v>
      </c>
      <c r="C8227" s="82" t="s">
        <v>7641</v>
      </c>
      <c r="D8227" s="82"/>
      <c r="E8227" s="74">
        <v>2021</v>
      </c>
      <c r="F8227" s="74"/>
      <c r="G8227" s="45">
        <v>1</v>
      </c>
      <c r="H8227" s="45">
        <v>15</v>
      </c>
      <c r="I8227" s="45">
        <v>27</v>
      </c>
    </row>
    <row r="8228" spans="1:9" s="71" customFormat="1" ht="19.5" hidden="1" customHeight="1" outlineLevel="1" x14ac:dyDescent="0.25">
      <c r="A8228" s="83">
        <v>9331</v>
      </c>
      <c r="B8228" s="45" t="s">
        <v>664</v>
      </c>
      <c r="C8228" s="82" t="s">
        <v>7642</v>
      </c>
      <c r="D8228" s="82"/>
      <c r="E8228" s="74">
        <v>2021</v>
      </c>
      <c r="F8228" s="74"/>
      <c r="G8228" s="45">
        <v>2</v>
      </c>
      <c r="H8228" s="45">
        <v>25</v>
      </c>
      <c r="I8228" s="45">
        <v>51</v>
      </c>
    </row>
    <row r="8229" spans="1:9" s="71" customFormat="1" ht="19.5" hidden="1" customHeight="1" outlineLevel="1" x14ac:dyDescent="0.25">
      <c r="A8229" s="83">
        <v>9270</v>
      </c>
      <c r="B8229" s="45" t="s">
        <v>664</v>
      </c>
      <c r="C8229" s="82" t="s">
        <v>7643</v>
      </c>
      <c r="D8229" s="82"/>
      <c r="E8229" s="74">
        <v>2021</v>
      </c>
      <c r="F8229" s="74"/>
      <c r="G8229" s="45">
        <v>2</v>
      </c>
      <c r="H8229" s="45">
        <v>30</v>
      </c>
      <c r="I8229" s="45">
        <v>45</v>
      </c>
    </row>
    <row r="8230" spans="1:9" s="71" customFormat="1" ht="19.5" hidden="1" customHeight="1" outlineLevel="1" x14ac:dyDescent="0.25">
      <c r="A8230" s="83">
        <v>9895</v>
      </c>
      <c r="B8230" s="45" t="s">
        <v>664</v>
      </c>
      <c r="C8230" s="82" t="s">
        <v>7644</v>
      </c>
      <c r="D8230" s="82"/>
      <c r="E8230" s="74">
        <v>2021</v>
      </c>
      <c r="F8230" s="74"/>
      <c r="G8230" s="45">
        <v>1</v>
      </c>
      <c r="H8230" s="45">
        <v>80</v>
      </c>
      <c r="I8230" s="45">
        <v>21</v>
      </c>
    </row>
    <row r="8231" spans="1:9" s="71" customFormat="1" ht="19.5" hidden="1" customHeight="1" outlineLevel="1" x14ac:dyDescent="0.25">
      <c r="A8231" s="83">
        <v>10087</v>
      </c>
      <c r="B8231" s="45" t="s">
        <v>664</v>
      </c>
      <c r="C8231" s="82" t="s">
        <v>7645</v>
      </c>
      <c r="D8231" s="82"/>
      <c r="E8231" s="74">
        <v>2021</v>
      </c>
      <c r="F8231" s="74"/>
      <c r="G8231" s="45">
        <v>1</v>
      </c>
      <c r="H8231" s="45">
        <v>15</v>
      </c>
      <c r="I8231" s="45">
        <v>23</v>
      </c>
    </row>
    <row r="8232" spans="1:9" s="71" customFormat="1" ht="19.5" hidden="1" customHeight="1" outlineLevel="1" x14ac:dyDescent="0.25">
      <c r="A8232" s="84">
        <v>526</v>
      </c>
      <c r="B8232" s="45" t="s">
        <v>664</v>
      </c>
      <c r="C8232" s="82" t="s">
        <v>7646</v>
      </c>
      <c r="D8232" s="82"/>
      <c r="E8232" s="74">
        <v>2021</v>
      </c>
      <c r="F8232" s="74"/>
      <c r="G8232" s="45">
        <v>1</v>
      </c>
      <c r="H8232" s="45">
        <v>15</v>
      </c>
      <c r="I8232" s="45">
        <v>26</v>
      </c>
    </row>
    <row r="8233" spans="1:9" s="71" customFormat="1" ht="19.5" hidden="1" customHeight="1" outlineLevel="1" x14ac:dyDescent="0.25">
      <c r="A8233" s="83">
        <v>10072</v>
      </c>
      <c r="B8233" s="45" t="s">
        <v>664</v>
      </c>
      <c r="C8233" s="82" t="s">
        <v>7647</v>
      </c>
      <c r="D8233" s="82"/>
      <c r="E8233" s="74">
        <v>2021</v>
      </c>
      <c r="F8233" s="74"/>
      <c r="G8233" s="45">
        <v>1</v>
      </c>
      <c r="H8233" s="45">
        <v>15</v>
      </c>
      <c r="I8233" s="45">
        <v>30</v>
      </c>
    </row>
    <row r="8234" spans="1:9" s="71" customFormat="1" ht="19.5" hidden="1" customHeight="1" outlineLevel="1" x14ac:dyDescent="0.25">
      <c r="A8234" s="83">
        <v>10094</v>
      </c>
      <c r="B8234" s="45" t="s">
        <v>664</v>
      </c>
      <c r="C8234" s="82" t="s">
        <v>7648</v>
      </c>
      <c r="D8234" s="82"/>
      <c r="E8234" s="74">
        <v>2021</v>
      </c>
      <c r="F8234" s="74"/>
      <c r="G8234" s="45">
        <v>1</v>
      </c>
      <c r="H8234" s="45">
        <v>2.4</v>
      </c>
      <c r="I8234" s="45">
        <v>27</v>
      </c>
    </row>
    <row r="8235" spans="1:9" s="71" customFormat="1" ht="19.5" hidden="1" customHeight="1" outlineLevel="1" x14ac:dyDescent="0.25">
      <c r="A8235" s="83">
        <v>10084</v>
      </c>
      <c r="B8235" s="45" t="s">
        <v>664</v>
      </c>
      <c r="C8235" s="82" t="s">
        <v>7649</v>
      </c>
      <c r="D8235" s="82"/>
      <c r="E8235" s="74">
        <v>2021</v>
      </c>
      <c r="F8235" s="74"/>
      <c r="G8235" s="45">
        <v>1</v>
      </c>
      <c r="H8235" s="45">
        <v>15</v>
      </c>
      <c r="I8235" s="45">
        <v>28</v>
      </c>
    </row>
    <row r="8236" spans="1:9" s="71" customFormat="1" ht="19.5" hidden="1" customHeight="1" outlineLevel="1" x14ac:dyDescent="0.25">
      <c r="A8236" s="83">
        <v>9653</v>
      </c>
      <c r="B8236" s="45" t="s">
        <v>664</v>
      </c>
      <c r="C8236" s="82" t="s">
        <v>7650</v>
      </c>
      <c r="D8236" s="82"/>
      <c r="E8236" s="74">
        <v>2021</v>
      </c>
      <c r="F8236" s="74"/>
      <c r="G8236" s="45">
        <v>1</v>
      </c>
      <c r="H8236" s="45">
        <v>150</v>
      </c>
      <c r="I8236" s="45">
        <v>27</v>
      </c>
    </row>
    <row r="8237" spans="1:9" s="71" customFormat="1" ht="19.5" hidden="1" customHeight="1" outlineLevel="1" x14ac:dyDescent="0.25">
      <c r="A8237" s="83">
        <v>9296</v>
      </c>
      <c r="B8237" s="45" t="s">
        <v>664</v>
      </c>
      <c r="C8237" s="82" t="s">
        <v>7651</v>
      </c>
      <c r="D8237" s="82"/>
      <c r="E8237" s="74">
        <v>2021</v>
      </c>
      <c r="F8237" s="74"/>
      <c r="G8237" s="45">
        <v>1</v>
      </c>
      <c r="H8237" s="45">
        <v>15</v>
      </c>
      <c r="I8237" s="45">
        <v>18</v>
      </c>
    </row>
    <row r="8238" spans="1:9" s="71" customFormat="1" ht="19.5" hidden="1" customHeight="1" outlineLevel="1" x14ac:dyDescent="0.25">
      <c r="A8238" s="83">
        <v>9413</v>
      </c>
      <c r="B8238" s="45" t="s">
        <v>664</v>
      </c>
      <c r="C8238" s="82" t="s">
        <v>7652</v>
      </c>
      <c r="D8238" s="82"/>
      <c r="E8238" s="74">
        <v>2021</v>
      </c>
      <c r="F8238" s="74"/>
      <c r="G8238" s="45">
        <v>1</v>
      </c>
      <c r="H8238" s="45">
        <v>150</v>
      </c>
      <c r="I8238" s="45">
        <v>31</v>
      </c>
    </row>
    <row r="8239" spans="1:9" s="71" customFormat="1" ht="19.5" hidden="1" customHeight="1" outlineLevel="1" x14ac:dyDescent="0.25">
      <c r="A8239" s="83">
        <v>9320</v>
      </c>
      <c r="B8239" s="45" t="s">
        <v>664</v>
      </c>
      <c r="C8239" s="82" t="s">
        <v>7653</v>
      </c>
      <c r="D8239" s="82"/>
      <c r="E8239" s="74">
        <v>2021</v>
      </c>
      <c r="F8239" s="74"/>
      <c r="G8239" s="45">
        <v>1</v>
      </c>
      <c r="H8239" s="45">
        <v>15</v>
      </c>
      <c r="I8239" s="45">
        <v>31</v>
      </c>
    </row>
    <row r="8240" spans="1:9" s="71" customFormat="1" ht="19.5" hidden="1" customHeight="1" outlineLevel="1" x14ac:dyDescent="0.25">
      <c r="A8240" s="83">
        <v>9411</v>
      </c>
      <c r="B8240" s="45" t="s">
        <v>664</v>
      </c>
      <c r="C8240" s="82" t="s">
        <v>7654</v>
      </c>
      <c r="D8240" s="82"/>
      <c r="E8240" s="74">
        <v>2021</v>
      </c>
      <c r="F8240" s="74"/>
      <c r="G8240" s="45">
        <v>1</v>
      </c>
      <c r="H8240" s="45">
        <v>15</v>
      </c>
      <c r="I8240" s="45">
        <v>29</v>
      </c>
    </row>
    <row r="8241" spans="1:9" s="71" customFormat="1" ht="19.5" hidden="1" customHeight="1" outlineLevel="1" x14ac:dyDescent="0.25">
      <c r="A8241" s="83">
        <v>9416</v>
      </c>
      <c r="B8241" s="45" t="s">
        <v>664</v>
      </c>
      <c r="C8241" s="82" t="s">
        <v>7655</v>
      </c>
      <c r="D8241" s="82"/>
      <c r="E8241" s="74">
        <v>2021</v>
      </c>
      <c r="F8241" s="74"/>
      <c r="G8241" s="45">
        <v>1</v>
      </c>
      <c r="H8241" s="45">
        <v>20</v>
      </c>
      <c r="I8241" s="45">
        <v>31</v>
      </c>
    </row>
    <row r="8242" spans="1:9" s="71" customFormat="1" ht="19.5" hidden="1" customHeight="1" outlineLevel="1" x14ac:dyDescent="0.25">
      <c r="A8242" s="84">
        <v>335</v>
      </c>
      <c r="B8242" s="45" t="s">
        <v>664</v>
      </c>
      <c r="C8242" s="82" t="s">
        <v>7656</v>
      </c>
      <c r="D8242" s="82"/>
      <c r="E8242" s="74">
        <v>2021</v>
      </c>
      <c r="F8242" s="74"/>
      <c r="G8242" s="45">
        <v>1</v>
      </c>
      <c r="H8242" s="45">
        <v>15</v>
      </c>
      <c r="I8242" s="45">
        <v>27</v>
      </c>
    </row>
    <row r="8243" spans="1:9" s="71" customFormat="1" ht="19.5" hidden="1" customHeight="1" outlineLevel="1" x14ac:dyDescent="0.25">
      <c r="A8243" s="83">
        <v>9400</v>
      </c>
      <c r="B8243" s="45" t="s">
        <v>664</v>
      </c>
      <c r="C8243" s="82" t="s">
        <v>7657</v>
      </c>
      <c r="D8243" s="82"/>
      <c r="E8243" s="74">
        <v>2021</v>
      </c>
      <c r="F8243" s="74"/>
      <c r="G8243" s="45">
        <v>1</v>
      </c>
      <c r="H8243" s="45">
        <v>45</v>
      </c>
      <c r="I8243" s="45">
        <v>28</v>
      </c>
    </row>
    <row r="8244" spans="1:9" s="71" customFormat="1" ht="19.5" hidden="1" customHeight="1" outlineLevel="1" x14ac:dyDescent="0.25">
      <c r="A8244" s="84">
        <v>334</v>
      </c>
      <c r="B8244" s="45" t="s">
        <v>664</v>
      </c>
      <c r="C8244" s="82" t="s">
        <v>7658</v>
      </c>
      <c r="D8244" s="82"/>
      <c r="E8244" s="74">
        <v>2021</v>
      </c>
      <c r="F8244" s="74"/>
      <c r="G8244" s="45">
        <v>1</v>
      </c>
      <c r="H8244" s="45">
        <v>15</v>
      </c>
      <c r="I8244" s="45">
        <v>27</v>
      </c>
    </row>
    <row r="8245" spans="1:9" s="71" customFormat="1" ht="19.5" hidden="1" customHeight="1" outlineLevel="1" x14ac:dyDescent="0.25">
      <c r="A8245" s="83">
        <v>9405</v>
      </c>
      <c r="B8245" s="45" t="s">
        <v>664</v>
      </c>
      <c r="C8245" s="82" t="s">
        <v>7659</v>
      </c>
      <c r="D8245" s="82"/>
      <c r="E8245" s="74">
        <v>2021</v>
      </c>
      <c r="F8245" s="74"/>
      <c r="G8245" s="45">
        <v>1</v>
      </c>
      <c r="H8245" s="45">
        <v>15</v>
      </c>
      <c r="I8245" s="45">
        <v>34</v>
      </c>
    </row>
    <row r="8246" spans="1:9" s="71" customFormat="1" ht="19.5" hidden="1" customHeight="1" outlineLevel="1" x14ac:dyDescent="0.25">
      <c r="A8246" s="83">
        <v>9327</v>
      </c>
      <c r="B8246" s="45" t="s">
        <v>664</v>
      </c>
      <c r="C8246" s="82" t="s">
        <v>7660</v>
      </c>
      <c r="D8246" s="82"/>
      <c r="E8246" s="74">
        <v>2021</v>
      </c>
      <c r="F8246" s="74"/>
      <c r="G8246" s="45">
        <v>1</v>
      </c>
      <c r="H8246" s="45">
        <v>15</v>
      </c>
      <c r="I8246" s="45">
        <v>34</v>
      </c>
    </row>
    <row r="8247" spans="1:9" s="71" customFormat="1" ht="19.5" hidden="1" customHeight="1" outlineLevel="1" x14ac:dyDescent="0.25">
      <c r="A8247" s="83">
        <v>9293</v>
      </c>
      <c r="B8247" s="45" t="s">
        <v>664</v>
      </c>
      <c r="C8247" s="82" t="s">
        <v>7661</v>
      </c>
      <c r="D8247" s="82"/>
      <c r="E8247" s="74">
        <v>2021</v>
      </c>
      <c r="F8247" s="74"/>
      <c r="G8247" s="45">
        <v>1</v>
      </c>
      <c r="H8247" s="45">
        <v>15</v>
      </c>
      <c r="I8247" s="45">
        <v>33</v>
      </c>
    </row>
    <row r="8248" spans="1:9" s="71" customFormat="1" ht="19.5" hidden="1" customHeight="1" outlineLevel="1" x14ac:dyDescent="0.25">
      <c r="A8248" s="83">
        <v>9353</v>
      </c>
      <c r="B8248" s="45" t="s">
        <v>664</v>
      </c>
      <c r="C8248" s="82" t="s">
        <v>7662</v>
      </c>
      <c r="D8248" s="82"/>
      <c r="E8248" s="74">
        <v>2021</v>
      </c>
      <c r="F8248" s="74"/>
      <c r="G8248" s="45">
        <v>3</v>
      </c>
      <c r="H8248" s="45">
        <v>30</v>
      </c>
      <c r="I8248" s="45">
        <v>63</v>
      </c>
    </row>
    <row r="8249" spans="1:9" s="71" customFormat="1" ht="19.5" hidden="1" customHeight="1" outlineLevel="1" x14ac:dyDescent="0.25">
      <c r="A8249" s="83">
        <v>9379</v>
      </c>
      <c r="B8249" s="45" t="s">
        <v>664</v>
      </c>
      <c r="C8249" s="82" t="s">
        <v>7663</v>
      </c>
      <c r="D8249" s="82"/>
      <c r="E8249" s="74">
        <v>2021</v>
      </c>
      <c r="F8249" s="74"/>
      <c r="G8249" s="45">
        <v>1</v>
      </c>
      <c r="H8249" s="45">
        <v>10</v>
      </c>
      <c r="I8249" s="45">
        <v>30</v>
      </c>
    </row>
    <row r="8250" spans="1:9" s="71" customFormat="1" ht="19.5" hidden="1" customHeight="1" outlineLevel="1" x14ac:dyDescent="0.25">
      <c r="A8250" s="83">
        <v>9649</v>
      </c>
      <c r="B8250" s="45" t="s">
        <v>664</v>
      </c>
      <c r="C8250" s="82" t="s">
        <v>7664</v>
      </c>
      <c r="D8250" s="82"/>
      <c r="E8250" s="74">
        <v>2021</v>
      </c>
      <c r="F8250" s="74"/>
      <c r="G8250" s="45">
        <v>1</v>
      </c>
      <c r="H8250" s="45">
        <v>15</v>
      </c>
      <c r="I8250" s="45">
        <v>27</v>
      </c>
    </row>
    <row r="8251" spans="1:9" s="71" customFormat="1" ht="19.5" hidden="1" customHeight="1" outlineLevel="1" x14ac:dyDescent="0.25">
      <c r="A8251" s="83">
        <v>10104</v>
      </c>
      <c r="B8251" s="45" t="s">
        <v>664</v>
      </c>
      <c r="C8251" s="82" t="s">
        <v>7665</v>
      </c>
      <c r="D8251" s="82"/>
      <c r="E8251" s="74">
        <v>2021</v>
      </c>
      <c r="F8251" s="74"/>
      <c r="G8251" s="45">
        <v>1</v>
      </c>
      <c r="H8251" s="45">
        <v>15</v>
      </c>
      <c r="I8251" s="45">
        <v>27</v>
      </c>
    </row>
    <row r="8252" spans="1:9" s="71" customFormat="1" ht="19.5" hidden="1" customHeight="1" outlineLevel="1" x14ac:dyDescent="0.25">
      <c r="A8252" s="83">
        <v>9380</v>
      </c>
      <c r="B8252" s="45" t="s">
        <v>664</v>
      </c>
      <c r="C8252" s="82" t="s">
        <v>7666</v>
      </c>
      <c r="D8252" s="82"/>
      <c r="E8252" s="74">
        <v>2021</v>
      </c>
      <c r="F8252" s="74"/>
      <c r="G8252" s="45">
        <v>1</v>
      </c>
      <c r="H8252" s="45">
        <v>15</v>
      </c>
      <c r="I8252" s="45">
        <v>32</v>
      </c>
    </row>
    <row r="8253" spans="1:9" s="71" customFormat="1" ht="19.5" hidden="1" customHeight="1" outlineLevel="1" x14ac:dyDescent="0.25">
      <c r="A8253" s="83">
        <v>9085</v>
      </c>
      <c r="B8253" s="45" t="s">
        <v>664</v>
      </c>
      <c r="C8253" s="82" t="s">
        <v>7667</v>
      </c>
      <c r="D8253" s="82"/>
      <c r="E8253" s="74">
        <v>2021</v>
      </c>
      <c r="F8253" s="74"/>
      <c r="G8253" s="45">
        <v>1</v>
      </c>
      <c r="H8253" s="45">
        <v>15</v>
      </c>
      <c r="I8253" s="45">
        <v>29</v>
      </c>
    </row>
    <row r="8254" spans="1:9" s="71" customFormat="1" ht="19.5" hidden="1" customHeight="1" outlineLevel="1" x14ac:dyDescent="0.25">
      <c r="A8254" s="84">
        <v>373</v>
      </c>
      <c r="B8254" s="45" t="s">
        <v>664</v>
      </c>
      <c r="C8254" s="82" t="s">
        <v>7668</v>
      </c>
      <c r="D8254" s="82"/>
      <c r="E8254" s="74">
        <v>2021</v>
      </c>
      <c r="F8254" s="74"/>
      <c r="G8254" s="45">
        <v>1</v>
      </c>
      <c r="H8254" s="45">
        <v>15</v>
      </c>
      <c r="I8254" s="45">
        <v>34</v>
      </c>
    </row>
    <row r="8255" spans="1:9" s="71" customFormat="1" ht="19.5" hidden="1" customHeight="1" outlineLevel="1" x14ac:dyDescent="0.25">
      <c r="A8255" s="83">
        <v>9576</v>
      </c>
      <c r="B8255" s="45" t="s">
        <v>664</v>
      </c>
      <c r="C8255" s="82" t="s">
        <v>7669</v>
      </c>
      <c r="D8255" s="82"/>
      <c r="E8255" s="74">
        <v>2021</v>
      </c>
      <c r="F8255" s="74"/>
      <c r="G8255" s="45">
        <v>38</v>
      </c>
      <c r="H8255" s="45">
        <v>390</v>
      </c>
      <c r="I8255" s="45">
        <v>1625</v>
      </c>
    </row>
    <row r="8256" spans="1:9" s="71" customFormat="1" ht="19.5" hidden="1" customHeight="1" outlineLevel="1" x14ac:dyDescent="0.25">
      <c r="A8256" s="84">
        <v>374</v>
      </c>
      <c r="B8256" s="45" t="s">
        <v>664</v>
      </c>
      <c r="C8256" s="82" t="s">
        <v>7670</v>
      </c>
      <c r="D8256" s="82"/>
      <c r="E8256" s="74">
        <v>2021</v>
      </c>
      <c r="F8256" s="74"/>
      <c r="G8256" s="45">
        <v>1</v>
      </c>
      <c r="H8256" s="45">
        <v>15</v>
      </c>
      <c r="I8256" s="45">
        <v>25</v>
      </c>
    </row>
    <row r="8257" spans="1:9" s="71" customFormat="1" ht="19.5" hidden="1" customHeight="1" outlineLevel="1" x14ac:dyDescent="0.25">
      <c r="A8257" s="83">
        <v>9278</v>
      </c>
      <c r="B8257" s="45" t="s">
        <v>664</v>
      </c>
      <c r="C8257" s="82" t="s">
        <v>7671</v>
      </c>
      <c r="D8257" s="82"/>
      <c r="E8257" s="74">
        <v>2021</v>
      </c>
      <c r="F8257" s="74"/>
      <c r="G8257" s="45">
        <v>1</v>
      </c>
      <c r="H8257" s="45">
        <v>15</v>
      </c>
      <c r="I8257" s="45">
        <v>34</v>
      </c>
    </row>
    <row r="8258" spans="1:9" s="71" customFormat="1" ht="19.5" hidden="1" customHeight="1" outlineLevel="1" x14ac:dyDescent="0.25">
      <c r="A8258" s="83">
        <v>10063</v>
      </c>
      <c r="B8258" s="45" t="s">
        <v>664</v>
      </c>
      <c r="C8258" s="82" t="s">
        <v>7672</v>
      </c>
      <c r="D8258" s="82"/>
      <c r="E8258" s="74">
        <v>2021</v>
      </c>
      <c r="F8258" s="74"/>
      <c r="G8258" s="45">
        <v>1</v>
      </c>
      <c r="H8258" s="45">
        <v>15</v>
      </c>
      <c r="I8258" s="45">
        <v>29</v>
      </c>
    </row>
    <row r="8259" spans="1:9" s="71" customFormat="1" ht="19.5" hidden="1" customHeight="1" outlineLevel="1" x14ac:dyDescent="0.25">
      <c r="A8259" s="84">
        <v>2036</v>
      </c>
      <c r="B8259" s="45" t="s">
        <v>664</v>
      </c>
      <c r="C8259" s="82" t="s">
        <v>7673</v>
      </c>
      <c r="D8259" s="82"/>
      <c r="E8259" s="74">
        <v>2021</v>
      </c>
      <c r="F8259" s="74"/>
      <c r="G8259" s="45">
        <v>1</v>
      </c>
      <c r="H8259" s="45">
        <v>15</v>
      </c>
      <c r="I8259" s="45">
        <v>29</v>
      </c>
    </row>
    <row r="8260" spans="1:9" s="71" customFormat="1" ht="19.5" hidden="1" customHeight="1" outlineLevel="1" x14ac:dyDescent="0.25">
      <c r="A8260" s="84">
        <v>2039</v>
      </c>
      <c r="B8260" s="45" t="s">
        <v>664</v>
      </c>
      <c r="C8260" s="82" t="s">
        <v>7674</v>
      </c>
      <c r="D8260" s="82"/>
      <c r="E8260" s="74">
        <v>2021</v>
      </c>
      <c r="F8260" s="74"/>
      <c r="G8260" s="45">
        <v>1</v>
      </c>
      <c r="H8260" s="45">
        <v>15</v>
      </c>
      <c r="I8260" s="45">
        <v>32</v>
      </c>
    </row>
    <row r="8261" spans="1:9" s="71" customFormat="1" ht="19.5" hidden="1" customHeight="1" outlineLevel="1" x14ac:dyDescent="0.25">
      <c r="A8261" s="84">
        <v>2041</v>
      </c>
      <c r="B8261" s="45" t="s">
        <v>664</v>
      </c>
      <c r="C8261" s="82" t="s">
        <v>7675</v>
      </c>
      <c r="D8261" s="82"/>
      <c r="E8261" s="74">
        <v>2021</v>
      </c>
      <c r="F8261" s="74"/>
      <c r="G8261" s="45">
        <v>1</v>
      </c>
      <c r="H8261" s="45">
        <v>15</v>
      </c>
      <c r="I8261" s="45">
        <v>32</v>
      </c>
    </row>
    <row r="8262" spans="1:9" s="71" customFormat="1" ht="19.5" hidden="1" customHeight="1" outlineLevel="1" x14ac:dyDescent="0.25">
      <c r="A8262" s="83">
        <v>10069</v>
      </c>
      <c r="B8262" s="45" t="s">
        <v>664</v>
      </c>
      <c r="C8262" s="82" t="s">
        <v>7676</v>
      </c>
      <c r="D8262" s="82"/>
      <c r="E8262" s="74">
        <v>2021</v>
      </c>
      <c r="F8262" s="74"/>
      <c r="G8262" s="45">
        <v>1</v>
      </c>
      <c r="H8262" s="45">
        <v>15</v>
      </c>
      <c r="I8262" s="45">
        <v>31</v>
      </c>
    </row>
    <row r="8263" spans="1:9" s="71" customFormat="1" ht="19.5" hidden="1" customHeight="1" outlineLevel="1" x14ac:dyDescent="0.25">
      <c r="A8263" s="83">
        <v>9381</v>
      </c>
      <c r="B8263" s="45" t="s">
        <v>664</v>
      </c>
      <c r="C8263" s="82" t="s">
        <v>7677</v>
      </c>
      <c r="D8263" s="82"/>
      <c r="E8263" s="74">
        <v>2021</v>
      </c>
      <c r="F8263" s="74"/>
      <c r="G8263" s="45">
        <v>1</v>
      </c>
      <c r="H8263" s="45">
        <v>8</v>
      </c>
      <c r="I8263" s="45">
        <v>35</v>
      </c>
    </row>
    <row r="8264" spans="1:9" s="71" customFormat="1" ht="19.5" hidden="1" customHeight="1" outlineLevel="1" x14ac:dyDescent="0.25">
      <c r="A8264" s="83">
        <v>9592</v>
      </c>
      <c r="B8264" s="45" t="s">
        <v>664</v>
      </c>
      <c r="C8264" s="82" t="s">
        <v>7678</v>
      </c>
      <c r="D8264" s="82"/>
      <c r="E8264" s="74">
        <v>2021</v>
      </c>
      <c r="F8264" s="74"/>
      <c r="G8264" s="45">
        <v>7</v>
      </c>
      <c r="H8264" s="45">
        <v>90</v>
      </c>
      <c r="I8264" s="45">
        <v>189</v>
      </c>
    </row>
    <row r="8265" spans="1:9" s="71" customFormat="1" ht="19.5" hidden="1" customHeight="1" outlineLevel="1" x14ac:dyDescent="0.25">
      <c r="A8265" s="83">
        <v>9303</v>
      </c>
      <c r="B8265" s="45" t="s">
        <v>664</v>
      </c>
      <c r="C8265" s="82" t="s">
        <v>7679</v>
      </c>
      <c r="D8265" s="82"/>
      <c r="E8265" s="74">
        <v>2021</v>
      </c>
      <c r="F8265" s="74"/>
      <c r="G8265" s="45">
        <v>1</v>
      </c>
      <c r="H8265" s="45">
        <v>15</v>
      </c>
      <c r="I8265" s="45">
        <v>23</v>
      </c>
    </row>
    <row r="8266" spans="1:9" s="71" customFormat="1" ht="19.5" hidden="1" customHeight="1" outlineLevel="1" x14ac:dyDescent="0.25">
      <c r="A8266" s="83">
        <v>9305</v>
      </c>
      <c r="B8266" s="45" t="s">
        <v>664</v>
      </c>
      <c r="C8266" s="82" t="s">
        <v>7680</v>
      </c>
      <c r="D8266" s="82"/>
      <c r="E8266" s="74">
        <v>2021</v>
      </c>
      <c r="F8266" s="74"/>
      <c r="G8266" s="45">
        <v>1</v>
      </c>
      <c r="H8266" s="45">
        <v>15</v>
      </c>
      <c r="I8266" s="45">
        <v>28</v>
      </c>
    </row>
    <row r="8267" spans="1:9" s="71" customFormat="1" ht="19.5" hidden="1" customHeight="1" outlineLevel="1" x14ac:dyDescent="0.25">
      <c r="A8267" s="83">
        <v>9329</v>
      </c>
      <c r="B8267" s="45" t="s">
        <v>664</v>
      </c>
      <c r="C8267" s="82" t="s">
        <v>7681</v>
      </c>
      <c r="D8267" s="82"/>
      <c r="E8267" s="74">
        <v>2021</v>
      </c>
      <c r="F8267" s="74"/>
      <c r="G8267" s="45">
        <v>1</v>
      </c>
      <c r="H8267" s="45">
        <v>15</v>
      </c>
      <c r="I8267" s="45">
        <v>26</v>
      </c>
    </row>
    <row r="8268" spans="1:9" s="71" customFormat="1" ht="19.5" hidden="1" customHeight="1" outlineLevel="1" x14ac:dyDescent="0.25">
      <c r="A8268" s="83">
        <v>9418</v>
      </c>
      <c r="B8268" s="45" t="s">
        <v>664</v>
      </c>
      <c r="C8268" s="82" t="s">
        <v>7682</v>
      </c>
      <c r="D8268" s="82"/>
      <c r="E8268" s="74">
        <v>2021</v>
      </c>
      <c r="F8268" s="74"/>
      <c r="G8268" s="45">
        <v>11</v>
      </c>
      <c r="H8268" s="45">
        <v>110</v>
      </c>
      <c r="I8268" s="45">
        <v>506</v>
      </c>
    </row>
    <row r="8269" spans="1:9" s="71" customFormat="1" ht="19.5" hidden="1" customHeight="1" outlineLevel="1" x14ac:dyDescent="0.25">
      <c r="A8269" s="83">
        <v>9593</v>
      </c>
      <c r="B8269" s="45" t="s">
        <v>664</v>
      </c>
      <c r="C8269" s="82" t="s">
        <v>7683</v>
      </c>
      <c r="D8269" s="82"/>
      <c r="E8269" s="74">
        <v>2021</v>
      </c>
      <c r="F8269" s="74"/>
      <c r="G8269" s="45">
        <v>1</v>
      </c>
      <c r="H8269" s="45">
        <v>15</v>
      </c>
      <c r="I8269" s="45">
        <v>22</v>
      </c>
    </row>
    <row r="8270" spans="1:9" s="71" customFormat="1" ht="19.5" hidden="1" customHeight="1" outlineLevel="1" x14ac:dyDescent="0.25">
      <c r="A8270" s="83">
        <v>9343</v>
      </c>
      <c r="B8270" s="45" t="s">
        <v>664</v>
      </c>
      <c r="C8270" s="82" t="s">
        <v>7684</v>
      </c>
      <c r="D8270" s="82"/>
      <c r="E8270" s="74">
        <v>2021</v>
      </c>
      <c r="F8270" s="74"/>
      <c r="G8270" s="45">
        <v>1</v>
      </c>
      <c r="H8270" s="45">
        <v>15</v>
      </c>
      <c r="I8270" s="45">
        <v>32</v>
      </c>
    </row>
    <row r="8271" spans="1:9" s="71" customFormat="1" ht="19.5" hidden="1" customHeight="1" outlineLevel="1" x14ac:dyDescent="0.25">
      <c r="A8271" s="83">
        <v>10123</v>
      </c>
      <c r="B8271" s="45" t="s">
        <v>664</v>
      </c>
      <c r="C8271" s="82" t="s">
        <v>7685</v>
      </c>
      <c r="D8271" s="82"/>
      <c r="E8271" s="74">
        <v>2021</v>
      </c>
      <c r="F8271" s="74"/>
      <c r="G8271" s="45">
        <v>1</v>
      </c>
      <c r="H8271" s="45">
        <v>15</v>
      </c>
      <c r="I8271" s="45">
        <v>32</v>
      </c>
    </row>
    <row r="8272" spans="1:9" s="71" customFormat="1" ht="19.5" hidden="1" customHeight="1" outlineLevel="1" x14ac:dyDescent="0.25">
      <c r="A8272" s="84">
        <v>2124</v>
      </c>
      <c r="B8272" s="45" t="s">
        <v>664</v>
      </c>
      <c r="C8272" s="82" t="s">
        <v>7686</v>
      </c>
      <c r="D8272" s="82"/>
      <c r="E8272" s="74">
        <v>2021</v>
      </c>
      <c r="F8272" s="74"/>
      <c r="G8272" s="45">
        <v>1</v>
      </c>
      <c r="H8272" s="45">
        <v>15</v>
      </c>
      <c r="I8272" s="45">
        <v>32</v>
      </c>
    </row>
    <row r="8273" spans="1:9" s="71" customFormat="1" ht="19.5" hidden="1" customHeight="1" outlineLevel="1" x14ac:dyDescent="0.25">
      <c r="A8273" s="83">
        <v>9375</v>
      </c>
      <c r="B8273" s="45" t="s">
        <v>664</v>
      </c>
      <c r="C8273" s="82" t="s">
        <v>7687</v>
      </c>
      <c r="D8273" s="82"/>
      <c r="E8273" s="74">
        <v>2021</v>
      </c>
      <c r="F8273" s="74"/>
      <c r="G8273" s="45">
        <v>1</v>
      </c>
      <c r="H8273" s="45">
        <v>5</v>
      </c>
      <c r="I8273" s="45">
        <v>28</v>
      </c>
    </row>
    <row r="8274" spans="1:9" s="71" customFormat="1" ht="19.5" hidden="1" customHeight="1" outlineLevel="1" x14ac:dyDescent="0.25">
      <c r="A8274" s="83">
        <v>9295</v>
      </c>
      <c r="B8274" s="45" t="s">
        <v>664</v>
      </c>
      <c r="C8274" s="82" t="s">
        <v>7688</v>
      </c>
      <c r="D8274" s="82"/>
      <c r="E8274" s="74">
        <v>2021</v>
      </c>
      <c r="F8274" s="74"/>
      <c r="G8274" s="45">
        <v>2</v>
      </c>
      <c r="H8274" s="45">
        <v>30</v>
      </c>
      <c r="I8274" s="45">
        <v>71</v>
      </c>
    </row>
    <row r="8275" spans="1:9" s="71" customFormat="1" ht="19.5" hidden="1" customHeight="1" outlineLevel="1" x14ac:dyDescent="0.25">
      <c r="A8275" s="83">
        <v>9440</v>
      </c>
      <c r="B8275" s="45" t="s">
        <v>664</v>
      </c>
      <c r="C8275" s="82" t="s">
        <v>7689</v>
      </c>
      <c r="D8275" s="82"/>
      <c r="E8275" s="74">
        <v>2021</v>
      </c>
      <c r="F8275" s="74"/>
      <c r="G8275" s="45">
        <v>3</v>
      </c>
      <c r="H8275" s="45">
        <v>45</v>
      </c>
      <c r="I8275" s="45">
        <v>110</v>
      </c>
    </row>
    <row r="8276" spans="1:9" s="71" customFormat="1" ht="19.5" hidden="1" customHeight="1" outlineLevel="1" x14ac:dyDescent="0.25">
      <c r="A8276" s="83">
        <v>9402</v>
      </c>
      <c r="B8276" s="45" t="s">
        <v>664</v>
      </c>
      <c r="C8276" s="82" t="s">
        <v>7690</v>
      </c>
      <c r="D8276" s="82"/>
      <c r="E8276" s="74">
        <v>2021</v>
      </c>
      <c r="F8276" s="74"/>
      <c r="G8276" s="45">
        <v>1</v>
      </c>
      <c r="H8276" s="45">
        <v>15</v>
      </c>
      <c r="I8276" s="45">
        <v>83</v>
      </c>
    </row>
    <row r="8277" spans="1:9" s="71" customFormat="1" ht="19.5" hidden="1" customHeight="1" outlineLevel="1" x14ac:dyDescent="0.25">
      <c r="A8277" s="83">
        <v>9406</v>
      </c>
      <c r="B8277" s="45" t="s">
        <v>664</v>
      </c>
      <c r="C8277" s="82" t="s">
        <v>7691</v>
      </c>
      <c r="D8277" s="82"/>
      <c r="E8277" s="74">
        <v>2021</v>
      </c>
      <c r="F8277" s="74"/>
      <c r="G8277" s="45">
        <v>1</v>
      </c>
      <c r="H8277" s="45">
        <v>14</v>
      </c>
      <c r="I8277" s="45">
        <v>24</v>
      </c>
    </row>
    <row r="8278" spans="1:9" s="71" customFormat="1" ht="19.5" hidden="1" customHeight="1" outlineLevel="1" x14ac:dyDescent="0.25">
      <c r="A8278" s="83">
        <v>9436</v>
      </c>
      <c r="B8278" s="45" t="s">
        <v>664</v>
      </c>
      <c r="C8278" s="82" t="s">
        <v>7692</v>
      </c>
      <c r="D8278" s="82"/>
      <c r="E8278" s="74">
        <v>2021</v>
      </c>
      <c r="F8278" s="74"/>
      <c r="G8278" s="45">
        <v>1</v>
      </c>
      <c r="H8278" s="45">
        <v>15</v>
      </c>
      <c r="I8278" s="45">
        <v>27</v>
      </c>
    </row>
    <row r="8279" spans="1:9" s="71" customFormat="1" ht="19.5" hidden="1" customHeight="1" outlineLevel="1" x14ac:dyDescent="0.25">
      <c r="A8279" s="83">
        <v>9286</v>
      </c>
      <c r="B8279" s="45" t="s">
        <v>664</v>
      </c>
      <c r="C8279" s="82" t="s">
        <v>7693</v>
      </c>
      <c r="D8279" s="82"/>
      <c r="E8279" s="74">
        <v>2021</v>
      </c>
      <c r="F8279" s="74"/>
      <c r="G8279" s="45">
        <v>1</v>
      </c>
      <c r="H8279" s="45">
        <v>15</v>
      </c>
      <c r="I8279" s="45">
        <v>29</v>
      </c>
    </row>
    <row r="8280" spans="1:9" s="71" customFormat="1" ht="19.5" hidden="1" customHeight="1" outlineLevel="1" x14ac:dyDescent="0.25">
      <c r="A8280" s="83">
        <v>9322</v>
      </c>
      <c r="B8280" s="45" t="s">
        <v>664</v>
      </c>
      <c r="C8280" s="82" t="s">
        <v>7694</v>
      </c>
      <c r="D8280" s="82"/>
      <c r="E8280" s="74">
        <v>2021</v>
      </c>
      <c r="F8280" s="74"/>
      <c r="G8280" s="45">
        <v>1</v>
      </c>
      <c r="H8280" s="45">
        <v>15</v>
      </c>
      <c r="I8280" s="45">
        <v>30</v>
      </c>
    </row>
    <row r="8281" spans="1:9" s="71" customFormat="1" ht="19.5" hidden="1" customHeight="1" outlineLevel="1" x14ac:dyDescent="0.25">
      <c r="A8281" s="83">
        <v>9319</v>
      </c>
      <c r="B8281" s="45" t="s">
        <v>664</v>
      </c>
      <c r="C8281" s="82" t="s">
        <v>7695</v>
      </c>
      <c r="D8281" s="82"/>
      <c r="E8281" s="74">
        <v>2021</v>
      </c>
      <c r="F8281" s="74"/>
      <c r="G8281" s="45">
        <v>1</v>
      </c>
      <c r="H8281" s="45">
        <v>15</v>
      </c>
      <c r="I8281" s="45">
        <v>28</v>
      </c>
    </row>
    <row r="8282" spans="1:9" s="71" customFormat="1" ht="19.5" hidden="1" customHeight="1" outlineLevel="1" x14ac:dyDescent="0.25">
      <c r="A8282" s="83">
        <v>9610</v>
      </c>
      <c r="B8282" s="45" t="s">
        <v>664</v>
      </c>
      <c r="C8282" s="82" t="s">
        <v>529</v>
      </c>
      <c r="D8282" s="82"/>
      <c r="E8282" s="74">
        <v>2021</v>
      </c>
      <c r="F8282" s="74"/>
      <c r="G8282" s="45">
        <v>2</v>
      </c>
      <c r="H8282" s="45">
        <v>30</v>
      </c>
      <c r="I8282" s="45">
        <v>59</v>
      </c>
    </row>
    <row r="8283" spans="1:9" s="71" customFormat="1" ht="19.5" hidden="1" customHeight="1" outlineLevel="1" x14ac:dyDescent="0.25">
      <c r="A8283" s="83">
        <v>9292</v>
      </c>
      <c r="B8283" s="45" t="s">
        <v>664</v>
      </c>
      <c r="C8283" s="82" t="s">
        <v>7696</v>
      </c>
      <c r="D8283" s="82"/>
      <c r="E8283" s="74">
        <v>2021</v>
      </c>
      <c r="F8283" s="74"/>
      <c r="G8283" s="45">
        <v>5</v>
      </c>
      <c r="H8283" s="45">
        <v>70</v>
      </c>
      <c r="I8283" s="45">
        <v>114</v>
      </c>
    </row>
    <row r="8284" spans="1:9" s="71" customFormat="1" ht="19.5" hidden="1" customHeight="1" outlineLevel="1" x14ac:dyDescent="0.25">
      <c r="A8284" s="83">
        <v>9302</v>
      </c>
      <c r="B8284" s="45" t="s">
        <v>664</v>
      </c>
      <c r="C8284" s="82" t="s">
        <v>7697</v>
      </c>
      <c r="D8284" s="82"/>
      <c r="E8284" s="74">
        <v>2021</v>
      </c>
      <c r="F8284" s="74"/>
      <c r="G8284" s="45">
        <v>1</v>
      </c>
      <c r="H8284" s="45">
        <v>15</v>
      </c>
      <c r="I8284" s="45">
        <v>27</v>
      </c>
    </row>
    <row r="8285" spans="1:9" s="71" customFormat="1" ht="19.5" hidden="1" customHeight="1" outlineLevel="1" x14ac:dyDescent="0.25">
      <c r="A8285" s="83">
        <v>9073</v>
      </c>
      <c r="B8285" s="45" t="s">
        <v>664</v>
      </c>
      <c r="C8285" s="82" t="s">
        <v>7698</v>
      </c>
      <c r="D8285" s="82"/>
      <c r="E8285" s="74">
        <v>2021</v>
      </c>
      <c r="F8285" s="74"/>
      <c r="G8285" s="45">
        <v>1</v>
      </c>
      <c r="H8285" s="45">
        <v>15</v>
      </c>
      <c r="I8285" s="45">
        <v>24</v>
      </c>
    </row>
    <row r="8286" spans="1:9" s="71" customFormat="1" ht="19.5" hidden="1" customHeight="1" outlineLevel="1" x14ac:dyDescent="0.25">
      <c r="A8286" s="83">
        <v>9338</v>
      </c>
      <c r="B8286" s="45" t="s">
        <v>664</v>
      </c>
      <c r="C8286" s="82" t="s">
        <v>7699</v>
      </c>
      <c r="D8286" s="82"/>
      <c r="E8286" s="74">
        <v>2021</v>
      </c>
      <c r="F8286" s="74"/>
      <c r="G8286" s="45">
        <v>1</v>
      </c>
      <c r="H8286" s="45">
        <v>15</v>
      </c>
      <c r="I8286" s="45">
        <v>24</v>
      </c>
    </row>
    <row r="8287" spans="1:9" s="71" customFormat="1" ht="19.5" hidden="1" customHeight="1" outlineLevel="1" x14ac:dyDescent="0.25">
      <c r="A8287" s="84">
        <v>357</v>
      </c>
      <c r="B8287" s="45" t="s">
        <v>664</v>
      </c>
      <c r="C8287" s="82" t="s">
        <v>7700</v>
      </c>
      <c r="D8287" s="82"/>
      <c r="E8287" s="74">
        <v>2021</v>
      </c>
      <c r="F8287" s="74"/>
      <c r="G8287" s="45">
        <v>1</v>
      </c>
      <c r="H8287" s="45">
        <v>15</v>
      </c>
      <c r="I8287" s="45">
        <v>23</v>
      </c>
    </row>
    <row r="8288" spans="1:9" s="71" customFormat="1" ht="19.5" hidden="1" customHeight="1" outlineLevel="1" x14ac:dyDescent="0.25">
      <c r="A8288" s="83">
        <v>9298</v>
      </c>
      <c r="B8288" s="45" t="s">
        <v>664</v>
      </c>
      <c r="C8288" s="82" t="s">
        <v>7701</v>
      </c>
      <c r="D8288" s="82"/>
      <c r="E8288" s="74">
        <v>2021</v>
      </c>
      <c r="F8288" s="74"/>
      <c r="G8288" s="45">
        <v>1</v>
      </c>
      <c r="H8288" s="45">
        <v>15</v>
      </c>
      <c r="I8288" s="45">
        <v>30</v>
      </c>
    </row>
    <row r="8289" spans="1:9" s="71" customFormat="1" ht="19.5" hidden="1" customHeight="1" outlineLevel="1" x14ac:dyDescent="0.25">
      <c r="A8289" s="83">
        <v>9648</v>
      </c>
      <c r="B8289" s="45" t="s">
        <v>664</v>
      </c>
      <c r="C8289" s="82" t="s">
        <v>7702</v>
      </c>
      <c r="D8289" s="82"/>
      <c r="E8289" s="74">
        <v>2021</v>
      </c>
      <c r="F8289" s="74"/>
      <c r="G8289" s="45">
        <v>3</v>
      </c>
      <c r="H8289" s="45">
        <v>45</v>
      </c>
      <c r="I8289" s="45">
        <v>92</v>
      </c>
    </row>
    <row r="8290" spans="1:9" s="71" customFormat="1" ht="19.5" hidden="1" customHeight="1" outlineLevel="1" x14ac:dyDescent="0.25">
      <c r="A8290" s="83">
        <v>9304</v>
      </c>
      <c r="B8290" s="45" t="s">
        <v>664</v>
      </c>
      <c r="C8290" s="82" t="s">
        <v>7703</v>
      </c>
      <c r="D8290" s="82"/>
      <c r="E8290" s="74">
        <v>2021</v>
      </c>
      <c r="F8290" s="74"/>
      <c r="G8290" s="45">
        <v>1</v>
      </c>
      <c r="H8290" s="45">
        <v>15</v>
      </c>
      <c r="I8290" s="45">
        <v>28</v>
      </c>
    </row>
    <row r="8291" spans="1:9" s="71" customFormat="1" ht="19.5" hidden="1" customHeight="1" outlineLevel="1" x14ac:dyDescent="0.25">
      <c r="A8291" s="83">
        <v>9333</v>
      </c>
      <c r="B8291" s="45" t="s">
        <v>664</v>
      </c>
      <c r="C8291" s="82" t="s">
        <v>7704</v>
      </c>
      <c r="D8291" s="82"/>
      <c r="E8291" s="74">
        <v>2021</v>
      </c>
      <c r="F8291" s="74"/>
      <c r="G8291" s="45">
        <v>1</v>
      </c>
      <c r="H8291" s="45">
        <v>15</v>
      </c>
      <c r="I8291" s="45">
        <v>31</v>
      </c>
    </row>
    <row r="8292" spans="1:9" s="71" customFormat="1" ht="19.5" hidden="1" customHeight="1" outlineLevel="1" x14ac:dyDescent="0.25">
      <c r="A8292" s="83">
        <v>9398</v>
      </c>
      <c r="B8292" s="45" t="s">
        <v>664</v>
      </c>
      <c r="C8292" s="82" t="s">
        <v>7705</v>
      </c>
      <c r="D8292" s="82"/>
      <c r="E8292" s="74">
        <v>2021</v>
      </c>
      <c r="F8292" s="74"/>
      <c r="G8292" s="45">
        <v>1</v>
      </c>
      <c r="H8292" s="45">
        <v>14</v>
      </c>
      <c r="I8292" s="45">
        <v>26</v>
      </c>
    </row>
    <row r="8293" spans="1:9" s="71" customFormat="1" ht="19.5" hidden="1" customHeight="1" outlineLevel="1" x14ac:dyDescent="0.25">
      <c r="A8293" s="83">
        <v>10337</v>
      </c>
      <c r="B8293" s="45" t="s">
        <v>664</v>
      </c>
      <c r="C8293" s="82" t="s">
        <v>7706</v>
      </c>
      <c r="D8293" s="82"/>
      <c r="E8293" s="74">
        <v>2021</v>
      </c>
      <c r="F8293" s="74"/>
      <c r="G8293" s="45">
        <v>31</v>
      </c>
      <c r="H8293" s="45">
        <v>317.7</v>
      </c>
      <c r="I8293" s="45">
        <v>692</v>
      </c>
    </row>
    <row r="8294" spans="1:9" s="71" customFormat="1" ht="19.5" hidden="1" customHeight="1" outlineLevel="1" x14ac:dyDescent="0.25">
      <c r="A8294" s="83">
        <v>9399</v>
      </c>
      <c r="B8294" s="45" t="s">
        <v>664</v>
      </c>
      <c r="C8294" s="82" t="s">
        <v>7707</v>
      </c>
      <c r="D8294" s="82"/>
      <c r="E8294" s="74">
        <v>2021</v>
      </c>
      <c r="F8294" s="74"/>
      <c r="G8294" s="45">
        <v>1</v>
      </c>
      <c r="H8294" s="45">
        <v>14</v>
      </c>
      <c r="I8294" s="45">
        <v>23</v>
      </c>
    </row>
    <row r="8295" spans="1:9" s="71" customFormat="1" ht="19.5" hidden="1" customHeight="1" outlineLevel="1" x14ac:dyDescent="0.25">
      <c r="A8295" s="83">
        <v>9311</v>
      </c>
      <c r="B8295" s="45" t="s">
        <v>664</v>
      </c>
      <c r="C8295" s="82" t="s">
        <v>7708</v>
      </c>
      <c r="D8295" s="82"/>
      <c r="E8295" s="74">
        <v>2021</v>
      </c>
      <c r="F8295" s="74"/>
      <c r="G8295" s="45">
        <v>1</v>
      </c>
      <c r="H8295" s="45">
        <v>15</v>
      </c>
      <c r="I8295" s="45">
        <v>30</v>
      </c>
    </row>
    <row r="8296" spans="1:9" s="71" customFormat="1" ht="19.5" hidden="1" customHeight="1" outlineLevel="1" x14ac:dyDescent="0.25">
      <c r="A8296" s="84">
        <v>377</v>
      </c>
      <c r="B8296" s="45" t="s">
        <v>664</v>
      </c>
      <c r="C8296" s="82" t="s">
        <v>7709</v>
      </c>
      <c r="D8296" s="82"/>
      <c r="E8296" s="74">
        <v>2021</v>
      </c>
      <c r="F8296" s="74"/>
      <c r="G8296" s="45">
        <v>1</v>
      </c>
      <c r="H8296" s="45">
        <v>15</v>
      </c>
      <c r="I8296" s="45">
        <v>27</v>
      </c>
    </row>
    <row r="8297" spans="1:9" s="71" customFormat="1" ht="19.5" hidden="1" customHeight="1" outlineLevel="1" x14ac:dyDescent="0.25">
      <c r="A8297" s="83">
        <v>9272</v>
      </c>
      <c r="B8297" s="45" t="s">
        <v>664</v>
      </c>
      <c r="C8297" s="82" t="s">
        <v>7710</v>
      </c>
      <c r="D8297" s="82"/>
      <c r="E8297" s="74">
        <v>2021</v>
      </c>
      <c r="F8297" s="74"/>
      <c r="G8297" s="45">
        <v>1</v>
      </c>
      <c r="H8297" s="45">
        <v>15</v>
      </c>
      <c r="I8297" s="45">
        <v>23</v>
      </c>
    </row>
    <row r="8298" spans="1:9" s="71" customFormat="1" ht="19.5" hidden="1" customHeight="1" outlineLevel="1" x14ac:dyDescent="0.25">
      <c r="A8298" s="83">
        <v>9273</v>
      </c>
      <c r="B8298" s="45" t="s">
        <v>664</v>
      </c>
      <c r="C8298" s="82" t="s">
        <v>7711</v>
      </c>
      <c r="D8298" s="82"/>
      <c r="E8298" s="74">
        <v>2021</v>
      </c>
      <c r="F8298" s="74"/>
      <c r="G8298" s="45">
        <v>1</v>
      </c>
      <c r="H8298" s="45">
        <v>15</v>
      </c>
      <c r="I8298" s="45">
        <v>23</v>
      </c>
    </row>
    <row r="8299" spans="1:9" s="71" customFormat="1" ht="19.5" hidden="1" customHeight="1" outlineLevel="1" x14ac:dyDescent="0.25">
      <c r="A8299" s="83">
        <v>9315</v>
      </c>
      <c r="B8299" s="45" t="s">
        <v>664</v>
      </c>
      <c r="C8299" s="82" t="s">
        <v>7712</v>
      </c>
      <c r="D8299" s="82"/>
      <c r="E8299" s="74">
        <v>2021</v>
      </c>
      <c r="F8299" s="74"/>
      <c r="G8299" s="45">
        <v>1</v>
      </c>
      <c r="H8299" s="45">
        <v>15</v>
      </c>
      <c r="I8299" s="45">
        <v>22</v>
      </c>
    </row>
    <row r="8300" spans="1:9" s="71" customFormat="1" ht="19.5" hidden="1" customHeight="1" outlineLevel="1" x14ac:dyDescent="0.25">
      <c r="A8300" s="83">
        <v>9654</v>
      </c>
      <c r="B8300" s="45" t="s">
        <v>664</v>
      </c>
      <c r="C8300" s="82" t="s">
        <v>7713</v>
      </c>
      <c r="D8300" s="82"/>
      <c r="E8300" s="74">
        <v>2021</v>
      </c>
      <c r="F8300" s="74"/>
      <c r="G8300" s="45">
        <v>1</v>
      </c>
      <c r="H8300" s="45">
        <v>15</v>
      </c>
      <c r="I8300" s="45">
        <v>21</v>
      </c>
    </row>
    <row r="8301" spans="1:9" s="71" customFormat="1" ht="19.5" hidden="1" customHeight="1" outlineLevel="1" x14ac:dyDescent="0.25">
      <c r="A8301" s="83">
        <v>10254</v>
      </c>
      <c r="B8301" s="45" t="s">
        <v>664</v>
      </c>
      <c r="C8301" s="82" t="s">
        <v>7714</v>
      </c>
      <c r="D8301" s="82"/>
      <c r="E8301" s="74">
        <v>2021</v>
      </c>
      <c r="F8301" s="74"/>
      <c r="G8301" s="45">
        <v>1</v>
      </c>
      <c r="H8301" s="45">
        <v>15</v>
      </c>
      <c r="I8301" s="45">
        <v>25</v>
      </c>
    </row>
    <row r="8302" spans="1:9" s="71" customFormat="1" ht="19.5" hidden="1" customHeight="1" outlineLevel="1" x14ac:dyDescent="0.25">
      <c r="A8302" s="83">
        <v>10064</v>
      </c>
      <c r="B8302" s="45" t="s">
        <v>664</v>
      </c>
      <c r="C8302" s="82" t="s">
        <v>7715</v>
      </c>
      <c r="D8302" s="82"/>
      <c r="E8302" s="74">
        <v>2021</v>
      </c>
      <c r="F8302" s="74"/>
      <c r="G8302" s="45">
        <v>1</v>
      </c>
      <c r="H8302" s="45">
        <v>15</v>
      </c>
      <c r="I8302" s="45">
        <v>26</v>
      </c>
    </row>
    <row r="8303" spans="1:9" s="71" customFormat="1" ht="19.5" hidden="1" customHeight="1" outlineLevel="1" x14ac:dyDescent="0.25">
      <c r="A8303" s="83">
        <v>10090</v>
      </c>
      <c r="B8303" s="45" t="s">
        <v>664</v>
      </c>
      <c r="C8303" s="82" t="s">
        <v>7716</v>
      </c>
      <c r="D8303" s="82"/>
      <c r="E8303" s="74">
        <v>2021</v>
      </c>
      <c r="F8303" s="74"/>
      <c r="G8303" s="45">
        <v>1</v>
      </c>
      <c r="H8303" s="45">
        <v>15</v>
      </c>
      <c r="I8303" s="45">
        <v>26</v>
      </c>
    </row>
    <row r="8304" spans="1:9" s="71" customFormat="1" ht="19.5" hidden="1" customHeight="1" outlineLevel="1" x14ac:dyDescent="0.25">
      <c r="A8304" s="83">
        <v>10065</v>
      </c>
      <c r="B8304" s="45" t="s">
        <v>664</v>
      </c>
      <c r="C8304" s="82" t="s">
        <v>7717</v>
      </c>
      <c r="D8304" s="82"/>
      <c r="E8304" s="74">
        <v>2021</v>
      </c>
      <c r="F8304" s="74"/>
      <c r="G8304" s="45">
        <v>1</v>
      </c>
      <c r="H8304" s="45">
        <v>15</v>
      </c>
      <c r="I8304" s="45">
        <v>26</v>
      </c>
    </row>
    <row r="8305" spans="1:9" s="71" customFormat="1" ht="19.5" hidden="1" customHeight="1" outlineLevel="1" x14ac:dyDescent="0.25">
      <c r="A8305" s="83">
        <v>10067</v>
      </c>
      <c r="B8305" s="45" t="s">
        <v>664</v>
      </c>
      <c r="C8305" s="82" t="s">
        <v>7718</v>
      </c>
      <c r="D8305" s="82"/>
      <c r="E8305" s="74">
        <v>2021</v>
      </c>
      <c r="F8305" s="74"/>
      <c r="G8305" s="45">
        <v>1</v>
      </c>
      <c r="H8305" s="45">
        <v>15</v>
      </c>
      <c r="I8305" s="45">
        <v>25</v>
      </c>
    </row>
    <row r="8306" spans="1:9" s="71" customFormat="1" ht="19.5" hidden="1" customHeight="1" outlineLevel="1" x14ac:dyDescent="0.25">
      <c r="A8306" s="83">
        <v>10147</v>
      </c>
      <c r="B8306" s="45" t="s">
        <v>664</v>
      </c>
      <c r="C8306" s="82" t="s">
        <v>7719</v>
      </c>
      <c r="D8306" s="82"/>
      <c r="E8306" s="74">
        <v>2021</v>
      </c>
      <c r="F8306" s="74"/>
      <c r="G8306" s="45">
        <v>1</v>
      </c>
      <c r="H8306" s="45">
        <v>15</v>
      </c>
      <c r="I8306" s="45">
        <v>25</v>
      </c>
    </row>
    <row r="8307" spans="1:9" s="71" customFormat="1" ht="19.5" hidden="1" customHeight="1" outlineLevel="1" x14ac:dyDescent="0.25">
      <c r="A8307" s="83">
        <v>10070</v>
      </c>
      <c r="B8307" s="45" t="s">
        <v>664</v>
      </c>
      <c r="C8307" s="82" t="s">
        <v>7720</v>
      </c>
      <c r="D8307" s="82"/>
      <c r="E8307" s="74">
        <v>2021</v>
      </c>
      <c r="F8307" s="74"/>
      <c r="G8307" s="45">
        <v>1</v>
      </c>
      <c r="H8307" s="45">
        <v>15</v>
      </c>
      <c r="I8307" s="45">
        <v>25</v>
      </c>
    </row>
    <row r="8308" spans="1:9" s="71" customFormat="1" ht="19.5" hidden="1" customHeight="1" outlineLevel="1" x14ac:dyDescent="0.25">
      <c r="A8308" s="83">
        <v>10071</v>
      </c>
      <c r="B8308" s="45" t="s">
        <v>664</v>
      </c>
      <c r="C8308" s="82" t="s">
        <v>7721</v>
      </c>
      <c r="D8308" s="82"/>
      <c r="E8308" s="74">
        <v>2021</v>
      </c>
      <c r="F8308" s="74"/>
      <c r="G8308" s="45">
        <v>1</v>
      </c>
      <c r="H8308" s="45">
        <v>15</v>
      </c>
      <c r="I8308" s="45">
        <v>25</v>
      </c>
    </row>
    <row r="8309" spans="1:9" s="71" customFormat="1" ht="19.5" hidden="1" customHeight="1" outlineLevel="1" x14ac:dyDescent="0.25">
      <c r="A8309" s="83">
        <v>10075</v>
      </c>
      <c r="B8309" s="45" t="s">
        <v>664</v>
      </c>
      <c r="C8309" s="82" t="s">
        <v>7722</v>
      </c>
      <c r="D8309" s="82"/>
      <c r="E8309" s="74">
        <v>2021</v>
      </c>
      <c r="F8309" s="74"/>
      <c r="G8309" s="45">
        <v>1</v>
      </c>
      <c r="H8309" s="45">
        <v>15</v>
      </c>
      <c r="I8309" s="45">
        <v>25</v>
      </c>
    </row>
    <row r="8310" spans="1:9" s="71" customFormat="1" ht="19.5" hidden="1" customHeight="1" outlineLevel="1" x14ac:dyDescent="0.25">
      <c r="A8310" s="83">
        <v>10076</v>
      </c>
      <c r="B8310" s="45" t="s">
        <v>664</v>
      </c>
      <c r="C8310" s="82" t="s">
        <v>7723</v>
      </c>
      <c r="D8310" s="82"/>
      <c r="E8310" s="74">
        <v>2021</v>
      </c>
      <c r="F8310" s="74"/>
      <c r="G8310" s="45">
        <v>1</v>
      </c>
      <c r="H8310" s="45">
        <v>15</v>
      </c>
      <c r="I8310" s="45">
        <v>25</v>
      </c>
    </row>
    <row r="8311" spans="1:9" s="71" customFormat="1" ht="19.5" hidden="1" customHeight="1" outlineLevel="1" x14ac:dyDescent="0.25">
      <c r="A8311" s="83">
        <v>10082</v>
      </c>
      <c r="B8311" s="45" t="s">
        <v>664</v>
      </c>
      <c r="C8311" s="82" t="s">
        <v>7724</v>
      </c>
      <c r="D8311" s="82"/>
      <c r="E8311" s="74">
        <v>2021</v>
      </c>
      <c r="F8311" s="74"/>
      <c r="G8311" s="45">
        <v>1</v>
      </c>
      <c r="H8311" s="45">
        <v>15</v>
      </c>
      <c r="I8311" s="45">
        <v>25</v>
      </c>
    </row>
    <row r="8312" spans="1:9" s="71" customFormat="1" ht="19.5" hidden="1" customHeight="1" outlineLevel="1" x14ac:dyDescent="0.25">
      <c r="A8312" s="83">
        <v>10083</v>
      </c>
      <c r="B8312" s="45" t="s">
        <v>664</v>
      </c>
      <c r="C8312" s="82" t="s">
        <v>7725</v>
      </c>
      <c r="D8312" s="82"/>
      <c r="E8312" s="74">
        <v>2021</v>
      </c>
      <c r="F8312" s="74"/>
      <c r="G8312" s="45">
        <v>1</v>
      </c>
      <c r="H8312" s="45">
        <v>15</v>
      </c>
      <c r="I8312" s="45">
        <v>25</v>
      </c>
    </row>
    <row r="8313" spans="1:9" s="71" customFormat="1" ht="19.5" hidden="1" customHeight="1" outlineLevel="1" x14ac:dyDescent="0.25">
      <c r="A8313" s="83">
        <v>10086</v>
      </c>
      <c r="B8313" s="45" t="s">
        <v>664</v>
      </c>
      <c r="C8313" s="82" t="s">
        <v>7726</v>
      </c>
      <c r="D8313" s="82"/>
      <c r="E8313" s="74">
        <v>2021</v>
      </c>
      <c r="F8313" s="74"/>
      <c r="G8313" s="45">
        <v>1</v>
      </c>
      <c r="H8313" s="45">
        <v>15</v>
      </c>
      <c r="I8313" s="45">
        <v>25</v>
      </c>
    </row>
    <row r="8314" spans="1:9" s="71" customFormat="1" ht="19.5" hidden="1" customHeight="1" outlineLevel="1" x14ac:dyDescent="0.25">
      <c r="A8314" s="83">
        <v>10062</v>
      </c>
      <c r="B8314" s="45" t="s">
        <v>664</v>
      </c>
      <c r="C8314" s="82" t="s">
        <v>7727</v>
      </c>
      <c r="D8314" s="82"/>
      <c r="E8314" s="74">
        <v>2021</v>
      </c>
      <c r="F8314" s="74"/>
      <c r="G8314" s="45">
        <v>1</v>
      </c>
      <c r="H8314" s="45">
        <v>15</v>
      </c>
      <c r="I8314" s="45">
        <v>25</v>
      </c>
    </row>
    <row r="8315" spans="1:9" s="71" customFormat="1" ht="19.5" hidden="1" customHeight="1" outlineLevel="1" x14ac:dyDescent="0.25">
      <c r="A8315" s="83">
        <v>10101</v>
      </c>
      <c r="B8315" s="45" t="s">
        <v>664</v>
      </c>
      <c r="C8315" s="82" t="s">
        <v>7728</v>
      </c>
      <c r="D8315" s="82"/>
      <c r="E8315" s="74">
        <v>2021</v>
      </c>
      <c r="F8315" s="74"/>
      <c r="G8315" s="45">
        <v>1</v>
      </c>
      <c r="H8315" s="45">
        <v>10</v>
      </c>
      <c r="I8315" s="45">
        <v>25</v>
      </c>
    </row>
    <row r="8316" spans="1:9" s="71" customFormat="1" ht="19.5" hidden="1" customHeight="1" outlineLevel="1" x14ac:dyDescent="0.25">
      <c r="A8316" s="83">
        <v>10102</v>
      </c>
      <c r="B8316" s="45" t="s">
        <v>664</v>
      </c>
      <c r="C8316" s="82" t="s">
        <v>7729</v>
      </c>
      <c r="D8316" s="82"/>
      <c r="E8316" s="74">
        <v>2021</v>
      </c>
      <c r="F8316" s="74"/>
      <c r="G8316" s="45">
        <v>1</v>
      </c>
      <c r="H8316" s="45">
        <v>35</v>
      </c>
      <c r="I8316" s="45">
        <v>27</v>
      </c>
    </row>
    <row r="8317" spans="1:9" s="71" customFormat="1" ht="19.5" hidden="1" customHeight="1" outlineLevel="1" x14ac:dyDescent="0.25">
      <c r="A8317" s="84">
        <v>2057</v>
      </c>
      <c r="B8317" s="45" t="s">
        <v>664</v>
      </c>
      <c r="C8317" s="82" t="s">
        <v>7730</v>
      </c>
      <c r="D8317" s="82"/>
      <c r="E8317" s="74">
        <v>2021</v>
      </c>
      <c r="F8317" s="74"/>
      <c r="G8317" s="45">
        <v>1</v>
      </c>
      <c r="H8317" s="45">
        <v>7</v>
      </c>
      <c r="I8317" s="45">
        <v>26</v>
      </c>
    </row>
    <row r="8318" spans="1:9" s="71" customFormat="1" ht="19.5" hidden="1" customHeight="1" outlineLevel="1" x14ac:dyDescent="0.25">
      <c r="A8318" s="83">
        <v>9407</v>
      </c>
      <c r="B8318" s="45" t="s">
        <v>664</v>
      </c>
      <c r="C8318" s="82" t="s">
        <v>7731</v>
      </c>
      <c r="D8318" s="82"/>
      <c r="E8318" s="74">
        <v>2021</v>
      </c>
      <c r="F8318" s="74"/>
      <c r="G8318" s="45">
        <v>1</v>
      </c>
      <c r="H8318" s="45">
        <v>15</v>
      </c>
      <c r="I8318" s="45">
        <v>26</v>
      </c>
    </row>
    <row r="8319" spans="1:9" s="71" customFormat="1" ht="19.5" hidden="1" customHeight="1" outlineLevel="1" x14ac:dyDescent="0.25">
      <c r="A8319" s="83">
        <v>9330</v>
      </c>
      <c r="B8319" s="45" t="s">
        <v>664</v>
      </c>
      <c r="C8319" s="82" t="s">
        <v>7732</v>
      </c>
      <c r="D8319" s="82"/>
      <c r="E8319" s="74">
        <v>2021</v>
      </c>
      <c r="F8319" s="74"/>
      <c r="G8319" s="45">
        <v>1</v>
      </c>
      <c r="H8319" s="45">
        <v>15</v>
      </c>
      <c r="I8319" s="45">
        <v>28</v>
      </c>
    </row>
    <row r="8320" spans="1:9" s="71" customFormat="1" ht="19.5" hidden="1" customHeight="1" outlineLevel="1" x14ac:dyDescent="0.25">
      <c r="A8320" s="83">
        <v>9281</v>
      </c>
      <c r="B8320" s="45" t="s">
        <v>664</v>
      </c>
      <c r="C8320" s="82" t="s">
        <v>7733</v>
      </c>
      <c r="D8320" s="82"/>
      <c r="E8320" s="74">
        <v>2021</v>
      </c>
      <c r="F8320" s="74"/>
      <c r="G8320" s="45">
        <v>3</v>
      </c>
      <c r="H8320" s="45">
        <v>45</v>
      </c>
      <c r="I8320" s="45">
        <v>71</v>
      </c>
    </row>
    <row r="8321" spans="1:9" s="71" customFormat="1" ht="19.5" hidden="1" customHeight="1" outlineLevel="1" x14ac:dyDescent="0.25">
      <c r="A8321" s="84">
        <v>352</v>
      </c>
      <c r="B8321" s="45" t="s">
        <v>664</v>
      </c>
      <c r="C8321" s="82" t="s">
        <v>7734</v>
      </c>
      <c r="D8321" s="82"/>
      <c r="E8321" s="74">
        <v>2021</v>
      </c>
      <c r="F8321" s="74"/>
      <c r="G8321" s="45">
        <v>1</v>
      </c>
      <c r="H8321" s="45">
        <v>15</v>
      </c>
      <c r="I8321" s="45">
        <v>27</v>
      </c>
    </row>
    <row r="8322" spans="1:9" s="71" customFormat="1" ht="19.5" hidden="1" customHeight="1" outlineLevel="1" x14ac:dyDescent="0.25">
      <c r="A8322" s="83">
        <v>9075</v>
      </c>
      <c r="B8322" s="45" t="s">
        <v>664</v>
      </c>
      <c r="C8322" s="82" t="s">
        <v>7735</v>
      </c>
      <c r="D8322" s="82"/>
      <c r="E8322" s="74">
        <v>2021</v>
      </c>
      <c r="F8322" s="74"/>
      <c r="G8322" s="45">
        <v>1</v>
      </c>
      <c r="H8322" s="45">
        <v>15</v>
      </c>
      <c r="I8322" s="45">
        <v>27</v>
      </c>
    </row>
    <row r="8323" spans="1:9" s="71" customFormat="1" ht="19.5" hidden="1" customHeight="1" outlineLevel="1" x14ac:dyDescent="0.25">
      <c r="A8323" s="83">
        <v>9340</v>
      </c>
      <c r="B8323" s="45" t="s">
        <v>664</v>
      </c>
      <c r="C8323" s="82" t="s">
        <v>7736</v>
      </c>
      <c r="D8323" s="82"/>
      <c r="E8323" s="74">
        <v>2021</v>
      </c>
      <c r="F8323" s="74"/>
      <c r="G8323" s="45">
        <v>1</v>
      </c>
      <c r="H8323" s="45">
        <v>15</v>
      </c>
      <c r="I8323" s="45">
        <v>28</v>
      </c>
    </row>
    <row r="8324" spans="1:9" s="71" customFormat="1" ht="19.5" hidden="1" customHeight="1" outlineLevel="1" x14ac:dyDescent="0.25">
      <c r="A8324" s="83">
        <v>9611</v>
      </c>
      <c r="B8324" s="45" t="s">
        <v>664</v>
      </c>
      <c r="C8324" s="82" t="s">
        <v>531</v>
      </c>
      <c r="D8324" s="82"/>
      <c r="E8324" s="74">
        <v>2021</v>
      </c>
      <c r="F8324" s="74"/>
      <c r="G8324" s="45">
        <v>1</v>
      </c>
      <c r="H8324" s="45">
        <v>15</v>
      </c>
      <c r="I8324" s="45">
        <v>28</v>
      </c>
    </row>
    <row r="8325" spans="1:9" s="71" customFormat="1" ht="19.5" hidden="1" customHeight="1" outlineLevel="1" x14ac:dyDescent="0.25">
      <c r="A8325" s="83">
        <v>9301</v>
      </c>
      <c r="B8325" s="45" t="s">
        <v>664</v>
      </c>
      <c r="C8325" s="82" t="s">
        <v>7737</v>
      </c>
      <c r="D8325" s="82"/>
      <c r="E8325" s="74">
        <v>2021</v>
      </c>
      <c r="F8325" s="74"/>
      <c r="G8325" s="45">
        <v>1</v>
      </c>
      <c r="H8325" s="45">
        <v>15</v>
      </c>
      <c r="I8325" s="45">
        <v>25</v>
      </c>
    </row>
    <row r="8326" spans="1:9" s="71" customFormat="1" ht="19.5" hidden="1" customHeight="1" outlineLevel="1" x14ac:dyDescent="0.25">
      <c r="A8326" s="83">
        <v>9325</v>
      </c>
      <c r="B8326" s="45" t="s">
        <v>664</v>
      </c>
      <c r="C8326" s="82" t="s">
        <v>7738</v>
      </c>
      <c r="D8326" s="82"/>
      <c r="E8326" s="74">
        <v>2021</v>
      </c>
      <c r="F8326" s="74"/>
      <c r="G8326" s="45">
        <v>1</v>
      </c>
      <c r="H8326" s="45">
        <v>15</v>
      </c>
      <c r="I8326" s="45">
        <v>24</v>
      </c>
    </row>
    <row r="8327" spans="1:9" s="71" customFormat="1" ht="19.5" hidden="1" customHeight="1" outlineLevel="1" x14ac:dyDescent="0.25">
      <c r="A8327" s="83">
        <v>9299</v>
      </c>
      <c r="B8327" s="45" t="s">
        <v>664</v>
      </c>
      <c r="C8327" s="82" t="s">
        <v>7739</v>
      </c>
      <c r="D8327" s="82"/>
      <c r="E8327" s="74">
        <v>2021</v>
      </c>
      <c r="F8327" s="74"/>
      <c r="G8327" s="45">
        <v>1</v>
      </c>
      <c r="H8327" s="45">
        <v>15</v>
      </c>
      <c r="I8327" s="45">
        <v>22</v>
      </c>
    </row>
    <row r="8328" spans="1:9" s="71" customFormat="1" ht="19.5" hidden="1" customHeight="1" outlineLevel="1" x14ac:dyDescent="0.25">
      <c r="A8328" s="84">
        <v>379</v>
      </c>
      <c r="B8328" s="45" t="s">
        <v>664</v>
      </c>
      <c r="C8328" s="82" t="s">
        <v>7740</v>
      </c>
      <c r="D8328" s="82"/>
      <c r="E8328" s="74">
        <v>2021</v>
      </c>
      <c r="F8328" s="74"/>
      <c r="G8328" s="45">
        <v>1</v>
      </c>
      <c r="H8328" s="45">
        <v>15</v>
      </c>
      <c r="I8328" s="45">
        <v>24</v>
      </c>
    </row>
    <row r="8329" spans="1:9" s="71" customFormat="1" ht="19.5" hidden="1" customHeight="1" outlineLevel="1" x14ac:dyDescent="0.25">
      <c r="A8329" s="83">
        <v>9420</v>
      </c>
      <c r="B8329" s="45" t="s">
        <v>664</v>
      </c>
      <c r="C8329" s="82" t="s">
        <v>7741</v>
      </c>
      <c r="D8329" s="82"/>
      <c r="E8329" s="74">
        <v>2021</v>
      </c>
      <c r="F8329" s="74"/>
      <c r="G8329" s="45">
        <v>1</v>
      </c>
      <c r="H8329" s="45">
        <v>150</v>
      </c>
      <c r="I8329" s="45">
        <v>27</v>
      </c>
    </row>
    <row r="8330" spans="1:9" s="71" customFormat="1" ht="19.5" hidden="1" customHeight="1" outlineLevel="1" x14ac:dyDescent="0.25">
      <c r="A8330" s="83">
        <v>9439</v>
      </c>
      <c r="B8330" s="45" t="s">
        <v>664</v>
      </c>
      <c r="C8330" s="82" t="s">
        <v>7742</v>
      </c>
      <c r="D8330" s="82"/>
      <c r="E8330" s="74">
        <v>2021</v>
      </c>
      <c r="F8330" s="74"/>
      <c r="G8330" s="45">
        <v>1</v>
      </c>
      <c r="H8330" s="45">
        <v>15</v>
      </c>
      <c r="I8330" s="45">
        <v>29</v>
      </c>
    </row>
    <row r="8331" spans="1:9" s="71" customFormat="1" ht="19.5" hidden="1" customHeight="1" outlineLevel="1" x14ac:dyDescent="0.25">
      <c r="A8331" s="83">
        <v>10214</v>
      </c>
      <c r="B8331" s="45" t="s">
        <v>664</v>
      </c>
      <c r="C8331" s="82" t="s">
        <v>7743</v>
      </c>
      <c r="D8331" s="82"/>
      <c r="E8331" s="74">
        <v>2021</v>
      </c>
      <c r="F8331" s="74"/>
      <c r="G8331" s="45">
        <v>1</v>
      </c>
      <c r="H8331" s="45">
        <v>15</v>
      </c>
      <c r="I8331" s="45">
        <v>24</v>
      </c>
    </row>
    <row r="8332" spans="1:9" s="71" customFormat="1" ht="19.5" hidden="1" customHeight="1" outlineLevel="1" x14ac:dyDescent="0.25">
      <c r="A8332" s="83">
        <v>10068</v>
      </c>
      <c r="B8332" s="45" t="s">
        <v>664</v>
      </c>
      <c r="C8332" s="82" t="s">
        <v>7744</v>
      </c>
      <c r="D8332" s="82"/>
      <c r="E8332" s="74">
        <v>2021</v>
      </c>
      <c r="F8332" s="74"/>
      <c r="G8332" s="45">
        <v>1</v>
      </c>
      <c r="H8332" s="45">
        <v>15</v>
      </c>
      <c r="I8332" s="45">
        <v>25</v>
      </c>
    </row>
    <row r="8333" spans="1:9" s="71" customFormat="1" ht="19.5" hidden="1" customHeight="1" outlineLevel="1" x14ac:dyDescent="0.25">
      <c r="A8333" s="83">
        <v>10073</v>
      </c>
      <c r="B8333" s="45" t="s">
        <v>664</v>
      </c>
      <c r="C8333" s="82" t="s">
        <v>7745</v>
      </c>
      <c r="D8333" s="82"/>
      <c r="E8333" s="74">
        <v>2021</v>
      </c>
      <c r="F8333" s="74"/>
      <c r="G8333" s="45">
        <v>1</v>
      </c>
      <c r="H8333" s="45">
        <v>15</v>
      </c>
      <c r="I8333" s="45">
        <v>24</v>
      </c>
    </row>
    <row r="8334" spans="1:9" s="71" customFormat="1" ht="19.5" hidden="1" customHeight="1" outlineLevel="1" x14ac:dyDescent="0.25">
      <c r="A8334" s="83">
        <v>10080</v>
      </c>
      <c r="B8334" s="45" t="s">
        <v>664</v>
      </c>
      <c r="C8334" s="82" t="s">
        <v>7746</v>
      </c>
      <c r="D8334" s="82"/>
      <c r="E8334" s="74">
        <v>2021</v>
      </c>
      <c r="F8334" s="74"/>
      <c r="G8334" s="45">
        <v>1</v>
      </c>
      <c r="H8334" s="45">
        <v>15</v>
      </c>
      <c r="I8334" s="45">
        <v>24</v>
      </c>
    </row>
    <row r="8335" spans="1:9" s="71" customFormat="1" ht="19.5" hidden="1" customHeight="1" outlineLevel="1" x14ac:dyDescent="0.25">
      <c r="A8335" s="83">
        <v>10215</v>
      </c>
      <c r="B8335" s="45" t="s">
        <v>664</v>
      </c>
      <c r="C8335" s="82" t="s">
        <v>7747</v>
      </c>
      <c r="D8335" s="82"/>
      <c r="E8335" s="74">
        <v>2021</v>
      </c>
      <c r="F8335" s="74"/>
      <c r="G8335" s="45">
        <v>1</v>
      </c>
      <c r="H8335" s="45">
        <v>15</v>
      </c>
      <c r="I8335" s="45">
        <v>24</v>
      </c>
    </row>
    <row r="8336" spans="1:9" s="71" customFormat="1" ht="19.5" hidden="1" customHeight="1" outlineLevel="1" x14ac:dyDescent="0.25">
      <c r="A8336" s="83">
        <v>10085</v>
      </c>
      <c r="B8336" s="45" t="s">
        <v>664</v>
      </c>
      <c r="C8336" s="82" t="s">
        <v>7748</v>
      </c>
      <c r="D8336" s="82"/>
      <c r="E8336" s="74">
        <v>2021</v>
      </c>
      <c r="F8336" s="74"/>
      <c r="G8336" s="45">
        <v>1</v>
      </c>
      <c r="H8336" s="45">
        <v>15</v>
      </c>
      <c r="I8336" s="45">
        <v>25</v>
      </c>
    </row>
    <row r="8337" spans="1:9" s="71" customFormat="1" ht="19.5" hidden="1" customHeight="1" outlineLevel="1" x14ac:dyDescent="0.25">
      <c r="A8337" s="83">
        <v>10183</v>
      </c>
      <c r="B8337" s="45" t="s">
        <v>664</v>
      </c>
      <c r="C8337" s="82" t="s">
        <v>7749</v>
      </c>
      <c r="D8337" s="82"/>
      <c r="E8337" s="74">
        <v>2021</v>
      </c>
      <c r="F8337" s="74"/>
      <c r="G8337" s="45">
        <v>1</v>
      </c>
      <c r="H8337" s="45">
        <v>15</v>
      </c>
      <c r="I8337" s="45">
        <v>25</v>
      </c>
    </row>
    <row r="8338" spans="1:9" s="71" customFormat="1" ht="19.5" hidden="1" customHeight="1" outlineLevel="1" x14ac:dyDescent="0.25">
      <c r="A8338" s="83">
        <v>10209</v>
      </c>
      <c r="B8338" s="45" t="s">
        <v>664</v>
      </c>
      <c r="C8338" s="82" t="s">
        <v>7750</v>
      </c>
      <c r="D8338" s="82"/>
      <c r="E8338" s="74">
        <v>2021</v>
      </c>
      <c r="F8338" s="74"/>
      <c r="G8338" s="45">
        <v>1</v>
      </c>
      <c r="H8338" s="45">
        <v>15</v>
      </c>
      <c r="I8338" s="45">
        <v>25</v>
      </c>
    </row>
    <row r="8339" spans="1:9" s="71" customFormat="1" ht="19.5" hidden="1" customHeight="1" outlineLevel="1" x14ac:dyDescent="0.25">
      <c r="A8339" s="83">
        <v>10197</v>
      </c>
      <c r="B8339" s="45" t="s">
        <v>664</v>
      </c>
      <c r="C8339" s="82" t="s">
        <v>7751</v>
      </c>
      <c r="D8339" s="82"/>
      <c r="E8339" s="74">
        <v>2021</v>
      </c>
      <c r="F8339" s="74"/>
      <c r="G8339" s="45">
        <v>1</v>
      </c>
      <c r="H8339" s="45">
        <v>15</v>
      </c>
      <c r="I8339" s="45">
        <v>25</v>
      </c>
    </row>
    <row r="8340" spans="1:9" s="71" customFormat="1" ht="19.5" hidden="1" customHeight="1" outlineLevel="1" x14ac:dyDescent="0.25">
      <c r="A8340" s="83">
        <v>10091</v>
      </c>
      <c r="B8340" s="45" t="s">
        <v>664</v>
      </c>
      <c r="C8340" s="82" t="s">
        <v>7752</v>
      </c>
      <c r="D8340" s="82"/>
      <c r="E8340" s="74">
        <v>2021</v>
      </c>
      <c r="F8340" s="74"/>
      <c r="G8340" s="45">
        <v>1</v>
      </c>
      <c r="H8340" s="45">
        <v>15</v>
      </c>
      <c r="I8340" s="45">
        <v>31</v>
      </c>
    </row>
    <row r="8341" spans="1:9" s="71" customFormat="1" ht="19.5" hidden="1" customHeight="1" outlineLevel="1" x14ac:dyDescent="0.25">
      <c r="A8341" s="83">
        <v>9408</v>
      </c>
      <c r="B8341" s="45" t="s">
        <v>664</v>
      </c>
      <c r="C8341" s="82" t="s">
        <v>7753</v>
      </c>
      <c r="D8341" s="82"/>
      <c r="E8341" s="74">
        <v>2021</v>
      </c>
      <c r="F8341" s="74"/>
      <c r="G8341" s="45">
        <v>1</v>
      </c>
      <c r="H8341" s="45">
        <v>8</v>
      </c>
      <c r="I8341" s="45">
        <v>23</v>
      </c>
    </row>
    <row r="8342" spans="1:9" s="71" customFormat="1" ht="19.5" hidden="1" customHeight="1" outlineLevel="1" x14ac:dyDescent="0.25">
      <c r="A8342" s="83">
        <v>9076</v>
      </c>
      <c r="B8342" s="45" t="s">
        <v>664</v>
      </c>
      <c r="C8342" s="82" t="s">
        <v>7754</v>
      </c>
      <c r="D8342" s="82"/>
      <c r="E8342" s="74">
        <v>2021</v>
      </c>
      <c r="F8342" s="74"/>
      <c r="G8342" s="45">
        <v>1</v>
      </c>
      <c r="H8342" s="45">
        <v>15</v>
      </c>
      <c r="I8342" s="45">
        <v>51</v>
      </c>
    </row>
    <row r="8343" spans="1:9" s="71" customFormat="1" ht="19.5" hidden="1" customHeight="1" outlineLevel="1" x14ac:dyDescent="0.25">
      <c r="A8343" s="83">
        <v>10351</v>
      </c>
      <c r="B8343" s="45" t="s">
        <v>664</v>
      </c>
      <c r="C8343" s="82" t="s">
        <v>7755</v>
      </c>
      <c r="D8343" s="82"/>
      <c r="E8343" s="74">
        <v>2021</v>
      </c>
      <c r="F8343" s="74"/>
      <c r="G8343" s="45">
        <v>1</v>
      </c>
      <c r="H8343" s="45">
        <v>15</v>
      </c>
      <c r="I8343" s="45">
        <v>73.894689999999997</v>
      </c>
    </row>
    <row r="8344" spans="1:9" s="71" customFormat="1" ht="19.5" hidden="1" customHeight="1" outlineLevel="1" x14ac:dyDescent="0.25">
      <c r="A8344" s="84">
        <v>472</v>
      </c>
      <c r="B8344" s="45" t="s">
        <v>664</v>
      </c>
      <c r="C8344" s="82" t="s">
        <v>7756</v>
      </c>
      <c r="D8344" s="82"/>
      <c r="E8344" s="74">
        <v>2021</v>
      </c>
      <c r="F8344" s="74"/>
      <c r="G8344" s="45">
        <v>1</v>
      </c>
      <c r="H8344" s="45">
        <v>10</v>
      </c>
      <c r="I8344" s="45">
        <v>84.661550000000005</v>
      </c>
    </row>
    <row r="8345" spans="1:9" s="71" customFormat="1" ht="19.5" hidden="1" customHeight="1" outlineLevel="1" x14ac:dyDescent="0.25">
      <c r="A8345" s="84">
        <v>461</v>
      </c>
      <c r="B8345" s="45" t="s">
        <v>664</v>
      </c>
      <c r="C8345" s="82" t="s">
        <v>7757</v>
      </c>
      <c r="D8345" s="82"/>
      <c r="E8345" s="74">
        <v>2021</v>
      </c>
      <c r="F8345" s="74"/>
      <c r="G8345" s="45">
        <v>1</v>
      </c>
      <c r="H8345" s="45">
        <v>15</v>
      </c>
      <c r="I8345" s="45">
        <v>83.717740000000006</v>
      </c>
    </row>
    <row r="8346" spans="1:9" s="71" customFormat="1" ht="19.5" hidden="1" customHeight="1" outlineLevel="1" x14ac:dyDescent="0.25">
      <c r="A8346" s="84">
        <v>3803</v>
      </c>
      <c r="B8346" s="45" t="s">
        <v>664</v>
      </c>
      <c r="C8346" s="82" t="s">
        <v>7758</v>
      </c>
      <c r="D8346" s="82"/>
      <c r="E8346" s="74">
        <v>2021</v>
      </c>
      <c r="F8346" s="74"/>
      <c r="G8346" s="45">
        <v>1</v>
      </c>
      <c r="H8346" s="45">
        <v>15</v>
      </c>
      <c r="I8346" s="45">
        <v>87.223129999999998</v>
      </c>
    </row>
    <row r="8347" spans="1:9" s="71" customFormat="1" ht="19.5" hidden="1" customHeight="1" outlineLevel="1" x14ac:dyDescent="0.25">
      <c r="A8347" s="83">
        <v>9001</v>
      </c>
      <c r="B8347" s="45" t="s">
        <v>664</v>
      </c>
      <c r="C8347" s="82" t="s">
        <v>7759</v>
      </c>
      <c r="D8347" s="82"/>
      <c r="E8347" s="74">
        <v>2021</v>
      </c>
      <c r="F8347" s="74"/>
      <c r="G8347" s="45">
        <v>1</v>
      </c>
      <c r="H8347" s="45">
        <v>90</v>
      </c>
      <c r="I8347" s="45">
        <v>78</v>
      </c>
    </row>
    <row r="8348" spans="1:9" s="71" customFormat="1" ht="19.5" hidden="1" customHeight="1" outlineLevel="1" x14ac:dyDescent="0.25">
      <c r="A8348" s="83">
        <v>10353</v>
      </c>
      <c r="B8348" s="45" t="s">
        <v>664</v>
      </c>
      <c r="C8348" s="82" t="s">
        <v>7760</v>
      </c>
      <c r="D8348" s="82"/>
      <c r="E8348" s="74">
        <v>2021</v>
      </c>
      <c r="F8348" s="74"/>
      <c r="G8348" s="45">
        <v>1</v>
      </c>
      <c r="H8348" s="45">
        <v>14.5</v>
      </c>
      <c r="I8348" s="45">
        <v>90.318539999999999</v>
      </c>
    </row>
    <row r="8349" spans="1:9" s="71" customFormat="1" ht="19.5" hidden="1" customHeight="1" outlineLevel="1" x14ac:dyDescent="0.25">
      <c r="A8349" s="83">
        <v>9000</v>
      </c>
      <c r="B8349" s="45" t="s">
        <v>664</v>
      </c>
      <c r="C8349" s="82" t="s">
        <v>7761</v>
      </c>
      <c r="D8349" s="82"/>
      <c r="E8349" s="74">
        <v>2021</v>
      </c>
      <c r="F8349" s="74"/>
      <c r="G8349" s="45">
        <v>1</v>
      </c>
      <c r="H8349" s="45">
        <v>10</v>
      </c>
      <c r="I8349" s="45">
        <v>36.792430000000003</v>
      </c>
    </row>
    <row r="8350" spans="1:9" s="71" customFormat="1" ht="19.5" hidden="1" customHeight="1" outlineLevel="1" x14ac:dyDescent="0.25">
      <c r="A8350" s="83">
        <v>10366</v>
      </c>
      <c r="B8350" s="45" t="s">
        <v>664</v>
      </c>
      <c r="C8350" s="82" t="s">
        <v>7762</v>
      </c>
      <c r="D8350" s="82"/>
      <c r="E8350" s="74">
        <v>2021</v>
      </c>
      <c r="F8350" s="74"/>
      <c r="G8350" s="45">
        <v>1</v>
      </c>
      <c r="H8350" s="45">
        <v>17.100000000000001</v>
      </c>
      <c r="I8350" s="45">
        <v>54.092550000000003</v>
      </c>
    </row>
    <row r="8351" spans="1:9" s="71" customFormat="1" ht="19.5" hidden="1" customHeight="1" outlineLevel="1" x14ac:dyDescent="0.25">
      <c r="A8351" s="83">
        <v>9081</v>
      </c>
      <c r="B8351" s="45" t="s">
        <v>664</v>
      </c>
      <c r="C8351" s="82" t="s">
        <v>7763</v>
      </c>
      <c r="D8351" s="82"/>
      <c r="E8351" s="74">
        <v>2021</v>
      </c>
      <c r="F8351" s="74"/>
      <c r="G8351" s="45">
        <v>1</v>
      </c>
      <c r="H8351" s="45">
        <v>15</v>
      </c>
      <c r="I8351" s="45">
        <v>37.832569999999997</v>
      </c>
    </row>
    <row r="8352" spans="1:9" s="71" customFormat="1" ht="19.5" hidden="1" customHeight="1" outlineLevel="1" x14ac:dyDescent="0.25">
      <c r="A8352" s="83">
        <v>9133</v>
      </c>
      <c r="B8352" s="45" t="s">
        <v>664</v>
      </c>
      <c r="C8352" s="82" t="s">
        <v>7764</v>
      </c>
      <c r="D8352" s="82"/>
      <c r="E8352" s="74">
        <v>2021</v>
      </c>
      <c r="F8352" s="74"/>
      <c r="G8352" s="45">
        <v>1</v>
      </c>
      <c r="H8352" s="45">
        <v>5</v>
      </c>
      <c r="I8352" s="45">
        <v>29.97043</v>
      </c>
    </row>
    <row r="8353" spans="1:9" s="71" customFormat="1" ht="19.5" hidden="1" customHeight="1" outlineLevel="1" x14ac:dyDescent="0.25">
      <c r="A8353" s="83">
        <v>10371</v>
      </c>
      <c r="B8353" s="45" t="s">
        <v>664</v>
      </c>
      <c r="C8353" s="82" t="s">
        <v>7765</v>
      </c>
      <c r="D8353" s="82"/>
      <c r="E8353" s="74">
        <v>2021</v>
      </c>
      <c r="F8353" s="74"/>
      <c r="G8353" s="45">
        <v>1</v>
      </c>
      <c r="H8353" s="45">
        <v>10</v>
      </c>
      <c r="I8353" s="45">
        <v>38.346489999999996</v>
      </c>
    </row>
    <row r="8354" spans="1:9" s="71" customFormat="1" ht="19.5" hidden="1" customHeight="1" outlineLevel="1" x14ac:dyDescent="0.25">
      <c r="A8354" s="83">
        <v>9687</v>
      </c>
      <c r="B8354" s="45" t="s">
        <v>664</v>
      </c>
      <c r="C8354" s="82" t="s">
        <v>7766</v>
      </c>
      <c r="D8354" s="82"/>
      <c r="E8354" s="74">
        <v>2021</v>
      </c>
      <c r="F8354" s="74"/>
      <c r="G8354" s="45">
        <v>1</v>
      </c>
      <c r="H8354" s="45">
        <v>15</v>
      </c>
      <c r="I8354" s="45">
        <v>34.906779999999998</v>
      </c>
    </row>
    <row r="8355" spans="1:9" s="71" customFormat="1" ht="19.5" hidden="1" customHeight="1" outlineLevel="1" x14ac:dyDescent="0.25">
      <c r="A8355" s="84">
        <v>2526</v>
      </c>
      <c r="B8355" s="45" t="s">
        <v>664</v>
      </c>
      <c r="C8355" s="82" t="s">
        <v>7767</v>
      </c>
      <c r="D8355" s="82"/>
      <c r="E8355" s="74">
        <v>2021</v>
      </c>
      <c r="F8355" s="74"/>
      <c r="G8355" s="45">
        <v>1</v>
      </c>
      <c r="H8355" s="45">
        <v>15</v>
      </c>
      <c r="I8355" s="45">
        <v>27.020409999999998</v>
      </c>
    </row>
    <row r="8356" spans="1:9" s="71" customFormat="1" ht="19.5" hidden="1" customHeight="1" outlineLevel="1" x14ac:dyDescent="0.25">
      <c r="A8356" s="83">
        <v>10363</v>
      </c>
      <c r="B8356" s="45" t="s">
        <v>664</v>
      </c>
      <c r="C8356" s="82" t="s">
        <v>7768</v>
      </c>
      <c r="D8356" s="82"/>
      <c r="E8356" s="74">
        <v>2021</v>
      </c>
      <c r="F8356" s="74"/>
      <c r="G8356" s="45">
        <v>1</v>
      </c>
      <c r="H8356" s="45">
        <v>10</v>
      </c>
      <c r="I8356" s="45">
        <v>24.484249999999999</v>
      </c>
    </row>
    <row r="8357" spans="1:9" s="71" customFormat="1" ht="19.5" hidden="1" customHeight="1" outlineLevel="1" x14ac:dyDescent="0.25">
      <c r="A8357" s="83">
        <v>10348</v>
      </c>
      <c r="B8357" s="45" t="s">
        <v>664</v>
      </c>
      <c r="C8357" s="82" t="s">
        <v>7769</v>
      </c>
      <c r="D8357" s="82"/>
      <c r="E8357" s="74">
        <v>2021</v>
      </c>
      <c r="F8357" s="74"/>
      <c r="G8357" s="45">
        <v>1</v>
      </c>
      <c r="H8357" s="45">
        <v>12</v>
      </c>
      <c r="I8357" s="45">
        <v>30.703900000000001</v>
      </c>
    </row>
    <row r="8358" spans="1:9" s="71" customFormat="1" ht="19.5" hidden="1" customHeight="1" outlineLevel="1" x14ac:dyDescent="0.25">
      <c r="A8358" s="83">
        <v>10349</v>
      </c>
      <c r="B8358" s="45" t="s">
        <v>664</v>
      </c>
      <c r="C8358" s="82" t="s">
        <v>7770</v>
      </c>
      <c r="D8358" s="82"/>
      <c r="E8358" s="74">
        <v>2021</v>
      </c>
      <c r="F8358" s="74"/>
      <c r="G8358" s="45">
        <v>1</v>
      </c>
      <c r="H8358" s="45">
        <v>13</v>
      </c>
      <c r="I8358" s="45">
        <v>29.726830000000003</v>
      </c>
    </row>
    <row r="8359" spans="1:9" s="71" customFormat="1" ht="19.5" hidden="1" customHeight="1" outlineLevel="1" x14ac:dyDescent="0.25">
      <c r="A8359" s="83">
        <v>10345</v>
      </c>
      <c r="B8359" s="45" t="s">
        <v>664</v>
      </c>
      <c r="C8359" s="82" t="s">
        <v>7771</v>
      </c>
      <c r="D8359" s="82"/>
      <c r="E8359" s="74">
        <v>2021</v>
      </c>
      <c r="F8359" s="74"/>
      <c r="G8359" s="45">
        <v>1</v>
      </c>
      <c r="H8359" s="45">
        <v>7.5</v>
      </c>
      <c r="I8359" s="45">
        <v>27.87444</v>
      </c>
    </row>
    <row r="8360" spans="1:9" s="71" customFormat="1" ht="19.5" hidden="1" customHeight="1" outlineLevel="1" x14ac:dyDescent="0.25">
      <c r="A8360" s="83">
        <v>10368</v>
      </c>
      <c r="B8360" s="45" t="s">
        <v>664</v>
      </c>
      <c r="C8360" s="82" t="s">
        <v>7772</v>
      </c>
      <c r="D8360" s="82"/>
      <c r="E8360" s="74">
        <v>2021</v>
      </c>
      <c r="F8360" s="74"/>
      <c r="G8360" s="45">
        <v>1</v>
      </c>
      <c r="H8360" s="45">
        <v>14</v>
      </c>
      <c r="I8360" s="45">
        <v>26.509360000000001</v>
      </c>
    </row>
    <row r="8361" spans="1:9" s="71" customFormat="1" ht="19.5" hidden="1" customHeight="1" outlineLevel="1" x14ac:dyDescent="0.25">
      <c r="A8361" s="83">
        <v>10355</v>
      </c>
      <c r="B8361" s="45" t="s">
        <v>664</v>
      </c>
      <c r="C8361" s="82" t="s">
        <v>7773</v>
      </c>
      <c r="D8361" s="82"/>
      <c r="E8361" s="74">
        <v>2021</v>
      </c>
      <c r="F8361" s="74"/>
      <c r="G8361" s="45">
        <v>1</v>
      </c>
      <c r="H8361" s="45">
        <v>10</v>
      </c>
      <c r="I8361" s="45">
        <v>28.789159999999999</v>
      </c>
    </row>
    <row r="8362" spans="1:9" s="71" customFormat="1" ht="19.5" hidden="1" customHeight="1" outlineLevel="1" x14ac:dyDescent="0.25">
      <c r="A8362" s="83">
        <v>9386</v>
      </c>
      <c r="B8362" s="45" t="s">
        <v>664</v>
      </c>
      <c r="C8362" s="82" t="s">
        <v>7774</v>
      </c>
      <c r="D8362" s="82"/>
      <c r="E8362" s="74">
        <v>2021</v>
      </c>
      <c r="F8362" s="74"/>
      <c r="G8362" s="45">
        <v>1</v>
      </c>
      <c r="H8362" s="45">
        <v>15</v>
      </c>
      <c r="I8362" s="45">
        <v>32.733200000000004</v>
      </c>
    </row>
    <row r="8363" spans="1:9" s="71" customFormat="1" ht="19.5" hidden="1" customHeight="1" outlineLevel="1" x14ac:dyDescent="0.25">
      <c r="A8363" s="83">
        <v>9120</v>
      </c>
      <c r="B8363" s="45" t="s">
        <v>664</v>
      </c>
      <c r="C8363" s="82" t="s">
        <v>7775</v>
      </c>
      <c r="D8363" s="82"/>
      <c r="E8363" s="74">
        <v>2021</v>
      </c>
      <c r="F8363" s="74"/>
      <c r="G8363" s="45">
        <v>1</v>
      </c>
      <c r="H8363" s="45">
        <v>15</v>
      </c>
      <c r="I8363" s="45">
        <v>29.053169999999998</v>
      </c>
    </row>
    <row r="8364" spans="1:9" s="71" customFormat="1" ht="19.5" hidden="1" customHeight="1" outlineLevel="1" x14ac:dyDescent="0.25">
      <c r="A8364" s="83">
        <v>10359</v>
      </c>
      <c r="B8364" s="45" t="s">
        <v>664</v>
      </c>
      <c r="C8364" s="82" t="s">
        <v>7776</v>
      </c>
      <c r="D8364" s="82"/>
      <c r="E8364" s="74">
        <v>2021</v>
      </c>
      <c r="F8364" s="74"/>
      <c r="G8364" s="45">
        <v>1</v>
      </c>
      <c r="H8364" s="45">
        <v>8</v>
      </c>
      <c r="I8364" s="45">
        <v>27.30303</v>
      </c>
    </row>
    <row r="8365" spans="1:9" s="71" customFormat="1" ht="19.5" hidden="1" customHeight="1" outlineLevel="1" x14ac:dyDescent="0.25">
      <c r="A8365" s="83">
        <v>9124</v>
      </c>
      <c r="B8365" s="45" t="s">
        <v>664</v>
      </c>
      <c r="C8365" s="82" t="s">
        <v>7777</v>
      </c>
      <c r="D8365" s="82"/>
      <c r="E8365" s="74">
        <v>2021</v>
      </c>
      <c r="F8365" s="74"/>
      <c r="G8365" s="45">
        <v>1</v>
      </c>
      <c r="H8365" s="45">
        <v>15</v>
      </c>
      <c r="I8365" s="45">
        <v>29.961299999999998</v>
      </c>
    </row>
    <row r="8366" spans="1:9" s="71" customFormat="1" ht="19.5" hidden="1" customHeight="1" outlineLevel="1" x14ac:dyDescent="0.25">
      <c r="A8366" s="83">
        <v>10374</v>
      </c>
      <c r="B8366" s="45" t="s">
        <v>664</v>
      </c>
      <c r="C8366" s="82" t="s">
        <v>7778</v>
      </c>
      <c r="D8366" s="82"/>
      <c r="E8366" s="74">
        <v>2021</v>
      </c>
      <c r="F8366" s="74"/>
      <c r="G8366" s="45">
        <v>1</v>
      </c>
      <c r="H8366" s="45">
        <v>15</v>
      </c>
      <c r="I8366" s="45">
        <v>29.961299999999998</v>
      </c>
    </row>
    <row r="8367" spans="1:9" s="71" customFormat="1" ht="19.5" hidden="1" customHeight="1" outlineLevel="1" x14ac:dyDescent="0.25">
      <c r="A8367" s="84">
        <v>2553</v>
      </c>
      <c r="B8367" s="45" t="s">
        <v>664</v>
      </c>
      <c r="C8367" s="82" t="s">
        <v>7779</v>
      </c>
      <c r="D8367" s="82"/>
      <c r="E8367" s="74">
        <v>2021</v>
      </c>
      <c r="F8367" s="74"/>
      <c r="G8367" s="45">
        <v>1</v>
      </c>
      <c r="H8367" s="45">
        <v>13</v>
      </c>
      <c r="I8367" s="45">
        <v>30.265049999999999</v>
      </c>
    </row>
    <row r="8368" spans="1:9" s="71" customFormat="1" ht="19.5" hidden="1" customHeight="1" outlineLevel="1" x14ac:dyDescent="0.25">
      <c r="A8368" s="83">
        <v>9111</v>
      </c>
      <c r="B8368" s="45" t="s">
        <v>664</v>
      </c>
      <c r="C8368" s="82" t="s">
        <v>7780</v>
      </c>
      <c r="D8368" s="82"/>
      <c r="E8368" s="74">
        <v>2021</v>
      </c>
      <c r="F8368" s="74"/>
      <c r="G8368" s="45">
        <v>1</v>
      </c>
      <c r="H8368" s="45">
        <v>15</v>
      </c>
      <c r="I8368" s="45">
        <v>27.162290000000002</v>
      </c>
    </row>
    <row r="8369" spans="1:9" s="71" customFormat="1" ht="19.5" hidden="1" customHeight="1" outlineLevel="1" x14ac:dyDescent="0.25">
      <c r="A8369" s="84">
        <v>2559</v>
      </c>
      <c r="B8369" s="45" t="s">
        <v>664</v>
      </c>
      <c r="C8369" s="82" t="s">
        <v>7781</v>
      </c>
      <c r="D8369" s="82"/>
      <c r="E8369" s="74">
        <v>2021</v>
      </c>
      <c r="F8369" s="74"/>
      <c r="G8369" s="45">
        <v>1</v>
      </c>
      <c r="H8369" s="45">
        <v>9.9</v>
      </c>
      <c r="I8369" s="45">
        <v>26.507249999999999</v>
      </c>
    </row>
    <row r="8370" spans="1:9" s="71" customFormat="1" ht="19.5" hidden="1" customHeight="1" outlineLevel="1" x14ac:dyDescent="0.25">
      <c r="A8370" s="83">
        <v>10361</v>
      </c>
      <c r="B8370" s="45" t="s">
        <v>664</v>
      </c>
      <c r="C8370" s="82" t="s">
        <v>7782</v>
      </c>
      <c r="D8370" s="82"/>
      <c r="E8370" s="74">
        <v>2021</v>
      </c>
      <c r="F8370" s="74"/>
      <c r="G8370" s="45">
        <v>1</v>
      </c>
      <c r="H8370" s="45">
        <v>14.6</v>
      </c>
      <c r="I8370" s="45">
        <v>28.813749999999999</v>
      </c>
    </row>
    <row r="8371" spans="1:9" s="71" customFormat="1" ht="19.5" hidden="1" customHeight="1" outlineLevel="1" x14ac:dyDescent="0.25">
      <c r="A8371" s="83">
        <v>9041</v>
      </c>
      <c r="B8371" s="45" t="s">
        <v>664</v>
      </c>
      <c r="C8371" s="82" t="s">
        <v>7783</v>
      </c>
      <c r="D8371" s="82"/>
      <c r="E8371" s="74">
        <v>2021</v>
      </c>
      <c r="F8371" s="74"/>
      <c r="G8371" s="45">
        <v>1</v>
      </c>
      <c r="H8371" s="45">
        <v>11.1</v>
      </c>
      <c r="I8371" s="45">
        <v>25.710909999999998</v>
      </c>
    </row>
    <row r="8372" spans="1:9" s="71" customFormat="1" ht="19.5" hidden="1" customHeight="1" outlineLevel="1" x14ac:dyDescent="0.25">
      <c r="A8372" s="83">
        <v>9071</v>
      </c>
      <c r="B8372" s="45" t="s">
        <v>664</v>
      </c>
      <c r="C8372" s="82" t="s">
        <v>7784</v>
      </c>
      <c r="D8372" s="82"/>
      <c r="E8372" s="74">
        <v>2021</v>
      </c>
      <c r="F8372" s="74"/>
      <c r="G8372" s="45">
        <v>1</v>
      </c>
      <c r="H8372" s="45">
        <v>15</v>
      </c>
      <c r="I8372" s="45">
        <v>26.633880000000001</v>
      </c>
    </row>
    <row r="8373" spans="1:9" s="71" customFormat="1" ht="19.5" hidden="1" customHeight="1" outlineLevel="1" x14ac:dyDescent="0.25">
      <c r="A8373" s="83">
        <v>9022</v>
      </c>
      <c r="B8373" s="45" t="s">
        <v>664</v>
      </c>
      <c r="C8373" s="82" t="s">
        <v>7785</v>
      </c>
      <c r="D8373" s="82"/>
      <c r="E8373" s="74">
        <v>2021</v>
      </c>
      <c r="F8373" s="74"/>
      <c r="G8373" s="45">
        <v>1</v>
      </c>
      <c r="H8373" s="45">
        <v>15</v>
      </c>
      <c r="I8373" s="45">
        <v>83.935559999999995</v>
      </c>
    </row>
    <row r="8374" spans="1:9" s="71" customFormat="1" ht="19.5" hidden="1" customHeight="1" outlineLevel="1" x14ac:dyDescent="0.25">
      <c r="A8374" s="83">
        <v>9107</v>
      </c>
      <c r="B8374" s="45" t="s">
        <v>664</v>
      </c>
      <c r="C8374" s="82" t="s">
        <v>7786</v>
      </c>
      <c r="D8374" s="82"/>
      <c r="E8374" s="74">
        <v>2021</v>
      </c>
      <c r="F8374" s="74"/>
      <c r="G8374" s="45">
        <v>1</v>
      </c>
      <c r="H8374" s="45">
        <v>15</v>
      </c>
      <c r="I8374" s="45">
        <v>25.08202</v>
      </c>
    </row>
    <row r="8375" spans="1:9" s="71" customFormat="1" ht="19.5" hidden="1" customHeight="1" outlineLevel="1" x14ac:dyDescent="0.25">
      <c r="A8375" s="83">
        <v>9105</v>
      </c>
      <c r="B8375" s="45" t="s">
        <v>664</v>
      </c>
      <c r="C8375" s="82" t="s">
        <v>7787</v>
      </c>
      <c r="D8375" s="82"/>
      <c r="E8375" s="74">
        <v>2021</v>
      </c>
      <c r="F8375" s="74"/>
      <c r="G8375" s="45">
        <v>1</v>
      </c>
      <c r="H8375" s="45">
        <v>7.5</v>
      </c>
      <c r="I8375" s="45">
        <v>33.98545</v>
      </c>
    </row>
    <row r="8376" spans="1:9" s="71" customFormat="1" ht="19.5" hidden="1" customHeight="1" outlineLevel="1" x14ac:dyDescent="0.25">
      <c r="A8376" s="83">
        <v>9104</v>
      </c>
      <c r="B8376" s="45" t="s">
        <v>664</v>
      </c>
      <c r="C8376" s="82" t="s">
        <v>7788</v>
      </c>
      <c r="D8376" s="82"/>
      <c r="E8376" s="74">
        <v>2021</v>
      </c>
      <c r="F8376" s="74"/>
      <c r="G8376" s="45">
        <v>1</v>
      </c>
      <c r="H8376" s="45">
        <v>7.5</v>
      </c>
      <c r="I8376" s="45">
        <v>25.146180000000001</v>
      </c>
    </row>
    <row r="8377" spans="1:9" s="71" customFormat="1" ht="19.5" hidden="1" customHeight="1" outlineLevel="1" x14ac:dyDescent="0.25">
      <c r="A8377" s="83">
        <v>9048</v>
      </c>
      <c r="B8377" s="45" t="s">
        <v>664</v>
      </c>
      <c r="C8377" s="82" t="s">
        <v>7789</v>
      </c>
      <c r="D8377" s="82"/>
      <c r="E8377" s="74">
        <v>2021</v>
      </c>
      <c r="F8377" s="74"/>
      <c r="G8377" s="45">
        <v>1</v>
      </c>
      <c r="H8377" s="45">
        <v>14</v>
      </c>
      <c r="I8377" s="45">
        <v>26.445730000000001</v>
      </c>
    </row>
    <row r="8378" spans="1:9" s="71" customFormat="1" ht="19.5" hidden="1" customHeight="1" outlineLevel="1" x14ac:dyDescent="0.25">
      <c r="A8378" s="83">
        <v>9106</v>
      </c>
      <c r="B8378" s="45" t="s">
        <v>664</v>
      </c>
      <c r="C8378" s="82" t="s">
        <v>7790</v>
      </c>
      <c r="D8378" s="82"/>
      <c r="E8378" s="74">
        <v>2021</v>
      </c>
      <c r="F8378" s="74"/>
      <c r="G8378" s="45">
        <v>1</v>
      </c>
      <c r="H8378" s="45">
        <v>7</v>
      </c>
      <c r="I8378" s="45">
        <v>17.65352</v>
      </c>
    </row>
    <row r="8379" spans="1:9" s="71" customFormat="1" ht="19.5" hidden="1" customHeight="1" outlineLevel="1" x14ac:dyDescent="0.25">
      <c r="A8379" s="83">
        <v>9122</v>
      </c>
      <c r="B8379" s="45" t="s">
        <v>664</v>
      </c>
      <c r="C8379" s="82" t="s">
        <v>7791</v>
      </c>
      <c r="D8379" s="82"/>
      <c r="E8379" s="74">
        <v>2021</v>
      </c>
      <c r="F8379" s="74"/>
      <c r="G8379" s="45">
        <v>1</v>
      </c>
      <c r="H8379" s="45">
        <v>15</v>
      </c>
      <c r="I8379" s="45">
        <v>25.347330000000003</v>
      </c>
    </row>
    <row r="8380" spans="1:9" s="71" customFormat="1" ht="19.5" hidden="1" customHeight="1" outlineLevel="1" x14ac:dyDescent="0.25">
      <c r="A8380" s="83">
        <v>10373</v>
      </c>
      <c r="B8380" s="45" t="s">
        <v>664</v>
      </c>
      <c r="C8380" s="82" t="s">
        <v>7792</v>
      </c>
      <c r="D8380" s="82"/>
      <c r="E8380" s="74">
        <v>2021</v>
      </c>
      <c r="F8380" s="74"/>
      <c r="G8380" s="45">
        <v>1</v>
      </c>
      <c r="H8380" s="45">
        <v>15</v>
      </c>
      <c r="I8380" s="45">
        <v>25.52778</v>
      </c>
    </row>
    <row r="8381" spans="1:9" s="71" customFormat="1" ht="19.5" hidden="1" customHeight="1" outlineLevel="1" x14ac:dyDescent="0.25">
      <c r="A8381" s="83">
        <v>9117</v>
      </c>
      <c r="B8381" s="45" t="s">
        <v>664</v>
      </c>
      <c r="C8381" s="82" t="s">
        <v>7793</v>
      </c>
      <c r="D8381" s="82"/>
      <c r="E8381" s="74">
        <v>2021</v>
      </c>
      <c r="F8381" s="74"/>
      <c r="G8381" s="45">
        <v>1</v>
      </c>
      <c r="H8381" s="45">
        <v>14.5</v>
      </c>
      <c r="I8381" s="45">
        <v>28.47504</v>
      </c>
    </row>
    <row r="8382" spans="1:9" s="71" customFormat="1" ht="19.5" hidden="1" customHeight="1" outlineLevel="1" x14ac:dyDescent="0.25">
      <c r="A8382" s="83">
        <v>9045</v>
      </c>
      <c r="B8382" s="45" t="s">
        <v>664</v>
      </c>
      <c r="C8382" s="82" t="s">
        <v>7794</v>
      </c>
      <c r="D8382" s="82"/>
      <c r="E8382" s="74">
        <v>2021</v>
      </c>
      <c r="F8382" s="74"/>
      <c r="G8382" s="45">
        <v>1</v>
      </c>
      <c r="H8382" s="45">
        <v>9.1999999999999993</v>
      </c>
      <c r="I8382" s="45">
        <v>29.710259999999998</v>
      </c>
    </row>
    <row r="8383" spans="1:9" s="71" customFormat="1" ht="19.5" hidden="1" customHeight="1" outlineLevel="1" x14ac:dyDescent="0.25">
      <c r="A8383" s="83">
        <v>9049</v>
      </c>
      <c r="B8383" s="45" t="s">
        <v>664</v>
      </c>
      <c r="C8383" s="82" t="s">
        <v>7795</v>
      </c>
      <c r="D8383" s="82"/>
      <c r="E8383" s="74">
        <v>2021</v>
      </c>
      <c r="F8383" s="74"/>
      <c r="G8383" s="45">
        <v>1</v>
      </c>
      <c r="H8383" s="45">
        <v>12</v>
      </c>
      <c r="I8383" s="45">
        <v>26.361810000000002</v>
      </c>
    </row>
    <row r="8384" spans="1:9" s="71" customFormat="1" ht="19.5" hidden="1" customHeight="1" outlineLevel="1" x14ac:dyDescent="0.25">
      <c r="A8384" s="83">
        <v>9021</v>
      </c>
      <c r="B8384" s="45" t="s">
        <v>664</v>
      </c>
      <c r="C8384" s="82" t="s">
        <v>7796</v>
      </c>
      <c r="D8384" s="82"/>
      <c r="E8384" s="74">
        <v>2021</v>
      </c>
      <c r="F8384" s="74"/>
      <c r="G8384" s="45">
        <v>1</v>
      </c>
      <c r="H8384" s="45">
        <v>15</v>
      </c>
      <c r="I8384" s="45">
        <v>34.906779999999998</v>
      </c>
    </row>
    <row r="8385" spans="1:9" s="71" customFormat="1" ht="19.5" hidden="1" customHeight="1" outlineLevel="1" x14ac:dyDescent="0.25">
      <c r="A8385" s="83">
        <v>9047</v>
      </c>
      <c r="B8385" s="45" t="s">
        <v>664</v>
      </c>
      <c r="C8385" s="82" t="s">
        <v>7797</v>
      </c>
      <c r="D8385" s="82"/>
      <c r="E8385" s="74">
        <v>2021</v>
      </c>
      <c r="F8385" s="74"/>
      <c r="G8385" s="45">
        <v>1</v>
      </c>
      <c r="H8385" s="45">
        <v>10</v>
      </c>
      <c r="I8385" s="45">
        <v>26.234540000000003</v>
      </c>
    </row>
    <row r="8386" spans="1:9" s="71" customFormat="1" ht="19.5" hidden="1" customHeight="1" outlineLevel="1" x14ac:dyDescent="0.25">
      <c r="A8386" s="83">
        <v>10367</v>
      </c>
      <c r="B8386" s="45" t="s">
        <v>664</v>
      </c>
      <c r="C8386" s="82" t="s">
        <v>7798</v>
      </c>
      <c r="D8386" s="82"/>
      <c r="E8386" s="74">
        <v>2021</v>
      </c>
      <c r="F8386" s="74"/>
      <c r="G8386" s="45">
        <v>1</v>
      </c>
      <c r="H8386" s="45">
        <v>15</v>
      </c>
      <c r="I8386" s="45">
        <v>26.122310000000002</v>
      </c>
    </row>
    <row r="8387" spans="1:9" s="71" customFormat="1" ht="19.5" hidden="1" customHeight="1" outlineLevel="1" x14ac:dyDescent="0.25">
      <c r="A8387" s="83">
        <v>9027</v>
      </c>
      <c r="B8387" s="45" t="s">
        <v>664</v>
      </c>
      <c r="C8387" s="82" t="s">
        <v>7799</v>
      </c>
      <c r="D8387" s="82"/>
      <c r="E8387" s="74">
        <v>2021</v>
      </c>
      <c r="F8387" s="74"/>
      <c r="G8387" s="45">
        <v>1</v>
      </c>
      <c r="H8387" s="45">
        <v>12</v>
      </c>
      <c r="I8387" s="45">
        <v>26.290140000000001</v>
      </c>
    </row>
    <row r="8388" spans="1:9" s="71" customFormat="1" ht="19.5" hidden="1" customHeight="1" outlineLevel="1" x14ac:dyDescent="0.25">
      <c r="A8388" s="83">
        <v>9026</v>
      </c>
      <c r="B8388" s="45" t="s">
        <v>664</v>
      </c>
      <c r="C8388" s="82" t="s">
        <v>7800</v>
      </c>
      <c r="D8388" s="82"/>
      <c r="E8388" s="74">
        <v>2021</v>
      </c>
      <c r="F8388" s="74"/>
      <c r="G8388" s="45">
        <v>1</v>
      </c>
      <c r="H8388" s="45">
        <v>15</v>
      </c>
      <c r="I8388" s="45">
        <v>25.955970000000001</v>
      </c>
    </row>
    <row r="8389" spans="1:9" s="71" customFormat="1" ht="19.5" hidden="1" customHeight="1" outlineLevel="1" x14ac:dyDescent="0.25">
      <c r="A8389" s="83">
        <v>9064</v>
      </c>
      <c r="B8389" s="45" t="s">
        <v>664</v>
      </c>
      <c r="C8389" s="82" t="s">
        <v>7801</v>
      </c>
      <c r="D8389" s="82"/>
      <c r="E8389" s="74">
        <v>2021</v>
      </c>
      <c r="F8389" s="74"/>
      <c r="G8389" s="45">
        <v>1</v>
      </c>
      <c r="H8389" s="45">
        <v>15</v>
      </c>
      <c r="I8389" s="45">
        <v>28.719810000000003</v>
      </c>
    </row>
    <row r="8390" spans="1:9" s="71" customFormat="1" ht="19.5" hidden="1" customHeight="1" outlineLevel="1" x14ac:dyDescent="0.25">
      <c r="A8390" s="83">
        <v>9058</v>
      </c>
      <c r="B8390" s="45" t="s">
        <v>664</v>
      </c>
      <c r="C8390" s="82" t="s">
        <v>7802</v>
      </c>
      <c r="D8390" s="82"/>
      <c r="E8390" s="74">
        <v>2021</v>
      </c>
      <c r="F8390" s="74"/>
      <c r="G8390" s="45">
        <v>1</v>
      </c>
      <c r="H8390" s="45">
        <v>15</v>
      </c>
      <c r="I8390" s="45">
        <v>39.283910000000006</v>
      </c>
    </row>
    <row r="8391" spans="1:9" s="71" customFormat="1" ht="19.5" hidden="1" customHeight="1" outlineLevel="1" x14ac:dyDescent="0.25">
      <c r="A8391" s="83">
        <v>9060</v>
      </c>
      <c r="B8391" s="45" t="s">
        <v>664</v>
      </c>
      <c r="C8391" s="82" t="s">
        <v>7803</v>
      </c>
      <c r="D8391" s="82"/>
      <c r="E8391" s="74">
        <v>2021</v>
      </c>
      <c r="F8391" s="74"/>
      <c r="G8391" s="45">
        <v>1</v>
      </c>
      <c r="H8391" s="45">
        <v>15</v>
      </c>
      <c r="I8391" s="45">
        <v>26.802340000000001</v>
      </c>
    </row>
    <row r="8392" spans="1:9" s="71" customFormat="1" ht="19.5" hidden="1" customHeight="1" outlineLevel="1" x14ac:dyDescent="0.25">
      <c r="A8392" s="83">
        <v>9059</v>
      </c>
      <c r="B8392" s="45" t="s">
        <v>664</v>
      </c>
      <c r="C8392" s="82" t="s">
        <v>7804</v>
      </c>
      <c r="D8392" s="82"/>
      <c r="E8392" s="74">
        <v>2021</v>
      </c>
      <c r="F8392" s="74"/>
      <c r="G8392" s="45">
        <v>1</v>
      </c>
      <c r="H8392" s="45">
        <v>15</v>
      </c>
      <c r="I8392" s="45">
        <v>28.57403</v>
      </c>
    </row>
    <row r="8393" spans="1:9" s="71" customFormat="1" ht="19.5" hidden="1" customHeight="1" outlineLevel="1" x14ac:dyDescent="0.25">
      <c r="A8393" s="83">
        <v>9132</v>
      </c>
      <c r="B8393" s="45" t="s">
        <v>664</v>
      </c>
      <c r="C8393" s="82" t="s">
        <v>7805</v>
      </c>
      <c r="D8393" s="82"/>
      <c r="E8393" s="74">
        <v>2021</v>
      </c>
      <c r="F8393" s="74"/>
      <c r="G8393" s="45">
        <v>1</v>
      </c>
      <c r="H8393" s="45">
        <v>15</v>
      </c>
      <c r="I8393" s="45">
        <v>36.689730000000004</v>
      </c>
    </row>
    <row r="8394" spans="1:9" s="71" customFormat="1" ht="19.5" hidden="1" customHeight="1" outlineLevel="1" x14ac:dyDescent="0.25">
      <c r="A8394" s="83">
        <v>9061</v>
      </c>
      <c r="B8394" s="45" t="s">
        <v>664</v>
      </c>
      <c r="C8394" s="82" t="s">
        <v>7806</v>
      </c>
      <c r="D8394" s="82"/>
      <c r="E8394" s="74">
        <v>2021</v>
      </c>
      <c r="F8394" s="74"/>
      <c r="G8394" s="45">
        <v>1</v>
      </c>
      <c r="H8394" s="45">
        <v>15</v>
      </c>
      <c r="I8394" s="45">
        <v>29.11149</v>
      </c>
    </row>
    <row r="8395" spans="1:9" s="71" customFormat="1" ht="19.5" hidden="1" customHeight="1" outlineLevel="1" x14ac:dyDescent="0.25">
      <c r="A8395" s="83">
        <v>9062</v>
      </c>
      <c r="B8395" s="45" t="s">
        <v>664</v>
      </c>
      <c r="C8395" s="82" t="s">
        <v>7807</v>
      </c>
      <c r="D8395" s="82"/>
      <c r="E8395" s="74">
        <v>2021</v>
      </c>
      <c r="F8395" s="74"/>
      <c r="G8395" s="45">
        <v>1</v>
      </c>
      <c r="H8395" s="45">
        <v>15</v>
      </c>
      <c r="I8395" s="45">
        <v>36.79063</v>
      </c>
    </row>
    <row r="8396" spans="1:9" s="71" customFormat="1" ht="19.5" hidden="1" customHeight="1" outlineLevel="1" x14ac:dyDescent="0.25">
      <c r="A8396" s="83">
        <v>9121</v>
      </c>
      <c r="B8396" s="45" t="s">
        <v>664</v>
      </c>
      <c r="C8396" s="82" t="s">
        <v>7808</v>
      </c>
      <c r="D8396" s="82"/>
      <c r="E8396" s="74">
        <v>2021</v>
      </c>
      <c r="F8396" s="74"/>
      <c r="G8396" s="45">
        <v>1</v>
      </c>
      <c r="H8396" s="45">
        <v>15</v>
      </c>
      <c r="I8396" s="45">
        <v>28.121689999999997</v>
      </c>
    </row>
    <row r="8397" spans="1:9" s="71" customFormat="1" ht="19.5" hidden="1" customHeight="1" outlineLevel="1" x14ac:dyDescent="0.25">
      <c r="A8397" s="83">
        <v>9063</v>
      </c>
      <c r="B8397" s="45" t="s">
        <v>664</v>
      </c>
      <c r="C8397" s="82" t="s">
        <v>7809</v>
      </c>
      <c r="D8397" s="82"/>
      <c r="E8397" s="74">
        <v>2021</v>
      </c>
      <c r="F8397" s="74"/>
      <c r="G8397" s="45">
        <v>1</v>
      </c>
      <c r="H8397" s="45">
        <v>15</v>
      </c>
      <c r="I8397" s="45">
        <v>31.09328</v>
      </c>
    </row>
    <row r="8398" spans="1:9" s="71" customFormat="1" ht="19.5" hidden="1" customHeight="1" outlineLevel="1" x14ac:dyDescent="0.25">
      <c r="A8398" s="83">
        <v>9050</v>
      </c>
      <c r="B8398" s="45" t="s">
        <v>664</v>
      </c>
      <c r="C8398" s="82" t="s">
        <v>7810</v>
      </c>
      <c r="D8398" s="82"/>
      <c r="E8398" s="74">
        <v>2021</v>
      </c>
      <c r="F8398" s="74"/>
      <c r="G8398" s="45">
        <v>1</v>
      </c>
      <c r="H8398" s="45">
        <v>14.5</v>
      </c>
      <c r="I8398" s="45">
        <v>44.557650000000002</v>
      </c>
    </row>
    <row r="8399" spans="1:9" s="71" customFormat="1" ht="19.5" hidden="1" customHeight="1" outlineLevel="1" x14ac:dyDescent="0.25">
      <c r="A8399" s="84">
        <v>2532</v>
      </c>
      <c r="B8399" s="45" t="s">
        <v>664</v>
      </c>
      <c r="C8399" s="82" t="s">
        <v>7811</v>
      </c>
      <c r="D8399" s="82"/>
      <c r="E8399" s="74">
        <v>2021</v>
      </c>
      <c r="F8399" s="74"/>
      <c r="G8399" s="45">
        <v>1</v>
      </c>
      <c r="H8399" s="45">
        <v>8</v>
      </c>
      <c r="I8399" s="45">
        <v>24.872990000000001</v>
      </c>
    </row>
    <row r="8400" spans="1:9" s="71" customFormat="1" ht="19.5" hidden="1" customHeight="1" outlineLevel="1" x14ac:dyDescent="0.25">
      <c r="A8400" s="83">
        <v>9031</v>
      </c>
      <c r="B8400" s="45" t="s">
        <v>664</v>
      </c>
      <c r="C8400" s="82" t="s">
        <v>7812</v>
      </c>
      <c r="D8400" s="82"/>
      <c r="E8400" s="74">
        <v>2021</v>
      </c>
      <c r="F8400" s="74"/>
      <c r="G8400" s="45">
        <v>1</v>
      </c>
      <c r="H8400" s="45">
        <v>15</v>
      </c>
      <c r="I8400" s="45">
        <v>26.812000000000001</v>
      </c>
    </row>
    <row r="8401" spans="1:9" s="71" customFormat="1" ht="19.5" hidden="1" customHeight="1" outlineLevel="1" x14ac:dyDescent="0.25">
      <c r="A8401" s="83">
        <v>9131</v>
      </c>
      <c r="B8401" s="45" t="s">
        <v>664</v>
      </c>
      <c r="C8401" s="82" t="s">
        <v>7813</v>
      </c>
      <c r="D8401" s="82"/>
      <c r="E8401" s="74">
        <v>2021</v>
      </c>
      <c r="F8401" s="74"/>
      <c r="G8401" s="45">
        <v>1</v>
      </c>
      <c r="H8401" s="45">
        <v>15</v>
      </c>
      <c r="I8401" s="45">
        <v>34.339700000000001</v>
      </c>
    </row>
    <row r="8402" spans="1:9" s="71" customFormat="1" ht="19.5" hidden="1" customHeight="1" outlineLevel="1" x14ac:dyDescent="0.25">
      <c r="A8402" s="83">
        <v>9068</v>
      </c>
      <c r="B8402" s="45" t="s">
        <v>664</v>
      </c>
      <c r="C8402" s="82" t="s">
        <v>7814</v>
      </c>
      <c r="D8402" s="82"/>
      <c r="E8402" s="74">
        <v>2021</v>
      </c>
      <c r="F8402" s="74"/>
      <c r="G8402" s="45">
        <v>1</v>
      </c>
      <c r="H8402" s="45">
        <v>15</v>
      </c>
      <c r="I8402" s="45">
        <v>24.76004</v>
      </c>
    </row>
    <row r="8403" spans="1:9" s="71" customFormat="1" ht="19.5" hidden="1" customHeight="1" outlineLevel="1" x14ac:dyDescent="0.25">
      <c r="A8403" s="83">
        <v>9116</v>
      </c>
      <c r="B8403" s="45" t="s">
        <v>664</v>
      </c>
      <c r="C8403" s="82" t="s">
        <v>7815</v>
      </c>
      <c r="D8403" s="82"/>
      <c r="E8403" s="74">
        <v>2021</v>
      </c>
      <c r="F8403" s="74"/>
      <c r="G8403" s="45">
        <v>1</v>
      </c>
      <c r="H8403" s="45">
        <v>8</v>
      </c>
      <c r="I8403" s="45">
        <v>26.832270000000001</v>
      </c>
    </row>
    <row r="8404" spans="1:9" s="71" customFormat="1" ht="19.5" hidden="1" customHeight="1" outlineLevel="1" x14ac:dyDescent="0.25">
      <c r="A8404" s="83">
        <v>9070</v>
      </c>
      <c r="B8404" s="45" t="s">
        <v>664</v>
      </c>
      <c r="C8404" s="82" t="s">
        <v>7816</v>
      </c>
      <c r="D8404" s="82"/>
      <c r="E8404" s="74">
        <v>2021</v>
      </c>
      <c r="F8404" s="74"/>
      <c r="G8404" s="45">
        <v>1</v>
      </c>
      <c r="H8404" s="45">
        <v>15</v>
      </c>
      <c r="I8404" s="45">
        <v>48.438279999999999</v>
      </c>
    </row>
    <row r="8405" spans="1:9" s="71" customFormat="1" ht="19.5" hidden="1" customHeight="1" outlineLevel="1" x14ac:dyDescent="0.25">
      <c r="A8405" s="83">
        <v>9112</v>
      </c>
      <c r="B8405" s="45" t="s">
        <v>664</v>
      </c>
      <c r="C8405" s="82" t="s">
        <v>7817</v>
      </c>
      <c r="D8405" s="82"/>
      <c r="E8405" s="74">
        <v>2021</v>
      </c>
      <c r="F8405" s="74"/>
      <c r="G8405" s="45">
        <v>1</v>
      </c>
      <c r="H8405" s="45">
        <v>8.9</v>
      </c>
      <c r="I8405" s="45">
        <v>25.647580000000001</v>
      </c>
    </row>
    <row r="8406" spans="1:9" s="71" customFormat="1" ht="19.5" hidden="1" customHeight="1" outlineLevel="1" x14ac:dyDescent="0.25">
      <c r="A8406" s="83">
        <v>9032</v>
      </c>
      <c r="B8406" s="45" t="s">
        <v>664</v>
      </c>
      <c r="C8406" s="82" t="s">
        <v>7818</v>
      </c>
      <c r="D8406" s="82"/>
      <c r="E8406" s="74">
        <v>2021</v>
      </c>
      <c r="F8406" s="74"/>
      <c r="G8406" s="45">
        <v>1</v>
      </c>
      <c r="H8406" s="45">
        <v>15</v>
      </c>
      <c r="I8406" s="45">
        <v>26.523330000000001</v>
      </c>
    </row>
    <row r="8407" spans="1:9" s="71" customFormat="1" ht="19.5" hidden="1" customHeight="1" outlineLevel="1" x14ac:dyDescent="0.25">
      <c r="A8407" s="83">
        <v>9113</v>
      </c>
      <c r="B8407" s="45" t="s">
        <v>664</v>
      </c>
      <c r="C8407" s="82" t="s">
        <v>7819</v>
      </c>
      <c r="D8407" s="82"/>
      <c r="E8407" s="74">
        <v>2021</v>
      </c>
      <c r="F8407" s="74"/>
      <c r="G8407" s="45">
        <v>1</v>
      </c>
      <c r="H8407" s="45">
        <v>11</v>
      </c>
      <c r="I8407" s="45">
        <v>25.64716</v>
      </c>
    </row>
    <row r="8408" spans="1:9" s="71" customFormat="1" ht="19.5" hidden="1" customHeight="1" outlineLevel="1" x14ac:dyDescent="0.25">
      <c r="A8408" s="83">
        <v>9057</v>
      </c>
      <c r="B8408" s="45" t="s">
        <v>664</v>
      </c>
      <c r="C8408" s="82" t="s">
        <v>7820</v>
      </c>
      <c r="D8408" s="82"/>
      <c r="E8408" s="74">
        <v>2021</v>
      </c>
      <c r="F8408" s="74"/>
      <c r="G8408" s="45">
        <v>1</v>
      </c>
      <c r="H8408" s="45">
        <v>15</v>
      </c>
      <c r="I8408" s="45">
        <v>25.617240000000002</v>
      </c>
    </row>
    <row r="8409" spans="1:9" s="71" customFormat="1" ht="19.5" hidden="1" customHeight="1" outlineLevel="1" x14ac:dyDescent="0.25">
      <c r="A8409" s="83">
        <v>9126</v>
      </c>
      <c r="B8409" s="45" t="s">
        <v>664</v>
      </c>
      <c r="C8409" s="82" t="s">
        <v>7821</v>
      </c>
      <c r="D8409" s="82"/>
      <c r="E8409" s="74">
        <v>2021</v>
      </c>
      <c r="F8409" s="74"/>
      <c r="G8409" s="45">
        <v>1</v>
      </c>
      <c r="H8409" s="45">
        <v>15</v>
      </c>
      <c r="I8409" s="45">
        <v>30.078859999999999</v>
      </c>
    </row>
    <row r="8410" spans="1:9" s="71" customFormat="1" ht="19.5" hidden="1" customHeight="1" outlineLevel="1" x14ac:dyDescent="0.25">
      <c r="A8410" s="83">
        <v>9034</v>
      </c>
      <c r="B8410" s="45" t="s">
        <v>664</v>
      </c>
      <c r="C8410" s="82" t="s">
        <v>7822</v>
      </c>
      <c r="D8410" s="82"/>
      <c r="E8410" s="74">
        <v>2021</v>
      </c>
      <c r="F8410" s="74"/>
      <c r="G8410" s="45">
        <v>1</v>
      </c>
      <c r="H8410" s="45">
        <v>15</v>
      </c>
      <c r="I8410" s="45">
        <v>24.87275</v>
      </c>
    </row>
    <row r="8411" spans="1:9" s="71" customFormat="1" ht="19.5" hidden="1" customHeight="1" outlineLevel="1" x14ac:dyDescent="0.25">
      <c r="A8411" s="83">
        <v>9039</v>
      </c>
      <c r="B8411" s="45" t="s">
        <v>664</v>
      </c>
      <c r="C8411" s="82" t="s">
        <v>7823</v>
      </c>
      <c r="D8411" s="82"/>
      <c r="E8411" s="74">
        <v>2021</v>
      </c>
      <c r="F8411" s="74"/>
      <c r="G8411" s="45">
        <v>1</v>
      </c>
      <c r="H8411" s="45">
        <v>15</v>
      </c>
      <c r="I8411" s="45">
        <v>24.435110000000002</v>
      </c>
    </row>
    <row r="8412" spans="1:9" s="71" customFormat="1" ht="19.5" hidden="1" customHeight="1" outlineLevel="1" x14ac:dyDescent="0.25">
      <c r="A8412" s="83">
        <v>9065</v>
      </c>
      <c r="B8412" s="45" t="s">
        <v>664</v>
      </c>
      <c r="C8412" s="82" t="s">
        <v>7824</v>
      </c>
      <c r="D8412" s="82"/>
      <c r="E8412" s="74">
        <v>2021</v>
      </c>
      <c r="F8412" s="74"/>
      <c r="G8412" s="45">
        <v>1</v>
      </c>
      <c r="H8412" s="45">
        <v>15</v>
      </c>
      <c r="I8412" s="45">
        <v>29.03078</v>
      </c>
    </row>
    <row r="8413" spans="1:9" s="71" customFormat="1" ht="19.5" hidden="1" customHeight="1" outlineLevel="1" x14ac:dyDescent="0.25">
      <c r="A8413" s="83">
        <v>9066</v>
      </c>
      <c r="B8413" s="45" t="s">
        <v>664</v>
      </c>
      <c r="C8413" s="82" t="s">
        <v>7825</v>
      </c>
      <c r="D8413" s="82"/>
      <c r="E8413" s="74">
        <v>2021</v>
      </c>
      <c r="F8413" s="74"/>
      <c r="G8413" s="45">
        <v>1</v>
      </c>
      <c r="H8413" s="45">
        <v>15</v>
      </c>
      <c r="I8413" s="45">
        <v>25.303009999999997</v>
      </c>
    </row>
    <row r="8414" spans="1:9" s="71" customFormat="1" ht="19.5" hidden="1" customHeight="1" outlineLevel="1" x14ac:dyDescent="0.25">
      <c r="A8414" s="83">
        <v>9035</v>
      </c>
      <c r="B8414" s="45" t="s">
        <v>664</v>
      </c>
      <c r="C8414" s="82" t="s">
        <v>7826</v>
      </c>
      <c r="D8414" s="82"/>
      <c r="E8414" s="74">
        <v>2021</v>
      </c>
      <c r="F8414" s="74"/>
      <c r="G8414" s="45">
        <v>1</v>
      </c>
      <c r="H8414" s="45">
        <v>9</v>
      </c>
      <c r="I8414" s="45">
        <v>24.852689999999999</v>
      </c>
    </row>
    <row r="8415" spans="1:9" s="71" customFormat="1" ht="19.5" hidden="1" customHeight="1" outlineLevel="1" x14ac:dyDescent="0.25">
      <c r="A8415" s="83">
        <v>9129</v>
      </c>
      <c r="B8415" s="45" t="s">
        <v>664</v>
      </c>
      <c r="C8415" s="82" t="s">
        <v>7827</v>
      </c>
      <c r="D8415" s="82"/>
      <c r="E8415" s="74">
        <v>2021</v>
      </c>
      <c r="F8415" s="74"/>
      <c r="G8415" s="45">
        <v>1</v>
      </c>
      <c r="H8415" s="45">
        <v>15</v>
      </c>
      <c r="I8415" s="45">
        <v>32.175080000000001</v>
      </c>
    </row>
    <row r="8416" spans="1:9" s="71" customFormat="1" ht="19.5" hidden="1" customHeight="1" outlineLevel="1" x14ac:dyDescent="0.25">
      <c r="A8416" s="83">
        <v>9051</v>
      </c>
      <c r="B8416" s="45" t="s">
        <v>664</v>
      </c>
      <c r="C8416" s="82" t="s">
        <v>7828</v>
      </c>
      <c r="D8416" s="82"/>
      <c r="E8416" s="74">
        <v>2021</v>
      </c>
      <c r="F8416" s="74"/>
      <c r="G8416" s="45">
        <v>1</v>
      </c>
      <c r="H8416" s="45">
        <v>10</v>
      </c>
      <c r="I8416" s="45">
        <v>26.52328</v>
      </c>
    </row>
    <row r="8417" spans="1:9" s="71" customFormat="1" ht="19.5" hidden="1" customHeight="1" outlineLevel="1" x14ac:dyDescent="0.25">
      <c r="A8417" s="83">
        <v>9003</v>
      </c>
      <c r="B8417" s="45" t="s">
        <v>664</v>
      </c>
      <c r="C8417" s="82" t="s">
        <v>7829</v>
      </c>
      <c r="D8417" s="82"/>
      <c r="E8417" s="74">
        <v>2021</v>
      </c>
      <c r="F8417" s="74"/>
      <c r="G8417" s="45">
        <v>1</v>
      </c>
      <c r="H8417" s="45">
        <v>15</v>
      </c>
      <c r="I8417" s="45">
        <v>28.914210000000001</v>
      </c>
    </row>
    <row r="8418" spans="1:9" s="71" customFormat="1" ht="19.5" hidden="1" customHeight="1" outlineLevel="1" x14ac:dyDescent="0.25">
      <c r="A8418" s="83">
        <v>9033</v>
      </c>
      <c r="B8418" s="45" t="s">
        <v>664</v>
      </c>
      <c r="C8418" s="82" t="s">
        <v>7830</v>
      </c>
      <c r="D8418" s="82"/>
      <c r="E8418" s="74">
        <v>2021</v>
      </c>
      <c r="F8418" s="74"/>
      <c r="G8418" s="45">
        <v>1</v>
      </c>
      <c r="H8418" s="45">
        <v>15</v>
      </c>
      <c r="I8418" s="45">
        <v>24.852689999999999</v>
      </c>
    </row>
    <row r="8419" spans="1:9" s="71" customFormat="1" ht="19.5" hidden="1" customHeight="1" outlineLevel="1" x14ac:dyDescent="0.25">
      <c r="A8419" s="83">
        <v>9036</v>
      </c>
      <c r="B8419" s="45" t="s">
        <v>664</v>
      </c>
      <c r="C8419" s="82" t="s">
        <v>7831</v>
      </c>
      <c r="D8419" s="82"/>
      <c r="E8419" s="74">
        <v>2021</v>
      </c>
      <c r="F8419" s="74"/>
      <c r="G8419" s="45">
        <v>1</v>
      </c>
      <c r="H8419" s="45">
        <v>15</v>
      </c>
      <c r="I8419" s="45">
        <v>31.540650000000003</v>
      </c>
    </row>
    <row r="8420" spans="1:9" s="71" customFormat="1" ht="19.5" hidden="1" customHeight="1" outlineLevel="1" x14ac:dyDescent="0.25">
      <c r="A8420" s="83">
        <v>9044</v>
      </c>
      <c r="B8420" s="45" t="s">
        <v>664</v>
      </c>
      <c r="C8420" s="82" t="s">
        <v>7832</v>
      </c>
      <c r="D8420" s="82"/>
      <c r="E8420" s="74">
        <v>2021</v>
      </c>
      <c r="F8420" s="74"/>
      <c r="G8420" s="45">
        <v>1</v>
      </c>
      <c r="H8420" s="45">
        <v>11.5</v>
      </c>
      <c r="I8420" s="45">
        <v>26.515979999999999</v>
      </c>
    </row>
    <row r="8421" spans="1:9" s="71" customFormat="1" ht="19.5" hidden="1" customHeight="1" outlineLevel="1" x14ac:dyDescent="0.25">
      <c r="A8421" s="84">
        <v>1325</v>
      </c>
      <c r="B8421" s="45" t="s">
        <v>664</v>
      </c>
      <c r="C8421" s="82" t="s">
        <v>7833</v>
      </c>
      <c r="D8421" s="82"/>
      <c r="E8421" s="74">
        <v>2021</v>
      </c>
      <c r="F8421" s="74"/>
      <c r="G8421" s="45">
        <v>1</v>
      </c>
      <c r="H8421" s="45">
        <v>8.5</v>
      </c>
      <c r="I8421" s="45">
        <v>36</v>
      </c>
    </row>
    <row r="8422" spans="1:9" s="71" customFormat="1" ht="19.5" hidden="1" customHeight="1" outlineLevel="1" x14ac:dyDescent="0.25">
      <c r="A8422" s="83">
        <v>9067</v>
      </c>
      <c r="B8422" s="45" t="s">
        <v>664</v>
      </c>
      <c r="C8422" s="82" t="s">
        <v>7834</v>
      </c>
      <c r="D8422" s="82"/>
      <c r="E8422" s="74">
        <v>2021</v>
      </c>
      <c r="F8422" s="74"/>
      <c r="G8422" s="45">
        <v>1</v>
      </c>
      <c r="H8422" s="45">
        <v>15</v>
      </c>
      <c r="I8422" s="45">
        <v>24.682130000000001</v>
      </c>
    </row>
    <row r="8423" spans="1:9" s="71" customFormat="1" ht="19.5" hidden="1" customHeight="1" outlineLevel="1" x14ac:dyDescent="0.25">
      <c r="A8423" s="83">
        <v>9125</v>
      </c>
      <c r="B8423" s="45" t="s">
        <v>664</v>
      </c>
      <c r="C8423" s="82" t="s">
        <v>7835</v>
      </c>
      <c r="D8423" s="82"/>
      <c r="E8423" s="74">
        <v>2021</v>
      </c>
      <c r="F8423" s="74"/>
      <c r="G8423" s="45">
        <v>1</v>
      </c>
      <c r="H8423" s="45">
        <v>15</v>
      </c>
      <c r="I8423" s="45">
        <v>32.718139999999998</v>
      </c>
    </row>
    <row r="8424" spans="1:9" s="71" customFormat="1" ht="19.5" hidden="1" customHeight="1" outlineLevel="1" x14ac:dyDescent="0.25">
      <c r="A8424" s="83">
        <v>9069</v>
      </c>
      <c r="B8424" s="45" t="s">
        <v>664</v>
      </c>
      <c r="C8424" s="82" t="s">
        <v>7836</v>
      </c>
      <c r="D8424" s="82"/>
      <c r="E8424" s="74">
        <v>2021</v>
      </c>
      <c r="F8424" s="74"/>
      <c r="G8424" s="45">
        <v>1</v>
      </c>
      <c r="H8424" s="45">
        <v>15</v>
      </c>
      <c r="I8424" s="45">
        <v>24.91553</v>
      </c>
    </row>
    <row r="8425" spans="1:9" s="71" customFormat="1" ht="19.5" hidden="1" customHeight="1" outlineLevel="1" x14ac:dyDescent="0.25">
      <c r="A8425" s="83">
        <v>9072</v>
      </c>
      <c r="B8425" s="45" t="s">
        <v>664</v>
      </c>
      <c r="C8425" s="82" t="s">
        <v>7837</v>
      </c>
      <c r="D8425" s="82"/>
      <c r="E8425" s="74">
        <v>2021</v>
      </c>
      <c r="F8425" s="74"/>
      <c r="G8425" s="45">
        <v>1</v>
      </c>
      <c r="H8425" s="45">
        <v>15</v>
      </c>
      <c r="I8425" s="45">
        <v>24.915759999999999</v>
      </c>
    </row>
    <row r="8426" spans="1:9" s="71" customFormat="1" ht="19.5" hidden="1" customHeight="1" outlineLevel="1" x14ac:dyDescent="0.25">
      <c r="A8426" s="83">
        <v>9109</v>
      </c>
      <c r="B8426" s="45" t="s">
        <v>664</v>
      </c>
      <c r="C8426" s="82" t="s">
        <v>7838</v>
      </c>
      <c r="D8426" s="82"/>
      <c r="E8426" s="74">
        <v>2021</v>
      </c>
      <c r="F8426" s="74"/>
      <c r="G8426" s="45">
        <v>1</v>
      </c>
      <c r="H8426" s="45">
        <v>15</v>
      </c>
      <c r="I8426" s="45">
        <v>25.508890000000001</v>
      </c>
    </row>
    <row r="8427" spans="1:9" s="71" customFormat="1" ht="19.5" hidden="1" customHeight="1" outlineLevel="1" x14ac:dyDescent="0.25">
      <c r="A8427" s="84">
        <v>2552</v>
      </c>
      <c r="B8427" s="45" t="s">
        <v>664</v>
      </c>
      <c r="C8427" s="82" t="s">
        <v>7839</v>
      </c>
      <c r="D8427" s="82"/>
      <c r="E8427" s="74">
        <v>2021</v>
      </c>
      <c r="F8427" s="74"/>
      <c r="G8427" s="45">
        <v>1</v>
      </c>
      <c r="H8427" s="45">
        <v>15</v>
      </c>
      <c r="I8427" s="45">
        <v>25.597060000000003</v>
      </c>
    </row>
    <row r="8428" spans="1:9" s="71" customFormat="1" ht="19.5" hidden="1" customHeight="1" outlineLevel="1" x14ac:dyDescent="0.25">
      <c r="A8428" s="83">
        <v>9127</v>
      </c>
      <c r="B8428" s="45" t="s">
        <v>664</v>
      </c>
      <c r="C8428" s="82" t="s">
        <v>7840</v>
      </c>
      <c r="D8428" s="82"/>
      <c r="E8428" s="74">
        <v>2021</v>
      </c>
      <c r="F8428" s="74"/>
      <c r="G8428" s="45">
        <v>1</v>
      </c>
      <c r="H8428" s="45">
        <v>15</v>
      </c>
      <c r="I8428" s="45">
        <v>29</v>
      </c>
    </row>
    <row r="8429" spans="1:9" s="71" customFormat="1" ht="19.5" hidden="1" customHeight="1" outlineLevel="1" x14ac:dyDescent="0.25">
      <c r="A8429" s="83">
        <v>9130</v>
      </c>
      <c r="B8429" s="45" t="s">
        <v>664</v>
      </c>
      <c r="C8429" s="82" t="s">
        <v>7841</v>
      </c>
      <c r="D8429" s="82"/>
      <c r="E8429" s="74">
        <v>2021</v>
      </c>
      <c r="F8429" s="74"/>
      <c r="G8429" s="45">
        <v>1</v>
      </c>
      <c r="H8429" s="45">
        <v>15</v>
      </c>
      <c r="I8429" s="45">
        <v>30.078869999999998</v>
      </c>
    </row>
    <row r="8430" spans="1:9" s="71" customFormat="1" ht="19.5" hidden="1" customHeight="1" outlineLevel="1" x14ac:dyDescent="0.25">
      <c r="A8430" s="83">
        <v>9128</v>
      </c>
      <c r="B8430" s="45" t="s">
        <v>664</v>
      </c>
      <c r="C8430" s="82" t="s">
        <v>7842</v>
      </c>
      <c r="D8430" s="82"/>
      <c r="E8430" s="74">
        <v>2021</v>
      </c>
      <c r="F8430" s="74"/>
      <c r="G8430" s="45">
        <v>1</v>
      </c>
      <c r="H8430" s="45">
        <v>15</v>
      </c>
      <c r="I8430" s="45">
        <v>28.836369999999999</v>
      </c>
    </row>
    <row r="8431" spans="1:9" s="71" customFormat="1" ht="19.5" hidden="1" customHeight="1" outlineLevel="1" x14ac:dyDescent="0.25">
      <c r="A8431" s="83">
        <v>9020</v>
      </c>
      <c r="B8431" s="45" t="s">
        <v>664</v>
      </c>
      <c r="C8431" s="82" t="s">
        <v>7843</v>
      </c>
      <c r="D8431" s="82"/>
      <c r="E8431" s="74">
        <v>2021</v>
      </c>
      <c r="F8431" s="74"/>
      <c r="G8431" s="45">
        <v>1</v>
      </c>
      <c r="H8431" s="45">
        <v>15</v>
      </c>
      <c r="I8431" s="45">
        <v>24.82696</v>
      </c>
    </row>
    <row r="8432" spans="1:9" s="71" customFormat="1" ht="19.5" hidden="1" customHeight="1" outlineLevel="1" x14ac:dyDescent="0.25">
      <c r="A8432" s="83">
        <v>9019</v>
      </c>
      <c r="B8432" s="45" t="s">
        <v>664</v>
      </c>
      <c r="C8432" s="82" t="s">
        <v>7844</v>
      </c>
      <c r="D8432" s="82"/>
      <c r="E8432" s="74">
        <v>2021</v>
      </c>
      <c r="F8432" s="74"/>
      <c r="G8432" s="45">
        <v>1</v>
      </c>
      <c r="H8432" s="45">
        <v>15</v>
      </c>
      <c r="I8432" s="45">
        <v>24.596490000000003</v>
      </c>
    </row>
    <row r="8433" spans="1:9" s="71" customFormat="1" ht="19.5" hidden="1" customHeight="1" outlineLevel="1" x14ac:dyDescent="0.25">
      <c r="A8433" s="83">
        <v>9023</v>
      </c>
      <c r="B8433" s="45" t="s">
        <v>664</v>
      </c>
      <c r="C8433" s="82" t="s">
        <v>7845</v>
      </c>
      <c r="D8433" s="82"/>
      <c r="E8433" s="74">
        <v>2021</v>
      </c>
      <c r="F8433" s="74"/>
      <c r="G8433" s="45">
        <v>1</v>
      </c>
      <c r="H8433" s="45">
        <v>13</v>
      </c>
      <c r="I8433" s="45">
        <v>24.82714</v>
      </c>
    </row>
    <row r="8434" spans="1:9" s="71" customFormat="1" ht="19.5" hidden="1" customHeight="1" outlineLevel="1" x14ac:dyDescent="0.25">
      <c r="A8434" s="83">
        <v>9110</v>
      </c>
      <c r="B8434" s="45" t="s">
        <v>664</v>
      </c>
      <c r="C8434" s="82" t="s">
        <v>7846</v>
      </c>
      <c r="D8434" s="82"/>
      <c r="E8434" s="74">
        <v>2021</v>
      </c>
      <c r="F8434" s="74"/>
      <c r="G8434" s="45">
        <v>1</v>
      </c>
      <c r="H8434" s="45">
        <v>12</v>
      </c>
      <c r="I8434" s="45">
        <v>24.80846</v>
      </c>
    </row>
    <row r="8435" spans="1:9" s="71" customFormat="1" ht="19.5" hidden="1" customHeight="1" outlineLevel="1" x14ac:dyDescent="0.25">
      <c r="A8435" s="83">
        <v>9118</v>
      </c>
      <c r="B8435" s="45" t="s">
        <v>664</v>
      </c>
      <c r="C8435" s="82" t="s">
        <v>7847</v>
      </c>
      <c r="D8435" s="82"/>
      <c r="E8435" s="74">
        <v>2021</v>
      </c>
      <c r="F8435" s="74"/>
      <c r="G8435" s="45">
        <v>1</v>
      </c>
      <c r="H8435" s="45">
        <v>10</v>
      </c>
      <c r="I8435" s="45">
        <v>24.753400000000003</v>
      </c>
    </row>
    <row r="8436" spans="1:9" s="71" customFormat="1" ht="19.5" hidden="1" customHeight="1" outlineLevel="1" x14ac:dyDescent="0.25">
      <c r="A8436" s="83">
        <v>9016</v>
      </c>
      <c r="B8436" s="45" t="s">
        <v>664</v>
      </c>
      <c r="C8436" s="82" t="s">
        <v>7848</v>
      </c>
      <c r="D8436" s="82"/>
      <c r="E8436" s="74">
        <v>2021</v>
      </c>
      <c r="F8436" s="74"/>
      <c r="G8436" s="45">
        <v>1</v>
      </c>
      <c r="H8436" s="45">
        <v>8</v>
      </c>
      <c r="I8436" s="45">
        <v>36.446809999999999</v>
      </c>
    </row>
    <row r="8437" spans="1:9" s="71" customFormat="1" ht="19.5" hidden="1" customHeight="1" outlineLevel="1" x14ac:dyDescent="0.25">
      <c r="A8437" s="83">
        <v>9028</v>
      </c>
      <c r="B8437" s="45" t="s">
        <v>664</v>
      </c>
      <c r="C8437" s="82" t="s">
        <v>7849</v>
      </c>
      <c r="D8437" s="82"/>
      <c r="E8437" s="74">
        <v>2021</v>
      </c>
      <c r="F8437" s="74"/>
      <c r="G8437" s="45">
        <v>1</v>
      </c>
      <c r="H8437" s="45">
        <v>15</v>
      </c>
      <c r="I8437" s="45">
        <v>24.800789999999999</v>
      </c>
    </row>
    <row r="8438" spans="1:9" s="71" customFormat="1" ht="19.5" hidden="1" customHeight="1" outlineLevel="1" x14ac:dyDescent="0.25">
      <c r="A8438" s="83">
        <v>9025</v>
      </c>
      <c r="B8438" s="45" t="s">
        <v>664</v>
      </c>
      <c r="C8438" s="82" t="s">
        <v>7850</v>
      </c>
      <c r="D8438" s="82"/>
      <c r="E8438" s="74">
        <v>2021</v>
      </c>
      <c r="F8438" s="74"/>
      <c r="G8438" s="45">
        <v>1</v>
      </c>
      <c r="H8438" s="45">
        <v>15</v>
      </c>
      <c r="I8438" s="45">
        <v>24.768740000000001</v>
      </c>
    </row>
    <row r="8439" spans="1:9" s="71" customFormat="1" ht="19.5" hidden="1" customHeight="1" outlineLevel="1" x14ac:dyDescent="0.25">
      <c r="A8439" s="83">
        <v>9046</v>
      </c>
      <c r="B8439" s="45" t="s">
        <v>664</v>
      </c>
      <c r="C8439" s="82" t="s">
        <v>7851</v>
      </c>
      <c r="D8439" s="82"/>
      <c r="E8439" s="74">
        <v>2021</v>
      </c>
      <c r="F8439" s="74"/>
      <c r="G8439" s="45">
        <v>1</v>
      </c>
      <c r="H8439" s="45">
        <v>80</v>
      </c>
      <c r="I8439" s="45">
        <v>57.527769999999997</v>
      </c>
    </row>
    <row r="8440" spans="1:9" s="71" customFormat="1" ht="19.5" hidden="1" customHeight="1" outlineLevel="1" x14ac:dyDescent="0.25">
      <c r="A8440" s="83">
        <v>9052</v>
      </c>
      <c r="B8440" s="45" t="s">
        <v>664</v>
      </c>
      <c r="C8440" s="82" t="s">
        <v>7852</v>
      </c>
      <c r="D8440" s="82"/>
      <c r="E8440" s="74">
        <v>2021</v>
      </c>
      <c r="F8440" s="74"/>
      <c r="G8440" s="45">
        <v>1</v>
      </c>
      <c r="H8440" s="45">
        <v>12</v>
      </c>
      <c r="I8440" s="45">
        <v>24.82723</v>
      </c>
    </row>
    <row r="8441" spans="1:9" s="71" customFormat="1" ht="19.5" hidden="1" customHeight="1" outlineLevel="1" x14ac:dyDescent="0.25">
      <c r="A8441" s="83">
        <v>9018</v>
      </c>
      <c r="B8441" s="45" t="s">
        <v>664</v>
      </c>
      <c r="C8441" s="82" t="s">
        <v>7853</v>
      </c>
      <c r="D8441" s="82"/>
      <c r="E8441" s="74">
        <v>2021</v>
      </c>
      <c r="F8441" s="74"/>
      <c r="G8441" s="45">
        <v>1</v>
      </c>
      <c r="H8441" s="45">
        <v>15</v>
      </c>
      <c r="I8441" s="45">
        <v>24.827240000000003</v>
      </c>
    </row>
    <row r="8442" spans="1:9" s="71" customFormat="1" ht="19.5" hidden="1" customHeight="1" outlineLevel="1" x14ac:dyDescent="0.25">
      <c r="A8442" s="83">
        <v>9029</v>
      </c>
      <c r="B8442" s="45" t="s">
        <v>664</v>
      </c>
      <c r="C8442" s="82" t="s">
        <v>7854</v>
      </c>
      <c r="D8442" s="82"/>
      <c r="E8442" s="74">
        <v>2021</v>
      </c>
      <c r="F8442" s="74"/>
      <c r="G8442" s="45">
        <v>1</v>
      </c>
      <c r="H8442" s="45">
        <v>15</v>
      </c>
      <c r="I8442" s="45">
        <v>24.799509999999998</v>
      </c>
    </row>
    <row r="8443" spans="1:9" s="71" customFormat="1" ht="19.5" hidden="1" customHeight="1" outlineLevel="1" x14ac:dyDescent="0.25">
      <c r="A8443" s="83">
        <v>9108</v>
      </c>
      <c r="B8443" s="45" t="s">
        <v>664</v>
      </c>
      <c r="C8443" s="82" t="s">
        <v>7855</v>
      </c>
      <c r="D8443" s="82"/>
      <c r="E8443" s="74">
        <v>2021</v>
      </c>
      <c r="F8443" s="74"/>
      <c r="G8443" s="45">
        <v>1</v>
      </c>
      <c r="H8443" s="45">
        <v>15</v>
      </c>
      <c r="I8443" s="45">
        <v>24.768619999999999</v>
      </c>
    </row>
    <row r="8444" spans="1:9" s="71" customFormat="1" ht="19.5" hidden="1" customHeight="1" outlineLevel="1" x14ac:dyDescent="0.25">
      <c r="A8444" s="83">
        <v>9024</v>
      </c>
      <c r="B8444" s="45" t="s">
        <v>664</v>
      </c>
      <c r="C8444" s="82" t="s">
        <v>7856</v>
      </c>
      <c r="D8444" s="82"/>
      <c r="E8444" s="74">
        <v>2021</v>
      </c>
      <c r="F8444" s="74"/>
      <c r="G8444" s="45">
        <v>1</v>
      </c>
      <c r="H8444" s="45">
        <v>15</v>
      </c>
      <c r="I8444" s="45">
        <v>24.827120000000001</v>
      </c>
    </row>
    <row r="8445" spans="1:9" s="71" customFormat="1" ht="19.5" hidden="1" customHeight="1" outlineLevel="1" x14ac:dyDescent="0.25">
      <c r="A8445" s="83">
        <v>9030</v>
      </c>
      <c r="B8445" s="45" t="s">
        <v>664</v>
      </c>
      <c r="C8445" s="82" t="s">
        <v>7857</v>
      </c>
      <c r="D8445" s="82"/>
      <c r="E8445" s="74">
        <v>2021</v>
      </c>
      <c r="F8445" s="74"/>
      <c r="G8445" s="45">
        <v>1</v>
      </c>
      <c r="H8445" s="45">
        <v>12</v>
      </c>
      <c r="I8445" s="45">
        <v>24.806750000000001</v>
      </c>
    </row>
    <row r="8446" spans="1:9" s="71" customFormat="1" ht="19.5" hidden="1" customHeight="1" outlineLevel="1" x14ac:dyDescent="0.25">
      <c r="A8446" s="84">
        <v>1193</v>
      </c>
      <c r="B8446" s="45" t="s">
        <v>664</v>
      </c>
      <c r="C8446" s="82" t="s">
        <v>7858</v>
      </c>
      <c r="D8446" s="82"/>
      <c r="E8446" s="74">
        <v>2021</v>
      </c>
      <c r="F8446" s="74"/>
      <c r="G8446" s="45">
        <v>1</v>
      </c>
      <c r="H8446" s="45">
        <v>15</v>
      </c>
      <c r="I8446" s="45">
        <v>47.769660000000002</v>
      </c>
    </row>
    <row r="8447" spans="1:9" s="71" customFormat="1" ht="19.5" hidden="1" customHeight="1" outlineLevel="1" x14ac:dyDescent="0.25">
      <c r="A8447" s="83">
        <v>10370</v>
      </c>
      <c r="B8447" s="45" t="s">
        <v>664</v>
      </c>
      <c r="C8447" s="82" t="s">
        <v>7859</v>
      </c>
      <c r="D8447" s="82"/>
      <c r="E8447" s="74">
        <v>2021</v>
      </c>
      <c r="F8447" s="74"/>
      <c r="G8447" s="45">
        <v>1</v>
      </c>
      <c r="H8447" s="45">
        <v>15</v>
      </c>
      <c r="I8447" s="45">
        <v>29.211480000000002</v>
      </c>
    </row>
    <row r="8448" spans="1:9" s="71" customFormat="1" ht="19.5" hidden="1" customHeight="1" outlineLevel="1" x14ac:dyDescent="0.25">
      <c r="A8448" s="83">
        <v>9432</v>
      </c>
      <c r="B8448" s="45" t="s">
        <v>664</v>
      </c>
      <c r="C8448" s="82" t="s">
        <v>7860</v>
      </c>
      <c r="D8448" s="82"/>
      <c r="E8448" s="74">
        <v>2021</v>
      </c>
      <c r="F8448" s="74"/>
      <c r="G8448" s="45">
        <v>1</v>
      </c>
      <c r="H8448" s="45">
        <v>15</v>
      </c>
      <c r="I8448" s="45">
        <v>53.493000000000002</v>
      </c>
    </row>
    <row r="8449" spans="1:9" s="71" customFormat="1" ht="19.5" hidden="1" customHeight="1" outlineLevel="1" x14ac:dyDescent="0.25">
      <c r="A8449" s="84">
        <v>494</v>
      </c>
      <c r="B8449" s="45" t="s">
        <v>664</v>
      </c>
      <c r="C8449" s="82" t="s">
        <v>7861</v>
      </c>
      <c r="D8449" s="82"/>
      <c r="E8449" s="74">
        <v>2021</v>
      </c>
      <c r="F8449" s="74"/>
      <c r="G8449" s="45">
        <v>1</v>
      </c>
      <c r="H8449" s="45">
        <v>15</v>
      </c>
      <c r="I8449" s="45">
        <v>50.180999999999997</v>
      </c>
    </row>
    <row r="8450" spans="1:9" s="71" customFormat="1" ht="19.5" hidden="1" customHeight="1" outlineLevel="1" x14ac:dyDescent="0.25">
      <c r="A8450" s="84">
        <v>477</v>
      </c>
      <c r="B8450" s="45" t="s">
        <v>664</v>
      </c>
      <c r="C8450" s="82" t="s">
        <v>7862</v>
      </c>
      <c r="D8450" s="82"/>
      <c r="E8450" s="74">
        <v>2021</v>
      </c>
      <c r="F8450" s="74"/>
      <c r="G8450" s="45">
        <v>1</v>
      </c>
      <c r="H8450" s="45">
        <v>15</v>
      </c>
      <c r="I8450" s="45">
        <v>52.234000000000002</v>
      </c>
    </row>
    <row r="8451" spans="1:9" s="71" customFormat="1" ht="19.5" hidden="1" customHeight="1" outlineLevel="1" x14ac:dyDescent="0.25">
      <c r="A8451" s="84">
        <v>482</v>
      </c>
      <c r="B8451" s="45" t="s">
        <v>664</v>
      </c>
      <c r="C8451" s="82" t="s">
        <v>7863</v>
      </c>
      <c r="D8451" s="82"/>
      <c r="E8451" s="74">
        <v>2021</v>
      </c>
      <c r="F8451" s="74"/>
      <c r="G8451" s="45">
        <v>1</v>
      </c>
      <c r="H8451" s="45">
        <v>15</v>
      </c>
      <c r="I8451" s="45">
        <v>52.612000000000002</v>
      </c>
    </row>
    <row r="8452" spans="1:9" s="71" customFormat="1" ht="19.5" hidden="1" customHeight="1" outlineLevel="1" x14ac:dyDescent="0.25">
      <c r="A8452" s="84">
        <v>492</v>
      </c>
      <c r="B8452" s="45" t="s">
        <v>664</v>
      </c>
      <c r="C8452" s="82" t="s">
        <v>7864</v>
      </c>
      <c r="D8452" s="82"/>
      <c r="E8452" s="74">
        <v>2021</v>
      </c>
      <c r="F8452" s="74"/>
      <c r="G8452" s="45">
        <v>1</v>
      </c>
      <c r="H8452" s="45">
        <v>15</v>
      </c>
      <c r="I8452" s="45">
        <v>57.673000000000002</v>
      </c>
    </row>
    <row r="8453" spans="1:9" s="71" customFormat="1" ht="19.5" hidden="1" customHeight="1" outlineLevel="1" x14ac:dyDescent="0.25">
      <c r="A8453" s="84">
        <v>347</v>
      </c>
      <c r="B8453" s="45" t="s">
        <v>664</v>
      </c>
      <c r="C8453" s="82" t="s">
        <v>7865</v>
      </c>
      <c r="D8453" s="82"/>
      <c r="E8453" s="74">
        <v>2021</v>
      </c>
      <c r="F8453" s="74"/>
      <c r="G8453" s="45">
        <v>1</v>
      </c>
      <c r="H8453" s="45">
        <v>15</v>
      </c>
      <c r="I8453" s="45">
        <v>42.777000000000001</v>
      </c>
    </row>
    <row r="8454" spans="1:9" s="71" customFormat="1" ht="19.5" hidden="1" customHeight="1" outlineLevel="1" x14ac:dyDescent="0.25">
      <c r="A8454" s="83">
        <v>9350</v>
      </c>
      <c r="B8454" s="45" t="s">
        <v>664</v>
      </c>
      <c r="C8454" s="82" t="s">
        <v>7866</v>
      </c>
      <c r="D8454" s="82"/>
      <c r="E8454" s="74">
        <v>2021</v>
      </c>
      <c r="F8454" s="74"/>
      <c r="G8454" s="45">
        <v>1</v>
      </c>
      <c r="H8454" s="45">
        <v>15</v>
      </c>
      <c r="I8454" s="45">
        <v>34.451000000000001</v>
      </c>
    </row>
    <row r="8455" spans="1:9" s="71" customFormat="1" ht="19.5" hidden="1" customHeight="1" outlineLevel="1" x14ac:dyDescent="0.25">
      <c r="A8455" s="84">
        <v>3712</v>
      </c>
      <c r="B8455" s="45" t="s">
        <v>664</v>
      </c>
      <c r="C8455" s="82" t="s">
        <v>7867</v>
      </c>
      <c r="D8455" s="82"/>
      <c r="E8455" s="74">
        <v>2021</v>
      </c>
      <c r="F8455" s="74"/>
      <c r="G8455" s="45">
        <v>1</v>
      </c>
      <c r="H8455" s="45">
        <v>80</v>
      </c>
      <c r="I8455" s="45">
        <v>13.074999999999999</v>
      </c>
    </row>
    <row r="8456" spans="1:9" s="71" customFormat="1" ht="19.5" hidden="1" customHeight="1" outlineLevel="1" x14ac:dyDescent="0.25">
      <c r="A8456" s="83">
        <v>9276</v>
      </c>
      <c r="B8456" s="45" t="s">
        <v>664</v>
      </c>
      <c r="C8456" s="82" t="s">
        <v>7868</v>
      </c>
      <c r="D8456" s="82"/>
      <c r="E8456" s="74">
        <v>2021</v>
      </c>
      <c r="F8456" s="74"/>
      <c r="G8456" s="45">
        <v>1</v>
      </c>
      <c r="H8456" s="45">
        <v>15</v>
      </c>
      <c r="I8456" s="45">
        <v>28.015000000000001</v>
      </c>
    </row>
    <row r="8457" spans="1:9" s="71" customFormat="1" ht="19.5" hidden="1" customHeight="1" outlineLevel="1" x14ac:dyDescent="0.25">
      <c r="A8457" s="83">
        <v>9355</v>
      </c>
      <c r="B8457" s="45" t="s">
        <v>664</v>
      </c>
      <c r="C8457" s="82" t="s">
        <v>596</v>
      </c>
      <c r="D8457" s="82"/>
      <c r="E8457" s="74">
        <v>2021</v>
      </c>
      <c r="F8457" s="74"/>
      <c r="G8457" s="45">
        <v>1</v>
      </c>
      <c r="H8457" s="45">
        <v>50</v>
      </c>
      <c r="I8457" s="45">
        <v>83.225999999999999</v>
      </c>
    </row>
    <row r="8458" spans="1:9" s="71" customFormat="1" ht="19.5" hidden="1" customHeight="1" outlineLevel="1" x14ac:dyDescent="0.25">
      <c r="A8458" s="84">
        <v>428</v>
      </c>
      <c r="B8458" s="45" t="s">
        <v>664</v>
      </c>
      <c r="C8458" s="82" t="s">
        <v>7869</v>
      </c>
      <c r="D8458" s="82"/>
      <c r="E8458" s="74">
        <v>2021</v>
      </c>
      <c r="F8458" s="74"/>
      <c r="G8458" s="45">
        <v>1</v>
      </c>
      <c r="H8458" s="45">
        <v>200</v>
      </c>
      <c r="I8458" s="45">
        <v>121.24299999999999</v>
      </c>
    </row>
    <row r="8459" spans="1:9" s="71" customFormat="1" ht="19.5" hidden="1" customHeight="1" outlineLevel="1" x14ac:dyDescent="0.25">
      <c r="A8459" s="84">
        <v>478</v>
      </c>
      <c r="B8459" s="45" t="s">
        <v>664</v>
      </c>
      <c r="C8459" s="82" t="s">
        <v>7870</v>
      </c>
      <c r="D8459" s="82"/>
      <c r="E8459" s="74">
        <v>2021</v>
      </c>
      <c r="F8459" s="74"/>
      <c r="G8459" s="45">
        <v>2</v>
      </c>
      <c r="H8459" s="45">
        <v>30</v>
      </c>
      <c r="I8459" s="45">
        <v>90.936000000000007</v>
      </c>
    </row>
    <row r="8460" spans="1:9" s="71" customFormat="1" ht="19.5" hidden="1" customHeight="1" outlineLevel="1" x14ac:dyDescent="0.25">
      <c r="A8460" s="84">
        <v>565</v>
      </c>
      <c r="B8460" s="45" t="s">
        <v>664</v>
      </c>
      <c r="C8460" s="82" t="s">
        <v>7871</v>
      </c>
      <c r="D8460" s="82"/>
      <c r="E8460" s="74">
        <v>2021</v>
      </c>
      <c r="F8460" s="74"/>
      <c r="G8460" s="45">
        <v>1</v>
      </c>
      <c r="H8460" s="45">
        <v>135</v>
      </c>
      <c r="I8460" s="45">
        <v>62.566000000000003</v>
      </c>
    </row>
    <row r="8461" spans="1:9" s="71" customFormat="1" ht="19.5" hidden="1" customHeight="1" outlineLevel="1" x14ac:dyDescent="0.25">
      <c r="A8461" s="83">
        <v>9372</v>
      </c>
      <c r="B8461" s="45" t="s">
        <v>664</v>
      </c>
      <c r="C8461" s="82" t="s">
        <v>413</v>
      </c>
      <c r="D8461" s="82"/>
      <c r="E8461" s="74">
        <v>2021</v>
      </c>
      <c r="F8461" s="74"/>
      <c r="G8461" s="45">
        <v>1</v>
      </c>
      <c r="H8461" s="45">
        <v>210</v>
      </c>
      <c r="I8461" s="45">
        <v>70.040999999999997</v>
      </c>
    </row>
    <row r="8462" spans="1:9" s="71" customFormat="1" ht="19.5" hidden="1" customHeight="1" outlineLevel="1" x14ac:dyDescent="0.25">
      <c r="A8462" s="83">
        <v>9370</v>
      </c>
      <c r="B8462" s="45" t="s">
        <v>664</v>
      </c>
      <c r="C8462" s="82" t="s">
        <v>418</v>
      </c>
      <c r="D8462" s="82"/>
      <c r="E8462" s="74">
        <v>2021</v>
      </c>
      <c r="F8462" s="74"/>
      <c r="G8462" s="45">
        <v>1</v>
      </c>
      <c r="H8462" s="45">
        <v>15</v>
      </c>
      <c r="I8462" s="45">
        <v>87.334999999999994</v>
      </c>
    </row>
    <row r="8463" spans="1:9" s="71" customFormat="1" ht="19.5" hidden="1" customHeight="1" outlineLevel="1" x14ac:dyDescent="0.25">
      <c r="A8463" s="83">
        <v>9279</v>
      </c>
      <c r="B8463" s="45" t="s">
        <v>664</v>
      </c>
      <c r="C8463" s="82" t="s">
        <v>7872</v>
      </c>
      <c r="D8463" s="82"/>
      <c r="E8463" s="74">
        <v>2021</v>
      </c>
      <c r="F8463" s="74"/>
      <c r="G8463" s="45">
        <v>1</v>
      </c>
      <c r="H8463" s="45">
        <v>15</v>
      </c>
      <c r="I8463" s="45">
        <v>60.66</v>
      </c>
    </row>
    <row r="8464" spans="1:9" s="71" customFormat="1" ht="19.5" hidden="1" customHeight="1" outlineLevel="1" x14ac:dyDescent="0.25">
      <c r="A8464" s="83">
        <v>9280</v>
      </c>
      <c r="B8464" s="45" t="s">
        <v>664</v>
      </c>
      <c r="C8464" s="82" t="s">
        <v>7873</v>
      </c>
      <c r="D8464" s="82"/>
      <c r="E8464" s="74">
        <v>2021</v>
      </c>
      <c r="F8464" s="74"/>
      <c r="G8464" s="45">
        <v>2</v>
      </c>
      <c r="H8464" s="45">
        <v>30</v>
      </c>
      <c r="I8464" s="45">
        <v>101.48399999999999</v>
      </c>
    </row>
    <row r="8465" spans="1:9" s="71" customFormat="1" ht="19.5" hidden="1" customHeight="1" outlineLevel="1" x14ac:dyDescent="0.25">
      <c r="A8465" s="84">
        <v>563</v>
      </c>
      <c r="B8465" s="45" t="s">
        <v>664</v>
      </c>
      <c r="C8465" s="82" t="s">
        <v>419</v>
      </c>
      <c r="D8465" s="82"/>
      <c r="E8465" s="74">
        <v>2021</v>
      </c>
      <c r="F8465" s="74"/>
      <c r="G8465" s="45">
        <v>1</v>
      </c>
      <c r="H8465" s="45">
        <v>150</v>
      </c>
      <c r="I8465" s="45">
        <v>59.003</v>
      </c>
    </row>
    <row r="8466" spans="1:9" s="71" customFormat="1" ht="19.5" hidden="1" customHeight="1" outlineLevel="1" x14ac:dyDescent="0.25">
      <c r="A8466" s="83">
        <v>9422</v>
      </c>
      <c r="B8466" s="45" t="s">
        <v>664</v>
      </c>
      <c r="C8466" s="82" t="s">
        <v>7874</v>
      </c>
      <c r="D8466" s="82"/>
      <c r="E8466" s="74">
        <v>2021</v>
      </c>
      <c r="F8466" s="74"/>
      <c r="G8466" s="45">
        <v>1</v>
      </c>
      <c r="H8466" s="45">
        <v>75</v>
      </c>
      <c r="I8466" s="45">
        <v>94.334999999999994</v>
      </c>
    </row>
    <row r="8467" spans="1:9" s="71" customFormat="1" ht="19.5" hidden="1" customHeight="1" outlineLevel="1" x14ac:dyDescent="0.25">
      <c r="A8467" s="83">
        <v>10380</v>
      </c>
      <c r="B8467" s="45" t="s">
        <v>664</v>
      </c>
      <c r="C8467" s="82" t="s">
        <v>7875</v>
      </c>
      <c r="D8467" s="82"/>
      <c r="E8467" s="74">
        <v>2021</v>
      </c>
      <c r="F8467" s="74"/>
      <c r="G8467" s="45">
        <v>1</v>
      </c>
      <c r="H8467" s="45">
        <v>2</v>
      </c>
      <c r="I8467" s="45">
        <v>39.500999999999998</v>
      </c>
    </row>
    <row r="8468" spans="1:9" s="71" customFormat="1" ht="19.5" hidden="1" customHeight="1" outlineLevel="1" x14ac:dyDescent="0.25">
      <c r="A8468" s="83">
        <v>10377</v>
      </c>
      <c r="B8468" s="45" t="s">
        <v>664</v>
      </c>
      <c r="C8468" s="82" t="s">
        <v>7876</v>
      </c>
      <c r="D8468" s="82"/>
      <c r="E8468" s="74">
        <v>2021</v>
      </c>
      <c r="F8468" s="74"/>
      <c r="G8468" s="45">
        <v>1</v>
      </c>
      <c r="H8468" s="45">
        <v>2</v>
      </c>
      <c r="I8468" s="45">
        <v>39.548999999999999</v>
      </c>
    </row>
    <row r="8469" spans="1:9" s="71" customFormat="1" ht="19.5" hidden="1" customHeight="1" outlineLevel="1" x14ac:dyDescent="0.25">
      <c r="A8469" s="83">
        <v>10378</v>
      </c>
      <c r="B8469" s="45" t="s">
        <v>664</v>
      </c>
      <c r="C8469" s="82" t="s">
        <v>7877</v>
      </c>
      <c r="D8469" s="82"/>
      <c r="E8469" s="74">
        <v>2021</v>
      </c>
      <c r="F8469" s="74"/>
      <c r="G8469" s="45">
        <v>1</v>
      </c>
      <c r="H8469" s="45">
        <v>2</v>
      </c>
      <c r="I8469" s="45">
        <v>39.485999999999997</v>
      </c>
    </row>
    <row r="8470" spans="1:9" s="71" customFormat="1" ht="19.5" hidden="1" customHeight="1" outlineLevel="1" x14ac:dyDescent="0.25">
      <c r="A8470" s="83">
        <v>10379</v>
      </c>
      <c r="B8470" s="45" t="s">
        <v>664</v>
      </c>
      <c r="C8470" s="82" t="s">
        <v>7878</v>
      </c>
      <c r="D8470" s="82"/>
      <c r="E8470" s="74">
        <v>2021</v>
      </c>
      <c r="F8470" s="74"/>
      <c r="G8470" s="45">
        <v>1</v>
      </c>
      <c r="H8470" s="45">
        <v>2</v>
      </c>
      <c r="I8470" s="45">
        <v>40.134</v>
      </c>
    </row>
    <row r="8471" spans="1:9" s="71" customFormat="1" ht="19.5" hidden="1" customHeight="1" outlineLevel="1" x14ac:dyDescent="0.25">
      <c r="A8471" s="83">
        <v>10382</v>
      </c>
      <c r="B8471" s="45" t="s">
        <v>664</v>
      </c>
      <c r="C8471" s="82" t="s">
        <v>7879</v>
      </c>
      <c r="D8471" s="82"/>
      <c r="E8471" s="74">
        <v>2021</v>
      </c>
      <c r="F8471" s="74"/>
      <c r="G8471" s="45">
        <v>1</v>
      </c>
      <c r="H8471" s="45">
        <v>2</v>
      </c>
      <c r="I8471" s="45">
        <v>38.796999999999997</v>
      </c>
    </row>
    <row r="8472" spans="1:9" s="71" customFormat="1" ht="19.5" hidden="1" customHeight="1" outlineLevel="1" x14ac:dyDescent="0.25">
      <c r="A8472" s="83">
        <v>10381</v>
      </c>
      <c r="B8472" s="45" t="s">
        <v>664</v>
      </c>
      <c r="C8472" s="82" t="s">
        <v>7880</v>
      </c>
      <c r="D8472" s="82"/>
      <c r="E8472" s="74">
        <v>2021</v>
      </c>
      <c r="F8472" s="74"/>
      <c r="G8472" s="45">
        <v>1</v>
      </c>
      <c r="H8472" s="45">
        <v>2</v>
      </c>
      <c r="I8472" s="45">
        <v>39.523000000000003</v>
      </c>
    </row>
    <row r="8473" spans="1:9" s="71" customFormat="1" ht="19.5" hidden="1" customHeight="1" outlineLevel="1" x14ac:dyDescent="0.25">
      <c r="A8473" s="83">
        <v>10383</v>
      </c>
      <c r="B8473" s="45" t="s">
        <v>664</v>
      </c>
      <c r="C8473" s="82" t="s">
        <v>7881</v>
      </c>
      <c r="D8473" s="82"/>
      <c r="E8473" s="74">
        <v>2021</v>
      </c>
      <c r="F8473" s="74"/>
      <c r="G8473" s="45">
        <v>1</v>
      </c>
      <c r="H8473" s="45">
        <v>3</v>
      </c>
      <c r="I8473" s="45">
        <v>38.811</v>
      </c>
    </row>
    <row r="8474" spans="1:9" s="71" customFormat="1" ht="19.5" hidden="1" customHeight="1" outlineLevel="1" x14ac:dyDescent="0.25">
      <c r="A8474" s="83">
        <v>9925</v>
      </c>
      <c r="B8474" s="45" t="s">
        <v>664</v>
      </c>
      <c r="C8474" s="82" t="s">
        <v>7882</v>
      </c>
      <c r="D8474" s="82"/>
      <c r="E8474" s="74">
        <v>2021</v>
      </c>
      <c r="F8474" s="74"/>
      <c r="G8474" s="45">
        <v>1</v>
      </c>
      <c r="H8474" s="45">
        <v>15</v>
      </c>
      <c r="I8474" s="45">
        <v>46.993470000000002</v>
      </c>
    </row>
    <row r="8475" spans="1:9" s="71" customFormat="1" ht="19.5" hidden="1" customHeight="1" outlineLevel="1" x14ac:dyDescent="0.25">
      <c r="A8475" s="83">
        <v>9929</v>
      </c>
      <c r="B8475" s="45" t="s">
        <v>664</v>
      </c>
      <c r="C8475" s="82" t="s">
        <v>7883</v>
      </c>
      <c r="D8475" s="82"/>
      <c r="E8475" s="74">
        <v>2021</v>
      </c>
      <c r="F8475" s="74"/>
      <c r="G8475" s="45">
        <v>1</v>
      </c>
      <c r="H8475" s="45">
        <v>10</v>
      </c>
      <c r="I8475" s="45">
        <v>40.82376</v>
      </c>
    </row>
    <row r="8476" spans="1:9" s="71" customFormat="1" ht="19.5" hidden="1" customHeight="1" outlineLevel="1" x14ac:dyDescent="0.25">
      <c r="A8476" s="84">
        <v>1465</v>
      </c>
      <c r="B8476" s="45" t="s">
        <v>664</v>
      </c>
      <c r="C8476" s="82" t="s">
        <v>7884</v>
      </c>
      <c r="D8476" s="82"/>
      <c r="E8476" s="74">
        <v>2021</v>
      </c>
      <c r="F8476" s="74"/>
      <c r="G8476" s="45">
        <v>1</v>
      </c>
      <c r="H8476" s="45">
        <v>15</v>
      </c>
      <c r="I8476" s="45">
        <v>51.183399999999999</v>
      </c>
    </row>
    <row r="8477" spans="1:9" s="71" customFormat="1" ht="19.5" hidden="1" customHeight="1" outlineLevel="1" x14ac:dyDescent="0.25">
      <c r="A8477" s="83">
        <v>9920</v>
      </c>
      <c r="B8477" s="45" t="s">
        <v>664</v>
      </c>
      <c r="C8477" s="82" t="s">
        <v>7885</v>
      </c>
      <c r="D8477" s="82"/>
      <c r="E8477" s="74">
        <v>2021</v>
      </c>
      <c r="F8477" s="74"/>
      <c r="G8477" s="45">
        <v>1</v>
      </c>
      <c r="H8477" s="45">
        <v>15</v>
      </c>
      <c r="I8477" s="45">
        <v>54.440910000000002</v>
      </c>
    </row>
    <row r="8478" spans="1:9" s="71" customFormat="1" ht="19.5" hidden="1" customHeight="1" outlineLevel="1" x14ac:dyDescent="0.25">
      <c r="A8478" s="83">
        <v>9924</v>
      </c>
      <c r="B8478" s="45" t="s">
        <v>664</v>
      </c>
      <c r="C8478" s="82" t="s">
        <v>7886</v>
      </c>
      <c r="D8478" s="82"/>
      <c r="E8478" s="74">
        <v>2021</v>
      </c>
      <c r="F8478" s="74"/>
      <c r="G8478" s="45">
        <v>1</v>
      </c>
      <c r="H8478" s="45">
        <v>15</v>
      </c>
      <c r="I8478" s="45">
        <v>88.800049999999999</v>
      </c>
    </row>
    <row r="8479" spans="1:9" s="71" customFormat="1" ht="19.5" hidden="1" customHeight="1" outlineLevel="1" x14ac:dyDescent="0.25">
      <c r="A8479" s="83">
        <v>9915</v>
      </c>
      <c r="B8479" s="45" t="s">
        <v>664</v>
      </c>
      <c r="C8479" s="82" t="s">
        <v>7887</v>
      </c>
      <c r="D8479" s="82"/>
      <c r="E8479" s="74">
        <v>2021</v>
      </c>
      <c r="F8479" s="74"/>
      <c r="G8479" s="45">
        <v>1</v>
      </c>
      <c r="H8479" s="45">
        <v>15</v>
      </c>
      <c r="I8479" s="45">
        <v>96.552080000000004</v>
      </c>
    </row>
    <row r="8480" spans="1:9" s="71" customFormat="1" ht="19.5" hidden="1" customHeight="1" outlineLevel="1" x14ac:dyDescent="0.25">
      <c r="A8480" s="84">
        <v>1619</v>
      </c>
      <c r="B8480" s="45" t="s">
        <v>664</v>
      </c>
      <c r="C8480" s="82" t="s">
        <v>7888</v>
      </c>
      <c r="D8480" s="82"/>
      <c r="E8480" s="74">
        <v>2021</v>
      </c>
      <c r="F8480" s="74"/>
      <c r="G8480" s="45">
        <v>1</v>
      </c>
      <c r="H8480" s="45">
        <v>15</v>
      </c>
      <c r="I8480" s="45">
        <v>69.982320000000001</v>
      </c>
    </row>
    <row r="8481" spans="1:9" s="71" customFormat="1" ht="19.5" hidden="1" customHeight="1" outlineLevel="1" x14ac:dyDescent="0.25">
      <c r="A8481" s="83">
        <v>9940</v>
      </c>
      <c r="B8481" s="45" t="s">
        <v>664</v>
      </c>
      <c r="C8481" s="82" t="s">
        <v>7889</v>
      </c>
      <c r="D8481" s="82"/>
      <c r="E8481" s="74">
        <v>2021</v>
      </c>
      <c r="F8481" s="74"/>
      <c r="G8481" s="45">
        <v>1</v>
      </c>
      <c r="H8481" s="45">
        <v>15</v>
      </c>
      <c r="I8481" s="45">
        <v>74.526219999999995</v>
      </c>
    </row>
    <row r="8482" spans="1:9" s="71" customFormat="1" ht="19.5" hidden="1" customHeight="1" outlineLevel="1" x14ac:dyDescent="0.25">
      <c r="A8482" s="83">
        <v>9946</v>
      </c>
      <c r="B8482" s="45" t="s">
        <v>664</v>
      </c>
      <c r="C8482" s="82" t="s">
        <v>7890</v>
      </c>
      <c r="D8482" s="82"/>
      <c r="E8482" s="74">
        <v>2021</v>
      </c>
      <c r="F8482" s="74"/>
      <c r="G8482" s="45">
        <v>1</v>
      </c>
      <c r="H8482" s="45">
        <v>10</v>
      </c>
      <c r="I8482" s="45">
        <v>65.922579999999996</v>
      </c>
    </row>
    <row r="8483" spans="1:9" s="71" customFormat="1" ht="19.5" hidden="1" customHeight="1" outlineLevel="1" x14ac:dyDescent="0.25">
      <c r="A8483" s="83">
        <v>9947</v>
      </c>
      <c r="B8483" s="45" t="s">
        <v>664</v>
      </c>
      <c r="C8483" s="82" t="s">
        <v>7891</v>
      </c>
      <c r="D8483" s="82"/>
      <c r="E8483" s="74">
        <v>2021</v>
      </c>
      <c r="F8483" s="74"/>
      <c r="G8483" s="45">
        <v>1</v>
      </c>
      <c r="H8483" s="45">
        <v>10</v>
      </c>
      <c r="I8483" s="45">
        <v>65.955600000000004</v>
      </c>
    </row>
    <row r="8484" spans="1:9" s="71" customFormat="1" ht="19.5" hidden="1" customHeight="1" outlineLevel="1" x14ac:dyDescent="0.25">
      <c r="A8484" s="83">
        <v>9933</v>
      </c>
      <c r="B8484" s="45" t="s">
        <v>664</v>
      </c>
      <c r="C8484" s="82" t="s">
        <v>7892</v>
      </c>
      <c r="D8484" s="82"/>
      <c r="E8484" s="74">
        <v>2021</v>
      </c>
      <c r="F8484" s="74"/>
      <c r="G8484" s="45">
        <v>1</v>
      </c>
      <c r="H8484" s="45">
        <v>15</v>
      </c>
      <c r="I8484" s="45">
        <v>66.737170000000006</v>
      </c>
    </row>
    <row r="8485" spans="1:9" s="71" customFormat="1" ht="19.5" hidden="1" customHeight="1" outlineLevel="1" x14ac:dyDescent="0.25">
      <c r="A8485" s="84">
        <v>1490</v>
      </c>
      <c r="B8485" s="45" t="s">
        <v>664</v>
      </c>
      <c r="C8485" s="82" t="s">
        <v>7893</v>
      </c>
      <c r="D8485" s="82"/>
      <c r="E8485" s="74">
        <v>2021</v>
      </c>
      <c r="F8485" s="74"/>
      <c r="G8485" s="45">
        <v>1</v>
      </c>
      <c r="H8485" s="45">
        <v>15</v>
      </c>
      <c r="I8485" s="45">
        <v>45.742730000000002</v>
      </c>
    </row>
    <row r="8486" spans="1:9" s="71" customFormat="1" ht="19.5" hidden="1" customHeight="1" outlineLevel="1" x14ac:dyDescent="0.25">
      <c r="A8486" s="83">
        <v>9958</v>
      </c>
      <c r="B8486" s="45" t="s">
        <v>664</v>
      </c>
      <c r="C8486" s="82" t="s">
        <v>7894</v>
      </c>
      <c r="D8486" s="82"/>
      <c r="E8486" s="74">
        <v>2021</v>
      </c>
      <c r="F8486" s="74"/>
      <c r="G8486" s="45">
        <v>2</v>
      </c>
      <c r="H8486" s="45">
        <v>20</v>
      </c>
      <c r="I8486" s="45">
        <v>94.839860000000002</v>
      </c>
    </row>
    <row r="8487" spans="1:9" s="71" customFormat="1" ht="19.5" hidden="1" customHeight="1" outlineLevel="1" x14ac:dyDescent="0.25">
      <c r="A8487" s="83">
        <v>9978</v>
      </c>
      <c r="B8487" s="45" t="s">
        <v>664</v>
      </c>
      <c r="C8487" s="82" t="s">
        <v>7895</v>
      </c>
      <c r="D8487" s="82"/>
      <c r="E8487" s="74">
        <v>2021</v>
      </c>
      <c r="F8487" s="74"/>
      <c r="G8487" s="45">
        <v>1</v>
      </c>
      <c r="H8487" s="45">
        <v>15</v>
      </c>
      <c r="I8487" s="45">
        <v>76.757890000000003</v>
      </c>
    </row>
    <row r="8488" spans="1:9" s="71" customFormat="1" ht="19.5" hidden="1" customHeight="1" outlineLevel="1" x14ac:dyDescent="0.25">
      <c r="A8488" s="84">
        <v>1794</v>
      </c>
      <c r="B8488" s="45" t="s">
        <v>664</v>
      </c>
      <c r="C8488" s="82" t="s">
        <v>7896</v>
      </c>
      <c r="D8488" s="82"/>
      <c r="E8488" s="74">
        <v>2021</v>
      </c>
      <c r="F8488" s="74"/>
      <c r="G8488" s="45">
        <v>1</v>
      </c>
      <c r="H8488" s="45">
        <v>15</v>
      </c>
      <c r="I8488" s="45">
        <v>76.548199999999994</v>
      </c>
    </row>
    <row r="8489" spans="1:9" s="71" customFormat="1" ht="19.5" hidden="1" customHeight="1" outlineLevel="1" x14ac:dyDescent="0.25">
      <c r="A8489" s="83">
        <v>9972</v>
      </c>
      <c r="B8489" s="45" t="s">
        <v>664</v>
      </c>
      <c r="C8489" s="82" t="s">
        <v>7897</v>
      </c>
      <c r="D8489" s="82"/>
      <c r="E8489" s="74">
        <v>2021</v>
      </c>
      <c r="F8489" s="74"/>
      <c r="G8489" s="45">
        <v>1</v>
      </c>
      <c r="H8489" s="45">
        <v>15</v>
      </c>
      <c r="I8489" s="45">
        <v>90.330550000000002</v>
      </c>
    </row>
    <row r="8490" spans="1:9" s="71" customFormat="1" ht="19.5" hidden="1" customHeight="1" outlineLevel="1" x14ac:dyDescent="0.25">
      <c r="A8490" s="83">
        <v>9981</v>
      </c>
      <c r="B8490" s="45" t="s">
        <v>664</v>
      </c>
      <c r="C8490" s="82" t="s">
        <v>7898</v>
      </c>
      <c r="D8490" s="82"/>
      <c r="E8490" s="74">
        <v>2021</v>
      </c>
      <c r="F8490" s="74"/>
      <c r="G8490" s="45">
        <v>1</v>
      </c>
      <c r="H8490" s="45">
        <v>15</v>
      </c>
      <c r="I8490" s="45">
        <v>95.076689999999999</v>
      </c>
    </row>
    <row r="8491" spans="1:9" s="71" customFormat="1" ht="19.5" hidden="1" customHeight="1" outlineLevel="1" x14ac:dyDescent="0.25">
      <c r="A8491" s="83">
        <v>9980</v>
      </c>
      <c r="B8491" s="45" t="s">
        <v>664</v>
      </c>
      <c r="C8491" s="82" t="s">
        <v>7899</v>
      </c>
      <c r="D8491" s="82"/>
      <c r="E8491" s="74">
        <v>2021</v>
      </c>
      <c r="F8491" s="74"/>
      <c r="G8491" s="45">
        <v>1</v>
      </c>
      <c r="H8491" s="45">
        <v>15</v>
      </c>
      <c r="I8491" s="45">
        <v>87.467939999999999</v>
      </c>
    </row>
    <row r="8492" spans="1:9" s="71" customFormat="1" ht="19.5" hidden="1" customHeight="1" outlineLevel="1" x14ac:dyDescent="0.25">
      <c r="A8492" s="83">
        <v>9833</v>
      </c>
      <c r="B8492" s="45" t="s">
        <v>664</v>
      </c>
      <c r="C8492" s="82" t="s">
        <v>7900</v>
      </c>
      <c r="D8492" s="82"/>
      <c r="E8492" s="74">
        <v>2021</v>
      </c>
      <c r="F8492" s="74"/>
      <c r="G8492" s="45">
        <v>1</v>
      </c>
      <c r="H8492" s="45">
        <v>15</v>
      </c>
      <c r="I8492" s="45">
        <v>30.558050000000001</v>
      </c>
    </row>
    <row r="8493" spans="1:9" s="71" customFormat="1" ht="19.5" hidden="1" customHeight="1" outlineLevel="1" x14ac:dyDescent="0.25">
      <c r="A8493" s="84">
        <v>2286</v>
      </c>
      <c r="B8493" s="45" t="s">
        <v>664</v>
      </c>
      <c r="C8493" s="82" t="s">
        <v>7901</v>
      </c>
      <c r="D8493" s="82"/>
      <c r="E8493" s="74">
        <v>2021</v>
      </c>
      <c r="F8493" s="74"/>
      <c r="G8493" s="45">
        <v>4</v>
      </c>
      <c r="H8493" s="45">
        <v>15</v>
      </c>
      <c r="I8493" s="45">
        <v>104.96984999999999</v>
      </c>
    </row>
    <row r="8494" spans="1:9" s="71" customFormat="1" ht="19.5" hidden="1" customHeight="1" outlineLevel="1" x14ac:dyDescent="0.25">
      <c r="A8494" s="83">
        <v>9636</v>
      </c>
      <c r="B8494" s="45" t="s">
        <v>664</v>
      </c>
      <c r="C8494" s="82" t="s">
        <v>7902</v>
      </c>
      <c r="D8494" s="82"/>
      <c r="E8494" s="74">
        <v>2021</v>
      </c>
      <c r="F8494" s="74"/>
      <c r="G8494" s="45">
        <v>1</v>
      </c>
      <c r="H8494" s="45">
        <v>10</v>
      </c>
      <c r="I8494" s="45">
        <v>38.539340000000003</v>
      </c>
    </row>
    <row r="8495" spans="1:9" s="71" customFormat="1" ht="19.5" hidden="1" customHeight="1" outlineLevel="1" x14ac:dyDescent="0.25">
      <c r="A8495" s="74">
        <v>2240</v>
      </c>
      <c r="B8495" s="45" t="s">
        <v>664</v>
      </c>
      <c r="C8495" s="82" t="s">
        <v>7903</v>
      </c>
      <c r="D8495" s="82"/>
      <c r="E8495" s="74">
        <v>2021</v>
      </c>
      <c r="F8495" s="74"/>
      <c r="G8495" s="45">
        <v>2</v>
      </c>
      <c r="H8495" s="45">
        <v>30</v>
      </c>
      <c r="I8495" s="45">
        <v>67.112202999999994</v>
      </c>
    </row>
    <row r="8496" spans="1:9" s="71" customFormat="1" ht="19.5" hidden="1" customHeight="1" outlineLevel="1" x14ac:dyDescent="0.25">
      <c r="A8496" s="83">
        <v>9907</v>
      </c>
      <c r="B8496" s="45" t="s">
        <v>664</v>
      </c>
      <c r="C8496" s="82" t="s">
        <v>7904</v>
      </c>
      <c r="D8496" s="82"/>
      <c r="E8496" s="74">
        <v>2021</v>
      </c>
      <c r="F8496" s="74"/>
      <c r="G8496" s="45">
        <v>1</v>
      </c>
      <c r="H8496" s="45">
        <v>15</v>
      </c>
      <c r="I8496" s="45">
        <v>43.750689999999999</v>
      </c>
    </row>
    <row r="8497" spans="1:9" s="71" customFormat="1" ht="19.5" hidden="1" customHeight="1" outlineLevel="1" x14ac:dyDescent="0.25">
      <c r="A8497" s="83">
        <v>9894</v>
      </c>
      <c r="B8497" s="45" t="s">
        <v>664</v>
      </c>
      <c r="C8497" s="82" t="s">
        <v>7905</v>
      </c>
      <c r="D8497" s="82"/>
      <c r="E8497" s="74">
        <v>2021</v>
      </c>
      <c r="F8497" s="74"/>
      <c r="G8497" s="45">
        <v>3</v>
      </c>
      <c r="H8497" s="45">
        <v>15</v>
      </c>
      <c r="I8497" s="45">
        <v>105.65118</v>
      </c>
    </row>
    <row r="8498" spans="1:9" s="71" customFormat="1" ht="19.5" hidden="1" customHeight="1" outlineLevel="1" x14ac:dyDescent="0.25">
      <c r="A8498" s="83">
        <v>9892</v>
      </c>
      <c r="B8498" s="45" t="s">
        <v>664</v>
      </c>
      <c r="C8498" s="82" t="s">
        <v>7906</v>
      </c>
      <c r="D8498" s="82"/>
      <c r="E8498" s="74">
        <v>2021</v>
      </c>
      <c r="F8498" s="74"/>
      <c r="G8498" s="45">
        <v>3</v>
      </c>
      <c r="H8498" s="45">
        <v>10</v>
      </c>
      <c r="I8498" s="45">
        <v>93.894760000000005</v>
      </c>
    </row>
    <row r="8499" spans="1:9" s="71" customFormat="1" ht="19.5" hidden="1" customHeight="1" outlineLevel="1" x14ac:dyDescent="0.25">
      <c r="A8499" s="84">
        <v>9814</v>
      </c>
      <c r="B8499" s="45" t="s">
        <v>664</v>
      </c>
      <c r="C8499" s="82" t="s">
        <v>7907</v>
      </c>
      <c r="D8499" s="82"/>
      <c r="E8499" s="74">
        <v>2021</v>
      </c>
      <c r="F8499" s="74"/>
      <c r="G8499" s="45">
        <v>1</v>
      </c>
      <c r="H8499" s="45">
        <v>15</v>
      </c>
      <c r="I8499" s="45">
        <v>49.23254</v>
      </c>
    </row>
    <row r="8500" spans="1:9" s="71" customFormat="1" ht="19.5" hidden="1" customHeight="1" outlineLevel="1" x14ac:dyDescent="0.25">
      <c r="A8500" s="84">
        <v>9813</v>
      </c>
      <c r="B8500" s="45" t="s">
        <v>664</v>
      </c>
      <c r="C8500" s="82" t="s">
        <v>7908</v>
      </c>
      <c r="D8500" s="82"/>
      <c r="E8500" s="74">
        <v>2021</v>
      </c>
      <c r="F8500" s="74"/>
      <c r="G8500" s="45">
        <v>1</v>
      </c>
      <c r="H8500" s="45">
        <v>15</v>
      </c>
      <c r="I8500" s="45">
        <v>70.113612000000003</v>
      </c>
    </row>
    <row r="8501" spans="1:9" s="71" customFormat="1" ht="19.5" hidden="1" customHeight="1" outlineLevel="1" x14ac:dyDescent="0.25">
      <c r="A8501" s="83">
        <v>9820</v>
      </c>
      <c r="B8501" s="45" t="s">
        <v>664</v>
      </c>
      <c r="C8501" s="82" t="s">
        <v>7909</v>
      </c>
      <c r="D8501" s="82"/>
      <c r="E8501" s="74">
        <v>2021</v>
      </c>
      <c r="F8501" s="74"/>
      <c r="G8501" s="45">
        <v>1</v>
      </c>
      <c r="H8501" s="45">
        <v>15</v>
      </c>
      <c r="I8501" s="45">
        <v>48.20082</v>
      </c>
    </row>
    <row r="8502" spans="1:9" s="71" customFormat="1" ht="19.5" hidden="1" customHeight="1" outlineLevel="1" x14ac:dyDescent="0.25">
      <c r="A8502" s="83">
        <v>9837</v>
      </c>
      <c r="B8502" s="45" t="s">
        <v>664</v>
      </c>
      <c r="C8502" s="82" t="s">
        <v>7910</v>
      </c>
      <c r="D8502" s="82"/>
      <c r="E8502" s="74">
        <v>2021</v>
      </c>
      <c r="F8502" s="74"/>
      <c r="G8502" s="45">
        <v>1</v>
      </c>
      <c r="H8502" s="45">
        <v>15</v>
      </c>
      <c r="I8502" s="45">
        <v>48.160780000000003</v>
      </c>
    </row>
    <row r="8503" spans="1:9" s="71" customFormat="1" ht="19.5" hidden="1" customHeight="1" outlineLevel="1" x14ac:dyDescent="0.25">
      <c r="A8503" s="74">
        <v>2380</v>
      </c>
      <c r="B8503" s="45" t="s">
        <v>664</v>
      </c>
      <c r="C8503" s="82" t="s">
        <v>7911</v>
      </c>
      <c r="D8503" s="82"/>
      <c r="E8503" s="74">
        <v>2021</v>
      </c>
      <c r="F8503" s="74"/>
      <c r="G8503" s="45">
        <v>4</v>
      </c>
      <c r="H8503" s="45">
        <v>60</v>
      </c>
      <c r="I8503" s="45">
        <v>103.90075</v>
      </c>
    </row>
    <row r="8504" spans="1:9" s="71" customFormat="1" ht="19.5" hidden="1" customHeight="1" outlineLevel="1" x14ac:dyDescent="0.25">
      <c r="A8504" s="83">
        <v>9904</v>
      </c>
      <c r="B8504" s="45" t="s">
        <v>664</v>
      </c>
      <c r="C8504" s="82" t="s">
        <v>7912</v>
      </c>
      <c r="D8504" s="82"/>
      <c r="E8504" s="74">
        <v>2021</v>
      </c>
      <c r="F8504" s="74"/>
      <c r="G8504" s="45">
        <v>2</v>
      </c>
      <c r="H8504" s="45">
        <v>15</v>
      </c>
      <c r="I8504" s="45">
        <v>53.57217</v>
      </c>
    </row>
    <row r="8505" spans="1:9" s="71" customFormat="1" ht="19.5" hidden="1" customHeight="1" outlineLevel="1" x14ac:dyDescent="0.25">
      <c r="A8505" s="83">
        <v>9098</v>
      </c>
      <c r="B8505" s="45" t="s">
        <v>664</v>
      </c>
      <c r="C8505" s="82" t="s">
        <v>7913</v>
      </c>
      <c r="D8505" s="82"/>
      <c r="E8505" s="74">
        <v>2021</v>
      </c>
      <c r="F8505" s="74"/>
      <c r="G8505" s="45">
        <v>1</v>
      </c>
      <c r="H8505" s="45">
        <v>15</v>
      </c>
      <c r="I8505" s="45">
        <v>48.316654</v>
      </c>
    </row>
    <row r="8506" spans="1:9" s="71" customFormat="1" ht="19.5" hidden="1" customHeight="1" outlineLevel="1" x14ac:dyDescent="0.25">
      <c r="A8506" s="83">
        <v>9809</v>
      </c>
      <c r="B8506" s="45" t="s">
        <v>664</v>
      </c>
      <c r="C8506" s="82" t="s">
        <v>7914</v>
      </c>
      <c r="D8506" s="82"/>
      <c r="E8506" s="74">
        <v>2021</v>
      </c>
      <c r="F8506" s="74"/>
      <c r="G8506" s="45">
        <v>1</v>
      </c>
      <c r="H8506" s="45">
        <v>10</v>
      </c>
      <c r="I8506" s="45">
        <v>45.372160000000001</v>
      </c>
    </row>
    <row r="8507" spans="1:9" s="71" customFormat="1" ht="19.5" hidden="1" customHeight="1" outlineLevel="1" x14ac:dyDescent="0.25">
      <c r="A8507" s="83">
        <v>9867</v>
      </c>
      <c r="B8507" s="45" t="s">
        <v>664</v>
      </c>
      <c r="C8507" s="82" t="s">
        <v>7915</v>
      </c>
      <c r="D8507" s="82"/>
      <c r="E8507" s="74">
        <v>2021</v>
      </c>
      <c r="F8507" s="74"/>
      <c r="G8507" s="45">
        <v>1</v>
      </c>
      <c r="H8507" s="45">
        <v>33</v>
      </c>
      <c r="I8507" s="45">
        <v>67.881749999999997</v>
      </c>
    </row>
    <row r="8508" spans="1:9" s="71" customFormat="1" ht="19.5" hidden="1" customHeight="1" outlineLevel="1" x14ac:dyDescent="0.25">
      <c r="A8508" s="83">
        <v>9834</v>
      </c>
      <c r="B8508" s="45" t="s">
        <v>664</v>
      </c>
      <c r="C8508" s="82" t="s">
        <v>7916</v>
      </c>
      <c r="D8508" s="82"/>
      <c r="E8508" s="74">
        <v>2021</v>
      </c>
      <c r="F8508" s="74"/>
      <c r="G8508" s="45">
        <v>1</v>
      </c>
      <c r="H8508" s="45">
        <v>15</v>
      </c>
      <c r="I8508" s="45">
        <v>75.251459999999994</v>
      </c>
    </row>
    <row r="8509" spans="1:9" s="71" customFormat="1" ht="19.5" hidden="1" customHeight="1" outlineLevel="1" x14ac:dyDescent="0.25">
      <c r="A8509" s="83">
        <v>9852</v>
      </c>
      <c r="B8509" s="45" t="s">
        <v>664</v>
      </c>
      <c r="C8509" s="82" t="s">
        <v>7917</v>
      </c>
      <c r="D8509" s="82"/>
      <c r="E8509" s="74">
        <v>2021</v>
      </c>
      <c r="F8509" s="74"/>
      <c r="G8509" s="45">
        <v>1</v>
      </c>
      <c r="H8509" s="45">
        <v>15</v>
      </c>
      <c r="I8509" s="45">
        <v>76.793549999999996</v>
      </c>
    </row>
    <row r="8510" spans="1:9" s="71" customFormat="1" ht="19.5" hidden="1" customHeight="1" outlineLevel="1" x14ac:dyDescent="0.25">
      <c r="A8510" s="84">
        <v>9802</v>
      </c>
      <c r="B8510" s="45" t="s">
        <v>664</v>
      </c>
      <c r="C8510" s="82" t="s">
        <v>7918</v>
      </c>
      <c r="D8510" s="82"/>
      <c r="E8510" s="74">
        <v>2021</v>
      </c>
      <c r="F8510" s="74"/>
      <c r="G8510" s="45">
        <v>1</v>
      </c>
      <c r="H8510" s="45">
        <v>15</v>
      </c>
      <c r="I8510" s="45">
        <v>91.573369999999997</v>
      </c>
    </row>
    <row r="8511" spans="1:9" s="71" customFormat="1" ht="19.5" hidden="1" customHeight="1" outlineLevel="1" x14ac:dyDescent="0.25">
      <c r="A8511" s="84">
        <v>9808</v>
      </c>
      <c r="B8511" s="45" t="s">
        <v>664</v>
      </c>
      <c r="C8511" s="82" t="s">
        <v>7919</v>
      </c>
      <c r="D8511" s="82"/>
      <c r="E8511" s="74">
        <v>2021</v>
      </c>
      <c r="F8511" s="74"/>
      <c r="G8511" s="45">
        <v>1</v>
      </c>
      <c r="H8511" s="45">
        <v>15</v>
      </c>
      <c r="I8511" s="45">
        <v>48.729889999999997</v>
      </c>
    </row>
    <row r="8512" spans="1:9" s="71" customFormat="1" ht="19.5" hidden="1" customHeight="1" outlineLevel="1" x14ac:dyDescent="0.25">
      <c r="A8512" s="84">
        <v>1468</v>
      </c>
      <c r="B8512" s="45" t="s">
        <v>664</v>
      </c>
      <c r="C8512" s="82" t="s">
        <v>7920</v>
      </c>
      <c r="D8512" s="82"/>
      <c r="E8512" s="74">
        <v>2021</v>
      </c>
      <c r="F8512" s="74"/>
      <c r="G8512" s="45">
        <v>1</v>
      </c>
      <c r="H8512" s="45">
        <v>15</v>
      </c>
      <c r="I8512" s="45">
        <v>78.288906999999995</v>
      </c>
    </row>
    <row r="8513" spans="1:9" s="71" customFormat="1" ht="19.5" hidden="1" customHeight="1" outlineLevel="1" x14ac:dyDescent="0.25">
      <c r="A8513" s="84">
        <v>1517</v>
      </c>
      <c r="B8513" s="45" t="s">
        <v>664</v>
      </c>
      <c r="C8513" s="82" t="s">
        <v>7921</v>
      </c>
      <c r="D8513" s="82"/>
      <c r="E8513" s="74">
        <v>2021</v>
      </c>
      <c r="F8513" s="74"/>
      <c r="G8513" s="45">
        <v>1</v>
      </c>
      <c r="H8513" s="45">
        <v>10</v>
      </c>
      <c r="I8513" s="45">
        <v>33.942830000000001</v>
      </c>
    </row>
    <row r="8514" spans="1:9" s="71" customFormat="1" ht="19.5" hidden="1" customHeight="1" outlineLevel="1" x14ac:dyDescent="0.25">
      <c r="A8514" s="83">
        <v>9623</v>
      </c>
      <c r="B8514" s="45" t="s">
        <v>664</v>
      </c>
      <c r="C8514" s="82" t="s">
        <v>7922</v>
      </c>
      <c r="D8514" s="82"/>
      <c r="E8514" s="74">
        <v>2021</v>
      </c>
      <c r="F8514" s="74"/>
      <c r="G8514" s="45">
        <v>1</v>
      </c>
      <c r="H8514" s="45">
        <v>9.5</v>
      </c>
      <c r="I8514" s="45">
        <v>87.846699999999998</v>
      </c>
    </row>
    <row r="8515" spans="1:9" s="71" customFormat="1" ht="19.5" hidden="1" customHeight="1" outlineLevel="1" x14ac:dyDescent="0.25">
      <c r="A8515" s="83">
        <v>9976</v>
      </c>
      <c r="B8515" s="45" t="s">
        <v>664</v>
      </c>
      <c r="C8515" s="82" t="s">
        <v>7923</v>
      </c>
      <c r="D8515" s="82"/>
      <c r="E8515" s="74">
        <v>2021</v>
      </c>
      <c r="F8515" s="74"/>
      <c r="G8515" s="45">
        <v>1</v>
      </c>
      <c r="H8515" s="45">
        <v>15</v>
      </c>
      <c r="I8515" s="45">
        <v>85.012990000000002</v>
      </c>
    </row>
    <row r="8516" spans="1:9" s="71" customFormat="1" ht="19.5" hidden="1" customHeight="1" outlineLevel="1" x14ac:dyDescent="0.25">
      <c r="A8516" s="83">
        <v>9975</v>
      </c>
      <c r="B8516" s="45" t="s">
        <v>664</v>
      </c>
      <c r="C8516" s="82" t="s">
        <v>7924</v>
      </c>
      <c r="D8516" s="82"/>
      <c r="E8516" s="74">
        <v>2021</v>
      </c>
      <c r="F8516" s="74"/>
      <c r="G8516" s="45">
        <v>1</v>
      </c>
      <c r="H8516" s="45">
        <v>15</v>
      </c>
      <c r="I8516" s="45">
        <v>63.682560000000002</v>
      </c>
    </row>
    <row r="8517" spans="1:9" s="71" customFormat="1" ht="19.5" hidden="1" customHeight="1" outlineLevel="1" x14ac:dyDescent="0.25">
      <c r="A8517" s="84">
        <v>726</v>
      </c>
      <c r="B8517" s="45" t="s">
        <v>664</v>
      </c>
      <c r="C8517" s="82" t="s">
        <v>7925</v>
      </c>
      <c r="D8517" s="82"/>
      <c r="E8517" s="74">
        <v>2021</v>
      </c>
      <c r="F8517" s="74"/>
      <c r="G8517" s="45">
        <v>1</v>
      </c>
      <c r="H8517" s="45">
        <v>15</v>
      </c>
      <c r="I8517" s="45">
        <v>28.294630000000002</v>
      </c>
    </row>
    <row r="8518" spans="1:9" s="71" customFormat="1" ht="19.5" hidden="1" customHeight="1" outlineLevel="1" x14ac:dyDescent="0.25">
      <c r="A8518" s="83">
        <v>9844</v>
      </c>
      <c r="B8518" s="45" t="s">
        <v>664</v>
      </c>
      <c r="C8518" s="82" t="s">
        <v>7926</v>
      </c>
      <c r="D8518" s="82"/>
      <c r="E8518" s="74">
        <v>2021</v>
      </c>
      <c r="F8518" s="74"/>
      <c r="G8518" s="45">
        <v>1</v>
      </c>
      <c r="H8518" s="45">
        <v>15</v>
      </c>
      <c r="I8518" s="45">
        <v>38.927509999999998</v>
      </c>
    </row>
    <row r="8519" spans="1:9" s="71" customFormat="1" ht="19.5" hidden="1" customHeight="1" outlineLevel="1" x14ac:dyDescent="0.25">
      <c r="A8519" s="84">
        <v>9843</v>
      </c>
      <c r="B8519" s="45" t="s">
        <v>664</v>
      </c>
      <c r="C8519" s="82" t="s">
        <v>7927</v>
      </c>
      <c r="D8519" s="82"/>
      <c r="E8519" s="74">
        <v>2021</v>
      </c>
      <c r="F8519" s="74"/>
      <c r="G8519" s="45">
        <v>1</v>
      </c>
      <c r="H8519" s="45">
        <v>15</v>
      </c>
      <c r="I8519" s="45">
        <v>54.852919999999997</v>
      </c>
    </row>
    <row r="8520" spans="1:9" s="71" customFormat="1" ht="19.5" hidden="1" customHeight="1" outlineLevel="1" x14ac:dyDescent="0.25">
      <c r="A8520" s="83">
        <v>9492</v>
      </c>
      <c r="B8520" s="45" t="s">
        <v>664</v>
      </c>
      <c r="C8520" s="82" t="s">
        <v>7928</v>
      </c>
      <c r="D8520" s="82"/>
      <c r="E8520" s="74">
        <v>2021</v>
      </c>
      <c r="F8520" s="74"/>
      <c r="G8520" s="45">
        <v>1</v>
      </c>
      <c r="H8520" s="45">
        <v>60</v>
      </c>
      <c r="I8520" s="45">
        <v>36.065719999999999</v>
      </c>
    </row>
    <row r="8521" spans="1:9" s="71" customFormat="1" ht="19.5" hidden="1" customHeight="1" outlineLevel="1" x14ac:dyDescent="0.25">
      <c r="A8521" s="84">
        <v>1606</v>
      </c>
      <c r="B8521" s="45" t="s">
        <v>664</v>
      </c>
      <c r="C8521" s="82" t="s">
        <v>7929</v>
      </c>
      <c r="D8521" s="82"/>
      <c r="E8521" s="74">
        <v>2021</v>
      </c>
      <c r="F8521" s="74"/>
      <c r="G8521" s="45">
        <v>1</v>
      </c>
      <c r="H8521" s="45">
        <v>15</v>
      </c>
      <c r="I8521" s="45">
        <v>76.042519999999996</v>
      </c>
    </row>
    <row r="8522" spans="1:9" s="71" customFormat="1" ht="19.5" hidden="1" customHeight="1" outlineLevel="1" x14ac:dyDescent="0.25">
      <c r="A8522" s="83">
        <v>9923</v>
      </c>
      <c r="B8522" s="45" t="s">
        <v>664</v>
      </c>
      <c r="C8522" s="82" t="s">
        <v>7930</v>
      </c>
      <c r="D8522" s="82"/>
      <c r="E8522" s="74">
        <v>2021</v>
      </c>
      <c r="F8522" s="74"/>
      <c r="G8522" s="45">
        <v>1</v>
      </c>
      <c r="H8522" s="45">
        <v>15</v>
      </c>
      <c r="I8522" s="45">
        <v>75.574799999999996</v>
      </c>
    </row>
    <row r="8523" spans="1:9" s="71" customFormat="1" ht="19.5" hidden="1" customHeight="1" outlineLevel="1" x14ac:dyDescent="0.25">
      <c r="A8523" s="83">
        <v>9939</v>
      </c>
      <c r="B8523" s="45" t="s">
        <v>664</v>
      </c>
      <c r="C8523" s="82" t="s">
        <v>7931</v>
      </c>
      <c r="D8523" s="82"/>
      <c r="E8523" s="74">
        <v>2021</v>
      </c>
      <c r="F8523" s="74"/>
      <c r="G8523" s="45">
        <v>1</v>
      </c>
      <c r="H8523" s="45">
        <v>15</v>
      </c>
      <c r="I8523" s="45">
        <v>75.574510000000004</v>
      </c>
    </row>
    <row r="8524" spans="1:9" s="71" customFormat="1" ht="19.5" hidden="1" customHeight="1" outlineLevel="1" x14ac:dyDescent="0.25">
      <c r="A8524" s="84">
        <v>1593</v>
      </c>
      <c r="B8524" s="45" t="s">
        <v>664</v>
      </c>
      <c r="C8524" s="82" t="s">
        <v>7932</v>
      </c>
      <c r="D8524" s="82"/>
      <c r="E8524" s="74">
        <v>2021</v>
      </c>
      <c r="F8524" s="74"/>
      <c r="G8524" s="45">
        <v>1</v>
      </c>
      <c r="H8524" s="45">
        <v>15</v>
      </c>
      <c r="I8524" s="45">
        <v>90.863500000000002</v>
      </c>
    </row>
    <row r="8525" spans="1:9" s="71" customFormat="1" ht="19.5" hidden="1" customHeight="1" outlineLevel="1" x14ac:dyDescent="0.25">
      <c r="A8525" s="83">
        <v>9949</v>
      </c>
      <c r="B8525" s="45" t="s">
        <v>664</v>
      </c>
      <c r="C8525" s="82" t="s">
        <v>7933</v>
      </c>
      <c r="D8525" s="82"/>
      <c r="E8525" s="74">
        <v>2021</v>
      </c>
      <c r="F8525" s="74"/>
      <c r="G8525" s="45">
        <v>1</v>
      </c>
      <c r="H8525" s="45">
        <v>15</v>
      </c>
      <c r="I8525" s="45">
        <v>85.718289999999996</v>
      </c>
    </row>
    <row r="8526" spans="1:9" s="71" customFormat="1" ht="19.5" hidden="1" customHeight="1" outlineLevel="1" x14ac:dyDescent="0.25">
      <c r="A8526" s="84">
        <v>9807</v>
      </c>
      <c r="B8526" s="45" t="s">
        <v>664</v>
      </c>
      <c r="C8526" s="82" t="s">
        <v>7934</v>
      </c>
      <c r="D8526" s="82"/>
      <c r="E8526" s="74">
        <v>2021</v>
      </c>
      <c r="F8526" s="74"/>
      <c r="G8526" s="45">
        <v>1</v>
      </c>
      <c r="H8526" s="45">
        <v>30</v>
      </c>
      <c r="I8526" s="45">
        <v>28.526620000000001</v>
      </c>
    </row>
    <row r="8527" spans="1:9" s="71" customFormat="1" ht="19.5" hidden="1" customHeight="1" outlineLevel="1" x14ac:dyDescent="0.25">
      <c r="A8527" s="83">
        <v>9828</v>
      </c>
      <c r="B8527" s="45" t="s">
        <v>664</v>
      </c>
      <c r="C8527" s="82" t="s">
        <v>7935</v>
      </c>
      <c r="D8527" s="82"/>
      <c r="E8527" s="74">
        <v>2021</v>
      </c>
      <c r="F8527" s="74"/>
      <c r="G8527" s="45">
        <v>1</v>
      </c>
      <c r="H8527" s="45">
        <v>15</v>
      </c>
      <c r="I8527" s="45">
        <v>30.827929999999999</v>
      </c>
    </row>
    <row r="8528" spans="1:9" s="71" customFormat="1" ht="19.5" hidden="1" customHeight="1" outlineLevel="1" x14ac:dyDescent="0.25">
      <c r="A8528" s="84">
        <v>1613</v>
      </c>
      <c r="B8528" s="45" t="s">
        <v>664</v>
      </c>
      <c r="C8528" s="82" t="s">
        <v>7936</v>
      </c>
      <c r="D8528" s="82"/>
      <c r="E8528" s="74">
        <v>2021</v>
      </c>
      <c r="F8528" s="74"/>
      <c r="G8528" s="45">
        <v>1</v>
      </c>
      <c r="H8528" s="45">
        <v>10</v>
      </c>
      <c r="I8528" s="45">
        <v>70.297849999999997</v>
      </c>
    </row>
    <row r="8529" spans="1:9" s="71" customFormat="1" ht="19.5" hidden="1" customHeight="1" outlineLevel="1" x14ac:dyDescent="0.25">
      <c r="A8529" s="83">
        <v>9948</v>
      </c>
      <c r="B8529" s="45" t="s">
        <v>664</v>
      </c>
      <c r="C8529" s="82" t="s">
        <v>7937</v>
      </c>
      <c r="D8529" s="82"/>
      <c r="E8529" s="74">
        <v>2021</v>
      </c>
      <c r="F8529" s="74"/>
      <c r="G8529" s="45">
        <v>1</v>
      </c>
      <c r="H8529" s="45">
        <v>15</v>
      </c>
      <c r="I8529" s="45">
        <v>72.595780000000005</v>
      </c>
    </row>
    <row r="8530" spans="1:9" s="71" customFormat="1" ht="19.5" hidden="1" customHeight="1" outlineLevel="1" x14ac:dyDescent="0.25">
      <c r="A8530" s="84">
        <v>1600</v>
      </c>
      <c r="B8530" s="45" t="s">
        <v>664</v>
      </c>
      <c r="C8530" s="82" t="s">
        <v>7938</v>
      </c>
      <c r="D8530" s="82"/>
      <c r="E8530" s="74">
        <v>2021</v>
      </c>
      <c r="F8530" s="74"/>
      <c r="G8530" s="45">
        <v>1</v>
      </c>
      <c r="H8530" s="45">
        <v>15</v>
      </c>
      <c r="I8530" s="45">
        <v>75.996279999999999</v>
      </c>
    </row>
    <row r="8531" spans="1:9" s="71" customFormat="1" ht="19.5" hidden="1" customHeight="1" outlineLevel="1" x14ac:dyDescent="0.25">
      <c r="A8531" s="83">
        <v>9945</v>
      </c>
      <c r="B8531" s="45" t="s">
        <v>664</v>
      </c>
      <c r="C8531" s="82" t="s">
        <v>7939</v>
      </c>
      <c r="D8531" s="82"/>
      <c r="E8531" s="74">
        <v>2021</v>
      </c>
      <c r="F8531" s="74"/>
      <c r="G8531" s="45">
        <v>1</v>
      </c>
      <c r="H8531" s="45">
        <v>15</v>
      </c>
      <c r="I8531" s="45">
        <v>85.929360000000003</v>
      </c>
    </row>
    <row r="8532" spans="1:9" s="71" customFormat="1" ht="19.5" hidden="1" customHeight="1" outlineLevel="1" x14ac:dyDescent="0.25">
      <c r="A8532" s="83">
        <v>9909</v>
      </c>
      <c r="B8532" s="45" t="s">
        <v>664</v>
      </c>
      <c r="C8532" s="82" t="s">
        <v>7940</v>
      </c>
      <c r="D8532" s="82"/>
      <c r="E8532" s="74">
        <v>2021</v>
      </c>
      <c r="F8532" s="74"/>
      <c r="G8532" s="45">
        <v>1</v>
      </c>
      <c r="H8532" s="45">
        <v>15</v>
      </c>
      <c r="I8532" s="45">
        <v>85.247</v>
      </c>
    </row>
    <row r="8533" spans="1:9" s="71" customFormat="1" ht="19.5" hidden="1" customHeight="1" outlineLevel="1" x14ac:dyDescent="0.25">
      <c r="A8533" s="83">
        <v>9747</v>
      </c>
      <c r="B8533" s="45" t="s">
        <v>664</v>
      </c>
      <c r="C8533" s="82" t="s">
        <v>7941</v>
      </c>
      <c r="D8533" s="82"/>
      <c r="E8533" s="74">
        <v>2021</v>
      </c>
      <c r="F8533" s="74"/>
      <c r="G8533" s="45">
        <v>1</v>
      </c>
      <c r="H8533" s="45">
        <v>15</v>
      </c>
      <c r="I8533" s="45">
        <v>56.04363</v>
      </c>
    </row>
    <row r="8534" spans="1:9" s="71" customFormat="1" ht="19.5" hidden="1" customHeight="1" outlineLevel="1" x14ac:dyDescent="0.25">
      <c r="A8534" s="83">
        <v>10318</v>
      </c>
      <c r="B8534" s="45" t="s">
        <v>664</v>
      </c>
      <c r="C8534" s="82" t="s">
        <v>7942</v>
      </c>
      <c r="D8534" s="82"/>
      <c r="E8534" s="74">
        <v>2021</v>
      </c>
      <c r="F8534" s="74"/>
      <c r="G8534" s="45">
        <v>2</v>
      </c>
      <c r="H8534" s="45">
        <v>15</v>
      </c>
      <c r="I8534" s="45">
        <v>64.24521</v>
      </c>
    </row>
    <row r="8535" spans="1:9" s="71" customFormat="1" ht="19.5" hidden="1" customHeight="1" outlineLevel="1" x14ac:dyDescent="0.25">
      <c r="A8535" s="83">
        <v>9799</v>
      </c>
      <c r="B8535" s="45" t="s">
        <v>664</v>
      </c>
      <c r="C8535" s="82" t="s">
        <v>7943</v>
      </c>
      <c r="D8535" s="82"/>
      <c r="E8535" s="74">
        <v>2021</v>
      </c>
      <c r="F8535" s="74"/>
      <c r="G8535" s="45">
        <v>1</v>
      </c>
      <c r="H8535" s="45">
        <v>15</v>
      </c>
      <c r="I8535" s="45">
        <v>40.010350000000003</v>
      </c>
    </row>
    <row r="8536" spans="1:9" s="71" customFormat="1" ht="19.5" hidden="1" customHeight="1" outlineLevel="1" x14ac:dyDescent="0.25">
      <c r="A8536" s="83">
        <v>9818</v>
      </c>
      <c r="B8536" s="45" t="s">
        <v>664</v>
      </c>
      <c r="C8536" s="82" t="s">
        <v>7944</v>
      </c>
      <c r="D8536" s="82"/>
      <c r="E8536" s="74">
        <v>2021</v>
      </c>
      <c r="F8536" s="74"/>
      <c r="G8536" s="45">
        <v>1</v>
      </c>
      <c r="H8536" s="45">
        <v>15</v>
      </c>
      <c r="I8536" s="45">
        <v>30.14865</v>
      </c>
    </row>
    <row r="8537" spans="1:9" s="71" customFormat="1" ht="19.5" hidden="1" customHeight="1" outlineLevel="1" x14ac:dyDescent="0.25">
      <c r="A8537" s="83">
        <v>9865</v>
      </c>
      <c r="B8537" s="45" t="s">
        <v>664</v>
      </c>
      <c r="C8537" s="82" t="s">
        <v>7945</v>
      </c>
      <c r="D8537" s="82"/>
      <c r="E8537" s="74">
        <v>2021</v>
      </c>
      <c r="F8537" s="74"/>
      <c r="G8537" s="45">
        <v>1</v>
      </c>
      <c r="H8537" s="45">
        <v>15</v>
      </c>
      <c r="I8537" s="45">
        <v>27.987410000000001</v>
      </c>
    </row>
    <row r="8538" spans="1:9" s="71" customFormat="1" ht="19.5" hidden="1" customHeight="1" outlineLevel="1" x14ac:dyDescent="0.25">
      <c r="A8538" s="83">
        <v>9957</v>
      </c>
      <c r="B8538" s="45" t="s">
        <v>664</v>
      </c>
      <c r="C8538" s="82" t="s">
        <v>7946</v>
      </c>
      <c r="D8538" s="82"/>
      <c r="E8538" s="74">
        <v>2021</v>
      </c>
      <c r="F8538" s="74"/>
      <c r="G8538" s="45">
        <v>1</v>
      </c>
      <c r="H8538" s="45">
        <v>40</v>
      </c>
      <c r="I8538" s="45">
        <v>83.175070000000005</v>
      </c>
    </row>
    <row r="8539" spans="1:9" s="71" customFormat="1" ht="19.5" hidden="1" customHeight="1" outlineLevel="1" x14ac:dyDescent="0.25">
      <c r="A8539" s="84">
        <v>2279</v>
      </c>
      <c r="B8539" s="45" t="s">
        <v>664</v>
      </c>
      <c r="C8539" s="82" t="s">
        <v>7947</v>
      </c>
      <c r="D8539" s="82"/>
      <c r="E8539" s="74">
        <v>2021</v>
      </c>
      <c r="F8539" s="74"/>
      <c r="G8539" s="45">
        <v>1</v>
      </c>
      <c r="H8539" s="45">
        <v>15</v>
      </c>
      <c r="I8539" s="45">
        <v>34.671329999999998</v>
      </c>
    </row>
    <row r="8540" spans="1:9" s="71" customFormat="1" ht="19.5" hidden="1" customHeight="1" outlineLevel="1" x14ac:dyDescent="0.25">
      <c r="A8540" s="83">
        <v>9988</v>
      </c>
      <c r="B8540" s="45" t="s">
        <v>664</v>
      </c>
      <c r="C8540" s="82" t="s">
        <v>7948</v>
      </c>
      <c r="D8540" s="82"/>
      <c r="E8540" s="74">
        <v>2021</v>
      </c>
      <c r="F8540" s="74"/>
      <c r="G8540" s="45">
        <v>1</v>
      </c>
      <c r="H8540" s="45">
        <v>15</v>
      </c>
      <c r="I8540" s="45">
        <v>37.668329999999997</v>
      </c>
    </row>
    <row r="8541" spans="1:9" s="71" customFormat="1" ht="19.5" hidden="1" customHeight="1" outlineLevel="1" x14ac:dyDescent="0.25">
      <c r="A8541" s="84">
        <v>1801</v>
      </c>
      <c r="B8541" s="45" t="s">
        <v>664</v>
      </c>
      <c r="C8541" s="82" t="s">
        <v>7949</v>
      </c>
      <c r="D8541" s="82"/>
      <c r="E8541" s="74">
        <v>2021</v>
      </c>
      <c r="F8541" s="74"/>
      <c r="G8541" s="45">
        <v>1</v>
      </c>
      <c r="H8541" s="45">
        <v>15</v>
      </c>
      <c r="I8541" s="45">
        <v>29.418369999999999</v>
      </c>
    </row>
    <row r="8542" spans="1:9" s="71" customFormat="1" ht="19.5" hidden="1" customHeight="1" outlineLevel="1" x14ac:dyDescent="0.25">
      <c r="A8542" s="83">
        <v>10311</v>
      </c>
      <c r="B8542" s="45" t="s">
        <v>664</v>
      </c>
      <c r="C8542" s="82" t="s">
        <v>7950</v>
      </c>
      <c r="D8542" s="82"/>
      <c r="E8542" s="74">
        <v>2021</v>
      </c>
      <c r="F8542" s="74"/>
      <c r="G8542" s="45">
        <v>3</v>
      </c>
      <c r="H8542" s="45">
        <v>45</v>
      </c>
      <c r="I8542" s="45">
        <v>86.675550000000001</v>
      </c>
    </row>
    <row r="8543" spans="1:9" s="71" customFormat="1" ht="19.5" hidden="1" customHeight="1" outlineLevel="1" x14ac:dyDescent="0.25">
      <c r="A8543" s="84">
        <v>1863</v>
      </c>
      <c r="B8543" s="45" t="s">
        <v>664</v>
      </c>
      <c r="C8543" s="82" t="s">
        <v>7951</v>
      </c>
      <c r="D8543" s="82"/>
      <c r="E8543" s="74">
        <v>2021</v>
      </c>
      <c r="F8543" s="74"/>
      <c r="G8543" s="45">
        <v>1</v>
      </c>
      <c r="H8543" s="45">
        <v>15</v>
      </c>
      <c r="I8543" s="45">
        <v>39.308619999999998</v>
      </c>
    </row>
    <row r="8544" spans="1:9" s="71" customFormat="1" ht="19.5" hidden="1" customHeight="1" outlineLevel="1" x14ac:dyDescent="0.25">
      <c r="A8544" s="83">
        <v>10018</v>
      </c>
      <c r="B8544" s="45" t="s">
        <v>664</v>
      </c>
      <c r="C8544" s="82" t="s">
        <v>7952</v>
      </c>
      <c r="D8544" s="82"/>
      <c r="E8544" s="74">
        <v>2021</v>
      </c>
      <c r="F8544" s="74"/>
      <c r="G8544" s="45">
        <v>1</v>
      </c>
      <c r="H8544" s="45">
        <v>15</v>
      </c>
      <c r="I8544" s="45">
        <v>33.671619999999997</v>
      </c>
    </row>
    <row r="8545" spans="1:9" s="71" customFormat="1" ht="19.5" hidden="1" customHeight="1" outlineLevel="1" x14ac:dyDescent="0.25">
      <c r="A8545" s="83">
        <v>10012</v>
      </c>
      <c r="B8545" s="45" t="s">
        <v>664</v>
      </c>
      <c r="C8545" s="82" t="s">
        <v>7953</v>
      </c>
      <c r="D8545" s="82"/>
      <c r="E8545" s="74">
        <v>2021</v>
      </c>
      <c r="F8545" s="74"/>
      <c r="G8545" s="45">
        <v>1</v>
      </c>
      <c r="H8545" s="45">
        <v>15</v>
      </c>
      <c r="I8545" s="45">
        <v>34.150759999999998</v>
      </c>
    </row>
    <row r="8546" spans="1:9" s="71" customFormat="1" ht="19.5" hidden="1" customHeight="1" outlineLevel="1" x14ac:dyDescent="0.25">
      <c r="A8546" s="83">
        <v>9841</v>
      </c>
      <c r="B8546" s="45" t="s">
        <v>664</v>
      </c>
      <c r="C8546" s="82" t="s">
        <v>7954</v>
      </c>
      <c r="D8546" s="82"/>
      <c r="E8546" s="74">
        <v>2021</v>
      </c>
      <c r="F8546" s="74"/>
      <c r="G8546" s="45">
        <v>1</v>
      </c>
      <c r="H8546" s="45">
        <v>15</v>
      </c>
      <c r="I8546" s="45">
        <v>65.104960000000005</v>
      </c>
    </row>
    <row r="8547" spans="1:9" s="71" customFormat="1" ht="19.5" hidden="1" customHeight="1" outlineLevel="1" x14ac:dyDescent="0.25">
      <c r="A8547" s="83">
        <v>9934</v>
      </c>
      <c r="B8547" s="45" t="s">
        <v>664</v>
      </c>
      <c r="C8547" s="82" t="s">
        <v>7955</v>
      </c>
      <c r="D8547" s="82"/>
      <c r="E8547" s="74">
        <v>2021</v>
      </c>
      <c r="F8547" s="74"/>
      <c r="G8547" s="45">
        <v>1</v>
      </c>
      <c r="H8547" s="45">
        <v>15</v>
      </c>
      <c r="I8547" s="45">
        <v>76.024900000000002</v>
      </c>
    </row>
    <row r="8548" spans="1:9" s="71" customFormat="1" ht="19.5" hidden="1" customHeight="1" outlineLevel="1" x14ac:dyDescent="0.25">
      <c r="A8548" s="83">
        <v>9944</v>
      </c>
      <c r="B8548" s="45" t="s">
        <v>664</v>
      </c>
      <c r="C8548" s="82" t="s">
        <v>7956</v>
      </c>
      <c r="D8548" s="82"/>
      <c r="E8548" s="74">
        <v>2021</v>
      </c>
      <c r="F8548" s="74"/>
      <c r="G8548" s="45">
        <v>1</v>
      </c>
      <c r="H8548" s="45">
        <v>15</v>
      </c>
      <c r="I8548" s="45">
        <v>78.925910000000002</v>
      </c>
    </row>
    <row r="8549" spans="1:9" s="71" customFormat="1" ht="19.5" hidden="1" customHeight="1" outlineLevel="1" x14ac:dyDescent="0.25">
      <c r="A8549" s="83">
        <v>9931</v>
      </c>
      <c r="B8549" s="45" t="s">
        <v>664</v>
      </c>
      <c r="C8549" s="82" t="s">
        <v>7957</v>
      </c>
      <c r="D8549" s="82"/>
      <c r="E8549" s="74">
        <v>2021</v>
      </c>
      <c r="F8549" s="74"/>
      <c r="G8549" s="45">
        <v>1</v>
      </c>
      <c r="H8549" s="45">
        <v>15</v>
      </c>
      <c r="I8549" s="45">
        <v>71.906859999999995</v>
      </c>
    </row>
    <row r="8550" spans="1:9" s="71" customFormat="1" ht="19.5" hidden="1" customHeight="1" outlineLevel="1" x14ac:dyDescent="0.25">
      <c r="A8550" s="83">
        <v>9850</v>
      </c>
      <c r="B8550" s="45" t="s">
        <v>664</v>
      </c>
      <c r="C8550" s="82" t="s">
        <v>7958</v>
      </c>
      <c r="D8550" s="82"/>
      <c r="E8550" s="74">
        <v>2021</v>
      </c>
      <c r="F8550" s="74"/>
      <c r="G8550" s="45">
        <v>1</v>
      </c>
      <c r="H8550" s="45">
        <v>45</v>
      </c>
      <c r="I8550" s="45">
        <v>32.372680000000003</v>
      </c>
    </row>
    <row r="8551" spans="1:9" s="71" customFormat="1" ht="19.5" hidden="1" customHeight="1" outlineLevel="1" x14ac:dyDescent="0.25">
      <c r="A8551" s="83">
        <v>9856</v>
      </c>
      <c r="B8551" s="45" t="s">
        <v>664</v>
      </c>
      <c r="C8551" s="82" t="s">
        <v>7959</v>
      </c>
      <c r="D8551" s="82"/>
      <c r="E8551" s="74">
        <v>2021</v>
      </c>
      <c r="F8551" s="74"/>
      <c r="G8551" s="45">
        <v>2</v>
      </c>
      <c r="H8551" s="45">
        <v>30</v>
      </c>
      <c r="I8551" s="45">
        <v>49.564700000000002</v>
      </c>
    </row>
    <row r="8552" spans="1:9" s="71" customFormat="1" ht="19.5" hidden="1" customHeight="1" outlineLevel="1" x14ac:dyDescent="0.25">
      <c r="A8552" s="83">
        <v>9868</v>
      </c>
      <c r="B8552" s="45" t="s">
        <v>664</v>
      </c>
      <c r="C8552" s="82" t="s">
        <v>7960</v>
      </c>
      <c r="D8552" s="82"/>
      <c r="E8552" s="74">
        <v>2021</v>
      </c>
      <c r="F8552" s="74"/>
      <c r="G8552" s="45">
        <v>2</v>
      </c>
      <c r="H8552" s="45">
        <v>30</v>
      </c>
      <c r="I8552" s="45">
        <v>44.275869999999998</v>
      </c>
    </row>
    <row r="8553" spans="1:9" s="71" customFormat="1" ht="19.5" hidden="1" customHeight="1" outlineLevel="1" x14ac:dyDescent="0.25">
      <c r="A8553" s="83">
        <v>9757</v>
      </c>
      <c r="B8553" s="45" t="s">
        <v>664</v>
      </c>
      <c r="C8553" s="82" t="s">
        <v>7961</v>
      </c>
      <c r="D8553" s="82"/>
      <c r="E8553" s="74">
        <v>2021</v>
      </c>
      <c r="F8553" s="74"/>
      <c r="G8553" s="45">
        <v>1</v>
      </c>
      <c r="H8553" s="45">
        <v>15</v>
      </c>
      <c r="I8553" s="45">
        <v>26.988150000000001</v>
      </c>
    </row>
    <row r="8554" spans="1:9" s="71" customFormat="1" ht="19.5" hidden="1" customHeight="1" outlineLevel="1" x14ac:dyDescent="0.25">
      <c r="A8554" s="84">
        <v>2451</v>
      </c>
      <c r="B8554" s="45" t="s">
        <v>664</v>
      </c>
      <c r="C8554" s="82" t="s">
        <v>7962</v>
      </c>
      <c r="D8554" s="82"/>
      <c r="E8554" s="74">
        <v>2021</v>
      </c>
      <c r="F8554" s="74"/>
      <c r="G8554" s="45">
        <v>2</v>
      </c>
      <c r="H8554" s="45">
        <v>15</v>
      </c>
      <c r="I8554" s="45">
        <v>66.380499999999998</v>
      </c>
    </row>
    <row r="8555" spans="1:9" s="71" customFormat="1" ht="19.5" hidden="1" customHeight="1" outlineLevel="1" x14ac:dyDescent="0.25">
      <c r="A8555" s="83">
        <v>9991</v>
      </c>
      <c r="B8555" s="45" t="s">
        <v>664</v>
      </c>
      <c r="C8555" s="82" t="s">
        <v>7963</v>
      </c>
      <c r="D8555" s="82"/>
      <c r="E8555" s="74">
        <v>2021</v>
      </c>
      <c r="F8555" s="74"/>
      <c r="G8555" s="45">
        <v>1</v>
      </c>
      <c r="H8555" s="45">
        <v>15</v>
      </c>
      <c r="I8555" s="45">
        <v>33.701030000000003</v>
      </c>
    </row>
    <row r="8556" spans="1:9" s="71" customFormat="1" ht="19.5" hidden="1" customHeight="1" outlineLevel="1" x14ac:dyDescent="0.25">
      <c r="A8556" s="84">
        <v>1824</v>
      </c>
      <c r="B8556" s="45" t="s">
        <v>664</v>
      </c>
      <c r="C8556" s="82" t="s">
        <v>7964</v>
      </c>
      <c r="D8556" s="82"/>
      <c r="E8556" s="74">
        <v>2021</v>
      </c>
      <c r="F8556" s="74"/>
      <c r="G8556" s="45">
        <v>1</v>
      </c>
      <c r="H8556" s="45">
        <v>15</v>
      </c>
      <c r="I8556" s="45">
        <v>40.416589999999999</v>
      </c>
    </row>
    <row r="8557" spans="1:9" s="71" customFormat="1" ht="19.5" hidden="1" customHeight="1" outlineLevel="1" x14ac:dyDescent="0.25">
      <c r="A8557" s="83">
        <v>9527</v>
      </c>
      <c r="B8557" s="45" t="s">
        <v>664</v>
      </c>
      <c r="C8557" s="82" t="s">
        <v>7965</v>
      </c>
      <c r="D8557" s="82"/>
      <c r="E8557" s="74">
        <v>2021</v>
      </c>
      <c r="F8557" s="74"/>
      <c r="G8557" s="45">
        <v>1</v>
      </c>
      <c r="H8557" s="45">
        <v>15</v>
      </c>
      <c r="I8557" s="45">
        <v>93.410330000000002</v>
      </c>
    </row>
    <row r="8558" spans="1:9" s="71" customFormat="1" ht="19.5" hidden="1" customHeight="1" outlineLevel="1" x14ac:dyDescent="0.25">
      <c r="A8558" s="83">
        <v>9982</v>
      </c>
      <c r="B8558" s="45" t="s">
        <v>664</v>
      </c>
      <c r="C8558" s="82" t="s">
        <v>7966</v>
      </c>
      <c r="D8558" s="82"/>
      <c r="E8558" s="74">
        <v>2021</v>
      </c>
      <c r="F8558" s="74"/>
      <c r="G8558" s="45">
        <v>1</v>
      </c>
      <c r="H8558" s="45">
        <v>15</v>
      </c>
      <c r="I8558" s="45">
        <v>42.485619999999997</v>
      </c>
    </row>
    <row r="8559" spans="1:9" s="71" customFormat="1" ht="19.5" hidden="1" customHeight="1" outlineLevel="1" x14ac:dyDescent="0.25">
      <c r="A8559" s="83">
        <v>9973</v>
      </c>
      <c r="B8559" s="45" t="s">
        <v>664</v>
      </c>
      <c r="C8559" s="82" t="s">
        <v>7967</v>
      </c>
      <c r="D8559" s="82"/>
      <c r="E8559" s="74">
        <v>2021</v>
      </c>
      <c r="F8559" s="74"/>
      <c r="G8559" s="45">
        <v>1</v>
      </c>
      <c r="H8559" s="45">
        <v>15</v>
      </c>
      <c r="I8559" s="45">
        <v>36.31653</v>
      </c>
    </row>
    <row r="8560" spans="1:9" s="71" customFormat="1" ht="19.5" hidden="1" customHeight="1" outlineLevel="1" x14ac:dyDescent="0.25">
      <c r="A8560" s="83">
        <v>9974</v>
      </c>
      <c r="B8560" s="45" t="s">
        <v>664</v>
      </c>
      <c r="C8560" s="82" t="s">
        <v>7968</v>
      </c>
      <c r="D8560" s="82"/>
      <c r="E8560" s="74">
        <v>2021</v>
      </c>
      <c r="F8560" s="74"/>
      <c r="G8560" s="45">
        <v>1</v>
      </c>
      <c r="H8560" s="45">
        <v>15</v>
      </c>
      <c r="I8560" s="45">
        <v>94.923839999999998</v>
      </c>
    </row>
    <row r="8561" spans="1:9" s="71" customFormat="1" ht="19.5" hidden="1" customHeight="1" outlineLevel="1" x14ac:dyDescent="0.25">
      <c r="A8561" s="83">
        <v>10313</v>
      </c>
      <c r="B8561" s="45" t="s">
        <v>664</v>
      </c>
      <c r="C8561" s="82" t="s">
        <v>7969</v>
      </c>
      <c r="D8561" s="82"/>
      <c r="E8561" s="74">
        <v>2021</v>
      </c>
      <c r="F8561" s="74"/>
      <c r="G8561" s="45">
        <v>2</v>
      </c>
      <c r="H8561" s="45">
        <v>15</v>
      </c>
      <c r="I8561" s="45">
        <v>80.189629999999994</v>
      </c>
    </row>
    <row r="8562" spans="1:9" s="71" customFormat="1" ht="19.5" hidden="1" customHeight="1" outlineLevel="1" x14ac:dyDescent="0.25">
      <c r="A8562" s="83">
        <v>10025</v>
      </c>
      <c r="B8562" s="45" t="s">
        <v>664</v>
      </c>
      <c r="C8562" s="82" t="s">
        <v>7970</v>
      </c>
      <c r="D8562" s="82"/>
      <c r="E8562" s="74">
        <v>2021</v>
      </c>
      <c r="F8562" s="74"/>
      <c r="G8562" s="45">
        <v>1</v>
      </c>
      <c r="H8562" s="45">
        <v>5</v>
      </c>
      <c r="I8562" s="45">
        <v>42.604170000000003</v>
      </c>
    </row>
    <row r="8563" spans="1:9" s="71" customFormat="1" ht="19.5" hidden="1" customHeight="1" outlineLevel="1" x14ac:dyDescent="0.25">
      <c r="A8563" s="83">
        <v>10317</v>
      </c>
      <c r="B8563" s="45" t="s">
        <v>664</v>
      </c>
      <c r="C8563" s="82" t="s">
        <v>7971</v>
      </c>
      <c r="D8563" s="82"/>
      <c r="E8563" s="74">
        <v>2021</v>
      </c>
      <c r="F8563" s="74"/>
      <c r="G8563" s="45">
        <v>1</v>
      </c>
      <c r="H8563" s="45">
        <v>15</v>
      </c>
      <c r="I8563" s="45">
        <v>35.068429999999999</v>
      </c>
    </row>
    <row r="8564" spans="1:9" s="71" customFormat="1" ht="19.5" hidden="1" customHeight="1" outlineLevel="1" x14ac:dyDescent="0.25">
      <c r="A8564" s="83">
        <v>10316</v>
      </c>
      <c r="B8564" s="45" t="s">
        <v>664</v>
      </c>
      <c r="C8564" s="82" t="s">
        <v>7972</v>
      </c>
      <c r="D8564" s="82"/>
      <c r="E8564" s="74">
        <v>2021</v>
      </c>
      <c r="F8564" s="74"/>
      <c r="G8564" s="45">
        <v>2</v>
      </c>
      <c r="H8564" s="45">
        <v>15</v>
      </c>
      <c r="I8564" s="45">
        <v>75.975700000000003</v>
      </c>
    </row>
    <row r="8565" spans="1:9" s="71" customFormat="1" ht="19.5" hidden="1" customHeight="1" outlineLevel="1" x14ac:dyDescent="0.25">
      <c r="A8565" s="83">
        <v>9840</v>
      </c>
      <c r="B8565" s="45" t="s">
        <v>664</v>
      </c>
      <c r="C8565" s="82" t="s">
        <v>7973</v>
      </c>
      <c r="D8565" s="82"/>
      <c r="E8565" s="74">
        <v>2021</v>
      </c>
      <c r="F8565" s="74"/>
      <c r="G8565" s="45">
        <v>1</v>
      </c>
      <c r="H8565" s="45">
        <v>20</v>
      </c>
      <c r="I8565" s="45">
        <v>37.592280000000002</v>
      </c>
    </row>
    <row r="8566" spans="1:9" s="71" customFormat="1" ht="19.5" hidden="1" customHeight="1" outlineLevel="1" x14ac:dyDescent="0.25">
      <c r="A8566" s="83">
        <v>9754</v>
      </c>
      <c r="B8566" s="45" t="s">
        <v>664</v>
      </c>
      <c r="C8566" s="82" t="s">
        <v>7974</v>
      </c>
      <c r="D8566" s="82"/>
      <c r="E8566" s="74">
        <v>2021</v>
      </c>
      <c r="F8566" s="74"/>
      <c r="G8566" s="45">
        <v>1</v>
      </c>
      <c r="H8566" s="45">
        <v>15</v>
      </c>
      <c r="I8566" s="45">
        <v>30.95609</v>
      </c>
    </row>
    <row r="8567" spans="1:9" s="71" customFormat="1" ht="19.5" hidden="1" customHeight="1" outlineLevel="1" x14ac:dyDescent="0.25">
      <c r="A8567" s="83">
        <v>9750</v>
      </c>
      <c r="B8567" s="45" t="s">
        <v>664</v>
      </c>
      <c r="C8567" s="82" t="s">
        <v>7975</v>
      </c>
      <c r="D8567" s="82"/>
      <c r="E8567" s="74">
        <v>2021</v>
      </c>
      <c r="F8567" s="74"/>
      <c r="G8567" s="45">
        <v>1</v>
      </c>
      <c r="H8567" s="45">
        <v>15</v>
      </c>
      <c r="I8567" s="45">
        <v>32.635010000000001</v>
      </c>
    </row>
    <row r="8568" spans="1:9" s="71" customFormat="1" ht="19.5" hidden="1" customHeight="1" outlineLevel="1" x14ac:dyDescent="0.25">
      <c r="A8568" s="83">
        <v>9989</v>
      </c>
      <c r="B8568" s="45" t="s">
        <v>664</v>
      </c>
      <c r="C8568" s="82" t="s">
        <v>7976</v>
      </c>
      <c r="D8568" s="82"/>
      <c r="E8568" s="74">
        <v>2021</v>
      </c>
      <c r="F8568" s="74"/>
      <c r="G8568" s="45">
        <v>1</v>
      </c>
      <c r="H8568" s="45">
        <v>15</v>
      </c>
      <c r="I8568" s="45">
        <v>37.237180000000002</v>
      </c>
    </row>
    <row r="8569" spans="1:9" s="71" customFormat="1" ht="19.5" hidden="1" customHeight="1" outlineLevel="1" x14ac:dyDescent="0.25">
      <c r="A8569" s="83">
        <v>9999</v>
      </c>
      <c r="B8569" s="45" t="s">
        <v>664</v>
      </c>
      <c r="C8569" s="82" t="s">
        <v>7977</v>
      </c>
      <c r="D8569" s="82"/>
      <c r="E8569" s="74">
        <v>2021</v>
      </c>
      <c r="F8569" s="74"/>
      <c r="G8569" s="45">
        <v>1</v>
      </c>
      <c r="H8569" s="45">
        <v>15</v>
      </c>
      <c r="I8569" s="45">
        <v>37.634480000000003</v>
      </c>
    </row>
    <row r="8570" spans="1:9" s="71" customFormat="1" ht="19.5" hidden="1" customHeight="1" outlineLevel="1" x14ac:dyDescent="0.25">
      <c r="A8570" s="83">
        <v>10010</v>
      </c>
      <c r="B8570" s="45" t="s">
        <v>664</v>
      </c>
      <c r="C8570" s="82" t="s">
        <v>7978</v>
      </c>
      <c r="D8570" s="82"/>
      <c r="E8570" s="74">
        <v>2021</v>
      </c>
      <c r="F8570" s="74"/>
      <c r="G8570" s="45">
        <v>1</v>
      </c>
      <c r="H8570" s="45">
        <v>15</v>
      </c>
      <c r="I8570" s="45">
        <v>37.996029999999998</v>
      </c>
    </row>
    <row r="8571" spans="1:9" s="71" customFormat="1" ht="19.5" hidden="1" customHeight="1" outlineLevel="1" x14ac:dyDescent="0.25">
      <c r="A8571" s="83">
        <v>9984</v>
      </c>
      <c r="B8571" s="45" t="s">
        <v>664</v>
      </c>
      <c r="C8571" s="82" t="s">
        <v>7979</v>
      </c>
      <c r="D8571" s="82"/>
      <c r="E8571" s="74">
        <v>2021</v>
      </c>
      <c r="F8571" s="74"/>
      <c r="G8571" s="45">
        <v>1</v>
      </c>
      <c r="H8571" s="45">
        <v>15</v>
      </c>
      <c r="I8571" s="45">
        <v>45.553539999999998</v>
      </c>
    </row>
    <row r="8572" spans="1:9" s="71" customFormat="1" ht="19.5" hidden="1" customHeight="1" outlineLevel="1" x14ac:dyDescent="0.25">
      <c r="A8572" s="84">
        <v>1877</v>
      </c>
      <c r="B8572" s="45" t="s">
        <v>664</v>
      </c>
      <c r="C8572" s="82" t="s">
        <v>7980</v>
      </c>
      <c r="D8572" s="82"/>
      <c r="E8572" s="74">
        <v>2021</v>
      </c>
      <c r="F8572" s="74"/>
      <c r="G8572" s="45">
        <v>1</v>
      </c>
      <c r="H8572" s="45">
        <v>15</v>
      </c>
      <c r="I8572" s="45">
        <v>37.249339999999997</v>
      </c>
    </row>
    <row r="8573" spans="1:9" s="71" customFormat="1" ht="19.5" hidden="1" customHeight="1" outlineLevel="1" x14ac:dyDescent="0.25">
      <c r="A8573" s="84">
        <v>9627</v>
      </c>
      <c r="B8573" s="45" t="s">
        <v>664</v>
      </c>
      <c r="C8573" s="82" t="s">
        <v>7981</v>
      </c>
      <c r="D8573" s="82"/>
      <c r="E8573" s="74">
        <v>2021</v>
      </c>
      <c r="F8573" s="74"/>
      <c r="G8573" s="45">
        <v>1</v>
      </c>
      <c r="H8573" s="45">
        <v>150</v>
      </c>
      <c r="I8573" s="45">
        <v>66.840410000000006</v>
      </c>
    </row>
    <row r="8574" spans="1:9" s="71" customFormat="1" ht="19.5" hidden="1" customHeight="1" outlineLevel="1" x14ac:dyDescent="0.25">
      <c r="A8574" s="83">
        <v>9853</v>
      </c>
      <c r="B8574" s="45" t="s">
        <v>664</v>
      </c>
      <c r="C8574" s="82" t="s">
        <v>7982</v>
      </c>
      <c r="D8574" s="82"/>
      <c r="E8574" s="74">
        <v>2021</v>
      </c>
      <c r="F8574" s="74"/>
      <c r="G8574" s="45">
        <v>2</v>
      </c>
      <c r="H8574" s="45">
        <v>30</v>
      </c>
      <c r="I8574" s="45">
        <v>57.82582</v>
      </c>
    </row>
    <row r="8575" spans="1:9" s="71" customFormat="1" ht="19.5" hidden="1" customHeight="1" outlineLevel="1" x14ac:dyDescent="0.25">
      <c r="A8575" s="84">
        <v>1358</v>
      </c>
      <c r="B8575" s="45" t="s">
        <v>664</v>
      </c>
      <c r="C8575" s="82" t="s">
        <v>7983</v>
      </c>
      <c r="D8575" s="82"/>
      <c r="E8575" s="74">
        <v>2021</v>
      </c>
      <c r="F8575" s="74"/>
      <c r="G8575" s="45">
        <v>1</v>
      </c>
      <c r="H8575" s="45">
        <v>15</v>
      </c>
      <c r="I8575" s="45">
        <v>28.021350000000002</v>
      </c>
    </row>
    <row r="8576" spans="1:9" s="71" customFormat="1" ht="19.5" hidden="1" customHeight="1" outlineLevel="1" x14ac:dyDescent="0.25">
      <c r="A8576" s="83">
        <v>10001</v>
      </c>
      <c r="B8576" s="45" t="s">
        <v>664</v>
      </c>
      <c r="C8576" s="82" t="s">
        <v>7984</v>
      </c>
      <c r="D8576" s="82"/>
      <c r="E8576" s="74">
        <v>2021</v>
      </c>
      <c r="F8576" s="74"/>
      <c r="G8576" s="45">
        <v>1</v>
      </c>
      <c r="H8576" s="45">
        <v>13</v>
      </c>
      <c r="I8576" s="45">
        <v>41.968269999999997</v>
      </c>
    </row>
    <row r="8577" spans="1:9" s="71" customFormat="1" ht="19.5" hidden="1" customHeight="1" outlineLevel="1" x14ac:dyDescent="0.25">
      <c r="A8577" s="83">
        <v>10024</v>
      </c>
      <c r="B8577" s="45" t="s">
        <v>664</v>
      </c>
      <c r="C8577" s="82" t="s">
        <v>7985</v>
      </c>
      <c r="D8577" s="82"/>
      <c r="E8577" s="74">
        <v>2021</v>
      </c>
      <c r="F8577" s="74"/>
      <c r="G8577" s="45">
        <v>1</v>
      </c>
      <c r="H8577" s="45">
        <v>15</v>
      </c>
      <c r="I8577" s="45">
        <v>38.338349999999998</v>
      </c>
    </row>
    <row r="8578" spans="1:9" s="71" customFormat="1" ht="19.5" hidden="1" customHeight="1" outlineLevel="1" x14ac:dyDescent="0.25">
      <c r="A8578" s="83">
        <v>9987</v>
      </c>
      <c r="B8578" s="45" t="s">
        <v>664</v>
      </c>
      <c r="C8578" s="82" t="s">
        <v>7986</v>
      </c>
      <c r="D8578" s="82"/>
      <c r="E8578" s="74">
        <v>2021</v>
      </c>
      <c r="F8578" s="74"/>
      <c r="G8578" s="45">
        <v>1</v>
      </c>
      <c r="H8578" s="45">
        <v>15</v>
      </c>
      <c r="I8578" s="45">
        <v>31.817530000000001</v>
      </c>
    </row>
    <row r="8579" spans="1:9" s="71" customFormat="1" ht="19.5" hidden="1" customHeight="1" outlineLevel="1" x14ac:dyDescent="0.25">
      <c r="A8579" s="83">
        <v>10004</v>
      </c>
      <c r="B8579" s="45" t="s">
        <v>664</v>
      </c>
      <c r="C8579" s="82" t="s">
        <v>7987</v>
      </c>
      <c r="D8579" s="82"/>
      <c r="E8579" s="74">
        <v>2021</v>
      </c>
      <c r="F8579" s="74"/>
      <c r="G8579" s="45">
        <v>1</v>
      </c>
      <c r="H8579" s="45">
        <v>15</v>
      </c>
      <c r="I8579" s="45">
        <v>39.079680000000003</v>
      </c>
    </row>
    <row r="8580" spans="1:9" s="71" customFormat="1" ht="19.5" hidden="1" customHeight="1" outlineLevel="1" x14ac:dyDescent="0.25">
      <c r="A8580" s="83">
        <v>9994</v>
      </c>
      <c r="B8580" s="45" t="s">
        <v>664</v>
      </c>
      <c r="C8580" s="82" t="s">
        <v>7988</v>
      </c>
      <c r="D8580" s="82"/>
      <c r="E8580" s="74">
        <v>2021</v>
      </c>
      <c r="F8580" s="74"/>
      <c r="G8580" s="45">
        <v>1</v>
      </c>
      <c r="H8580" s="45">
        <v>15</v>
      </c>
      <c r="I8580" s="45">
        <v>35.673389999999998</v>
      </c>
    </row>
    <row r="8581" spans="1:9" s="71" customFormat="1" ht="19.5" hidden="1" customHeight="1" outlineLevel="1" x14ac:dyDescent="0.25">
      <c r="A8581" s="83">
        <v>9529</v>
      </c>
      <c r="B8581" s="45" t="s">
        <v>664</v>
      </c>
      <c r="C8581" s="82" t="s">
        <v>7989</v>
      </c>
      <c r="D8581" s="82"/>
      <c r="E8581" s="74">
        <v>2021</v>
      </c>
      <c r="F8581" s="74"/>
      <c r="G8581" s="45">
        <v>1</v>
      </c>
      <c r="H8581" s="45">
        <v>30</v>
      </c>
      <c r="I8581" s="45">
        <v>33.536740000000002</v>
      </c>
    </row>
    <row r="8582" spans="1:9" s="71" customFormat="1" ht="19.5" hidden="1" customHeight="1" outlineLevel="1" x14ac:dyDescent="0.25">
      <c r="A8582" s="84">
        <v>2357</v>
      </c>
      <c r="B8582" s="45" t="s">
        <v>664</v>
      </c>
      <c r="C8582" s="82" t="s">
        <v>7990</v>
      </c>
      <c r="D8582" s="82"/>
      <c r="E8582" s="74">
        <v>2021</v>
      </c>
      <c r="F8582" s="74"/>
      <c r="G8582" s="45">
        <v>2</v>
      </c>
      <c r="H8582" s="45">
        <v>55</v>
      </c>
      <c r="I8582" s="45">
        <v>70.225999999999999</v>
      </c>
    </row>
    <row r="8583" spans="1:9" s="71" customFormat="1" ht="19.5" hidden="1" customHeight="1" outlineLevel="1" x14ac:dyDescent="0.25">
      <c r="A8583" s="84">
        <v>2303</v>
      </c>
      <c r="B8583" s="45" t="s">
        <v>664</v>
      </c>
      <c r="C8583" s="82" t="s">
        <v>7991</v>
      </c>
      <c r="D8583" s="82"/>
      <c r="E8583" s="74">
        <v>2021</v>
      </c>
      <c r="F8583" s="74"/>
      <c r="G8583" s="45">
        <v>1</v>
      </c>
      <c r="H8583" s="45">
        <v>5</v>
      </c>
      <c r="I8583" s="45">
        <v>60.48471</v>
      </c>
    </row>
    <row r="8584" spans="1:9" s="71" customFormat="1" ht="19.5" hidden="1" customHeight="1" outlineLevel="1" x14ac:dyDescent="0.25">
      <c r="A8584" s="83">
        <v>10320</v>
      </c>
      <c r="B8584" s="45" t="s">
        <v>664</v>
      </c>
      <c r="C8584" s="82" t="s">
        <v>7992</v>
      </c>
      <c r="D8584" s="82"/>
      <c r="E8584" s="74">
        <v>2021</v>
      </c>
      <c r="F8584" s="74"/>
      <c r="G8584" s="45">
        <v>1</v>
      </c>
      <c r="H8584" s="45">
        <v>15</v>
      </c>
      <c r="I8584" s="45">
        <v>39.652230000000003</v>
      </c>
    </row>
    <row r="8585" spans="1:9" s="71" customFormat="1" ht="19.5" hidden="1" customHeight="1" outlineLevel="1" x14ac:dyDescent="0.25">
      <c r="A8585" s="84">
        <v>1852</v>
      </c>
      <c r="B8585" s="45" t="s">
        <v>664</v>
      </c>
      <c r="C8585" s="82" t="s">
        <v>7993</v>
      </c>
      <c r="D8585" s="82"/>
      <c r="E8585" s="74">
        <v>2021</v>
      </c>
      <c r="F8585" s="74"/>
      <c r="G8585" s="45">
        <v>1</v>
      </c>
      <c r="H8585" s="45">
        <v>15</v>
      </c>
      <c r="I8585" s="45">
        <v>38.358370000000001</v>
      </c>
    </row>
    <row r="8586" spans="1:9" s="71" customFormat="1" ht="19.5" hidden="1" customHeight="1" outlineLevel="1" x14ac:dyDescent="0.25">
      <c r="A8586" s="83">
        <v>9614</v>
      </c>
      <c r="B8586" s="45" t="s">
        <v>664</v>
      </c>
      <c r="C8586" s="82" t="s">
        <v>7994</v>
      </c>
      <c r="D8586" s="82"/>
      <c r="E8586" s="74">
        <v>2021</v>
      </c>
      <c r="F8586" s="74"/>
      <c r="G8586" s="45">
        <v>1</v>
      </c>
      <c r="H8586" s="45">
        <v>150</v>
      </c>
      <c r="I8586" s="45">
        <v>32.029339999999998</v>
      </c>
    </row>
    <row r="8587" spans="1:9" s="71" customFormat="1" ht="19.5" hidden="1" customHeight="1" outlineLevel="1" x14ac:dyDescent="0.25">
      <c r="A8587" s="83">
        <v>9827</v>
      </c>
      <c r="B8587" s="45" t="s">
        <v>664</v>
      </c>
      <c r="C8587" s="82" t="s">
        <v>7995</v>
      </c>
      <c r="D8587" s="82"/>
      <c r="E8587" s="74">
        <v>2021</v>
      </c>
      <c r="F8587" s="74"/>
      <c r="G8587" s="45">
        <v>1</v>
      </c>
      <c r="H8587" s="45">
        <v>50</v>
      </c>
      <c r="I8587" s="45">
        <v>30.99841</v>
      </c>
    </row>
    <row r="8588" spans="1:9" s="71" customFormat="1" ht="19.5" hidden="1" customHeight="1" outlineLevel="1" x14ac:dyDescent="0.25">
      <c r="A8588" s="84">
        <v>1841</v>
      </c>
      <c r="B8588" s="45" t="s">
        <v>664</v>
      </c>
      <c r="C8588" s="82" t="s">
        <v>7996</v>
      </c>
      <c r="D8588" s="82"/>
      <c r="E8588" s="74">
        <v>2021</v>
      </c>
      <c r="F8588" s="74"/>
      <c r="G8588" s="45">
        <v>1</v>
      </c>
      <c r="H8588" s="45">
        <v>15</v>
      </c>
      <c r="I8588" s="45">
        <v>42.183369999999996</v>
      </c>
    </row>
    <row r="8589" spans="1:9" s="71" customFormat="1" ht="19.5" hidden="1" customHeight="1" outlineLevel="1" x14ac:dyDescent="0.25">
      <c r="A8589" s="84">
        <v>1859</v>
      </c>
      <c r="B8589" s="45" t="s">
        <v>664</v>
      </c>
      <c r="C8589" s="82" t="s">
        <v>7997</v>
      </c>
      <c r="D8589" s="82"/>
      <c r="E8589" s="74">
        <v>2021</v>
      </c>
      <c r="F8589" s="74"/>
      <c r="G8589" s="45">
        <v>1</v>
      </c>
      <c r="H8589" s="45">
        <v>15</v>
      </c>
      <c r="I8589" s="45">
        <v>42.182600000000001</v>
      </c>
    </row>
    <row r="8590" spans="1:9" s="71" customFormat="1" ht="19.5" hidden="1" customHeight="1" outlineLevel="1" x14ac:dyDescent="0.25">
      <c r="A8590" s="84">
        <v>1855</v>
      </c>
      <c r="B8590" s="45" t="s">
        <v>664</v>
      </c>
      <c r="C8590" s="82" t="s">
        <v>7998</v>
      </c>
      <c r="D8590" s="82"/>
      <c r="E8590" s="74">
        <v>2021</v>
      </c>
      <c r="F8590" s="74"/>
      <c r="G8590" s="45">
        <v>1</v>
      </c>
      <c r="H8590" s="45">
        <v>15</v>
      </c>
      <c r="I8590" s="45">
        <v>49.439279999999997</v>
      </c>
    </row>
    <row r="8591" spans="1:9" s="71" customFormat="1" ht="19.5" hidden="1" customHeight="1" outlineLevel="1" x14ac:dyDescent="0.25">
      <c r="A8591" s="83">
        <v>9486</v>
      </c>
      <c r="B8591" s="45" t="s">
        <v>664</v>
      </c>
      <c r="C8591" s="82" t="s">
        <v>464</v>
      </c>
      <c r="D8591" s="82"/>
      <c r="E8591" s="74">
        <v>2021</v>
      </c>
      <c r="F8591" s="74"/>
      <c r="G8591" s="45">
        <v>1</v>
      </c>
      <c r="H8591" s="45">
        <v>15</v>
      </c>
      <c r="I8591" s="45">
        <v>52.113630000000001</v>
      </c>
    </row>
    <row r="8592" spans="1:9" s="71" customFormat="1" ht="19.5" hidden="1" customHeight="1" outlineLevel="1" x14ac:dyDescent="0.25">
      <c r="A8592" s="83">
        <v>9767</v>
      </c>
      <c r="B8592" s="45" t="s">
        <v>664</v>
      </c>
      <c r="C8592" s="82" t="s">
        <v>7999</v>
      </c>
      <c r="D8592" s="82"/>
      <c r="E8592" s="74">
        <v>2021</v>
      </c>
      <c r="F8592" s="74"/>
      <c r="G8592" s="45">
        <v>1</v>
      </c>
      <c r="H8592" s="45">
        <v>15</v>
      </c>
      <c r="I8592" s="45">
        <v>40.444609999999997</v>
      </c>
    </row>
    <row r="8593" spans="1:9" s="71" customFormat="1" ht="19.5" hidden="1" customHeight="1" outlineLevel="1" x14ac:dyDescent="0.25">
      <c r="A8593" s="83">
        <v>9765</v>
      </c>
      <c r="B8593" s="45" t="s">
        <v>664</v>
      </c>
      <c r="C8593" s="82" t="s">
        <v>8000</v>
      </c>
      <c r="D8593" s="82"/>
      <c r="E8593" s="74">
        <v>2021</v>
      </c>
      <c r="F8593" s="74"/>
      <c r="G8593" s="45">
        <v>1</v>
      </c>
      <c r="H8593" s="45">
        <v>15</v>
      </c>
      <c r="I8593" s="45">
        <v>26.387989999999999</v>
      </c>
    </row>
    <row r="8594" spans="1:9" s="71" customFormat="1" ht="19.5" hidden="1" customHeight="1" outlineLevel="1" x14ac:dyDescent="0.25">
      <c r="A8594" s="83">
        <v>9761</v>
      </c>
      <c r="B8594" s="45" t="s">
        <v>664</v>
      </c>
      <c r="C8594" s="82" t="s">
        <v>8001</v>
      </c>
      <c r="D8594" s="82"/>
      <c r="E8594" s="74">
        <v>2021</v>
      </c>
      <c r="F8594" s="74"/>
      <c r="G8594" s="45">
        <v>1</v>
      </c>
      <c r="H8594" s="45">
        <v>15</v>
      </c>
      <c r="I8594" s="45">
        <v>23.469439999999999</v>
      </c>
    </row>
    <row r="8595" spans="1:9" s="71" customFormat="1" ht="19.5" hidden="1" customHeight="1" outlineLevel="1" x14ac:dyDescent="0.25">
      <c r="A8595" s="84">
        <v>1347</v>
      </c>
      <c r="B8595" s="45" t="s">
        <v>664</v>
      </c>
      <c r="C8595" s="82" t="s">
        <v>8002</v>
      </c>
      <c r="D8595" s="82"/>
      <c r="E8595" s="74">
        <v>2021</v>
      </c>
      <c r="F8595" s="74"/>
      <c r="G8595" s="45">
        <v>1</v>
      </c>
      <c r="H8595" s="45">
        <v>15</v>
      </c>
      <c r="I8595" s="45">
        <v>27.89113</v>
      </c>
    </row>
    <row r="8596" spans="1:9" s="71" customFormat="1" ht="19.5" hidden="1" customHeight="1" outlineLevel="1" x14ac:dyDescent="0.25">
      <c r="A8596" s="84">
        <v>1908</v>
      </c>
      <c r="B8596" s="45" t="s">
        <v>664</v>
      </c>
      <c r="C8596" s="82" t="s">
        <v>8003</v>
      </c>
      <c r="D8596" s="82"/>
      <c r="E8596" s="74">
        <v>2021</v>
      </c>
      <c r="F8596" s="74"/>
      <c r="G8596" s="45">
        <v>1</v>
      </c>
      <c r="H8596" s="45">
        <v>15</v>
      </c>
      <c r="I8596" s="45">
        <v>38.072830000000003</v>
      </c>
    </row>
    <row r="8597" spans="1:9" s="71" customFormat="1" ht="19.5" hidden="1" customHeight="1" outlineLevel="1" x14ac:dyDescent="0.25">
      <c r="A8597" s="84">
        <v>1834</v>
      </c>
      <c r="B8597" s="45" t="s">
        <v>664</v>
      </c>
      <c r="C8597" s="82" t="s">
        <v>8004</v>
      </c>
      <c r="D8597" s="82"/>
      <c r="E8597" s="74">
        <v>2021</v>
      </c>
      <c r="F8597" s="74"/>
      <c r="G8597" s="45">
        <v>1</v>
      </c>
      <c r="H8597" s="45">
        <v>15</v>
      </c>
      <c r="I8597" s="45">
        <v>57.68562</v>
      </c>
    </row>
    <row r="8598" spans="1:9" s="71" customFormat="1" ht="19.5" hidden="1" customHeight="1" outlineLevel="1" x14ac:dyDescent="0.25">
      <c r="A8598" s="83">
        <v>9995</v>
      </c>
      <c r="B8598" s="45" t="s">
        <v>664</v>
      </c>
      <c r="C8598" s="82" t="s">
        <v>8005</v>
      </c>
      <c r="D8598" s="82"/>
      <c r="E8598" s="74">
        <v>2021</v>
      </c>
      <c r="F8598" s="74"/>
      <c r="G8598" s="45">
        <v>1</v>
      </c>
      <c r="H8598" s="45">
        <v>5</v>
      </c>
      <c r="I8598" s="45">
        <v>44.859630000000003</v>
      </c>
    </row>
    <row r="8599" spans="1:9" s="71" customFormat="1" ht="19.5" hidden="1" customHeight="1" outlineLevel="1" x14ac:dyDescent="0.25">
      <c r="A8599" s="84">
        <v>1880</v>
      </c>
      <c r="B8599" s="45" t="s">
        <v>664</v>
      </c>
      <c r="C8599" s="82" t="s">
        <v>8006</v>
      </c>
      <c r="D8599" s="82"/>
      <c r="E8599" s="74">
        <v>2021</v>
      </c>
      <c r="F8599" s="74"/>
      <c r="G8599" s="45">
        <v>1</v>
      </c>
      <c r="H8599" s="45">
        <v>15</v>
      </c>
      <c r="I8599" s="45">
        <v>41.853540000000002</v>
      </c>
    </row>
    <row r="8600" spans="1:9" s="71" customFormat="1" ht="19.5" hidden="1" customHeight="1" outlineLevel="1" x14ac:dyDescent="0.25">
      <c r="A8600" s="84">
        <v>781</v>
      </c>
      <c r="B8600" s="45" t="s">
        <v>664</v>
      </c>
      <c r="C8600" s="82" t="s">
        <v>8007</v>
      </c>
      <c r="D8600" s="82"/>
      <c r="E8600" s="74">
        <v>2021</v>
      </c>
      <c r="F8600" s="74"/>
      <c r="G8600" s="45">
        <v>1</v>
      </c>
      <c r="H8600" s="45">
        <v>15</v>
      </c>
      <c r="I8600" s="45">
        <v>106.94925000000001</v>
      </c>
    </row>
    <row r="8601" spans="1:9" s="71" customFormat="1" ht="19.5" hidden="1" customHeight="1" outlineLevel="1" x14ac:dyDescent="0.25">
      <c r="A8601" s="83">
        <v>9866</v>
      </c>
      <c r="B8601" s="45" t="s">
        <v>664</v>
      </c>
      <c r="C8601" s="82" t="s">
        <v>8008</v>
      </c>
      <c r="D8601" s="82"/>
      <c r="E8601" s="74">
        <v>2021</v>
      </c>
      <c r="F8601" s="74"/>
      <c r="G8601" s="45">
        <v>1</v>
      </c>
      <c r="H8601" s="45">
        <v>15</v>
      </c>
      <c r="I8601" s="45">
        <v>29.371600000000001</v>
      </c>
    </row>
    <row r="8602" spans="1:9" s="71" customFormat="1" ht="19.5" hidden="1" customHeight="1" outlineLevel="1" x14ac:dyDescent="0.25">
      <c r="A8602" s="84">
        <v>1521</v>
      </c>
      <c r="B8602" s="45" t="s">
        <v>664</v>
      </c>
      <c r="C8602" s="82" t="s">
        <v>8009</v>
      </c>
      <c r="D8602" s="82"/>
      <c r="E8602" s="74">
        <v>2021</v>
      </c>
      <c r="F8602" s="74"/>
      <c r="G8602" s="45">
        <v>1</v>
      </c>
      <c r="H8602" s="45">
        <v>15</v>
      </c>
      <c r="I8602" s="45">
        <v>33.515659999999997</v>
      </c>
    </row>
    <row r="8603" spans="1:9" s="71" customFormat="1" ht="19.5" hidden="1" customHeight="1" outlineLevel="1" x14ac:dyDescent="0.25">
      <c r="A8603" s="84">
        <v>1773</v>
      </c>
      <c r="B8603" s="45" t="s">
        <v>664</v>
      </c>
      <c r="C8603" s="82" t="s">
        <v>8010</v>
      </c>
      <c r="D8603" s="82"/>
      <c r="E8603" s="74">
        <v>2021</v>
      </c>
      <c r="F8603" s="74"/>
      <c r="G8603" s="45">
        <v>1</v>
      </c>
      <c r="H8603" s="45">
        <v>15</v>
      </c>
      <c r="I8603" s="45">
        <v>35.529969999999999</v>
      </c>
    </row>
    <row r="8604" spans="1:9" s="71" customFormat="1" ht="19.5" hidden="1" customHeight="1" outlineLevel="1" x14ac:dyDescent="0.25">
      <c r="A8604" s="84">
        <v>1776</v>
      </c>
      <c r="B8604" s="45" t="s">
        <v>664</v>
      </c>
      <c r="C8604" s="82" t="s">
        <v>8011</v>
      </c>
      <c r="D8604" s="82"/>
      <c r="E8604" s="74">
        <v>2021</v>
      </c>
      <c r="F8604" s="74"/>
      <c r="G8604" s="45">
        <v>1</v>
      </c>
      <c r="H8604" s="45">
        <v>15</v>
      </c>
      <c r="I8604" s="45">
        <v>49.741019999999999</v>
      </c>
    </row>
    <row r="8605" spans="1:9" s="71" customFormat="1" ht="19.5" hidden="1" customHeight="1" outlineLevel="1" x14ac:dyDescent="0.25">
      <c r="A8605" s="84">
        <v>1788</v>
      </c>
      <c r="B8605" s="45" t="s">
        <v>664</v>
      </c>
      <c r="C8605" s="82" t="s">
        <v>8012</v>
      </c>
      <c r="D8605" s="82"/>
      <c r="E8605" s="74">
        <v>2021</v>
      </c>
      <c r="F8605" s="74"/>
      <c r="G8605" s="45">
        <v>1</v>
      </c>
      <c r="H8605" s="45">
        <v>15</v>
      </c>
      <c r="I8605" s="45">
        <v>49.480989999999998</v>
      </c>
    </row>
    <row r="8606" spans="1:9" s="71" customFormat="1" ht="19.5" hidden="1" customHeight="1" outlineLevel="1" x14ac:dyDescent="0.25">
      <c r="A8606" s="84">
        <v>1489</v>
      </c>
      <c r="B8606" s="45" t="s">
        <v>664</v>
      </c>
      <c r="C8606" s="82" t="s">
        <v>8013</v>
      </c>
      <c r="D8606" s="82"/>
      <c r="E8606" s="74">
        <v>2021</v>
      </c>
      <c r="F8606" s="74"/>
      <c r="G8606" s="45">
        <v>1</v>
      </c>
      <c r="H8606" s="45">
        <v>15</v>
      </c>
      <c r="I8606" s="45">
        <v>48.815849999999998</v>
      </c>
    </row>
    <row r="8607" spans="1:9" s="71" customFormat="1" ht="19.5" hidden="1" customHeight="1" outlineLevel="1" x14ac:dyDescent="0.25">
      <c r="A8607" s="83">
        <v>10314</v>
      </c>
      <c r="B8607" s="45" t="s">
        <v>664</v>
      </c>
      <c r="C8607" s="82" t="s">
        <v>8014</v>
      </c>
      <c r="D8607" s="82"/>
      <c r="E8607" s="74">
        <v>2021</v>
      </c>
      <c r="F8607" s="74"/>
      <c r="G8607" s="45">
        <v>2</v>
      </c>
      <c r="H8607" s="45">
        <v>30</v>
      </c>
      <c r="I8607" s="45">
        <v>64.214380000000006</v>
      </c>
    </row>
    <row r="8608" spans="1:9" s="71" customFormat="1" ht="19.5" hidden="1" customHeight="1" outlineLevel="1" x14ac:dyDescent="0.25">
      <c r="A8608" s="84">
        <v>2306</v>
      </c>
      <c r="B8608" s="45" t="s">
        <v>664</v>
      </c>
      <c r="C8608" s="82" t="s">
        <v>8015</v>
      </c>
      <c r="D8608" s="82"/>
      <c r="E8608" s="74">
        <v>2021</v>
      </c>
      <c r="F8608" s="74"/>
      <c r="G8608" s="45">
        <v>3</v>
      </c>
      <c r="H8608" s="45">
        <v>15</v>
      </c>
      <c r="I8608" s="45">
        <v>113.31865000000001</v>
      </c>
    </row>
    <row r="8609" spans="1:9" s="71" customFormat="1" ht="19.5" hidden="1" customHeight="1" outlineLevel="1" x14ac:dyDescent="0.25">
      <c r="A8609" s="84">
        <v>2412</v>
      </c>
      <c r="B8609" s="45" t="s">
        <v>664</v>
      </c>
      <c r="C8609" s="82" t="s">
        <v>8016</v>
      </c>
      <c r="D8609" s="82"/>
      <c r="E8609" s="74">
        <v>2021</v>
      </c>
      <c r="F8609" s="74"/>
      <c r="G8609" s="45">
        <v>2</v>
      </c>
      <c r="H8609" s="45">
        <v>25</v>
      </c>
      <c r="I8609" s="45">
        <v>65.427580000000006</v>
      </c>
    </row>
    <row r="8610" spans="1:9" s="71" customFormat="1" ht="19.5" hidden="1" customHeight="1" outlineLevel="1" x14ac:dyDescent="0.25">
      <c r="A8610" s="84">
        <v>2368</v>
      </c>
      <c r="B8610" s="45" t="s">
        <v>664</v>
      </c>
      <c r="C8610" s="82" t="s">
        <v>8017</v>
      </c>
      <c r="D8610" s="82"/>
      <c r="E8610" s="74">
        <v>2021</v>
      </c>
      <c r="F8610" s="74"/>
      <c r="G8610" s="45">
        <v>3</v>
      </c>
      <c r="H8610" s="45">
        <v>45</v>
      </c>
      <c r="I8610" s="45">
        <v>101.71357999999999</v>
      </c>
    </row>
    <row r="8611" spans="1:9" s="71" customFormat="1" ht="19.5" hidden="1" customHeight="1" outlineLevel="1" x14ac:dyDescent="0.25">
      <c r="A8611" s="84">
        <v>2302</v>
      </c>
      <c r="B8611" s="45" t="s">
        <v>664</v>
      </c>
      <c r="C8611" s="82" t="s">
        <v>8018</v>
      </c>
      <c r="D8611" s="82"/>
      <c r="E8611" s="74">
        <v>2021</v>
      </c>
      <c r="F8611" s="74"/>
      <c r="G8611" s="45">
        <v>1</v>
      </c>
      <c r="H8611" s="45">
        <v>15</v>
      </c>
      <c r="I8611" s="45">
        <v>18.893090000000001</v>
      </c>
    </row>
    <row r="8612" spans="1:9" s="71" customFormat="1" ht="19.5" hidden="1" customHeight="1" outlineLevel="1" x14ac:dyDescent="0.25">
      <c r="A8612" s="84">
        <v>1806</v>
      </c>
      <c r="B8612" s="45" t="s">
        <v>664</v>
      </c>
      <c r="C8612" s="82" t="s">
        <v>8019</v>
      </c>
      <c r="D8612" s="82"/>
      <c r="E8612" s="74">
        <v>2021</v>
      </c>
      <c r="F8612" s="74"/>
      <c r="G8612" s="45">
        <v>1</v>
      </c>
      <c r="H8612" s="45">
        <v>15</v>
      </c>
      <c r="I8612" s="45">
        <v>38.562359999999998</v>
      </c>
    </row>
    <row r="8613" spans="1:9" s="71" customFormat="1" ht="19.5" hidden="1" customHeight="1" outlineLevel="1" x14ac:dyDescent="0.25">
      <c r="A8613" s="84">
        <v>1808</v>
      </c>
      <c r="B8613" s="45" t="s">
        <v>664</v>
      </c>
      <c r="C8613" s="82" t="s">
        <v>8020</v>
      </c>
      <c r="D8613" s="82"/>
      <c r="E8613" s="74">
        <v>2021</v>
      </c>
      <c r="F8613" s="74"/>
      <c r="G8613" s="45">
        <v>1</v>
      </c>
      <c r="H8613" s="45">
        <v>15</v>
      </c>
      <c r="I8613" s="45">
        <v>35.062080000000002</v>
      </c>
    </row>
    <row r="8614" spans="1:9" s="71" customFormat="1" ht="19.5" hidden="1" customHeight="1" outlineLevel="1" x14ac:dyDescent="0.25">
      <c r="A8614" s="84">
        <v>1851</v>
      </c>
      <c r="B8614" s="45" t="s">
        <v>664</v>
      </c>
      <c r="C8614" s="82" t="s">
        <v>8021</v>
      </c>
      <c r="D8614" s="82"/>
      <c r="E8614" s="74">
        <v>2021</v>
      </c>
      <c r="F8614" s="74"/>
      <c r="G8614" s="45">
        <v>1</v>
      </c>
      <c r="H8614" s="45">
        <v>15</v>
      </c>
      <c r="I8614" s="45">
        <v>37.626690000000004</v>
      </c>
    </row>
    <row r="8615" spans="1:9" s="71" customFormat="1" ht="19.5" hidden="1" customHeight="1" outlineLevel="1" x14ac:dyDescent="0.25">
      <c r="A8615" s="84">
        <v>1918</v>
      </c>
      <c r="B8615" s="45" t="s">
        <v>664</v>
      </c>
      <c r="C8615" s="82" t="s">
        <v>8022</v>
      </c>
      <c r="D8615" s="82"/>
      <c r="E8615" s="74">
        <v>2021</v>
      </c>
      <c r="F8615" s="74"/>
      <c r="G8615" s="45">
        <v>1</v>
      </c>
      <c r="H8615" s="45">
        <v>15</v>
      </c>
      <c r="I8615" s="45">
        <v>33.585610000000003</v>
      </c>
    </row>
    <row r="8616" spans="1:9" s="71" customFormat="1" ht="19.5" hidden="1" customHeight="1" outlineLevel="1" x14ac:dyDescent="0.25">
      <c r="A8616" s="83">
        <v>10017</v>
      </c>
      <c r="B8616" s="45" t="s">
        <v>664</v>
      </c>
      <c r="C8616" s="82" t="s">
        <v>8023</v>
      </c>
      <c r="D8616" s="82"/>
      <c r="E8616" s="74">
        <v>2021</v>
      </c>
      <c r="F8616" s="74"/>
      <c r="G8616" s="45">
        <v>1</v>
      </c>
      <c r="H8616" s="45">
        <v>15</v>
      </c>
      <c r="I8616" s="45">
        <v>33.580190000000002</v>
      </c>
    </row>
    <row r="8617" spans="1:9" s="71" customFormat="1" ht="19.5" hidden="1" customHeight="1" outlineLevel="1" x14ac:dyDescent="0.25">
      <c r="A8617" s="84">
        <v>1805</v>
      </c>
      <c r="B8617" s="45" t="s">
        <v>664</v>
      </c>
      <c r="C8617" s="82" t="s">
        <v>8024</v>
      </c>
      <c r="D8617" s="82"/>
      <c r="E8617" s="74">
        <v>2021</v>
      </c>
      <c r="F8617" s="74"/>
      <c r="G8617" s="45">
        <v>1</v>
      </c>
      <c r="H8617" s="45">
        <v>10</v>
      </c>
      <c r="I8617" s="45">
        <v>43.535110000000003</v>
      </c>
    </row>
    <row r="8618" spans="1:9" s="71" customFormat="1" ht="19.5" hidden="1" customHeight="1" outlineLevel="1" x14ac:dyDescent="0.25">
      <c r="A8618" s="84">
        <v>1842</v>
      </c>
      <c r="B8618" s="45" t="s">
        <v>664</v>
      </c>
      <c r="C8618" s="82" t="s">
        <v>8025</v>
      </c>
      <c r="D8618" s="82"/>
      <c r="E8618" s="74">
        <v>2021</v>
      </c>
      <c r="F8618" s="74"/>
      <c r="G8618" s="45">
        <v>1</v>
      </c>
      <c r="H8618" s="45">
        <v>15</v>
      </c>
      <c r="I8618" s="45">
        <v>34.411850000000001</v>
      </c>
    </row>
    <row r="8619" spans="1:9" s="71" customFormat="1" ht="19.5" hidden="1" customHeight="1" outlineLevel="1" x14ac:dyDescent="0.25">
      <c r="A8619" s="83">
        <v>9996</v>
      </c>
      <c r="B8619" s="45" t="s">
        <v>664</v>
      </c>
      <c r="C8619" s="82" t="s">
        <v>8026</v>
      </c>
      <c r="D8619" s="82"/>
      <c r="E8619" s="74">
        <v>2021</v>
      </c>
      <c r="F8619" s="74"/>
      <c r="G8619" s="45">
        <v>1</v>
      </c>
      <c r="H8619" s="45">
        <v>15</v>
      </c>
      <c r="I8619" s="45">
        <v>35.121299999999998</v>
      </c>
    </row>
    <row r="8620" spans="1:9" s="71" customFormat="1" ht="19.5" hidden="1" customHeight="1" outlineLevel="1" x14ac:dyDescent="0.25">
      <c r="A8620" s="83">
        <v>10000</v>
      </c>
      <c r="B8620" s="45" t="s">
        <v>664</v>
      </c>
      <c r="C8620" s="82" t="s">
        <v>8027</v>
      </c>
      <c r="D8620" s="82"/>
      <c r="E8620" s="74">
        <v>2021</v>
      </c>
      <c r="F8620" s="74"/>
      <c r="G8620" s="45">
        <v>1</v>
      </c>
      <c r="H8620" s="45">
        <v>15</v>
      </c>
      <c r="I8620" s="45">
        <v>47.544490000000003</v>
      </c>
    </row>
    <row r="8621" spans="1:9" s="71" customFormat="1" ht="19.5" hidden="1" customHeight="1" outlineLevel="1" x14ac:dyDescent="0.25">
      <c r="A8621" s="84">
        <v>1871</v>
      </c>
      <c r="B8621" s="45" t="s">
        <v>664</v>
      </c>
      <c r="C8621" s="82" t="s">
        <v>8028</v>
      </c>
      <c r="D8621" s="82"/>
      <c r="E8621" s="74">
        <v>2021</v>
      </c>
      <c r="F8621" s="74"/>
      <c r="G8621" s="45">
        <v>1</v>
      </c>
      <c r="H8621" s="45">
        <v>15</v>
      </c>
      <c r="I8621" s="45">
        <v>32.226959999999998</v>
      </c>
    </row>
    <row r="8622" spans="1:9" s="71" customFormat="1" ht="19.5" hidden="1" customHeight="1" outlineLevel="1" x14ac:dyDescent="0.25">
      <c r="A8622" s="84">
        <v>1893</v>
      </c>
      <c r="B8622" s="45" t="s">
        <v>664</v>
      </c>
      <c r="C8622" s="82" t="s">
        <v>8029</v>
      </c>
      <c r="D8622" s="82"/>
      <c r="E8622" s="74">
        <v>2021</v>
      </c>
      <c r="F8622" s="74"/>
      <c r="G8622" s="45">
        <v>1</v>
      </c>
      <c r="H8622" s="45">
        <v>15</v>
      </c>
      <c r="I8622" s="45">
        <v>36.713929999999998</v>
      </c>
    </row>
    <row r="8623" spans="1:9" s="71" customFormat="1" ht="19.5" hidden="1" customHeight="1" outlineLevel="1" x14ac:dyDescent="0.25">
      <c r="A8623" s="84">
        <v>1896</v>
      </c>
      <c r="B8623" s="45" t="s">
        <v>664</v>
      </c>
      <c r="C8623" s="82" t="s">
        <v>8030</v>
      </c>
      <c r="D8623" s="82"/>
      <c r="E8623" s="74">
        <v>2021</v>
      </c>
      <c r="F8623" s="74"/>
      <c r="G8623" s="45">
        <v>1</v>
      </c>
      <c r="H8623" s="45">
        <v>15</v>
      </c>
      <c r="I8623" s="45">
        <v>34.355980000000002</v>
      </c>
    </row>
    <row r="8624" spans="1:9" s="71" customFormat="1" ht="19.5" hidden="1" customHeight="1" outlineLevel="1" x14ac:dyDescent="0.25">
      <c r="A8624" s="84">
        <v>1625</v>
      </c>
      <c r="B8624" s="45" t="s">
        <v>664</v>
      </c>
      <c r="C8624" s="82" t="s">
        <v>8031</v>
      </c>
      <c r="D8624" s="82"/>
      <c r="E8624" s="74">
        <v>2021</v>
      </c>
      <c r="F8624" s="74"/>
      <c r="G8624" s="45">
        <v>1</v>
      </c>
      <c r="H8624" s="45">
        <v>15</v>
      </c>
      <c r="I8624" s="45">
        <v>32.808799999999998</v>
      </c>
    </row>
    <row r="8625" spans="1:9" s="71" customFormat="1" ht="19.5" hidden="1" customHeight="1" outlineLevel="1" x14ac:dyDescent="0.25">
      <c r="A8625" s="84">
        <v>1594</v>
      </c>
      <c r="B8625" s="45" t="s">
        <v>664</v>
      </c>
      <c r="C8625" s="82" t="s">
        <v>8032</v>
      </c>
      <c r="D8625" s="82"/>
      <c r="E8625" s="74">
        <v>2021</v>
      </c>
      <c r="F8625" s="74"/>
      <c r="G8625" s="45">
        <v>1</v>
      </c>
      <c r="H8625" s="45">
        <v>15</v>
      </c>
      <c r="I8625" s="45">
        <v>35.161819999999999</v>
      </c>
    </row>
    <row r="8626" spans="1:9" s="71" customFormat="1" ht="19.5" hidden="1" customHeight="1" outlineLevel="1" x14ac:dyDescent="0.25">
      <c r="A8626" s="83">
        <v>9932</v>
      </c>
      <c r="B8626" s="45" t="s">
        <v>664</v>
      </c>
      <c r="C8626" s="82" t="s">
        <v>8033</v>
      </c>
      <c r="D8626" s="82"/>
      <c r="E8626" s="74">
        <v>2021</v>
      </c>
      <c r="F8626" s="74"/>
      <c r="G8626" s="45">
        <v>1</v>
      </c>
      <c r="H8626" s="45">
        <v>15</v>
      </c>
      <c r="I8626" s="45">
        <v>30.564419999999998</v>
      </c>
    </row>
    <row r="8627" spans="1:9" s="71" customFormat="1" ht="19.5" hidden="1" customHeight="1" outlineLevel="1" x14ac:dyDescent="0.25">
      <c r="A8627" s="84">
        <v>1618</v>
      </c>
      <c r="B8627" s="45" t="s">
        <v>664</v>
      </c>
      <c r="C8627" s="82" t="s">
        <v>8034</v>
      </c>
      <c r="D8627" s="82"/>
      <c r="E8627" s="74">
        <v>2021</v>
      </c>
      <c r="F8627" s="74"/>
      <c r="G8627" s="45">
        <v>1</v>
      </c>
      <c r="H8627" s="45">
        <v>15</v>
      </c>
      <c r="I8627" s="45">
        <v>32.597029999999997</v>
      </c>
    </row>
    <row r="8628" spans="1:9" s="71" customFormat="1" ht="19.5" hidden="1" customHeight="1" outlineLevel="1" x14ac:dyDescent="0.25">
      <c r="A8628" s="84">
        <v>1802</v>
      </c>
      <c r="B8628" s="45" t="s">
        <v>664</v>
      </c>
      <c r="C8628" s="82" t="s">
        <v>8035</v>
      </c>
      <c r="D8628" s="82"/>
      <c r="E8628" s="74">
        <v>2021</v>
      </c>
      <c r="F8628" s="74"/>
      <c r="G8628" s="45">
        <v>1</v>
      </c>
      <c r="H8628" s="45">
        <v>15</v>
      </c>
      <c r="I8628" s="45">
        <v>68.858459999999994</v>
      </c>
    </row>
    <row r="8629" spans="1:9" s="71" customFormat="1" ht="19.5" hidden="1" customHeight="1" outlineLevel="1" x14ac:dyDescent="0.25">
      <c r="A8629" s="83">
        <v>9447</v>
      </c>
      <c r="B8629" s="45" t="s">
        <v>664</v>
      </c>
      <c r="C8629" s="82" t="s">
        <v>8036</v>
      </c>
      <c r="D8629" s="82"/>
      <c r="E8629" s="74">
        <v>2021</v>
      </c>
      <c r="F8629" s="74"/>
      <c r="G8629" s="45">
        <v>1</v>
      </c>
      <c r="H8629" s="45">
        <v>10</v>
      </c>
      <c r="I8629" s="45">
        <v>17.491879999999998</v>
      </c>
    </row>
    <row r="8630" spans="1:9" s="71" customFormat="1" ht="19.5" hidden="1" customHeight="1" outlineLevel="1" x14ac:dyDescent="0.25">
      <c r="A8630" s="84">
        <v>1355</v>
      </c>
      <c r="B8630" s="45" t="s">
        <v>664</v>
      </c>
      <c r="C8630" s="82" t="s">
        <v>8037</v>
      </c>
      <c r="D8630" s="82"/>
      <c r="E8630" s="74">
        <v>2021</v>
      </c>
      <c r="F8630" s="74"/>
      <c r="G8630" s="45">
        <v>1</v>
      </c>
      <c r="H8630" s="45">
        <v>15</v>
      </c>
      <c r="I8630" s="45">
        <v>24.349589999999999</v>
      </c>
    </row>
    <row r="8631" spans="1:9" s="71" customFormat="1" ht="19.5" hidden="1" customHeight="1" outlineLevel="1" x14ac:dyDescent="0.25">
      <c r="A8631" s="83">
        <v>9954</v>
      </c>
      <c r="B8631" s="45" t="s">
        <v>664</v>
      </c>
      <c r="C8631" s="82" t="s">
        <v>8038</v>
      </c>
      <c r="D8631" s="82"/>
      <c r="E8631" s="74">
        <v>2021</v>
      </c>
      <c r="F8631" s="74"/>
      <c r="G8631" s="45">
        <v>1</v>
      </c>
      <c r="H8631" s="45">
        <v>15</v>
      </c>
      <c r="I8631" s="45">
        <v>31.400749999999999</v>
      </c>
    </row>
    <row r="8632" spans="1:9" s="71" customFormat="1" ht="19.5" hidden="1" customHeight="1" outlineLevel="1" x14ac:dyDescent="0.25">
      <c r="A8632" s="83">
        <v>9638</v>
      </c>
      <c r="B8632" s="45" t="s">
        <v>664</v>
      </c>
      <c r="C8632" s="82" t="s">
        <v>8039</v>
      </c>
      <c r="D8632" s="82"/>
      <c r="E8632" s="74">
        <v>2021</v>
      </c>
      <c r="F8632" s="74"/>
      <c r="G8632" s="45">
        <v>1</v>
      </c>
      <c r="H8632" s="45">
        <v>55</v>
      </c>
      <c r="I8632" s="45">
        <v>63.756729999999997</v>
      </c>
    </row>
    <row r="8633" spans="1:9" s="71" customFormat="1" ht="19.5" hidden="1" customHeight="1" outlineLevel="1" x14ac:dyDescent="0.25">
      <c r="A8633" s="83">
        <v>9908</v>
      </c>
      <c r="B8633" s="45" t="s">
        <v>664</v>
      </c>
      <c r="C8633" s="82" t="s">
        <v>8040</v>
      </c>
      <c r="D8633" s="82"/>
      <c r="E8633" s="74">
        <v>2021</v>
      </c>
      <c r="F8633" s="74"/>
      <c r="G8633" s="45">
        <v>1</v>
      </c>
      <c r="H8633" s="45">
        <v>120</v>
      </c>
      <c r="I8633" s="45">
        <v>49.672229999999999</v>
      </c>
    </row>
    <row r="8634" spans="1:9" s="71" customFormat="1" ht="19.5" hidden="1" customHeight="1" outlineLevel="1" x14ac:dyDescent="0.25">
      <c r="A8634" s="83">
        <v>10315</v>
      </c>
      <c r="B8634" s="45" t="s">
        <v>664</v>
      </c>
      <c r="C8634" s="82" t="s">
        <v>8041</v>
      </c>
      <c r="D8634" s="82"/>
      <c r="E8634" s="74">
        <v>2021</v>
      </c>
      <c r="F8634" s="74"/>
      <c r="G8634" s="45">
        <v>2</v>
      </c>
      <c r="H8634" s="45">
        <v>45</v>
      </c>
      <c r="I8634" s="45">
        <v>64.719809999999995</v>
      </c>
    </row>
    <row r="8635" spans="1:9" s="71" customFormat="1" ht="19.5" hidden="1" customHeight="1" outlineLevel="1" x14ac:dyDescent="0.25">
      <c r="A8635" s="83">
        <v>9456</v>
      </c>
      <c r="B8635" s="45" t="s">
        <v>664</v>
      </c>
      <c r="C8635" s="82" t="s">
        <v>532</v>
      </c>
      <c r="D8635" s="82"/>
      <c r="E8635" s="74">
        <v>2021</v>
      </c>
      <c r="F8635" s="74"/>
      <c r="G8635" s="45">
        <v>1</v>
      </c>
      <c r="H8635" s="45">
        <v>15</v>
      </c>
      <c r="I8635" s="45">
        <v>22.914929999999998</v>
      </c>
    </row>
    <row r="8636" spans="1:9" s="71" customFormat="1" ht="19.5" hidden="1" customHeight="1" outlineLevel="1" x14ac:dyDescent="0.25">
      <c r="A8636" s="84">
        <v>1861</v>
      </c>
      <c r="B8636" s="45" t="s">
        <v>664</v>
      </c>
      <c r="C8636" s="82" t="s">
        <v>8042</v>
      </c>
      <c r="D8636" s="82"/>
      <c r="E8636" s="74">
        <v>2021</v>
      </c>
      <c r="F8636" s="74"/>
      <c r="G8636" s="45">
        <v>1</v>
      </c>
      <c r="H8636" s="45">
        <v>10</v>
      </c>
      <c r="I8636" s="45">
        <v>32.079149999999998</v>
      </c>
    </row>
    <row r="8637" spans="1:9" s="71" customFormat="1" ht="19.5" hidden="1" customHeight="1" outlineLevel="1" x14ac:dyDescent="0.25">
      <c r="A8637" s="84">
        <v>1356</v>
      </c>
      <c r="B8637" s="45" t="s">
        <v>664</v>
      </c>
      <c r="C8637" s="82" t="s">
        <v>8043</v>
      </c>
      <c r="D8637" s="82"/>
      <c r="E8637" s="74">
        <v>2021</v>
      </c>
      <c r="F8637" s="74"/>
      <c r="G8637" s="45">
        <v>1</v>
      </c>
      <c r="H8637" s="45">
        <v>15</v>
      </c>
      <c r="I8637" s="45">
        <v>29.333680000000001</v>
      </c>
    </row>
    <row r="8638" spans="1:9" s="71" customFormat="1" ht="19.5" hidden="1" customHeight="1" outlineLevel="1" x14ac:dyDescent="0.25">
      <c r="A8638" s="84">
        <v>2312</v>
      </c>
      <c r="B8638" s="45" t="s">
        <v>664</v>
      </c>
      <c r="C8638" s="82" t="s">
        <v>8044</v>
      </c>
      <c r="D8638" s="82"/>
      <c r="E8638" s="74">
        <v>2021</v>
      </c>
      <c r="F8638" s="74"/>
      <c r="G8638" s="45">
        <v>3</v>
      </c>
      <c r="H8638" s="45">
        <v>15</v>
      </c>
      <c r="I8638" s="45">
        <v>125.92418000000001</v>
      </c>
    </row>
    <row r="8639" spans="1:9" s="71" customFormat="1" ht="19.5" hidden="1" customHeight="1" outlineLevel="1" x14ac:dyDescent="0.25">
      <c r="A8639" s="84">
        <v>2464</v>
      </c>
      <c r="B8639" s="45" t="s">
        <v>664</v>
      </c>
      <c r="C8639" s="82" t="s">
        <v>8045</v>
      </c>
      <c r="D8639" s="82"/>
      <c r="E8639" s="74">
        <v>2021</v>
      </c>
      <c r="F8639" s="74"/>
      <c r="G8639" s="45">
        <v>1</v>
      </c>
      <c r="H8639" s="45">
        <v>15</v>
      </c>
      <c r="I8639" s="45">
        <v>42.797980000000003</v>
      </c>
    </row>
    <row r="8640" spans="1:9" s="71" customFormat="1" ht="19.5" hidden="1" customHeight="1" outlineLevel="1" x14ac:dyDescent="0.25">
      <c r="A8640" s="83">
        <v>9956</v>
      </c>
      <c r="B8640" s="45" t="s">
        <v>664</v>
      </c>
      <c r="C8640" s="82" t="s">
        <v>8046</v>
      </c>
      <c r="D8640" s="82"/>
      <c r="E8640" s="74">
        <v>2021</v>
      </c>
      <c r="F8640" s="74"/>
      <c r="G8640" s="45">
        <v>1</v>
      </c>
      <c r="H8640" s="45">
        <v>70</v>
      </c>
      <c r="I8640" s="45">
        <v>79.033510000000007</v>
      </c>
    </row>
    <row r="8641" spans="1:9" s="71" customFormat="1" ht="19.5" hidden="1" customHeight="1" outlineLevel="1" x14ac:dyDescent="0.25">
      <c r="A8641" s="84">
        <v>1843</v>
      </c>
      <c r="B8641" s="45" t="s">
        <v>664</v>
      </c>
      <c r="C8641" s="82" t="s">
        <v>8047</v>
      </c>
      <c r="D8641" s="82"/>
      <c r="E8641" s="74">
        <v>2021</v>
      </c>
      <c r="F8641" s="74"/>
      <c r="G8641" s="45">
        <v>1</v>
      </c>
      <c r="H8641" s="45">
        <v>15</v>
      </c>
      <c r="I8641" s="45">
        <v>34.774839999999998</v>
      </c>
    </row>
    <row r="8642" spans="1:9" s="71" customFormat="1" ht="19.5" hidden="1" customHeight="1" outlineLevel="1" x14ac:dyDescent="0.25">
      <c r="A8642" s="84">
        <v>1900</v>
      </c>
      <c r="B8642" s="45" t="s">
        <v>664</v>
      </c>
      <c r="C8642" s="82" t="s">
        <v>8048</v>
      </c>
      <c r="D8642" s="82"/>
      <c r="E8642" s="74">
        <v>2021</v>
      </c>
      <c r="F8642" s="74"/>
      <c r="G8642" s="45">
        <v>1</v>
      </c>
      <c r="H8642" s="45">
        <v>15</v>
      </c>
      <c r="I8642" s="45">
        <v>37.072049999999997</v>
      </c>
    </row>
    <row r="8643" spans="1:9" s="71" customFormat="1" ht="19.5" hidden="1" customHeight="1" outlineLevel="1" x14ac:dyDescent="0.25">
      <c r="A8643" s="84">
        <v>663</v>
      </c>
      <c r="B8643" s="45" t="s">
        <v>664</v>
      </c>
      <c r="C8643" s="82" t="s">
        <v>8049</v>
      </c>
      <c r="D8643" s="82"/>
      <c r="E8643" s="74">
        <v>2021</v>
      </c>
      <c r="F8643" s="74"/>
      <c r="G8643" s="45">
        <v>1</v>
      </c>
      <c r="H8643" s="45">
        <v>15</v>
      </c>
      <c r="I8643" s="45">
        <v>35.899679999999996</v>
      </c>
    </row>
    <row r="8644" spans="1:9" s="71" customFormat="1" ht="19.5" hidden="1" customHeight="1" outlineLevel="1" x14ac:dyDescent="0.25">
      <c r="A8644" s="83">
        <v>9766</v>
      </c>
      <c r="B8644" s="45" t="s">
        <v>664</v>
      </c>
      <c r="C8644" s="82" t="s">
        <v>8050</v>
      </c>
      <c r="D8644" s="82"/>
      <c r="E8644" s="74">
        <v>2021</v>
      </c>
      <c r="F8644" s="74"/>
      <c r="G8644" s="45">
        <v>1</v>
      </c>
      <c r="H8644" s="45">
        <v>15</v>
      </c>
      <c r="I8644" s="45">
        <v>23.669429999999998</v>
      </c>
    </row>
    <row r="8645" spans="1:9" s="71" customFormat="1" ht="19.5" hidden="1" customHeight="1" outlineLevel="1" x14ac:dyDescent="0.25">
      <c r="A8645" s="84">
        <v>2373</v>
      </c>
      <c r="B8645" s="45" t="s">
        <v>664</v>
      </c>
      <c r="C8645" s="82" t="s">
        <v>8051</v>
      </c>
      <c r="D8645" s="82"/>
      <c r="E8645" s="74">
        <v>2021</v>
      </c>
      <c r="F8645" s="74"/>
      <c r="G8645" s="45">
        <v>2</v>
      </c>
      <c r="H8645" s="45">
        <v>15</v>
      </c>
      <c r="I8645" s="45">
        <v>81.826570000000004</v>
      </c>
    </row>
    <row r="8646" spans="1:9" s="71" customFormat="1" ht="19.5" hidden="1" customHeight="1" outlineLevel="1" x14ac:dyDescent="0.25">
      <c r="A8646" s="84">
        <v>1839</v>
      </c>
      <c r="B8646" s="45" t="s">
        <v>664</v>
      </c>
      <c r="C8646" s="82" t="s">
        <v>8052</v>
      </c>
      <c r="D8646" s="82"/>
      <c r="E8646" s="74">
        <v>2021</v>
      </c>
      <c r="F8646" s="74"/>
      <c r="G8646" s="45">
        <v>1</v>
      </c>
      <c r="H8646" s="45">
        <v>10</v>
      </c>
      <c r="I8646" s="45">
        <v>27.366409999999998</v>
      </c>
    </row>
    <row r="8647" spans="1:9" s="71" customFormat="1" ht="19.5" hidden="1" customHeight="1" outlineLevel="1" x14ac:dyDescent="0.25">
      <c r="A8647" s="84">
        <v>1868</v>
      </c>
      <c r="B8647" s="45" t="s">
        <v>664</v>
      </c>
      <c r="C8647" s="82" t="s">
        <v>8053</v>
      </c>
      <c r="D8647" s="82"/>
      <c r="E8647" s="74">
        <v>2021</v>
      </c>
      <c r="F8647" s="74"/>
      <c r="G8647" s="45">
        <v>1</v>
      </c>
      <c r="H8647" s="45">
        <v>15</v>
      </c>
      <c r="I8647" s="45">
        <v>44.982520000000001</v>
      </c>
    </row>
    <row r="8648" spans="1:9" s="71" customFormat="1" ht="19.5" hidden="1" customHeight="1" outlineLevel="1" x14ac:dyDescent="0.25">
      <c r="A8648" s="84">
        <v>1887</v>
      </c>
      <c r="B8648" s="45" t="s">
        <v>664</v>
      </c>
      <c r="C8648" s="82" t="s">
        <v>8054</v>
      </c>
      <c r="D8648" s="82"/>
      <c r="E8648" s="74">
        <v>2021</v>
      </c>
      <c r="F8648" s="74"/>
      <c r="G8648" s="45">
        <v>1</v>
      </c>
      <c r="H8648" s="45">
        <v>15</v>
      </c>
      <c r="I8648" s="45">
        <v>38.619509999999998</v>
      </c>
    </row>
    <row r="8649" spans="1:9" s="71" customFormat="1" ht="19.5" hidden="1" customHeight="1" outlineLevel="1" x14ac:dyDescent="0.25">
      <c r="A8649" s="84">
        <v>1888</v>
      </c>
      <c r="B8649" s="45" t="s">
        <v>664</v>
      </c>
      <c r="C8649" s="82" t="s">
        <v>8055</v>
      </c>
      <c r="D8649" s="82"/>
      <c r="E8649" s="74">
        <v>2021</v>
      </c>
      <c r="F8649" s="74"/>
      <c r="G8649" s="45">
        <v>1</v>
      </c>
      <c r="H8649" s="45">
        <v>15</v>
      </c>
      <c r="I8649" s="45">
        <v>45.284500000000001</v>
      </c>
    </row>
    <row r="8650" spans="1:9" s="71" customFormat="1" ht="19.5" hidden="1" customHeight="1" outlineLevel="1" x14ac:dyDescent="0.25">
      <c r="A8650" s="84">
        <v>1921</v>
      </c>
      <c r="B8650" s="45" t="s">
        <v>664</v>
      </c>
      <c r="C8650" s="82" t="s">
        <v>8056</v>
      </c>
      <c r="D8650" s="82"/>
      <c r="E8650" s="74">
        <v>2021</v>
      </c>
      <c r="F8650" s="74"/>
      <c r="G8650" s="45">
        <v>1</v>
      </c>
      <c r="H8650" s="45">
        <v>15</v>
      </c>
      <c r="I8650" s="45">
        <v>37.362160000000003</v>
      </c>
    </row>
    <row r="8651" spans="1:9" s="71" customFormat="1" ht="19.5" hidden="1" customHeight="1" outlineLevel="1" x14ac:dyDescent="0.25">
      <c r="A8651" s="84">
        <v>1341</v>
      </c>
      <c r="B8651" s="45" t="s">
        <v>664</v>
      </c>
      <c r="C8651" s="82" t="s">
        <v>8057</v>
      </c>
      <c r="D8651" s="82"/>
      <c r="E8651" s="74">
        <v>2021</v>
      </c>
      <c r="F8651" s="74"/>
      <c r="G8651" s="45">
        <v>2</v>
      </c>
      <c r="H8651" s="45">
        <v>29</v>
      </c>
      <c r="I8651" s="45">
        <v>51.179389999999998</v>
      </c>
    </row>
    <row r="8652" spans="1:9" s="71" customFormat="1" ht="19.5" hidden="1" customHeight="1" outlineLevel="1" x14ac:dyDescent="0.25">
      <c r="A8652" s="84">
        <v>1798</v>
      </c>
      <c r="B8652" s="45" t="s">
        <v>664</v>
      </c>
      <c r="C8652" s="82" t="s">
        <v>8058</v>
      </c>
      <c r="D8652" s="82"/>
      <c r="E8652" s="74">
        <v>2021</v>
      </c>
      <c r="F8652" s="74"/>
      <c r="G8652" s="45">
        <v>1</v>
      </c>
      <c r="H8652" s="45">
        <v>15</v>
      </c>
      <c r="I8652" s="45">
        <v>44.308010000000003</v>
      </c>
    </row>
    <row r="8653" spans="1:9" s="71" customFormat="1" ht="19.5" hidden="1" customHeight="1" outlineLevel="1" x14ac:dyDescent="0.25">
      <c r="A8653" s="84">
        <v>1809</v>
      </c>
      <c r="B8653" s="45" t="s">
        <v>664</v>
      </c>
      <c r="C8653" s="82" t="s">
        <v>8059</v>
      </c>
      <c r="D8653" s="82"/>
      <c r="E8653" s="74">
        <v>2021</v>
      </c>
      <c r="F8653" s="74"/>
      <c r="G8653" s="45">
        <v>1</v>
      </c>
      <c r="H8653" s="45">
        <v>15</v>
      </c>
      <c r="I8653" s="45">
        <v>35.217179999999999</v>
      </c>
    </row>
    <row r="8654" spans="1:9" s="71" customFormat="1" ht="19.5" hidden="1" customHeight="1" outlineLevel="1" x14ac:dyDescent="0.25">
      <c r="A8654" s="84">
        <v>1820</v>
      </c>
      <c r="B8654" s="45" t="s">
        <v>664</v>
      </c>
      <c r="C8654" s="82" t="s">
        <v>8060</v>
      </c>
      <c r="D8654" s="82"/>
      <c r="E8654" s="74">
        <v>2021</v>
      </c>
      <c r="F8654" s="74"/>
      <c r="G8654" s="45">
        <v>1</v>
      </c>
      <c r="H8654" s="45">
        <v>15</v>
      </c>
      <c r="I8654" s="45">
        <v>39.086100000000002</v>
      </c>
    </row>
    <row r="8655" spans="1:9" s="71" customFormat="1" ht="19.5" hidden="1" customHeight="1" outlineLevel="1" x14ac:dyDescent="0.25">
      <c r="A8655" s="84">
        <v>1833</v>
      </c>
      <c r="B8655" s="45" t="s">
        <v>664</v>
      </c>
      <c r="C8655" s="82" t="s">
        <v>8061</v>
      </c>
      <c r="D8655" s="82"/>
      <c r="E8655" s="74">
        <v>2021</v>
      </c>
      <c r="F8655" s="74"/>
      <c r="G8655" s="45">
        <v>1</v>
      </c>
      <c r="H8655" s="45">
        <v>15</v>
      </c>
      <c r="I8655" s="45">
        <v>42.036250000000003</v>
      </c>
    </row>
    <row r="8656" spans="1:9" s="71" customFormat="1" ht="19.5" hidden="1" customHeight="1" outlineLevel="1" x14ac:dyDescent="0.25">
      <c r="A8656" s="84">
        <v>1837</v>
      </c>
      <c r="B8656" s="45" t="s">
        <v>664</v>
      </c>
      <c r="C8656" s="82" t="s">
        <v>8062</v>
      </c>
      <c r="D8656" s="82"/>
      <c r="E8656" s="74">
        <v>2021</v>
      </c>
      <c r="F8656" s="74"/>
      <c r="G8656" s="45">
        <v>1</v>
      </c>
      <c r="H8656" s="45">
        <v>15</v>
      </c>
      <c r="I8656" s="45">
        <v>36.693980000000003</v>
      </c>
    </row>
    <row r="8657" spans="1:9" s="71" customFormat="1" ht="19.5" hidden="1" customHeight="1" outlineLevel="1" x14ac:dyDescent="0.25">
      <c r="A8657" s="84">
        <v>1866</v>
      </c>
      <c r="B8657" s="45" t="s">
        <v>664</v>
      </c>
      <c r="C8657" s="82" t="s">
        <v>8063</v>
      </c>
      <c r="D8657" s="82"/>
      <c r="E8657" s="74">
        <v>2021</v>
      </c>
      <c r="F8657" s="74"/>
      <c r="G8657" s="45">
        <v>1</v>
      </c>
      <c r="H8657" s="45">
        <v>15</v>
      </c>
      <c r="I8657" s="45">
        <v>39.158639999999998</v>
      </c>
    </row>
    <row r="8658" spans="1:9" s="71" customFormat="1" ht="19.5" hidden="1" customHeight="1" outlineLevel="1" x14ac:dyDescent="0.25">
      <c r="A8658" s="83">
        <v>10005</v>
      </c>
      <c r="B8658" s="45" t="s">
        <v>664</v>
      </c>
      <c r="C8658" s="82" t="s">
        <v>8064</v>
      </c>
      <c r="D8658" s="82"/>
      <c r="E8658" s="74">
        <v>2021</v>
      </c>
      <c r="F8658" s="74"/>
      <c r="G8658" s="45">
        <v>1</v>
      </c>
      <c r="H8658" s="45">
        <v>10</v>
      </c>
      <c r="I8658" s="45">
        <v>29.915099999999999</v>
      </c>
    </row>
    <row r="8659" spans="1:9" s="71" customFormat="1" ht="19.5" hidden="1" customHeight="1" outlineLevel="1" x14ac:dyDescent="0.25">
      <c r="A8659" s="84">
        <v>1870</v>
      </c>
      <c r="B8659" s="45" t="s">
        <v>664</v>
      </c>
      <c r="C8659" s="82" t="s">
        <v>8065</v>
      </c>
      <c r="D8659" s="82"/>
      <c r="E8659" s="74">
        <v>2021</v>
      </c>
      <c r="F8659" s="74"/>
      <c r="G8659" s="45">
        <v>1</v>
      </c>
      <c r="H8659" s="45">
        <v>15</v>
      </c>
      <c r="I8659" s="45">
        <v>43.387810000000002</v>
      </c>
    </row>
    <row r="8660" spans="1:9" s="71" customFormat="1" ht="19.5" hidden="1" customHeight="1" outlineLevel="1" x14ac:dyDescent="0.25">
      <c r="A8660" s="84">
        <v>1874</v>
      </c>
      <c r="B8660" s="45" t="s">
        <v>664</v>
      </c>
      <c r="C8660" s="82" t="s">
        <v>8066</v>
      </c>
      <c r="D8660" s="82"/>
      <c r="E8660" s="74">
        <v>2021</v>
      </c>
      <c r="F8660" s="74"/>
      <c r="G8660" s="45">
        <v>1</v>
      </c>
      <c r="H8660" s="45">
        <v>15</v>
      </c>
      <c r="I8660" s="45">
        <v>37.959159999999997</v>
      </c>
    </row>
    <row r="8661" spans="1:9" s="71" customFormat="1" ht="19.5" hidden="1" customHeight="1" outlineLevel="1" x14ac:dyDescent="0.25">
      <c r="A8661" s="84">
        <v>1885</v>
      </c>
      <c r="B8661" s="45" t="s">
        <v>664</v>
      </c>
      <c r="C8661" s="82" t="s">
        <v>8067</v>
      </c>
      <c r="D8661" s="82"/>
      <c r="E8661" s="74">
        <v>2021</v>
      </c>
      <c r="F8661" s="74"/>
      <c r="G8661" s="45">
        <v>1</v>
      </c>
      <c r="H8661" s="45">
        <v>15</v>
      </c>
      <c r="I8661" s="45">
        <v>47.65061</v>
      </c>
    </row>
    <row r="8662" spans="1:9" s="71" customFormat="1" ht="19.5" hidden="1" customHeight="1" outlineLevel="1" x14ac:dyDescent="0.25">
      <c r="A8662" s="84">
        <v>1932</v>
      </c>
      <c r="B8662" s="45" t="s">
        <v>664</v>
      </c>
      <c r="C8662" s="82" t="s">
        <v>8068</v>
      </c>
      <c r="D8662" s="82"/>
      <c r="E8662" s="74">
        <v>2021</v>
      </c>
      <c r="F8662" s="74"/>
      <c r="G8662" s="45">
        <v>1</v>
      </c>
      <c r="H8662" s="45">
        <v>15</v>
      </c>
      <c r="I8662" s="45">
        <v>37.448909999999998</v>
      </c>
    </row>
    <row r="8663" spans="1:9" s="71" customFormat="1" ht="19.5" hidden="1" customHeight="1" outlineLevel="1" x14ac:dyDescent="0.25">
      <c r="A8663" s="83">
        <v>10319</v>
      </c>
      <c r="B8663" s="45" t="s">
        <v>664</v>
      </c>
      <c r="C8663" s="82" t="s">
        <v>8069</v>
      </c>
      <c r="D8663" s="82"/>
      <c r="E8663" s="74">
        <v>2021</v>
      </c>
      <c r="F8663" s="74"/>
      <c r="G8663" s="45">
        <v>1</v>
      </c>
      <c r="H8663" s="45">
        <v>15</v>
      </c>
      <c r="I8663" s="45">
        <v>42.189540000000001</v>
      </c>
    </row>
    <row r="8664" spans="1:9" s="71" customFormat="1" ht="19.5" hidden="1" customHeight="1" outlineLevel="1" x14ac:dyDescent="0.25">
      <c r="A8664" s="83">
        <v>9873</v>
      </c>
      <c r="B8664" s="45" t="s">
        <v>664</v>
      </c>
      <c r="C8664" s="82" t="s">
        <v>8070</v>
      </c>
      <c r="D8664" s="82"/>
      <c r="E8664" s="74">
        <v>2021</v>
      </c>
      <c r="F8664" s="74"/>
      <c r="G8664" s="45">
        <v>1</v>
      </c>
      <c r="H8664" s="45">
        <v>10</v>
      </c>
      <c r="I8664" s="45">
        <v>31.405729999999998</v>
      </c>
    </row>
    <row r="8665" spans="1:9" s="71" customFormat="1" ht="19.5" hidden="1" customHeight="1" outlineLevel="1" x14ac:dyDescent="0.25">
      <c r="A8665" s="83">
        <v>9812</v>
      </c>
      <c r="B8665" s="45" t="s">
        <v>664</v>
      </c>
      <c r="C8665" s="82" t="s">
        <v>8071</v>
      </c>
      <c r="D8665" s="82"/>
      <c r="E8665" s="74">
        <v>2021</v>
      </c>
      <c r="F8665" s="74"/>
      <c r="G8665" s="45">
        <v>1</v>
      </c>
      <c r="H8665" s="45">
        <v>15</v>
      </c>
      <c r="I8665" s="45">
        <v>141.60095000000001</v>
      </c>
    </row>
    <row r="8666" spans="1:9" s="71" customFormat="1" ht="19.5" hidden="1" customHeight="1" outlineLevel="1" x14ac:dyDescent="0.25">
      <c r="A8666" s="83">
        <v>9616</v>
      </c>
      <c r="B8666" s="45" t="s">
        <v>664</v>
      </c>
      <c r="C8666" s="82" t="s">
        <v>8072</v>
      </c>
      <c r="D8666" s="82"/>
      <c r="E8666" s="74">
        <v>2021</v>
      </c>
      <c r="F8666" s="74"/>
      <c r="G8666" s="45">
        <v>1</v>
      </c>
      <c r="H8666" s="45">
        <v>150</v>
      </c>
      <c r="I8666" s="45">
        <v>20.370419999999999</v>
      </c>
    </row>
    <row r="8667" spans="1:9" s="71" customFormat="1" ht="19.5" hidden="1" customHeight="1" outlineLevel="1" x14ac:dyDescent="0.25">
      <c r="A8667" s="84">
        <v>1775</v>
      </c>
      <c r="B8667" s="45" t="s">
        <v>664</v>
      </c>
      <c r="C8667" s="82" t="s">
        <v>8073</v>
      </c>
      <c r="D8667" s="82"/>
      <c r="E8667" s="74">
        <v>2021</v>
      </c>
      <c r="F8667" s="74"/>
      <c r="G8667" s="45">
        <v>1</v>
      </c>
      <c r="H8667" s="45">
        <v>15</v>
      </c>
      <c r="I8667" s="45">
        <v>43.968699999999998</v>
      </c>
    </row>
    <row r="8668" spans="1:9" s="71" customFormat="1" ht="19.5" hidden="1" customHeight="1" outlineLevel="1" x14ac:dyDescent="0.25">
      <c r="A8668" s="83">
        <v>9446</v>
      </c>
      <c r="B8668" s="45" t="s">
        <v>664</v>
      </c>
      <c r="C8668" s="82" t="s">
        <v>8074</v>
      </c>
      <c r="D8668" s="82"/>
      <c r="E8668" s="74">
        <v>2021</v>
      </c>
      <c r="F8668" s="74"/>
      <c r="G8668" s="45">
        <v>1</v>
      </c>
      <c r="H8668" s="45">
        <v>150</v>
      </c>
      <c r="I8668" s="45">
        <v>22.662559999999999</v>
      </c>
    </row>
    <row r="8669" spans="1:9" s="71" customFormat="1" ht="19.5" hidden="1" customHeight="1" outlineLevel="1" x14ac:dyDescent="0.25">
      <c r="A8669" s="83">
        <v>10312</v>
      </c>
      <c r="B8669" s="45" t="s">
        <v>664</v>
      </c>
      <c r="C8669" s="82" t="s">
        <v>8075</v>
      </c>
      <c r="D8669" s="82"/>
      <c r="E8669" s="74">
        <v>2021</v>
      </c>
      <c r="F8669" s="74"/>
      <c r="G8669" s="45">
        <v>3</v>
      </c>
      <c r="H8669" s="45">
        <v>5</v>
      </c>
      <c r="I8669" s="45">
        <v>95.581050000000005</v>
      </c>
    </row>
    <row r="8670" spans="1:9" s="71" customFormat="1" ht="19.5" hidden="1" customHeight="1" outlineLevel="1" x14ac:dyDescent="0.25">
      <c r="A8670" s="84">
        <v>2305</v>
      </c>
      <c r="B8670" s="45" t="s">
        <v>664</v>
      </c>
      <c r="C8670" s="82" t="s">
        <v>8076</v>
      </c>
      <c r="D8670" s="82"/>
      <c r="E8670" s="74">
        <v>2021</v>
      </c>
      <c r="F8670" s="74"/>
      <c r="G8670" s="45">
        <v>3</v>
      </c>
      <c r="H8670" s="45">
        <v>15</v>
      </c>
      <c r="I8670" s="45">
        <v>95.540430000000001</v>
      </c>
    </row>
    <row r="8671" spans="1:9" s="71" customFormat="1" ht="19.5" hidden="1" customHeight="1" outlineLevel="1" x14ac:dyDescent="0.25">
      <c r="A8671" s="84">
        <v>2311</v>
      </c>
      <c r="B8671" s="45" t="s">
        <v>664</v>
      </c>
      <c r="C8671" s="82" t="s">
        <v>8077</v>
      </c>
      <c r="D8671" s="82"/>
      <c r="E8671" s="74">
        <v>2021</v>
      </c>
      <c r="F8671" s="74"/>
      <c r="G8671" s="45">
        <v>2</v>
      </c>
      <c r="H8671" s="45">
        <v>15</v>
      </c>
      <c r="I8671" s="45">
        <v>63.374809999999997</v>
      </c>
    </row>
    <row r="8672" spans="1:9" s="71" customFormat="1" ht="19.5" hidden="1" customHeight="1" outlineLevel="1" x14ac:dyDescent="0.25">
      <c r="A8672" s="83">
        <v>10014</v>
      </c>
      <c r="B8672" s="45" t="s">
        <v>664</v>
      </c>
      <c r="C8672" s="82" t="s">
        <v>8078</v>
      </c>
      <c r="D8672" s="82"/>
      <c r="E8672" s="74">
        <v>2021</v>
      </c>
      <c r="F8672" s="74"/>
      <c r="G8672" s="45">
        <v>1</v>
      </c>
      <c r="H8672" s="45">
        <v>5.5</v>
      </c>
      <c r="I8672" s="45">
        <v>34.326709999999999</v>
      </c>
    </row>
    <row r="8673" spans="1:9" s="71" customFormat="1" ht="19.5" hidden="1" customHeight="1" outlineLevel="1" x14ac:dyDescent="0.25">
      <c r="A8673" s="84">
        <v>1832</v>
      </c>
      <c r="B8673" s="45" t="s">
        <v>664</v>
      </c>
      <c r="C8673" s="82" t="s">
        <v>8079</v>
      </c>
      <c r="D8673" s="82"/>
      <c r="E8673" s="74">
        <v>2021</v>
      </c>
      <c r="F8673" s="74"/>
      <c r="G8673" s="45">
        <v>1</v>
      </c>
      <c r="H8673" s="45">
        <v>15</v>
      </c>
      <c r="I8673" s="45">
        <v>36.588949999999997</v>
      </c>
    </row>
    <row r="8674" spans="1:9" s="71" customFormat="1" ht="19.5" hidden="1" customHeight="1" outlineLevel="1" x14ac:dyDescent="0.25">
      <c r="A8674" s="84">
        <v>1813</v>
      </c>
      <c r="B8674" s="45" t="s">
        <v>664</v>
      </c>
      <c r="C8674" s="82" t="s">
        <v>8080</v>
      </c>
      <c r="D8674" s="82"/>
      <c r="E8674" s="74">
        <v>2021</v>
      </c>
      <c r="F8674" s="74"/>
      <c r="G8674" s="45">
        <v>1</v>
      </c>
      <c r="H8674" s="45">
        <v>15</v>
      </c>
      <c r="I8674" s="45">
        <v>42.258719999999997</v>
      </c>
    </row>
    <row r="8675" spans="1:9" s="71" customFormat="1" ht="19.5" hidden="1" customHeight="1" outlineLevel="1" x14ac:dyDescent="0.25">
      <c r="A8675" s="83">
        <v>9986</v>
      </c>
      <c r="B8675" s="45" t="s">
        <v>664</v>
      </c>
      <c r="C8675" s="82" t="s">
        <v>8081</v>
      </c>
      <c r="D8675" s="82"/>
      <c r="E8675" s="74">
        <v>2021</v>
      </c>
      <c r="F8675" s="74"/>
      <c r="G8675" s="45">
        <v>1</v>
      </c>
      <c r="H8675" s="45">
        <v>15</v>
      </c>
      <c r="I8675" s="45">
        <v>41.429299999999998</v>
      </c>
    </row>
    <row r="8676" spans="1:9" s="71" customFormat="1" ht="19.5" hidden="1" customHeight="1" outlineLevel="1" x14ac:dyDescent="0.25">
      <c r="A8676" s="83">
        <v>9990</v>
      </c>
      <c r="B8676" s="45" t="s">
        <v>664</v>
      </c>
      <c r="C8676" s="82" t="s">
        <v>8082</v>
      </c>
      <c r="D8676" s="82"/>
      <c r="E8676" s="74">
        <v>2021</v>
      </c>
      <c r="F8676" s="74"/>
      <c r="G8676" s="45">
        <v>1</v>
      </c>
      <c r="H8676" s="45">
        <v>15</v>
      </c>
      <c r="I8676" s="45">
        <v>31.762111999999998</v>
      </c>
    </row>
    <row r="8677" spans="1:9" s="71" customFormat="1" ht="19.5" hidden="1" customHeight="1" outlineLevel="1" x14ac:dyDescent="0.25">
      <c r="A8677" s="84">
        <v>1799</v>
      </c>
      <c r="B8677" s="45" t="s">
        <v>664</v>
      </c>
      <c r="C8677" s="82" t="s">
        <v>8083</v>
      </c>
      <c r="D8677" s="82"/>
      <c r="E8677" s="74">
        <v>2021</v>
      </c>
      <c r="F8677" s="74"/>
      <c r="G8677" s="45">
        <v>1</v>
      </c>
      <c r="H8677" s="45">
        <v>8</v>
      </c>
      <c r="I8677" s="45">
        <v>43.07255</v>
      </c>
    </row>
    <row r="8678" spans="1:9" s="71" customFormat="1" ht="19.5" hidden="1" customHeight="1" outlineLevel="1" x14ac:dyDescent="0.25">
      <c r="A8678" s="83">
        <v>9985</v>
      </c>
      <c r="B8678" s="45" t="s">
        <v>664</v>
      </c>
      <c r="C8678" s="82" t="s">
        <v>8084</v>
      </c>
      <c r="D8678" s="82"/>
      <c r="E8678" s="74">
        <v>2021</v>
      </c>
      <c r="F8678" s="74"/>
      <c r="G8678" s="45">
        <v>1</v>
      </c>
      <c r="H8678" s="45">
        <v>15</v>
      </c>
      <c r="I8678" s="45">
        <v>39.850029999999997</v>
      </c>
    </row>
    <row r="8679" spans="1:9" s="71" customFormat="1" ht="19.5" hidden="1" customHeight="1" outlineLevel="1" x14ac:dyDescent="0.25">
      <c r="A8679" s="84">
        <v>1914</v>
      </c>
      <c r="B8679" s="45" t="s">
        <v>664</v>
      </c>
      <c r="C8679" s="82" t="s">
        <v>8085</v>
      </c>
      <c r="D8679" s="82"/>
      <c r="E8679" s="74">
        <v>2021</v>
      </c>
      <c r="F8679" s="74"/>
      <c r="G8679" s="45">
        <v>1</v>
      </c>
      <c r="H8679" s="45">
        <v>15</v>
      </c>
      <c r="I8679" s="45">
        <v>35.200229999999998</v>
      </c>
    </row>
    <row r="8680" spans="1:9" s="71" customFormat="1" ht="19.5" hidden="1" customHeight="1" outlineLevel="1" x14ac:dyDescent="0.25">
      <c r="A8680" s="83">
        <v>10021</v>
      </c>
      <c r="B8680" s="45" t="s">
        <v>664</v>
      </c>
      <c r="C8680" s="82" t="s">
        <v>8086</v>
      </c>
      <c r="D8680" s="82"/>
      <c r="E8680" s="74">
        <v>2021</v>
      </c>
      <c r="F8680" s="74"/>
      <c r="G8680" s="45">
        <v>1</v>
      </c>
      <c r="H8680" s="45">
        <v>15</v>
      </c>
      <c r="I8680" s="45">
        <v>35.490940000000002</v>
      </c>
    </row>
    <row r="8681" spans="1:9" s="71" customFormat="1" ht="19.5" hidden="1" customHeight="1" outlineLevel="1" x14ac:dyDescent="0.25">
      <c r="A8681" s="83">
        <v>9491</v>
      </c>
      <c r="B8681" s="45" t="s">
        <v>664</v>
      </c>
      <c r="C8681" s="82" t="s">
        <v>8087</v>
      </c>
      <c r="D8681" s="82"/>
      <c r="E8681" s="74">
        <v>2021</v>
      </c>
      <c r="F8681" s="74"/>
      <c r="G8681" s="45">
        <v>1</v>
      </c>
      <c r="H8681" s="45">
        <v>10</v>
      </c>
      <c r="I8681" s="45">
        <v>82.671589999999995</v>
      </c>
    </row>
    <row r="8682" spans="1:9" s="71" customFormat="1" ht="19.5" hidden="1" customHeight="1" outlineLevel="1" x14ac:dyDescent="0.25">
      <c r="A8682" s="84">
        <v>722</v>
      </c>
      <c r="B8682" s="45" t="s">
        <v>664</v>
      </c>
      <c r="C8682" s="82" t="s">
        <v>8088</v>
      </c>
      <c r="D8682" s="82"/>
      <c r="E8682" s="74">
        <v>2021</v>
      </c>
      <c r="F8682" s="74"/>
      <c r="G8682" s="45">
        <v>1</v>
      </c>
      <c r="H8682" s="45">
        <v>15</v>
      </c>
      <c r="I8682" s="45">
        <v>35.550350000000002</v>
      </c>
    </row>
    <row r="8683" spans="1:9" s="71" customFormat="1" ht="19.5" hidden="1" customHeight="1" outlineLevel="1" x14ac:dyDescent="0.25">
      <c r="A8683" s="83">
        <v>9269</v>
      </c>
      <c r="B8683" s="45" t="s">
        <v>664</v>
      </c>
      <c r="C8683" s="82" t="s">
        <v>8089</v>
      </c>
      <c r="D8683" s="82"/>
      <c r="E8683" s="74">
        <v>2021</v>
      </c>
      <c r="F8683" s="74"/>
      <c r="G8683" s="45">
        <v>1</v>
      </c>
      <c r="H8683" s="45">
        <v>15</v>
      </c>
      <c r="I8683" s="45">
        <v>34.822130000000001</v>
      </c>
    </row>
    <row r="8684" spans="1:9" s="71" customFormat="1" ht="19.5" hidden="1" customHeight="1" outlineLevel="1" x14ac:dyDescent="0.25">
      <c r="A8684" s="83">
        <v>9768</v>
      </c>
      <c r="B8684" s="45" t="s">
        <v>664</v>
      </c>
      <c r="C8684" s="82" t="s">
        <v>8090</v>
      </c>
      <c r="D8684" s="82"/>
      <c r="E8684" s="74">
        <v>2021</v>
      </c>
      <c r="F8684" s="74"/>
      <c r="G8684" s="45">
        <v>1</v>
      </c>
      <c r="H8684" s="45">
        <v>98</v>
      </c>
      <c r="I8684" s="45">
        <v>35.262630000000001</v>
      </c>
    </row>
    <row r="8685" spans="1:9" s="71" customFormat="1" ht="19.5" hidden="1" customHeight="1" outlineLevel="1" x14ac:dyDescent="0.25">
      <c r="A8685" s="84">
        <v>1592</v>
      </c>
      <c r="B8685" s="45" t="s">
        <v>664</v>
      </c>
      <c r="C8685" s="82" t="s">
        <v>8091</v>
      </c>
      <c r="D8685" s="82"/>
      <c r="E8685" s="74">
        <v>2021</v>
      </c>
      <c r="F8685" s="74"/>
      <c r="G8685" s="45">
        <v>1</v>
      </c>
      <c r="H8685" s="45">
        <v>15</v>
      </c>
      <c r="I8685" s="45">
        <v>42.335329999999999</v>
      </c>
    </row>
    <row r="8686" spans="1:9" s="71" customFormat="1" ht="19.5" hidden="1" customHeight="1" outlineLevel="1" x14ac:dyDescent="0.25">
      <c r="A8686" s="84">
        <v>2256</v>
      </c>
      <c r="B8686" s="45" t="s">
        <v>664</v>
      </c>
      <c r="C8686" s="82" t="s">
        <v>8092</v>
      </c>
      <c r="D8686" s="82"/>
      <c r="E8686" s="74">
        <v>2021</v>
      </c>
      <c r="F8686" s="74"/>
      <c r="G8686" s="45">
        <v>3</v>
      </c>
      <c r="H8686" s="45">
        <v>15</v>
      </c>
      <c r="I8686" s="45">
        <v>129.29483999999999</v>
      </c>
    </row>
    <row r="8687" spans="1:9" s="71" customFormat="1" ht="19.5" hidden="1" customHeight="1" outlineLevel="1" x14ac:dyDescent="0.25">
      <c r="A8687" s="84">
        <v>1879</v>
      </c>
      <c r="B8687" s="45" t="s">
        <v>664</v>
      </c>
      <c r="C8687" s="82" t="s">
        <v>8093</v>
      </c>
      <c r="D8687" s="82"/>
      <c r="E8687" s="74">
        <v>2021</v>
      </c>
      <c r="F8687" s="74"/>
      <c r="G8687" s="45">
        <v>1</v>
      </c>
      <c r="H8687" s="45">
        <v>15</v>
      </c>
      <c r="I8687" s="45">
        <v>44.3949</v>
      </c>
    </row>
    <row r="8688" spans="1:9" s="71" customFormat="1" ht="19.5" hidden="1" customHeight="1" outlineLevel="1" x14ac:dyDescent="0.25">
      <c r="A8688" s="83">
        <v>9755</v>
      </c>
      <c r="B8688" s="45" t="s">
        <v>664</v>
      </c>
      <c r="C8688" s="82" t="s">
        <v>8094</v>
      </c>
      <c r="D8688" s="82"/>
      <c r="E8688" s="74">
        <v>2021</v>
      </c>
      <c r="F8688" s="74"/>
      <c r="G8688" s="45">
        <v>1</v>
      </c>
      <c r="H8688" s="45">
        <v>15</v>
      </c>
      <c r="I8688" s="45">
        <v>31.244689999999999</v>
      </c>
    </row>
    <row r="8689" spans="1:9" s="71" customFormat="1" ht="19.5" hidden="1" customHeight="1" outlineLevel="1" x14ac:dyDescent="0.25">
      <c r="A8689" s="84">
        <v>1922</v>
      </c>
      <c r="B8689" s="45" t="s">
        <v>664</v>
      </c>
      <c r="C8689" s="82" t="s">
        <v>8095</v>
      </c>
      <c r="D8689" s="82"/>
      <c r="E8689" s="74">
        <v>2021</v>
      </c>
      <c r="F8689" s="74"/>
      <c r="G8689" s="45">
        <v>1</v>
      </c>
      <c r="H8689" s="45">
        <v>15</v>
      </c>
      <c r="I8689" s="45">
        <v>41.561950000000003</v>
      </c>
    </row>
    <row r="8690" spans="1:9" s="71" customFormat="1" ht="19.5" hidden="1" customHeight="1" outlineLevel="1" x14ac:dyDescent="0.25">
      <c r="A8690" s="84">
        <v>1884</v>
      </c>
      <c r="B8690" s="45" t="s">
        <v>664</v>
      </c>
      <c r="C8690" s="82" t="s">
        <v>8096</v>
      </c>
      <c r="D8690" s="82"/>
      <c r="E8690" s="74">
        <v>2021</v>
      </c>
      <c r="F8690" s="74"/>
      <c r="G8690" s="45">
        <v>1</v>
      </c>
      <c r="H8690" s="45">
        <v>15</v>
      </c>
      <c r="I8690" s="45">
        <v>57.458660000000002</v>
      </c>
    </row>
    <row r="8691" spans="1:9" s="71" customFormat="1" ht="19.5" hidden="1" customHeight="1" outlineLevel="1" x14ac:dyDescent="0.25">
      <c r="A8691" s="84">
        <v>1903</v>
      </c>
      <c r="B8691" s="45" t="s">
        <v>664</v>
      </c>
      <c r="C8691" s="82" t="s">
        <v>8097</v>
      </c>
      <c r="D8691" s="82"/>
      <c r="E8691" s="74">
        <v>2021</v>
      </c>
      <c r="F8691" s="74"/>
      <c r="G8691" s="45">
        <v>1</v>
      </c>
      <c r="H8691" s="45">
        <v>15</v>
      </c>
      <c r="I8691" s="45">
        <v>39.756430000000002</v>
      </c>
    </row>
    <row r="8692" spans="1:9" s="71" customFormat="1" ht="19.5" hidden="1" customHeight="1" outlineLevel="1" x14ac:dyDescent="0.25">
      <c r="A8692" s="84">
        <v>1917</v>
      </c>
      <c r="B8692" s="45" t="s">
        <v>664</v>
      </c>
      <c r="C8692" s="82" t="s">
        <v>8098</v>
      </c>
      <c r="D8692" s="82"/>
      <c r="E8692" s="74">
        <v>2021</v>
      </c>
      <c r="F8692" s="74"/>
      <c r="G8692" s="45">
        <v>1</v>
      </c>
      <c r="H8692" s="45">
        <v>15</v>
      </c>
      <c r="I8692" s="45">
        <v>40.103499999999997</v>
      </c>
    </row>
    <row r="8693" spans="1:9" s="71" customFormat="1" ht="69.599999999999994" hidden="1" customHeight="1" outlineLevel="1" x14ac:dyDescent="0.25">
      <c r="A8693" s="84">
        <v>1803</v>
      </c>
      <c r="B8693" s="45" t="s">
        <v>664</v>
      </c>
      <c r="C8693" s="82" t="s">
        <v>8099</v>
      </c>
      <c r="D8693" s="82"/>
      <c r="E8693" s="74">
        <v>2021</v>
      </c>
      <c r="F8693" s="74"/>
      <c r="G8693" s="45">
        <v>1</v>
      </c>
      <c r="H8693" s="45">
        <v>15</v>
      </c>
      <c r="I8693" s="45">
        <v>50.799250000000001</v>
      </c>
    </row>
    <row r="8694" spans="1:9" s="71" customFormat="1" ht="19.5" hidden="1" customHeight="1" outlineLevel="1" x14ac:dyDescent="0.25">
      <c r="A8694" s="84">
        <v>1822</v>
      </c>
      <c r="B8694" s="45" t="s">
        <v>664</v>
      </c>
      <c r="C8694" s="82" t="s">
        <v>8100</v>
      </c>
      <c r="D8694" s="82"/>
      <c r="E8694" s="74">
        <v>2021</v>
      </c>
      <c r="F8694" s="74"/>
      <c r="G8694" s="45">
        <v>1</v>
      </c>
      <c r="H8694" s="45">
        <v>15</v>
      </c>
      <c r="I8694" s="45">
        <v>46.711030000000001</v>
      </c>
    </row>
    <row r="8695" spans="1:9" s="71" customFormat="1" ht="19.5" hidden="1" customHeight="1" outlineLevel="1" x14ac:dyDescent="0.25">
      <c r="A8695" s="84">
        <v>1831</v>
      </c>
      <c r="B8695" s="45" t="s">
        <v>664</v>
      </c>
      <c r="C8695" s="82" t="s">
        <v>8101</v>
      </c>
      <c r="D8695" s="82"/>
      <c r="E8695" s="74">
        <v>2021</v>
      </c>
      <c r="F8695" s="74"/>
      <c r="G8695" s="45">
        <v>1</v>
      </c>
      <c r="H8695" s="45">
        <v>15</v>
      </c>
      <c r="I8695" s="45">
        <v>44.521419999999999</v>
      </c>
    </row>
    <row r="8696" spans="1:9" s="71" customFormat="1" ht="19.5" hidden="1" customHeight="1" outlineLevel="1" x14ac:dyDescent="0.25">
      <c r="A8696" s="74">
        <v>10907</v>
      </c>
      <c r="B8696" s="45" t="s">
        <v>664</v>
      </c>
      <c r="C8696" s="82" t="s">
        <v>8102</v>
      </c>
      <c r="D8696" s="82"/>
      <c r="E8696" s="74">
        <v>2021</v>
      </c>
      <c r="F8696" s="74"/>
      <c r="G8696" s="45">
        <v>1</v>
      </c>
      <c r="H8696" s="45">
        <v>15</v>
      </c>
      <c r="I8696" s="45">
        <v>39.395560000000003</v>
      </c>
    </row>
    <row r="8697" spans="1:9" s="71" customFormat="1" ht="19.5" hidden="1" customHeight="1" outlineLevel="1" x14ac:dyDescent="0.25">
      <c r="A8697" s="84">
        <v>1848</v>
      </c>
      <c r="B8697" s="45" t="s">
        <v>664</v>
      </c>
      <c r="C8697" s="82" t="s">
        <v>8103</v>
      </c>
      <c r="D8697" s="82"/>
      <c r="E8697" s="74">
        <v>2021</v>
      </c>
      <c r="F8697" s="74"/>
      <c r="G8697" s="45">
        <v>1</v>
      </c>
      <c r="H8697" s="45">
        <v>15</v>
      </c>
      <c r="I8697" s="45">
        <v>42.899500000000003</v>
      </c>
    </row>
    <row r="8698" spans="1:9" s="71" customFormat="1" ht="19.5" hidden="1" customHeight="1" outlineLevel="1" x14ac:dyDescent="0.25">
      <c r="A8698" s="84">
        <v>1882</v>
      </c>
      <c r="B8698" s="45" t="s">
        <v>664</v>
      </c>
      <c r="C8698" s="82" t="s">
        <v>8104</v>
      </c>
      <c r="D8698" s="82"/>
      <c r="E8698" s="74">
        <v>2021</v>
      </c>
      <c r="F8698" s="74"/>
      <c r="G8698" s="45">
        <v>1</v>
      </c>
      <c r="H8698" s="45">
        <v>10</v>
      </c>
      <c r="I8698" s="45">
        <v>36.528750000000002</v>
      </c>
    </row>
    <row r="8699" spans="1:9" s="71" customFormat="1" ht="19.5" hidden="1" customHeight="1" outlineLevel="1" x14ac:dyDescent="0.25">
      <c r="A8699" s="84">
        <v>1883</v>
      </c>
      <c r="B8699" s="45" t="s">
        <v>664</v>
      </c>
      <c r="C8699" s="82" t="s">
        <v>8105</v>
      </c>
      <c r="D8699" s="82"/>
      <c r="E8699" s="74">
        <v>2021</v>
      </c>
      <c r="F8699" s="74"/>
      <c r="G8699" s="45">
        <v>1</v>
      </c>
      <c r="H8699" s="45">
        <v>15</v>
      </c>
      <c r="I8699" s="45">
        <v>48.844099999999997</v>
      </c>
    </row>
    <row r="8700" spans="1:9" s="71" customFormat="1" ht="19.5" hidden="1" customHeight="1" outlineLevel="1" x14ac:dyDescent="0.25">
      <c r="A8700" s="84">
        <v>1886</v>
      </c>
      <c r="B8700" s="45" t="s">
        <v>664</v>
      </c>
      <c r="C8700" s="82" t="s">
        <v>8106</v>
      </c>
      <c r="D8700" s="82"/>
      <c r="E8700" s="74">
        <v>2021</v>
      </c>
      <c r="F8700" s="74"/>
      <c r="G8700" s="45">
        <v>1</v>
      </c>
      <c r="H8700" s="45">
        <v>15</v>
      </c>
      <c r="I8700" s="45">
        <v>46.043489999999998</v>
      </c>
    </row>
    <row r="8701" spans="1:9" s="71" customFormat="1" ht="19.5" hidden="1" customHeight="1" outlineLevel="1" x14ac:dyDescent="0.25">
      <c r="A8701" s="83">
        <v>9756</v>
      </c>
      <c r="B8701" s="45" t="s">
        <v>664</v>
      </c>
      <c r="C8701" s="82" t="s">
        <v>8107</v>
      </c>
      <c r="D8701" s="82"/>
      <c r="E8701" s="74">
        <v>2021</v>
      </c>
      <c r="F8701" s="74"/>
      <c r="G8701" s="45">
        <v>1</v>
      </c>
      <c r="H8701" s="45">
        <v>15</v>
      </c>
      <c r="I8701" s="45">
        <v>92.773579999999995</v>
      </c>
    </row>
    <row r="8702" spans="1:9" s="71" customFormat="1" ht="19.5" hidden="1" customHeight="1" outlineLevel="1" x14ac:dyDescent="0.25">
      <c r="A8702" s="83">
        <v>9876</v>
      </c>
      <c r="B8702" s="45" t="s">
        <v>664</v>
      </c>
      <c r="C8702" s="82" t="s">
        <v>8108</v>
      </c>
      <c r="D8702" s="82"/>
      <c r="E8702" s="74">
        <v>2021</v>
      </c>
      <c r="F8702" s="74"/>
      <c r="G8702" s="45">
        <v>3</v>
      </c>
      <c r="H8702" s="45">
        <v>15</v>
      </c>
      <c r="I8702" s="45">
        <v>126.19851</v>
      </c>
    </row>
    <row r="8703" spans="1:9" s="71" customFormat="1" ht="19.5" hidden="1" customHeight="1" outlineLevel="1" x14ac:dyDescent="0.25">
      <c r="A8703" s="83">
        <v>9448</v>
      </c>
      <c r="B8703" s="45" t="s">
        <v>664</v>
      </c>
      <c r="C8703" s="82" t="s">
        <v>8109</v>
      </c>
      <c r="D8703" s="82"/>
      <c r="E8703" s="74">
        <v>2021</v>
      </c>
      <c r="F8703" s="74"/>
      <c r="G8703" s="45">
        <v>1</v>
      </c>
      <c r="H8703" s="45">
        <v>15</v>
      </c>
      <c r="I8703" s="45">
        <v>115.03149000000001</v>
      </c>
    </row>
    <row r="8704" spans="1:9" s="71" customFormat="1" ht="19.5" hidden="1" customHeight="1" outlineLevel="1" x14ac:dyDescent="0.25">
      <c r="A8704" s="83">
        <v>9861</v>
      </c>
      <c r="B8704" s="45" t="s">
        <v>664</v>
      </c>
      <c r="C8704" s="82" t="s">
        <v>8110</v>
      </c>
      <c r="D8704" s="82"/>
      <c r="E8704" s="74">
        <v>2021</v>
      </c>
      <c r="F8704" s="74"/>
      <c r="G8704" s="45">
        <v>1</v>
      </c>
      <c r="H8704" s="45">
        <v>15</v>
      </c>
      <c r="I8704" s="45">
        <v>40.71163</v>
      </c>
    </row>
    <row r="8705" spans="1:9" s="71" customFormat="1" ht="19.5" hidden="1" customHeight="1" outlineLevel="1" x14ac:dyDescent="0.25">
      <c r="A8705" s="83">
        <v>9877</v>
      </c>
      <c r="B8705" s="45" t="s">
        <v>664</v>
      </c>
      <c r="C8705" s="82" t="s">
        <v>8111</v>
      </c>
      <c r="D8705" s="82"/>
      <c r="E8705" s="74">
        <v>2021</v>
      </c>
      <c r="F8705" s="74"/>
      <c r="G8705" s="45">
        <v>1</v>
      </c>
      <c r="H8705" s="45">
        <v>15</v>
      </c>
      <c r="I8705" s="45">
        <v>36.875399999999999</v>
      </c>
    </row>
    <row r="8706" spans="1:9" s="71" customFormat="1" ht="19.5" hidden="1" customHeight="1" outlineLevel="1" x14ac:dyDescent="0.25">
      <c r="A8706" s="84">
        <v>1487</v>
      </c>
      <c r="B8706" s="45" t="s">
        <v>664</v>
      </c>
      <c r="C8706" s="82" t="s">
        <v>8112</v>
      </c>
      <c r="D8706" s="82"/>
      <c r="E8706" s="74">
        <v>2021</v>
      </c>
      <c r="F8706" s="74"/>
      <c r="G8706" s="45">
        <v>1</v>
      </c>
      <c r="H8706" s="45">
        <v>15</v>
      </c>
      <c r="I8706" s="45">
        <v>63.310920000000003</v>
      </c>
    </row>
    <row r="8707" spans="1:9" s="71" customFormat="1" ht="19.5" hidden="1" customHeight="1" outlineLevel="1" x14ac:dyDescent="0.25">
      <c r="A8707" s="83">
        <v>9836</v>
      </c>
      <c r="B8707" s="45" t="s">
        <v>664</v>
      </c>
      <c r="C8707" s="82" t="s">
        <v>8113</v>
      </c>
      <c r="D8707" s="82"/>
      <c r="E8707" s="74">
        <v>2021</v>
      </c>
      <c r="F8707" s="74"/>
      <c r="G8707" s="45">
        <v>2</v>
      </c>
      <c r="H8707" s="45">
        <v>29</v>
      </c>
      <c r="I8707" s="45">
        <v>112.77504</v>
      </c>
    </row>
    <row r="8708" spans="1:9" s="71" customFormat="1" ht="19.5" hidden="1" customHeight="1" outlineLevel="1" x14ac:dyDescent="0.25">
      <c r="A8708" s="84">
        <v>1438</v>
      </c>
      <c r="B8708" s="45" t="s">
        <v>664</v>
      </c>
      <c r="C8708" s="82" t="s">
        <v>8114</v>
      </c>
      <c r="D8708" s="82"/>
      <c r="E8708" s="74">
        <v>2021</v>
      </c>
      <c r="F8708" s="74"/>
      <c r="G8708" s="45">
        <v>1</v>
      </c>
      <c r="H8708" s="45">
        <v>7</v>
      </c>
      <c r="I8708" s="45">
        <v>56.159680000000002</v>
      </c>
    </row>
    <row r="8709" spans="1:9" s="71" customFormat="1" ht="19.5" hidden="1" customHeight="1" outlineLevel="1" x14ac:dyDescent="0.25">
      <c r="A8709" s="84">
        <v>963</v>
      </c>
      <c r="B8709" s="45" t="s">
        <v>664</v>
      </c>
      <c r="C8709" s="82" t="s">
        <v>8115</v>
      </c>
      <c r="D8709" s="82"/>
      <c r="E8709" s="74">
        <v>2021</v>
      </c>
      <c r="F8709" s="74"/>
      <c r="G8709" s="45">
        <v>1</v>
      </c>
      <c r="H8709" s="45">
        <v>45</v>
      </c>
      <c r="I8709" s="45">
        <v>92.333370000000002</v>
      </c>
    </row>
    <row r="8710" spans="1:9" s="71" customFormat="1" ht="19.5" hidden="1" customHeight="1" outlineLevel="1" x14ac:dyDescent="0.25">
      <c r="A8710" s="83">
        <v>9847</v>
      </c>
      <c r="B8710" s="45" t="s">
        <v>664</v>
      </c>
      <c r="C8710" s="82" t="s">
        <v>8116</v>
      </c>
      <c r="D8710" s="82"/>
      <c r="E8710" s="74">
        <v>2021</v>
      </c>
      <c r="F8710" s="74"/>
      <c r="G8710" s="45">
        <v>1</v>
      </c>
      <c r="H8710" s="45">
        <v>15</v>
      </c>
      <c r="I8710" s="45">
        <v>55.822130000000001</v>
      </c>
    </row>
    <row r="8711" spans="1:9" s="71" customFormat="1" ht="19.5" hidden="1" customHeight="1" outlineLevel="1" x14ac:dyDescent="0.25">
      <c r="A8711" s="83">
        <v>9815</v>
      </c>
      <c r="B8711" s="45" t="s">
        <v>664</v>
      </c>
      <c r="C8711" s="82" t="s">
        <v>8117</v>
      </c>
      <c r="D8711" s="82"/>
      <c r="E8711" s="74">
        <v>2021</v>
      </c>
      <c r="F8711" s="74"/>
      <c r="G8711" s="45">
        <v>1</v>
      </c>
      <c r="H8711" s="45">
        <v>15</v>
      </c>
      <c r="I8711" s="45">
        <v>38.628250000000001</v>
      </c>
    </row>
    <row r="8712" spans="1:9" s="71" customFormat="1" ht="19.5" hidden="1" customHeight="1" outlineLevel="1" x14ac:dyDescent="0.25">
      <c r="A8712" s="83">
        <v>9918</v>
      </c>
      <c r="B8712" s="45" t="s">
        <v>664</v>
      </c>
      <c r="C8712" s="82" t="s">
        <v>8118</v>
      </c>
      <c r="D8712" s="82"/>
      <c r="E8712" s="74">
        <v>2021</v>
      </c>
      <c r="F8712" s="74"/>
      <c r="G8712" s="45">
        <v>1</v>
      </c>
      <c r="H8712" s="45">
        <v>15</v>
      </c>
      <c r="I8712" s="45">
        <v>86.432069999999996</v>
      </c>
    </row>
    <row r="8713" spans="1:9" s="71" customFormat="1" ht="19.5" hidden="1" customHeight="1" outlineLevel="1" x14ac:dyDescent="0.25">
      <c r="A8713" s="83">
        <v>9824</v>
      </c>
      <c r="B8713" s="45" t="s">
        <v>664</v>
      </c>
      <c r="C8713" s="82" t="s">
        <v>8119</v>
      </c>
      <c r="D8713" s="82"/>
      <c r="E8713" s="74">
        <v>2021</v>
      </c>
      <c r="F8713" s="74"/>
      <c r="G8713" s="45">
        <v>1</v>
      </c>
      <c r="H8713" s="45">
        <v>15</v>
      </c>
      <c r="I8713" s="45">
        <v>51.034939999999999</v>
      </c>
    </row>
    <row r="8714" spans="1:9" s="71" customFormat="1" ht="34.5" hidden="1" customHeight="1" outlineLevel="1" x14ac:dyDescent="0.25">
      <c r="A8714" s="83">
        <v>9823</v>
      </c>
      <c r="B8714" s="45" t="s">
        <v>664</v>
      </c>
      <c r="C8714" s="82" t="s">
        <v>8120</v>
      </c>
      <c r="D8714" s="82"/>
      <c r="E8714" s="74">
        <v>2021</v>
      </c>
      <c r="F8714" s="74"/>
      <c r="G8714" s="45">
        <v>2</v>
      </c>
      <c r="H8714" s="45">
        <v>24</v>
      </c>
      <c r="I8714" s="45">
        <v>42.103470000000002</v>
      </c>
    </row>
    <row r="8715" spans="1:9" s="71" customFormat="1" ht="24.75" hidden="1" customHeight="1" outlineLevel="1" x14ac:dyDescent="0.25">
      <c r="A8715" s="83">
        <v>9955</v>
      </c>
      <c r="B8715" s="45" t="s">
        <v>664</v>
      </c>
      <c r="C8715" s="82" t="s">
        <v>8121</v>
      </c>
      <c r="D8715" s="82"/>
      <c r="E8715" s="74">
        <v>2021</v>
      </c>
      <c r="F8715" s="74"/>
      <c r="G8715" s="45">
        <v>1</v>
      </c>
      <c r="H8715" s="45">
        <v>15</v>
      </c>
      <c r="I8715" s="45">
        <v>90.506129999999999</v>
      </c>
    </row>
    <row r="8716" spans="1:9" s="71" customFormat="1" ht="19.5" hidden="1" customHeight="1" outlineLevel="1" x14ac:dyDescent="0.25">
      <c r="A8716" s="83">
        <v>9857</v>
      </c>
      <c r="B8716" s="45" t="s">
        <v>664</v>
      </c>
      <c r="C8716" s="82" t="s">
        <v>8122</v>
      </c>
      <c r="D8716" s="82"/>
      <c r="E8716" s="74">
        <v>2021</v>
      </c>
      <c r="F8716" s="74"/>
      <c r="G8716" s="45">
        <v>1</v>
      </c>
      <c r="H8716" s="45">
        <v>15</v>
      </c>
      <c r="I8716" s="45">
        <v>31.599589999999999</v>
      </c>
    </row>
    <row r="8717" spans="1:9" s="71" customFormat="1" ht="19.5" hidden="1" customHeight="1" outlineLevel="1" x14ac:dyDescent="0.25">
      <c r="A8717" s="83">
        <v>10013</v>
      </c>
      <c r="B8717" s="45" t="s">
        <v>664</v>
      </c>
      <c r="C8717" s="82" t="s">
        <v>8123</v>
      </c>
      <c r="D8717" s="82"/>
      <c r="E8717" s="74">
        <v>2021</v>
      </c>
      <c r="F8717" s="74"/>
      <c r="G8717" s="45">
        <v>1</v>
      </c>
      <c r="H8717" s="45">
        <v>15</v>
      </c>
      <c r="I8717" s="45">
        <v>41.327739999999999</v>
      </c>
    </row>
    <row r="8718" spans="1:9" s="71" customFormat="1" ht="19.5" hidden="1" customHeight="1" outlineLevel="1" x14ac:dyDescent="0.25">
      <c r="A8718" s="83">
        <v>9764</v>
      </c>
      <c r="B8718" s="45" t="s">
        <v>664</v>
      </c>
      <c r="C8718" s="82" t="s">
        <v>8124</v>
      </c>
      <c r="D8718" s="82"/>
      <c r="E8718" s="74">
        <v>2021</v>
      </c>
      <c r="F8718" s="74"/>
      <c r="G8718" s="45">
        <v>1</v>
      </c>
      <c r="H8718" s="45">
        <v>15</v>
      </c>
      <c r="I8718" s="45">
        <v>29.767119999999998</v>
      </c>
    </row>
    <row r="8719" spans="1:9" s="71" customFormat="1" ht="19.5" hidden="1" customHeight="1" outlineLevel="1" x14ac:dyDescent="0.25">
      <c r="A8719" s="84">
        <v>1352</v>
      </c>
      <c r="B8719" s="45" t="s">
        <v>664</v>
      </c>
      <c r="C8719" s="82" t="s">
        <v>8125</v>
      </c>
      <c r="D8719" s="82"/>
      <c r="E8719" s="74">
        <v>2021</v>
      </c>
      <c r="F8719" s="74"/>
      <c r="G8719" s="45">
        <v>2</v>
      </c>
      <c r="H8719" s="45">
        <v>30</v>
      </c>
      <c r="I8719" s="45">
        <v>60.32396</v>
      </c>
    </row>
    <row r="8720" spans="1:9" s="71" customFormat="1" ht="19.5" hidden="1" customHeight="1" outlineLevel="1" x14ac:dyDescent="0.25">
      <c r="A8720" s="84">
        <v>1897</v>
      </c>
      <c r="B8720" s="45" t="s">
        <v>664</v>
      </c>
      <c r="C8720" s="82" t="s">
        <v>8126</v>
      </c>
      <c r="D8720" s="82"/>
      <c r="E8720" s="74">
        <v>2021</v>
      </c>
      <c r="F8720" s="74"/>
      <c r="G8720" s="45">
        <v>1</v>
      </c>
      <c r="H8720" s="45">
        <v>15</v>
      </c>
      <c r="I8720" s="45">
        <v>38.467750000000002</v>
      </c>
    </row>
    <row r="8721" spans="1:35" s="71" customFormat="1" ht="19.5" hidden="1" customHeight="1" outlineLevel="1" x14ac:dyDescent="0.25">
      <c r="A8721" s="83">
        <v>9749</v>
      </c>
      <c r="B8721" s="45" t="s">
        <v>664</v>
      </c>
      <c r="C8721" s="82" t="s">
        <v>8127</v>
      </c>
      <c r="D8721" s="82"/>
      <c r="E8721" s="74">
        <v>2021</v>
      </c>
      <c r="F8721" s="74"/>
      <c r="G8721" s="45">
        <v>1</v>
      </c>
      <c r="H8721" s="45">
        <v>15</v>
      </c>
      <c r="I8721" s="45">
        <v>32.44511</v>
      </c>
    </row>
    <row r="8722" spans="1:35" s="71" customFormat="1" ht="19.5" hidden="1" customHeight="1" outlineLevel="1" x14ac:dyDescent="0.25">
      <c r="A8722" s="84">
        <v>1872</v>
      </c>
      <c r="B8722" s="45" t="s">
        <v>664</v>
      </c>
      <c r="C8722" s="82" t="s">
        <v>8128</v>
      </c>
      <c r="D8722" s="82"/>
      <c r="E8722" s="74">
        <v>2021</v>
      </c>
      <c r="F8722" s="74"/>
      <c r="G8722" s="45">
        <v>1</v>
      </c>
      <c r="H8722" s="45">
        <v>15</v>
      </c>
      <c r="I8722" s="45">
        <v>39.416260000000001</v>
      </c>
    </row>
    <row r="8723" spans="1:35" s="71" customFormat="1" ht="19.5" hidden="1" customHeight="1" outlineLevel="1" x14ac:dyDescent="0.25">
      <c r="A8723" s="83">
        <v>9874</v>
      </c>
      <c r="B8723" s="45" t="s">
        <v>664</v>
      </c>
      <c r="C8723" s="82" t="s">
        <v>8129</v>
      </c>
      <c r="D8723" s="82"/>
      <c r="E8723" s="74">
        <v>2021</v>
      </c>
      <c r="F8723" s="74"/>
      <c r="G8723" s="45">
        <v>1</v>
      </c>
      <c r="H8723" s="45">
        <v>12</v>
      </c>
      <c r="I8723" s="45">
        <v>43.172409999999999</v>
      </c>
    </row>
    <row r="8724" spans="1:35" s="75" customFormat="1" ht="16.5" hidden="1" customHeight="1" collapsed="1" x14ac:dyDescent="0.25">
      <c r="A8724" s="74"/>
      <c r="B8724" s="46" t="s">
        <v>664</v>
      </c>
      <c r="C8724" s="47" t="s">
        <v>81</v>
      </c>
      <c r="D8724" s="47"/>
      <c r="E8724" s="95">
        <v>2022</v>
      </c>
      <c r="F8724" s="95" t="s">
        <v>8130</v>
      </c>
      <c r="G8724" s="48" t="e">
        <f>SUMIF(#REF!,$E$8724,#REF!)</f>
        <v>#REF!</v>
      </c>
      <c r="H8724" s="48" t="e">
        <f>SUMIF(#REF!,$E$8724,#REF!)</f>
        <v>#REF!</v>
      </c>
      <c r="I8724" s="48" t="e">
        <f>SUMIF(#REF!,$E$8724,#REF!)</f>
        <v>#REF!</v>
      </c>
      <c r="J8724" s="71"/>
      <c r="K8724" s="71"/>
      <c r="L8724" s="71"/>
      <c r="M8724" s="71"/>
      <c r="N8724" s="71"/>
      <c r="O8724" s="71"/>
      <c r="P8724" s="71"/>
      <c r="Q8724" s="71"/>
      <c r="R8724" s="71"/>
      <c r="S8724" s="71"/>
      <c r="T8724" s="71"/>
      <c r="U8724" s="71"/>
      <c r="V8724" s="71"/>
      <c r="W8724" s="71"/>
      <c r="X8724" s="71"/>
      <c r="Y8724" s="71"/>
      <c r="Z8724" s="71"/>
      <c r="AA8724" s="71"/>
      <c r="AB8724" s="71"/>
      <c r="AC8724" s="71"/>
      <c r="AD8724" s="71"/>
      <c r="AE8724" s="71"/>
      <c r="AF8724" s="71"/>
      <c r="AG8724" s="71"/>
      <c r="AH8724" s="71"/>
      <c r="AI8724" s="71"/>
    </row>
    <row r="8725" spans="1:35" s="71" customFormat="1" ht="15.75" hidden="1" x14ac:dyDescent="0.25">
      <c r="A8725" s="74"/>
      <c r="B8725" s="46" t="s">
        <v>664</v>
      </c>
      <c r="C8725" s="47" t="s">
        <v>81</v>
      </c>
      <c r="D8725" s="47"/>
      <c r="E8725" s="95">
        <v>2023</v>
      </c>
      <c r="F8725" s="95" t="s">
        <v>8130</v>
      </c>
      <c r="G8725" s="48" t="e">
        <f>SUMIF(#REF!,$E$8725,#REF!)</f>
        <v>#REF!</v>
      </c>
      <c r="H8725" s="48" t="e">
        <f>SUMIF(#REF!,$E$8725,#REF!)</f>
        <v>#REF!</v>
      </c>
      <c r="I8725" s="48" t="e">
        <f>SUMIF(#REF!,$E$8725,#REF!)</f>
        <v>#REF!</v>
      </c>
    </row>
    <row r="8726" spans="1:35" s="71" customFormat="1" ht="31.5" x14ac:dyDescent="0.25">
      <c r="A8726" s="73"/>
      <c r="B8726" s="51" t="s">
        <v>8131</v>
      </c>
      <c r="C8726" s="130" t="s">
        <v>8132</v>
      </c>
      <c r="D8726" s="118"/>
      <c r="E8726" s="100"/>
      <c r="F8726" s="92" t="s">
        <v>489</v>
      </c>
      <c r="G8726" s="51"/>
      <c r="H8726" s="54"/>
      <c r="I8726" s="54"/>
      <c r="J8726" s="185">
        <f>[21]Лист1!E135</f>
        <v>106600</v>
      </c>
    </row>
    <row r="8727" spans="1:35" s="106" customFormat="1" ht="27.75" customHeight="1" x14ac:dyDescent="0.25">
      <c r="A8727" s="73"/>
      <c r="B8727" s="51" t="s">
        <v>8131</v>
      </c>
      <c r="C8727" s="52" t="s">
        <v>80</v>
      </c>
      <c r="D8727" s="49">
        <v>2025</v>
      </c>
      <c r="E8727" s="104">
        <v>2021</v>
      </c>
      <c r="F8727" s="92" t="s">
        <v>489</v>
      </c>
      <c r="G8727" s="51">
        <f>SUMIF($E$8730:$E$8908,$E$8727,$G$8730:$G$8908)</f>
        <v>38</v>
      </c>
      <c r="H8727" s="54">
        <v>3557</v>
      </c>
      <c r="I8727" s="54">
        <f>SUMIF($E$8730:$E$8908,$E$8727,$I$8730:$I$8908)</f>
        <v>2053.3974200000002</v>
      </c>
      <c r="J8727" s="71"/>
      <c r="K8727" s="71"/>
      <c r="L8727" s="71"/>
      <c r="M8727" s="71"/>
      <c r="N8727" s="71"/>
      <c r="O8727" s="71"/>
      <c r="P8727" s="71"/>
      <c r="Q8727" s="71"/>
      <c r="R8727" s="71"/>
      <c r="S8727" s="71"/>
      <c r="T8727" s="71"/>
      <c r="U8727" s="71"/>
      <c r="V8727" s="71"/>
      <c r="W8727" s="71"/>
      <c r="X8727" s="71"/>
      <c r="Y8727" s="71"/>
      <c r="Z8727" s="71"/>
      <c r="AA8727" s="71"/>
      <c r="AB8727" s="71"/>
      <c r="AC8727" s="71"/>
      <c r="AD8727" s="71"/>
      <c r="AE8727" s="71"/>
      <c r="AF8727" s="71"/>
      <c r="AG8727" s="71"/>
      <c r="AH8727" s="71"/>
      <c r="AI8727" s="71"/>
    </row>
    <row r="8728" spans="1:35" s="75" customFormat="1" ht="15.75" hidden="1" x14ac:dyDescent="0.25">
      <c r="A8728" s="74"/>
      <c r="B8728" s="53" t="s">
        <v>8131</v>
      </c>
      <c r="C8728" s="56" t="s">
        <v>81</v>
      </c>
      <c r="D8728" s="56"/>
      <c r="E8728" s="104">
        <v>2022</v>
      </c>
      <c r="F8728" s="104" t="s">
        <v>489</v>
      </c>
      <c r="G8728" s="53">
        <f>SUMIF($E$8730:$E$8908,$E$8728,$G$8730:$G$8908)</f>
        <v>53</v>
      </c>
      <c r="H8728" s="53">
        <f>SUMIF($E$8730:$E$8908,$E$8728,$H$8730:$H$8908)</f>
        <v>2966.6</v>
      </c>
      <c r="I8728" s="57">
        <f>SUMIF($E$8730:$E$8908,$E$8728,$I$8730:$I$8908)</f>
        <v>4094.3437400000003</v>
      </c>
      <c r="J8728" s="71"/>
      <c r="K8728" s="71"/>
      <c r="L8728" s="71"/>
      <c r="M8728" s="71"/>
      <c r="N8728" s="71"/>
      <c r="O8728" s="71"/>
      <c r="P8728" s="71"/>
      <c r="Q8728" s="71"/>
      <c r="R8728" s="71"/>
      <c r="S8728" s="71"/>
      <c r="T8728" s="71"/>
      <c r="U8728" s="71"/>
      <c r="V8728" s="71"/>
      <c r="W8728" s="71"/>
      <c r="X8728" s="71"/>
      <c r="Y8728" s="71"/>
      <c r="Z8728" s="71"/>
      <c r="AA8728" s="71"/>
      <c r="AB8728" s="71"/>
      <c r="AC8728" s="71"/>
      <c r="AD8728" s="71"/>
      <c r="AE8728" s="71"/>
      <c r="AF8728" s="71"/>
      <c r="AG8728" s="71"/>
      <c r="AH8728" s="71"/>
      <c r="AI8728" s="71"/>
    </row>
    <row r="8729" spans="1:35" s="75" customFormat="1" ht="15.75" hidden="1" x14ac:dyDescent="0.25">
      <c r="A8729" s="123"/>
      <c r="B8729" s="53" t="s">
        <v>8131</v>
      </c>
      <c r="C8729" s="56" t="s">
        <v>81</v>
      </c>
      <c r="D8729" s="56"/>
      <c r="E8729" s="104">
        <v>2023</v>
      </c>
      <c r="F8729" s="104" t="s">
        <v>489</v>
      </c>
      <c r="G8729" s="53">
        <f>SUMIF($E$8730:$E$8908,$E$8729,$G$8730:$G$8908)</f>
        <v>131</v>
      </c>
      <c r="H8729" s="57">
        <f>SUMIF($E$8730:$E$8908,$E$8729,$H$8730:$H$8908)</f>
        <v>15949.900000000001</v>
      </c>
      <c r="I8729" s="57">
        <f>SUMIF($E$8730:$E$8908,$E$8729,$I$8730:$I$8908)</f>
        <v>13238.941589999993</v>
      </c>
      <c r="J8729" s="71"/>
      <c r="K8729" s="71"/>
      <c r="L8729" s="71"/>
      <c r="M8729" s="71"/>
      <c r="N8729" s="71"/>
      <c r="O8729" s="71"/>
      <c r="P8729" s="71"/>
      <c r="Q8729" s="71"/>
      <c r="R8729" s="71"/>
      <c r="S8729" s="71"/>
      <c r="T8729" s="71"/>
      <c r="U8729" s="71"/>
      <c r="V8729" s="71"/>
      <c r="W8729" s="71"/>
      <c r="X8729" s="71"/>
      <c r="Y8729" s="71"/>
      <c r="Z8729" s="71"/>
      <c r="AA8729" s="71"/>
      <c r="AB8729" s="71"/>
      <c r="AC8729" s="71"/>
      <c r="AD8729" s="71"/>
      <c r="AE8729" s="71"/>
      <c r="AF8729" s="71"/>
      <c r="AG8729" s="71"/>
      <c r="AH8729" s="71"/>
      <c r="AI8729" s="71"/>
    </row>
    <row r="8730" spans="1:35" s="71" customFormat="1" ht="22.5" hidden="1" customHeight="1" outlineLevel="1" x14ac:dyDescent="0.25">
      <c r="A8730" s="74">
        <v>449</v>
      </c>
      <c r="B8730" s="45" t="s">
        <v>8131</v>
      </c>
      <c r="C8730" s="60" t="s">
        <v>143</v>
      </c>
      <c r="D8730" s="60"/>
      <c r="E8730" s="74">
        <v>2022</v>
      </c>
      <c r="F8730" s="74" t="s">
        <v>489</v>
      </c>
      <c r="G8730" s="45">
        <v>2</v>
      </c>
      <c r="H8730" s="61">
        <v>149</v>
      </c>
      <c r="I8730" s="61">
        <v>190.03334000000001</v>
      </c>
    </row>
    <row r="8731" spans="1:35" s="71" customFormat="1" ht="22.5" hidden="1" customHeight="1" outlineLevel="1" x14ac:dyDescent="0.25">
      <c r="A8731" s="74">
        <v>451</v>
      </c>
      <c r="B8731" s="45" t="s">
        <v>8131</v>
      </c>
      <c r="C8731" s="60" t="s">
        <v>138</v>
      </c>
      <c r="D8731" s="60"/>
      <c r="E8731" s="74">
        <v>2022</v>
      </c>
      <c r="F8731" s="74" t="s">
        <v>489</v>
      </c>
      <c r="G8731" s="45">
        <v>2</v>
      </c>
      <c r="H8731" s="61">
        <v>150</v>
      </c>
      <c r="I8731" s="61">
        <v>266.27516000000003</v>
      </c>
    </row>
    <row r="8732" spans="1:35" s="71" customFormat="1" ht="22.5" hidden="1" customHeight="1" outlineLevel="1" x14ac:dyDescent="0.25">
      <c r="A8732" s="74">
        <v>454</v>
      </c>
      <c r="B8732" s="45" t="s">
        <v>8131</v>
      </c>
      <c r="C8732" s="60" t="s">
        <v>140</v>
      </c>
      <c r="D8732" s="60"/>
      <c r="E8732" s="74">
        <v>2022</v>
      </c>
      <c r="F8732" s="74" t="s">
        <v>489</v>
      </c>
      <c r="G8732" s="45">
        <v>1</v>
      </c>
      <c r="H8732" s="61">
        <v>150</v>
      </c>
      <c r="I8732" s="61">
        <v>63.871459999999999</v>
      </c>
    </row>
    <row r="8733" spans="1:35" s="71" customFormat="1" ht="22.5" hidden="1" customHeight="1" outlineLevel="1" x14ac:dyDescent="0.25">
      <c r="A8733" s="74">
        <v>455</v>
      </c>
      <c r="B8733" s="45" t="s">
        <v>8131</v>
      </c>
      <c r="C8733" s="60" t="s">
        <v>144</v>
      </c>
      <c r="D8733" s="60"/>
      <c r="E8733" s="74">
        <v>2022</v>
      </c>
      <c r="F8733" s="74" t="s">
        <v>489</v>
      </c>
      <c r="G8733" s="45">
        <v>1</v>
      </c>
      <c r="H8733" s="61">
        <v>100</v>
      </c>
      <c r="I8733" s="61">
        <v>55.652929999999998</v>
      </c>
    </row>
    <row r="8734" spans="1:35" s="71" customFormat="1" ht="22.5" hidden="1" customHeight="1" outlineLevel="1" x14ac:dyDescent="0.25">
      <c r="A8734" s="74">
        <v>456</v>
      </c>
      <c r="B8734" s="45" t="s">
        <v>8131</v>
      </c>
      <c r="C8734" s="60" t="s">
        <v>145</v>
      </c>
      <c r="D8734" s="60"/>
      <c r="E8734" s="74">
        <v>2022</v>
      </c>
      <c r="F8734" s="74" t="s">
        <v>489</v>
      </c>
      <c r="G8734" s="45">
        <v>1</v>
      </c>
      <c r="H8734" s="61">
        <v>15</v>
      </c>
      <c r="I8734" s="61">
        <v>42.841709999999999</v>
      </c>
    </row>
    <row r="8735" spans="1:35" s="71" customFormat="1" ht="22.5" hidden="1" customHeight="1" outlineLevel="1" x14ac:dyDescent="0.25">
      <c r="A8735" s="74">
        <v>458</v>
      </c>
      <c r="B8735" s="45" t="s">
        <v>8131</v>
      </c>
      <c r="C8735" s="60" t="s">
        <v>607</v>
      </c>
      <c r="D8735" s="60"/>
      <c r="E8735" s="74">
        <v>2022</v>
      </c>
      <c r="F8735" s="74" t="s">
        <v>489</v>
      </c>
      <c r="G8735" s="45">
        <v>2</v>
      </c>
      <c r="H8735" s="61">
        <v>10</v>
      </c>
      <c r="I8735" s="61">
        <v>114.85038</v>
      </c>
    </row>
    <row r="8736" spans="1:35" s="71" customFormat="1" ht="22.5" hidden="1" customHeight="1" outlineLevel="1" x14ac:dyDescent="0.25">
      <c r="A8736" s="74">
        <v>459</v>
      </c>
      <c r="B8736" s="45" t="s">
        <v>8131</v>
      </c>
      <c r="C8736" s="60" t="s">
        <v>621</v>
      </c>
      <c r="D8736" s="60"/>
      <c r="E8736" s="74">
        <v>2022</v>
      </c>
      <c r="F8736" s="74" t="s">
        <v>489</v>
      </c>
      <c r="G8736" s="45">
        <v>2</v>
      </c>
      <c r="H8736" s="61">
        <v>150</v>
      </c>
      <c r="I8736" s="61">
        <v>327.69360999999998</v>
      </c>
    </row>
    <row r="8737" spans="1:9" s="71" customFormat="1" ht="22.5" hidden="1" customHeight="1" outlineLevel="1" x14ac:dyDescent="0.25">
      <c r="A8737" s="74">
        <v>837</v>
      </c>
      <c r="B8737" s="45" t="s">
        <v>8131</v>
      </c>
      <c r="C8737" s="60" t="s">
        <v>8133</v>
      </c>
      <c r="D8737" s="60"/>
      <c r="E8737" s="74">
        <v>2022</v>
      </c>
      <c r="F8737" s="74" t="s">
        <v>489</v>
      </c>
      <c r="G8737" s="45">
        <v>1</v>
      </c>
      <c r="H8737" s="61">
        <v>10</v>
      </c>
      <c r="I8737" s="61">
        <v>65.624309999999994</v>
      </c>
    </row>
    <row r="8738" spans="1:9" s="71" customFormat="1" ht="22.5" hidden="1" customHeight="1" outlineLevel="1" x14ac:dyDescent="0.25">
      <c r="A8738" s="74">
        <v>461</v>
      </c>
      <c r="B8738" s="45" t="s">
        <v>8131</v>
      </c>
      <c r="C8738" s="60" t="s">
        <v>149</v>
      </c>
      <c r="D8738" s="60"/>
      <c r="E8738" s="74">
        <v>2022</v>
      </c>
      <c r="F8738" s="74" t="s">
        <v>489</v>
      </c>
      <c r="G8738" s="45">
        <v>10</v>
      </c>
      <c r="H8738" s="61">
        <v>87</v>
      </c>
      <c r="I8738" s="61">
        <v>576.28480999999999</v>
      </c>
    </row>
    <row r="8739" spans="1:9" s="71" customFormat="1" ht="22.5" hidden="1" customHeight="1" outlineLevel="1" x14ac:dyDescent="0.25">
      <c r="A8739" s="74">
        <v>462</v>
      </c>
      <c r="B8739" s="45" t="s">
        <v>8131</v>
      </c>
      <c r="C8739" s="60" t="s">
        <v>8134</v>
      </c>
      <c r="D8739" s="60"/>
      <c r="E8739" s="74">
        <v>2022</v>
      </c>
      <c r="F8739" s="74" t="s">
        <v>489</v>
      </c>
      <c r="G8739" s="45">
        <v>2</v>
      </c>
      <c r="H8739" s="61">
        <v>15</v>
      </c>
      <c r="I8739" s="61">
        <v>77.480940000000004</v>
      </c>
    </row>
    <row r="8740" spans="1:9" s="71" customFormat="1" ht="22.5" hidden="1" customHeight="1" outlineLevel="1" x14ac:dyDescent="0.25">
      <c r="A8740" s="74">
        <v>463</v>
      </c>
      <c r="B8740" s="45" t="s">
        <v>8131</v>
      </c>
      <c r="C8740" s="60" t="s">
        <v>550</v>
      </c>
      <c r="D8740" s="60"/>
      <c r="E8740" s="74">
        <v>2022</v>
      </c>
      <c r="F8740" s="74" t="s">
        <v>489</v>
      </c>
      <c r="G8740" s="45">
        <v>2</v>
      </c>
      <c r="H8740" s="61">
        <v>50</v>
      </c>
      <c r="I8740" s="61">
        <v>195.61016000000001</v>
      </c>
    </row>
    <row r="8741" spans="1:9" s="71" customFormat="1" ht="22.5" hidden="1" customHeight="1" outlineLevel="1" x14ac:dyDescent="0.25">
      <c r="A8741" s="74">
        <v>464</v>
      </c>
      <c r="B8741" s="45" t="s">
        <v>8131</v>
      </c>
      <c r="C8741" s="60" t="s">
        <v>151</v>
      </c>
      <c r="D8741" s="60"/>
      <c r="E8741" s="74">
        <v>2022</v>
      </c>
      <c r="F8741" s="74" t="s">
        <v>489</v>
      </c>
      <c r="G8741" s="45">
        <v>2</v>
      </c>
      <c r="H8741" s="61">
        <v>150</v>
      </c>
      <c r="I8741" s="61">
        <v>127.63611</v>
      </c>
    </row>
    <row r="8742" spans="1:9" s="71" customFormat="1" ht="22.5" hidden="1" customHeight="1" outlineLevel="1" x14ac:dyDescent="0.25">
      <c r="A8742" s="74">
        <v>467</v>
      </c>
      <c r="B8742" s="45" t="s">
        <v>8131</v>
      </c>
      <c r="C8742" s="60" t="s">
        <v>8135</v>
      </c>
      <c r="D8742" s="60"/>
      <c r="E8742" s="74">
        <v>2022</v>
      </c>
      <c r="F8742" s="74" t="s">
        <v>489</v>
      </c>
      <c r="G8742" s="45">
        <v>2</v>
      </c>
      <c r="H8742" s="61">
        <v>15</v>
      </c>
      <c r="I8742" s="61">
        <v>276.89328999999998</v>
      </c>
    </row>
    <row r="8743" spans="1:9" s="71" customFormat="1" ht="22.5" hidden="1" customHeight="1" outlineLevel="1" x14ac:dyDescent="0.25">
      <c r="A8743" s="74">
        <v>470</v>
      </c>
      <c r="B8743" s="45" t="s">
        <v>8131</v>
      </c>
      <c r="C8743" s="60" t="s">
        <v>8136</v>
      </c>
      <c r="D8743" s="60"/>
      <c r="E8743" s="74">
        <v>2022</v>
      </c>
      <c r="F8743" s="74" t="s">
        <v>489</v>
      </c>
      <c r="G8743" s="45">
        <v>2</v>
      </c>
      <c r="H8743" s="61">
        <v>15</v>
      </c>
      <c r="I8743" s="61">
        <v>94.501400000000004</v>
      </c>
    </row>
    <row r="8744" spans="1:9" s="71" customFormat="1" ht="22.5" hidden="1" customHeight="1" outlineLevel="1" x14ac:dyDescent="0.25">
      <c r="A8744" s="74">
        <v>471</v>
      </c>
      <c r="B8744" s="45" t="s">
        <v>8131</v>
      </c>
      <c r="C8744" s="60" t="s">
        <v>152</v>
      </c>
      <c r="D8744" s="60"/>
      <c r="E8744" s="74">
        <v>2022</v>
      </c>
      <c r="F8744" s="74" t="s">
        <v>489</v>
      </c>
      <c r="G8744" s="45">
        <v>1</v>
      </c>
      <c r="H8744" s="61">
        <v>150</v>
      </c>
      <c r="I8744" s="61">
        <v>81.478020000000001</v>
      </c>
    </row>
    <row r="8745" spans="1:9" s="71" customFormat="1" ht="22.5" hidden="1" customHeight="1" outlineLevel="1" x14ac:dyDescent="0.25">
      <c r="A8745" s="74">
        <v>472</v>
      </c>
      <c r="B8745" s="45" t="s">
        <v>8131</v>
      </c>
      <c r="C8745" s="60" t="s">
        <v>153</v>
      </c>
      <c r="D8745" s="60"/>
      <c r="E8745" s="74">
        <v>2022</v>
      </c>
      <c r="F8745" s="74" t="s">
        <v>489</v>
      </c>
      <c r="G8745" s="45">
        <v>1</v>
      </c>
      <c r="H8745" s="61">
        <v>100</v>
      </c>
      <c r="I8745" s="61">
        <v>172.44685000000001</v>
      </c>
    </row>
    <row r="8746" spans="1:9" s="71" customFormat="1" ht="22.5" hidden="1" customHeight="1" outlineLevel="1" x14ac:dyDescent="0.25">
      <c r="A8746" s="74">
        <v>473</v>
      </c>
      <c r="B8746" s="45" t="s">
        <v>8131</v>
      </c>
      <c r="C8746" s="60" t="s">
        <v>8137</v>
      </c>
      <c r="D8746" s="60"/>
      <c r="E8746" s="74">
        <v>2022</v>
      </c>
      <c r="F8746" s="74" t="s">
        <v>489</v>
      </c>
      <c r="G8746" s="45">
        <v>2</v>
      </c>
      <c r="H8746" s="61">
        <v>15</v>
      </c>
      <c r="I8746" s="61">
        <v>152.22559999999999</v>
      </c>
    </row>
    <row r="8747" spans="1:9" s="71" customFormat="1" ht="22.5" hidden="1" customHeight="1" outlineLevel="1" x14ac:dyDescent="0.25">
      <c r="A8747" s="74">
        <v>460</v>
      </c>
      <c r="B8747" s="45" t="s">
        <v>8131</v>
      </c>
      <c r="C8747" s="60" t="s">
        <v>633</v>
      </c>
      <c r="D8747" s="60"/>
      <c r="E8747" s="74">
        <v>2022</v>
      </c>
      <c r="F8747" s="74" t="s">
        <v>489</v>
      </c>
      <c r="G8747" s="45">
        <v>1</v>
      </c>
      <c r="H8747" s="61">
        <v>150</v>
      </c>
      <c r="I8747" s="61">
        <v>72.491950000000003</v>
      </c>
    </row>
    <row r="8748" spans="1:9" s="71" customFormat="1" ht="22.5" hidden="1" customHeight="1" outlineLevel="1" x14ac:dyDescent="0.25">
      <c r="A8748" s="74">
        <v>532</v>
      </c>
      <c r="B8748" s="45" t="s">
        <v>8131</v>
      </c>
      <c r="C8748" s="60" t="s">
        <v>8138</v>
      </c>
      <c r="D8748" s="60"/>
      <c r="E8748" s="74">
        <v>2022</v>
      </c>
      <c r="F8748" s="74" t="s">
        <v>489</v>
      </c>
      <c r="G8748" s="45">
        <v>1</v>
      </c>
      <c r="H8748" s="61">
        <v>15</v>
      </c>
      <c r="I8748" s="61">
        <v>41.121110000000002</v>
      </c>
    </row>
    <row r="8749" spans="1:9" s="71" customFormat="1" ht="22.5" hidden="1" customHeight="1" outlineLevel="1" x14ac:dyDescent="0.25">
      <c r="A8749" s="74">
        <v>4878</v>
      </c>
      <c r="B8749" s="45" t="s">
        <v>8131</v>
      </c>
      <c r="C8749" s="60" t="s">
        <v>554</v>
      </c>
      <c r="D8749" s="60"/>
      <c r="E8749" s="74">
        <v>2022</v>
      </c>
      <c r="F8749" s="74" t="s">
        <v>489</v>
      </c>
      <c r="G8749" s="45">
        <v>1</v>
      </c>
      <c r="H8749" s="61">
        <v>90</v>
      </c>
      <c r="I8749" s="61">
        <v>69</v>
      </c>
    </row>
    <row r="8750" spans="1:9" s="71" customFormat="1" ht="22.5" hidden="1" customHeight="1" outlineLevel="1" x14ac:dyDescent="0.25">
      <c r="A8750" s="74">
        <v>4570</v>
      </c>
      <c r="B8750" s="45" t="s">
        <v>8131</v>
      </c>
      <c r="C8750" s="60" t="s">
        <v>8139</v>
      </c>
      <c r="D8750" s="60"/>
      <c r="E8750" s="74">
        <v>2022</v>
      </c>
      <c r="F8750" s="74" t="s">
        <v>489</v>
      </c>
      <c r="G8750" s="45">
        <v>1</v>
      </c>
      <c r="H8750" s="61">
        <v>139.4</v>
      </c>
      <c r="I8750" s="61">
        <v>67</v>
      </c>
    </row>
    <row r="8751" spans="1:9" s="71" customFormat="1" ht="22.5" hidden="1" customHeight="1" outlineLevel="1" x14ac:dyDescent="0.25">
      <c r="A8751" s="74">
        <v>4580</v>
      </c>
      <c r="B8751" s="45" t="s">
        <v>8131</v>
      </c>
      <c r="C8751" s="60" t="s">
        <v>8140</v>
      </c>
      <c r="D8751" s="60"/>
      <c r="E8751" s="74">
        <v>2022</v>
      </c>
      <c r="F8751" s="74" t="s">
        <v>489</v>
      </c>
      <c r="G8751" s="45">
        <v>1</v>
      </c>
      <c r="H8751" s="61">
        <v>134.5</v>
      </c>
      <c r="I8751" s="61">
        <v>64</v>
      </c>
    </row>
    <row r="8752" spans="1:9" s="71" customFormat="1" ht="22.5" hidden="1" customHeight="1" outlineLevel="1" x14ac:dyDescent="0.25">
      <c r="A8752" s="74">
        <v>4764</v>
      </c>
      <c r="B8752" s="45" t="s">
        <v>8131</v>
      </c>
      <c r="C8752" s="60" t="s">
        <v>8141</v>
      </c>
      <c r="D8752" s="60"/>
      <c r="E8752" s="74">
        <v>2022</v>
      </c>
      <c r="F8752" s="74" t="s">
        <v>489</v>
      </c>
      <c r="G8752" s="45">
        <v>1</v>
      </c>
      <c r="H8752" s="61">
        <v>45</v>
      </c>
      <c r="I8752" s="61">
        <v>45</v>
      </c>
    </row>
    <row r="8753" spans="1:9" s="71" customFormat="1" ht="22.5" hidden="1" customHeight="1" outlineLevel="1" x14ac:dyDescent="0.25">
      <c r="A8753" s="74">
        <v>4616</v>
      </c>
      <c r="B8753" s="45" t="s">
        <v>8131</v>
      </c>
      <c r="C8753" s="60" t="s">
        <v>8142</v>
      </c>
      <c r="D8753" s="60"/>
      <c r="E8753" s="74">
        <v>2022</v>
      </c>
      <c r="F8753" s="74" t="s">
        <v>489</v>
      </c>
      <c r="G8753" s="45">
        <v>1</v>
      </c>
      <c r="H8753" s="61">
        <v>100</v>
      </c>
      <c r="I8753" s="61">
        <v>116.8</v>
      </c>
    </row>
    <row r="8754" spans="1:9" s="71" customFormat="1" ht="22.5" hidden="1" customHeight="1" outlineLevel="1" x14ac:dyDescent="0.25">
      <c r="A8754" s="74">
        <v>4702</v>
      </c>
      <c r="B8754" s="45" t="s">
        <v>8131</v>
      </c>
      <c r="C8754" s="60" t="s">
        <v>8143</v>
      </c>
      <c r="D8754" s="60"/>
      <c r="E8754" s="74">
        <v>2022</v>
      </c>
      <c r="F8754" s="74" t="s">
        <v>489</v>
      </c>
      <c r="G8754" s="45">
        <v>1</v>
      </c>
      <c r="H8754" s="61">
        <v>100</v>
      </c>
      <c r="I8754" s="61">
        <v>51.270999999999994</v>
      </c>
    </row>
    <row r="8755" spans="1:9" s="71" customFormat="1" ht="22.5" hidden="1" customHeight="1" outlineLevel="1" x14ac:dyDescent="0.25">
      <c r="A8755" s="74">
        <v>4853</v>
      </c>
      <c r="B8755" s="45" t="s">
        <v>8131</v>
      </c>
      <c r="C8755" s="60" t="s">
        <v>8144</v>
      </c>
      <c r="D8755" s="60"/>
      <c r="E8755" s="74">
        <v>2022</v>
      </c>
      <c r="F8755" s="74" t="s">
        <v>489</v>
      </c>
      <c r="G8755" s="45">
        <v>1</v>
      </c>
      <c r="H8755" s="61">
        <v>150</v>
      </c>
      <c r="I8755" s="61">
        <v>82.249600000000001</v>
      </c>
    </row>
    <row r="8756" spans="1:9" s="71" customFormat="1" ht="22.5" hidden="1" customHeight="1" outlineLevel="1" x14ac:dyDescent="0.25">
      <c r="A8756" s="74">
        <v>5048</v>
      </c>
      <c r="B8756" s="45" t="s">
        <v>8131</v>
      </c>
      <c r="C8756" s="60" t="s">
        <v>8145</v>
      </c>
      <c r="D8756" s="60"/>
      <c r="E8756" s="74">
        <v>2022</v>
      </c>
      <c r="F8756" s="74" t="s">
        <v>489</v>
      </c>
      <c r="G8756" s="45">
        <v>1</v>
      </c>
      <c r="H8756" s="61">
        <v>150</v>
      </c>
      <c r="I8756" s="61">
        <v>82.168000000000006</v>
      </c>
    </row>
    <row r="8757" spans="1:9" s="71" customFormat="1" ht="22.5" hidden="1" customHeight="1" outlineLevel="1" x14ac:dyDescent="0.25">
      <c r="A8757" s="74">
        <v>5419</v>
      </c>
      <c r="B8757" s="45" t="s">
        <v>8131</v>
      </c>
      <c r="C8757" s="60" t="s">
        <v>8146</v>
      </c>
      <c r="D8757" s="60"/>
      <c r="E8757" s="74">
        <v>2022</v>
      </c>
      <c r="F8757" s="74" t="s">
        <v>489</v>
      </c>
      <c r="G8757" s="45">
        <v>1</v>
      </c>
      <c r="H8757" s="61">
        <v>100</v>
      </c>
      <c r="I8757" s="61">
        <v>93.992000000000004</v>
      </c>
    </row>
    <row r="8758" spans="1:9" s="71" customFormat="1" ht="22.5" hidden="1" customHeight="1" outlineLevel="1" x14ac:dyDescent="0.25">
      <c r="A8758" s="74">
        <v>5421</v>
      </c>
      <c r="B8758" s="45" t="s">
        <v>8131</v>
      </c>
      <c r="C8758" s="60" t="s">
        <v>155</v>
      </c>
      <c r="D8758" s="60"/>
      <c r="E8758" s="74">
        <v>2022</v>
      </c>
      <c r="F8758" s="74" t="s">
        <v>489</v>
      </c>
      <c r="G8758" s="45">
        <v>1</v>
      </c>
      <c r="H8758" s="61">
        <v>130</v>
      </c>
      <c r="I8758" s="61">
        <v>118.37</v>
      </c>
    </row>
    <row r="8759" spans="1:9" s="71" customFormat="1" ht="22.5" hidden="1" customHeight="1" outlineLevel="1" x14ac:dyDescent="0.25">
      <c r="A8759" s="74">
        <v>5417</v>
      </c>
      <c r="B8759" s="45" t="s">
        <v>8131</v>
      </c>
      <c r="C8759" s="60" t="s">
        <v>156</v>
      </c>
      <c r="D8759" s="60"/>
      <c r="E8759" s="74">
        <v>2022</v>
      </c>
      <c r="F8759" s="74" t="s">
        <v>489</v>
      </c>
      <c r="G8759" s="45">
        <v>2</v>
      </c>
      <c r="H8759" s="61">
        <v>159.69999999999999</v>
      </c>
      <c r="I8759" s="61">
        <v>61.281999999999996</v>
      </c>
    </row>
    <row r="8760" spans="1:9" s="71" customFormat="1" ht="22.5" hidden="1" customHeight="1" outlineLevel="1" x14ac:dyDescent="0.25">
      <c r="A8760" s="74">
        <v>5835</v>
      </c>
      <c r="B8760" s="45" t="s">
        <v>8131</v>
      </c>
      <c r="C8760" s="60" t="s">
        <v>8147</v>
      </c>
      <c r="D8760" s="60"/>
      <c r="E8760" s="74">
        <v>2022</v>
      </c>
      <c r="F8760" s="74" t="s">
        <v>489</v>
      </c>
      <c r="G8760" s="45">
        <v>1</v>
      </c>
      <c r="H8760" s="61">
        <v>15</v>
      </c>
      <c r="I8760" s="61">
        <v>52.784999999999997</v>
      </c>
    </row>
    <row r="8761" spans="1:9" s="71" customFormat="1" ht="22.5" hidden="1" customHeight="1" outlineLevel="1" x14ac:dyDescent="0.25">
      <c r="A8761" s="74">
        <v>5848</v>
      </c>
      <c r="B8761" s="45" t="s">
        <v>8131</v>
      </c>
      <c r="C8761" s="60" t="s">
        <v>8148</v>
      </c>
      <c r="D8761" s="60"/>
      <c r="E8761" s="74">
        <v>2022</v>
      </c>
      <c r="F8761" s="74" t="s">
        <v>489</v>
      </c>
      <c r="G8761" s="45">
        <v>1</v>
      </c>
      <c r="H8761" s="61">
        <v>95</v>
      </c>
      <c r="I8761" s="61">
        <v>43.713000000000001</v>
      </c>
    </row>
    <row r="8762" spans="1:9" s="71" customFormat="1" ht="22.5" hidden="1" customHeight="1" outlineLevel="1" x14ac:dyDescent="0.25">
      <c r="A8762" s="74">
        <v>5768</v>
      </c>
      <c r="B8762" s="45" t="s">
        <v>8131</v>
      </c>
      <c r="C8762" s="60" t="s">
        <v>449</v>
      </c>
      <c r="D8762" s="60"/>
      <c r="E8762" s="74">
        <v>2022</v>
      </c>
      <c r="F8762" s="74" t="s">
        <v>489</v>
      </c>
      <c r="G8762" s="45">
        <v>1</v>
      </c>
      <c r="H8762" s="61">
        <v>62</v>
      </c>
      <c r="I8762" s="61">
        <v>151.69999999999999</v>
      </c>
    </row>
    <row r="8763" spans="1:9" s="71" customFormat="1" ht="22.5" hidden="1" customHeight="1" outlineLevel="1" x14ac:dyDescent="0.25">
      <c r="A8763" s="123">
        <v>3013</v>
      </c>
      <c r="B8763" s="45" t="s">
        <v>8131</v>
      </c>
      <c r="C8763" s="60" t="s">
        <v>8149</v>
      </c>
      <c r="D8763" s="60"/>
      <c r="E8763" s="74">
        <v>2023</v>
      </c>
      <c r="F8763" s="74" t="s">
        <v>489</v>
      </c>
      <c r="G8763" s="45">
        <v>1</v>
      </c>
      <c r="H8763" s="61">
        <v>135</v>
      </c>
      <c r="I8763" s="61">
        <v>135.53100000000001</v>
      </c>
    </row>
    <row r="8764" spans="1:9" s="71" customFormat="1" ht="22.5" hidden="1" customHeight="1" outlineLevel="1" x14ac:dyDescent="0.25">
      <c r="A8764" s="123">
        <v>3032</v>
      </c>
      <c r="B8764" s="45" t="s">
        <v>8131</v>
      </c>
      <c r="C8764" s="60" t="s">
        <v>8150</v>
      </c>
      <c r="D8764" s="60"/>
      <c r="E8764" s="74">
        <v>2023</v>
      </c>
      <c r="F8764" s="74" t="s">
        <v>489</v>
      </c>
      <c r="G8764" s="45">
        <v>1</v>
      </c>
      <c r="H8764" s="61">
        <v>150</v>
      </c>
      <c r="I8764" s="61">
        <v>282.77799999999996</v>
      </c>
    </row>
    <row r="8765" spans="1:9" s="71" customFormat="1" ht="22.5" hidden="1" customHeight="1" outlineLevel="1" x14ac:dyDescent="0.25">
      <c r="A8765" s="123">
        <v>2991</v>
      </c>
      <c r="B8765" s="45" t="s">
        <v>8131</v>
      </c>
      <c r="C8765" s="60" t="s">
        <v>8151</v>
      </c>
      <c r="D8765" s="60"/>
      <c r="E8765" s="74">
        <v>2023</v>
      </c>
      <c r="F8765" s="74" t="s">
        <v>489</v>
      </c>
      <c r="G8765" s="45">
        <v>2</v>
      </c>
      <c r="H8765" s="61">
        <v>155</v>
      </c>
      <c r="I8765" s="61">
        <v>241.79999999999998</v>
      </c>
    </row>
    <row r="8766" spans="1:9" s="71" customFormat="1" ht="22.5" hidden="1" customHeight="1" outlineLevel="1" x14ac:dyDescent="0.25">
      <c r="A8766" s="123">
        <v>6170</v>
      </c>
      <c r="B8766" s="45" t="s">
        <v>8131</v>
      </c>
      <c r="C8766" s="60" t="s">
        <v>8152</v>
      </c>
      <c r="D8766" s="60"/>
      <c r="E8766" s="74">
        <v>2023</v>
      </c>
      <c r="F8766" s="74" t="s">
        <v>489</v>
      </c>
      <c r="G8766" s="45">
        <v>1</v>
      </c>
      <c r="H8766" s="61">
        <v>150</v>
      </c>
      <c r="I8766" s="61">
        <v>125.663</v>
      </c>
    </row>
    <row r="8767" spans="1:9" s="71" customFormat="1" ht="22.5" hidden="1" customHeight="1" outlineLevel="1" x14ac:dyDescent="0.25">
      <c r="A8767" s="123">
        <v>3020</v>
      </c>
      <c r="B8767" s="45" t="s">
        <v>8131</v>
      </c>
      <c r="C8767" s="60" t="s">
        <v>8153</v>
      </c>
      <c r="D8767" s="60"/>
      <c r="E8767" s="74">
        <v>2023</v>
      </c>
      <c r="F8767" s="74" t="s">
        <v>489</v>
      </c>
      <c r="G8767" s="45">
        <v>1</v>
      </c>
      <c r="H8767" s="61">
        <v>150</v>
      </c>
      <c r="I8767" s="61">
        <v>18.399999999999999</v>
      </c>
    </row>
    <row r="8768" spans="1:9" s="71" customFormat="1" ht="22.5" hidden="1" customHeight="1" outlineLevel="1" x14ac:dyDescent="0.25">
      <c r="A8768" s="123">
        <v>3362</v>
      </c>
      <c r="B8768" s="45" t="s">
        <v>8131</v>
      </c>
      <c r="C8768" s="60" t="s">
        <v>8154</v>
      </c>
      <c r="D8768" s="60"/>
      <c r="E8768" s="74">
        <v>2023</v>
      </c>
      <c r="F8768" s="74" t="s">
        <v>489</v>
      </c>
      <c r="G8768" s="45">
        <v>1</v>
      </c>
      <c r="H8768" s="61">
        <v>150</v>
      </c>
      <c r="I8768" s="61">
        <v>136.43099999999998</v>
      </c>
    </row>
    <row r="8769" spans="1:9" s="71" customFormat="1" ht="22.5" hidden="1" customHeight="1" outlineLevel="1" x14ac:dyDescent="0.25">
      <c r="A8769" s="123">
        <v>3006</v>
      </c>
      <c r="B8769" s="45" t="s">
        <v>8131</v>
      </c>
      <c r="C8769" s="60" t="s">
        <v>8155</v>
      </c>
      <c r="D8769" s="60"/>
      <c r="E8769" s="74">
        <v>2023</v>
      </c>
      <c r="F8769" s="74" t="s">
        <v>489</v>
      </c>
      <c r="G8769" s="45">
        <v>1</v>
      </c>
      <c r="H8769" s="61">
        <v>150</v>
      </c>
      <c r="I8769" s="61">
        <v>111.14</v>
      </c>
    </row>
    <row r="8770" spans="1:9" s="71" customFormat="1" ht="22.5" hidden="1" customHeight="1" outlineLevel="1" x14ac:dyDescent="0.25">
      <c r="A8770" s="123">
        <v>3057</v>
      </c>
      <c r="B8770" s="45" t="s">
        <v>8131</v>
      </c>
      <c r="C8770" s="60" t="s">
        <v>8156</v>
      </c>
      <c r="D8770" s="60"/>
      <c r="E8770" s="74">
        <v>2023</v>
      </c>
      <c r="F8770" s="74" t="s">
        <v>489</v>
      </c>
      <c r="G8770" s="45">
        <v>1</v>
      </c>
      <c r="H8770" s="61">
        <v>150</v>
      </c>
      <c r="I8770" s="61">
        <v>127.194</v>
      </c>
    </row>
    <row r="8771" spans="1:9" s="71" customFormat="1" ht="22.5" hidden="1" customHeight="1" outlineLevel="1" x14ac:dyDescent="0.25">
      <c r="A8771" s="123">
        <v>6242</v>
      </c>
      <c r="B8771" s="45" t="s">
        <v>8131</v>
      </c>
      <c r="C8771" s="60" t="s">
        <v>8157</v>
      </c>
      <c r="D8771" s="60"/>
      <c r="E8771" s="74">
        <v>2023</v>
      </c>
      <c r="F8771" s="74" t="s">
        <v>489</v>
      </c>
      <c r="G8771" s="45">
        <v>1</v>
      </c>
      <c r="H8771" s="61">
        <v>85</v>
      </c>
      <c r="I8771" s="61">
        <v>96.25200000000001</v>
      </c>
    </row>
    <row r="8772" spans="1:9" s="71" customFormat="1" ht="22.5" hidden="1" customHeight="1" outlineLevel="1" x14ac:dyDescent="0.25">
      <c r="A8772" s="123">
        <v>3021</v>
      </c>
      <c r="B8772" s="45" t="s">
        <v>8131</v>
      </c>
      <c r="C8772" s="60" t="s">
        <v>8158</v>
      </c>
      <c r="D8772" s="60"/>
      <c r="E8772" s="74">
        <v>2023</v>
      </c>
      <c r="F8772" s="74" t="s">
        <v>489</v>
      </c>
      <c r="G8772" s="45">
        <v>1</v>
      </c>
      <c r="H8772" s="61">
        <v>150</v>
      </c>
      <c r="I8772" s="61">
        <v>127.12200000000001</v>
      </c>
    </row>
    <row r="8773" spans="1:9" s="71" customFormat="1" ht="22.5" hidden="1" customHeight="1" outlineLevel="1" x14ac:dyDescent="0.25">
      <c r="A8773" s="123">
        <v>3011</v>
      </c>
      <c r="B8773" s="45" t="s">
        <v>8131</v>
      </c>
      <c r="C8773" s="60" t="s">
        <v>8159</v>
      </c>
      <c r="D8773" s="60"/>
      <c r="E8773" s="74">
        <v>2023</v>
      </c>
      <c r="F8773" s="74" t="s">
        <v>489</v>
      </c>
      <c r="G8773" s="45">
        <v>1</v>
      </c>
      <c r="H8773" s="61">
        <v>150</v>
      </c>
      <c r="I8773" s="61">
        <v>119.675</v>
      </c>
    </row>
    <row r="8774" spans="1:9" s="71" customFormat="1" ht="22.5" hidden="1" customHeight="1" outlineLevel="1" x14ac:dyDescent="0.25">
      <c r="A8774" s="123">
        <v>3075</v>
      </c>
      <c r="B8774" s="45" t="s">
        <v>8131</v>
      </c>
      <c r="C8774" s="60" t="s">
        <v>8160</v>
      </c>
      <c r="D8774" s="60"/>
      <c r="E8774" s="74">
        <v>2023</v>
      </c>
      <c r="F8774" s="74" t="s">
        <v>489</v>
      </c>
      <c r="G8774" s="45">
        <v>1</v>
      </c>
      <c r="H8774" s="61">
        <v>100</v>
      </c>
      <c r="I8774" s="61">
        <v>158.89500000000001</v>
      </c>
    </row>
    <row r="8775" spans="1:9" s="71" customFormat="1" ht="22.5" hidden="1" customHeight="1" outlineLevel="1" x14ac:dyDescent="0.25">
      <c r="A8775" s="123">
        <v>3034</v>
      </c>
      <c r="B8775" s="45" t="s">
        <v>8131</v>
      </c>
      <c r="C8775" s="60" t="s">
        <v>8161</v>
      </c>
      <c r="D8775" s="60"/>
      <c r="E8775" s="74">
        <v>2023</v>
      </c>
      <c r="F8775" s="74" t="s">
        <v>489</v>
      </c>
      <c r="G8775" s="45">
        <v>1</v>
      </c>
      <c r="H8775" s="61">
        <v>150</v>
      </c>
      <c r="I8775" s="61">
        <v>125.2</v>
      </c>
    </row>
    <row r="8776" spans="1:9" s="71" customFormat="1" ht="22.5" hidden="1" customHeight="1" outlineLevel="1" x14ac:dyDescent="0.25">
      <c r="A8776" s="123">
        <v>3363</v>
      </c>
      <c r="B8776" s="45" t="s">
        <v>8131</v>
      </c>
      <c r="C8776" s="60" t="s">
        <v>8162</v>
      </c>
      <c r="D8776" s="60"/>
      <c r="E8776" s="74">
        <v>2023</v>
      </c>
      <c r="F8776" s="74" t="s">
        <v>489</v>
      </c>
      <c r="G8776" s="45">
        <v>1</v>
      </c>
      <c r="H8776" s="61">
        <v>150</v>
      </c>
      <c r="I8776" s="61">
        <v>148.583</v>
      </c>
    </row>
    <row r="8777" spans="1:9" s="71" customFormat="1" ht="22.5" hidden="1" customHeight="1" outlineLevel="1" x14ac:dyDescent="0.25">
      <c r="A8777" s="123">
        <v>3068</v>
      </c>
      <c r="B8777" s="45" t="s">
        <v>8131</v>
      </c>
      <c r="C8777" s="60" t="s">
        <v>8163</v>
      </c>
      <c r="D8777" s="60"/>
      <c r="E8777" s="74">
        <v>2023</v>
      </c>
      <c r="F8777" s="74" t="s">
        <v>489</v>
      </c>
      <c r="G8777" s="45">
        <v>1</v>
      </c>
      <c r="H8777" s="61">
        <v>135</v>
      </c>
      <c r="I8777" s="61">
        <v>173.82</v>
      </c>
    </row>
    <row r="8778" spans="1:9" s="71" customFormat="1" ht="22.5" hidden="1" customHeight="1" outlineLevel="1" x14ac:dyDescent="0.25">
      <c r="A8778" s="123">
        <v>3026</v>
      </c>
      <c r="B8778" s="45" t="s">
        <v>8131</v>
      </c>
      <c r="C8778" s="60" t="s">
        <v>564</v>
      </c>
      <c r="D8778" s="60"/>
      <c r="E8778" s="74">
        <v>2023</v>
      </c>
      <c r="F8778" s="74" t="s">
        <v>489</v>
      </c>
      <c r="G8778" s="45">
        <v>1</v>
      </c>
      <c r="H8778" s="61">
        <v>80</v>
      </c>
      <c r="I8778" s="61">
        <v>124.16000000000001</v>
      </c>
    </row>
    <row r="8779" spans="1:9" s="71" customFormat="1" ht="22.5" hidden="1" customHeight="1" outlineLevel="1" x14ac:dyDescent="0.25">
      <c r="A8779" s="123">
        <v>3059</v>
      </c>
      <c r="B8779" s="45" t="s">
        <v>8131</v>
      </c>
      <c r="C8779" s="60" t="s">
        <v>8164</v>
      </c>
      <c r="D8779" s="60"/>
      <c r="E8779" s="74">
        <v>2023</v>
      </c>
      <c r="F8779" s="74" t="s">
        <v>489</v>
      </c>
      <c r="G8779" s="45">
        <v>1</v>
      </c>
      <c r="H8779" s="61">
        <v>150</v>
      </c>
      <c r="I8779" s="61">
        <v>88.079000000000008</v>
      </c>
    </row>
    <row r="8780" spans="1:9" s="71" customFormat="1" ht="22.5" hidden="1" customHeight="1" outlineLevel="1" x14ac:dyDescent="0.25">
      <c r="A8780" s="123">
        <v>3110</v>
      </c>
      <c r="B8780" s="45" t="s">
        <v>8131</v>
      </c>
      <c r="C8780" s="60" t="s">
        <v>8165</v>
      </c>
      <c r="D8780" s="60"/>
      <c r="E8780" s="74">
        <v>2023</v>
      </c>
      <c r="F8780" s="74" t="s">
        <v>489</v>
      </c>
      <c r="G8780" s="45">
        <v>1</v>
      </c>
      <c r="H8780" s="61">
        <v>150</v>
      </c>
      <c r="I8780" s="61">
        <v>170.88200000000001</v>
      </c>
    </row>
    <row r="8781" spans="1:9" s="71" customFormat="1" ht="22.5" hidden="1" customHeight="1" outlineLevel="1" x14ac:dyDescent="0.25">
      <c r="A8781" s="123">
        <v>3024</v>
      </c>
      <c r="B8781" s="45" t="s">
        <v>8131</v>
      </c>
      <c r="C8781" s="60" t="s">
        <v>565</v>
      </c>
      <c r="D8781" s="60"/>
      <c r="E8781" s="74">
        <v>2023</v>
      </c>
      <c r="F8781" s="74" t="s">
        <v>489</v>
      </c>
      <c r="G8781" s="45">
        <v>2</v>
      </c>
      <c r="H8781" s="61">
        <v>80</v>
      </c>
      <c r="I8781" s="61">
        <v>121.938</v>
      </c>
    </row>
    <row r="8782" spans="1:9" s="71" customFormat="1" ht="22.5" hidden="1" customHeight="1" outlineLevel="1" x14ac:dyDescent="0.25">
      <c r="A8782" s="123">
        <v>3072</v>
      </c>
      <c r="B8782" s="45" t="s">
        <v>8131</v>
      </c>
      <c r="C8782" s="60" t="s">
        <v>8166</v>
      </c>
      <c r="D8782" s="60"/>
      <c r="E8782" s="74">
        <v>2023</v>
      </c>
      <c r="F8782" s="74" t="s">
        <v>489</v>
      </c>
      <c r="G8782" s="45">
        <v>1</v>
      </c>
      <c r="H8782" s="61">
        <v>137</v>
      </c>
      <c r="I8782" s="61">
        <v>48.369</v>
      </c>
    </row>
    <row r="8783" spans="1:9" s="71" customFormat="1" ht="22.5" hidden="1" customHeight="1" outlineLevel="1" x14ac:dyDescent="0.25">
      <c r="A8783" s="123">
        <v>3096</v>
      </c>
      <c r="B8783" s="45" t="s">
        <v>8131</v>
      </c>
      <c r="C8783" s="60" t="s">
        <v>8167</v>
      </c>
      <c r="D8783" s="60"/>
      <c r="E8783" s="74">
        <v>2023</v>
      </c>
      <c r="F8783" s="74" t="s">
        <v>489</v>
      </c>
      <c r="G8783" s="45">
        <v>2</v>
      </c>
      <c r="H8783" s="61">
        <v>150</v>
      </c>
      <c r="I8783" s="61">
        <v>117.652</v>
      </c>
    </row>
    <row r="8784" spans="1:9" s="71" customFormat="1" ht="22.5" hidden="1" customHeight="1" outlineLevel="1" x14ac:dyDescent="0.25">
      <c r="A8784" s="123">
        <v>3095</v>
      </c>
      <c r="B8784" s="45" t="s">
        <v>8131</v>
      </c>
      <c r="C8784" s="60" t="s">
        <v>8168</v>
      </c>
      <c r="D8784" s="60"/>
      <c r="E8784" s="74">
        <v>2023</v>
      </c>
      <c r="F8784" s="74" t="s">
        <v>489</v>
      </c>
      <c r="G8784" s="45">
        <v>2</v>
      </c>
      <c r="H8784" s="61">
        <v>300</v>
      </c>
      <c r="I8784" s="61">
        <v>127.08579999999999</v>
      </c>
    </row>
    <row r="8785" spans="1:9" s="71" customFormat="1" ht="22.5" hidden="1" customHeight="1" outlineLevel="1" x14ac:dyDescent="0.25">
      <c r="A8785" s="123">
        <v>6490</v>
      </c>
      <c r="B8785" s="45" t="s">
        <v>8131</v>
      </c>
      <c r="C8785" s="60" t="s">
        <v>8169</v>
      </c>
      <c r="D8785" s="60"/>
      <c r="E8785" s="74">
        <v>2023</v>
      </c>
      <c r="F8785" s="74" t="s">
        <v>489</v>
      </c>
      <c r="G8785" s="45">
        <v>1</v>
      </c>
      <c r="H8785" s="61">
        <v>150</v>
      </c>
      <c r="I8785" s="61">
        <v>138.18595999999999</v>
      </c>
    </row>
    <row r="8786" spans="1:9" s="71" customFormat="1" ht="22.5" hidden="1" customHeight="1" outlineLevel="1" x14ac:dyDescent="0.25">
      <c r="A8786" s="123">
        <v>3134</v>
      </c>
      <c r="B8786" s="45" t="s">
        <v>8131</v>
      </c>
      <c r="C8786" s="60" t="s">
        <v>8170</v>
      </c>
      <c r="D8786" s="60"/>
      <c r="E8786" s="74">
        <v>2023</v>
      </c>
      <c r="F8786" s="74" t="s">
        <v>489</v>
      </c>
      <c r="G8786" s="45">
        <v>1</v>
      </c>
      <c r="H8786" s="61">
        <v>150</v>
      </c>
      <c r="I8786" s="61">
        <v>153.47848999999999</v>
      </c>
    </row>
    <row r="8787" spans="1:9" s="71" customFormat="1" ht="22.5" hidden="1" customHeight="1" outlineLevel="1" x14ac:dyDescent="0.25">
      <c r="A8787" s="123">
        <v>3016</v>
      </c>
      <c r="B8787" s="45" t="s">
        <v>8131</v>
      </c>
      <c r="C8787" s="60" t="s">
        <v>8171</v>
      </c>
      <c r="D8787" s="60"/>
      <c r="E8787" s="74">
        <v>2023</v>
      </c>
      <c r="F8787" s="74" t="s">
        <v>489</v>
      </c>
      <c r="G8787" s="45">
        <v>1</v>
      </c>
      <c r="H8787" s="61">
        <v>60</v>
      </c>
      <c r="I8787" s="61">
        <v>46.387999999999998</v>
      </c>
    </row>
    <row r="8788" spans="1:9" s="71" customFormat="1" ht="22.5" hidden="1" customHeight="1" outlineLevel="1" x14ac:dyDescent="0.25">
      <c r="A8788" s="123">
        <v>3133</v>
      </c>
      <c r="B8788" s="45" t="s">
        <v>8131</v>
      </c>
      <c r="C8788" s="60" t="s">
        <v>8172</v>
      </c>
      <c r="D8788" s="60"/>
      <c r="E8788" s="74">
        <v>2023</v>
      </c>
      <c r="F8788" s="74" t="s">
        <v>489</v>
      </c>
      <c r="G8788" s="45">
        <v>1</v>
      </c>
      <c r="H8788" s="61">
        <v>150</v>
      </c>
      <c r="I8788" s="61">
        <v>58.607999999999997</v>
      </c>
    </row>
    <row r="8789" spans="1:9" s="71" customFormat="1" ht="22.5" hidden="1" customHeight="1" outlineLevel="1" x14ac:dyDescent="0.25">
      <c r="A8789" s="123">
        <v>3122</v>
      </c>
      <c r="B8789" s="45" t="s">
        <v>8131</v>
      </c>
      <c r="C8789" s="60" t="s">
        <v>8173</v>
      </c>
      <c r="D8789" s="60"/>
      <c r="E8789" s="74">
        <v>2023</v>
      </c>
      <c r="F8789" s="74" t="s">
        <v>489</v>
      </c>
      <c r="G8789" s="45">
        <v>1</v>
      </c>
      <c r="H8789" s="61">
        <v>150</v>
      </c>
      <c r="I8789" s="61">
        <v>109.06649</v>
      </c>
    </row>
    <row r="8790" spans="1:9" s="71" customFormat="1" ht="22.5" hidden="1" customHeight="1" outlineLevel="1" x14ac:dyDescent="0.25">
      <c r="A8790" s="123">
        <v>3146</v>
      </c>
      <c r="B8790" s="45" t="s">
        <v>8131</v>
      </c>
      <c r="C8790" s="60" t="s">
        <v>8174</v>
      </c>
      <c r="D8790" s="60"/>
      <c r="E8790" s="74">
        <v>2023</v>
      </c>
      <c r="F8790" s="74" t="s">
        <v>489</v>
      </c>
      <c r="G8790" s="45">
        <v>1</v>
      </c>
      <c r="H8790" s="61">
        <v>150</v>
      </c>
      <c r="I8790" s="61">
        <v>178.12900000000002</v>
      </c>
    </row>
    <row r="8791" spans="1:9" s="71" customFormat="1" ht="22.5" hidden="1" customHeight="1" outlineLevel="1" x14ac:dyDescent="0.25">
      <c r="A8791" s="123">
        <v>3086</v>
      </c>
      <c r="B8791" s="45" t="s">
        <v>8131</v>
      </c>
      <c r="C8791" s="60" t="s">
        <v>8175</v>
      </c>
      <c r="D8791" s="60"/>
      <c r="E8791" s="74">
        <v>2023</v>
      </c>
      <c r="F8791" s="74" t="s">
        <v>489</v>
      </c>
      <c r="G8791" s="45">
        <v>1</v>
      </c>
      <c r="H8791" s="61">
        <v>150</v>
      </c>
      <c r="I8791" s="61">
        <v>66.97699999999999</v>
      </c>
    </row>
    <row r="8792" spans="1:9" s="71" customFormat="1" ht="22.5" hidden="1" customHeight="1" outlineLevel="1" x14ac:dyDescent="0.25">
      <c r="A8792" s="123">
        <v>3039</v>
      </c>
      <c r="B8792" s="45" t="s">
        <v>8131</v>
      </c>
      <c r="C8792" s="60" t="s">
        <v>8176</v>
      </c>
      <c r="D8792" s="60"/>
      <c r="E8792" s="74">
        <v>2023</v>
      </c>
      <c r="F8792" s="74" t="s">
        <v>489</v>
      </c>
      <c r="G8792" s="45">
        <v>1</v>
      </c>
      <c r="H8792" s="61">
        <v>65</v>
      </c>
      <c r="I8792" s="61">
        <v>86.278400000000005</v>
      </c>
    </row>
    <row r="8793" spans="1:9" s="71" customFormat="1" ht="22.5" hidden="1" customHeight="1" outlineLevel="1" x14ac:dyDescent="0.25">
      <c r="A8793" s="123">
        <v>3071</v>
      </c>
      <c r="B8793" s="45" t="s">
        <v>8131</v>
      </c>
      <c r="C8793" s="60" t="s">
        <v>8177</v>
      </c>
      <c r="D8793" s="60"/>
      <c r="E8793" s="74">
        <v>2023</v>
      </c>
      <c r="F8793" s="74" t="s">
        <v>489</v>
      </c>
      <c r="G8793" s="45">
        <v>1</v>
      </c>
      <c r="H8793" s="61">
        <v>150</v>
      </c>
      <c r="I8793" s="61">
        <v>106.06160000000001</v>
      </c>
    </row>
    <row r="8794" spans="1:9" s="71" customFormat="1" ht="22.5" hidden="1" customHeight="1" outlineLevel="1" x14ac:dyDescent="0.25">
      <c r="A8794" s="123">
        <v>3150</v>
      </c>
      <c r="B8794" s="45" t="s">
        <v>8131</v>
      </c>
      <c r="C8794" s="60" t="s">
        <v>8178</v>
      </c>
      <c r="D8794" s="60"/>
      <c r="E8794" s="74">
        <v>2023</v>
      </c>
      <c r="F8794" s="74" t="s">
        <v>489</v>
      </c>
      <c r="G8794" s="45">
        <v>1</v>
      </c>
      <c r="H8794" s="61">
        <v>100</v>
      </c>
      <c r="I8794" s="61">
        <v>233.07400000000001</v>
      </c>
    </row>
    <row r="8795" spans="1:9" s="71" customFormat="1" ht="22.5" hidden="1" customHeight="1" outlineLevel="1" x14ac:dyDescent="0.25">
      <c r="A8795" s="123">
        <v>3138</v>
      </c>
      <c r="B8795" s="45" t="s">
        <v>8131</v>
      </c>
      <c r="C8795" s="60" t="s">
        <v>8179</v>
      </c>
      <c r="D8795" s="60"/>
      <c r="E8795" s="74">
        <v>2023</v>
      </c>
      <c r="F8795" s="74" t="s">
        <v>489</v>
      </c>
      <c r="G8795" s="45">
        <v>1</v>
      </c>
      <c r="H8795" s="61">
        <v>140</v>
      </c>
      <c r="I8795" s="61">
        <v>150.95699999999999</v>
      </c>
    </row>
    <row r="8796" spans="1:9" s="71" customFormat="1" ht="22.5" hidden="1" customHeight="1" outlineLevel="1" x14ac:dyDescent="0.25">
      <c r="A8796" s="123">
        <v>3031</v>
      </c>
      <c r="B8796" s="45" t="s">
        <v>8131</v>
      </c>
      <c r="C8796" s="60" t="s">
        <v>8180</v>
      </c>
      <c r="D8796" s="60"/>
      <c r="E8796" s="74">
        <v>2023</v>
      </c>
      <c r="F8796" s="74" t="s">
        <v>489</v>
      </c>
      <c r="G8796" s="45">
        <v>2</v>
      </c>
      <c r="H8796" s="61">
        <v>300</v>
      </c>
      <c r="I8796" s="61">
        <v>197.708</v>
      </c>
    </row>
    <row r="8797" spans="1:9" s="71" customFormat="1" ht="22.5" hidden="1" customHeight="1" outlineLevel="1" x14ac:dyDescent="0.25">
      <c r="A8797" s="123">
        <v>3065</v>
      </c>
      <c r="B8797" s="45" t="s">
        <v>8131</v>
      </c>
      <c r="C8797" s="60" t="s">
        <v>8181</v>
      </c>
      <c r="D8797" s="60"/>
      <c r="E8797" s="74">
        <v>2023</v>
      </c>
      <c r="F8797" s="74" t="s">
        <v>489</v>
      </c>
      <c r="G8797" s="45">
        <v>1</v>
      </c>
      <c r="H8797" s="61">
        <v>150</v>
      </c>
      <c r="I8797" s="61">
        <v>72.804999999999993</v>
      </c>
    </row>
    <row r="8798" spans="1:9" s="71" customFormat="1" ht="22.5" hidden="1" customHeight="1" outlineLevel="1" x14ac:dyDescent="0.25">
      <c r="A8798" s="123">
        <v>3069</v>
      </c>
      <c r="B8798" s="45" t="s">
        <v>8131</v>
      </c>
      <c r="C8798" s="60" t="s">
        <v>8182</v>
      </c>
      <c r="D8798" s="60"/>
      <c r="E8798" s="74">
        <v>2023</v>
      </c>
      <c r="F8798" s="74" t="s">
        <v>489</v>
      </c>
      <c r="G8798" s="45">
        <v>1</v>
      </c>
      <c r="H8798" s="61">
        <v>150</v>
      </c>
      <c r="I8798" s="61">
        <v>63.911999999999999</v>
      </c>
    </row>
    <row r="8799" spans="1:9" s="71" customFormat="1" ht="22.5" hidden="1" customHeight="1" outlineLevel="1" x14ac:dyDescent="0.25">
      <c r="A8799" s="123">
        <v>3008</v>
      </c>
      <c r="B8799" s="45" t="s">
        <v>8131</v>
      </c>
      <c r="C8799" s="60" t="s">
        <v>8183</v>
      </c>
      <c r="D8799" s="60"/>
      <c r="E8799" s="74">
        <v>2023</v>
      </c>
      <c r="F8799" s="74" t="s">
        <v>489</v>
      </c>
      <c r="G8799" s="45">
        <v>1</v>
      </c>
      <c r="H8799" s="61">
        <v>150</v>
      </c>
      <c r="I8799" s="61">
        <v>62.805700000000009</v>
      </c>
    </row>
    <row r="8800" spans="1:9" s="71" customFormat="1" ht="22.5" hidden="1" customHeight="1" outlineLevel="1" x14ac:dyDescent="0.25">
      <c r="A8800" s="123">
        <v>6636</v>
      </c>
      <c r="B8800" s="45" t="s">
        <v>8131</v>
      </c>
      <c r="C8800" s="60" t="s">
        <v>8184</v>
      </c>
      <c r="D8800" s="60"/>
      <c r="E8800" s="74">
        <v>2023</v>
      </c>
      <c r="F8800" s="74" t="s">
        <v>489</v>
      </c>
      <c r="G8800" s="45">
        <v>1</v>
      </c>
      <c r="H8800" s="61">
        <v>100</v>
      </c>
      <c r="I8800" s="61">
        <v>92.507000000000005</v>
      </c>
    </row>
    <row r="8801" spans="1:9" s="71" customFormat="1" ht="22.5" hidden="1" customHeight="1" outlineLevel="1" x14ac:dyDescent="0.25">
      <c r="A8801" s="123">
        <v>6637</v>
      </c>
      <c r="B8801" s="45" t="s">
        <v>8131</v>
      </c>
      <c r="C8801" s="60" t="s">
        <v>8185</v>
      </c>
      <c r="D8801" s="60"/>
      <c r="E8801" s="74">
        <v>2023</v>
      </c>
      <c r="F8801" s="74" t="s">
        <v>489</v>
      </c>
      <c r="G8801" s="45">
        <v>1</v>
      </c>
      <c r="H8801" s="61">
        <v>130</v>
      </c>
      <c r="I8801" s="61">
        <v>197.87289999999999</v>
      </c>
    </row>
    <row r="8802" spans="1:9" s="71" customFormat="1" ht="22.5" hidden="1" customHeight="1" outlineLevel="1" x14ac:dyDescent="0.25">
      <c r="A8802" s="123">
        <v>3153</v>
      </c>
      <c r="B8802" s="45" t="s">
        <v>8131</v>
      </c>
      <c r="C8802" s="60" t="s">
        <v>8186</v>
      </c>
      <c r="D8802" s="60"/>
      <c r="E8802" s="74">
        <v>2023</v>
      </c>
      <c r="F8802" s="74" t="s">
        <v>489</v>
      </c>
      <c r="G8802" s="45">
        <v>1</v>
      </c>
      <c r="H8802" s="61">
        <v>150</v>
      </c>
      <c r="I8802" s="61">
        <v>197.24099999999999</v>
      </c>
    </row>
    <row r="8803" spans="1:9" s="71" customFormat="1" ht="22.5" hidden="1" customHeight="1" outlineLevel="1" x14ac:dyDescent="0.25">
      <c r="A8803" s="123">
        <v>3165</v>
      </c>
      <c r="B8803" s="45" t="s">
        <v>8131</v>
      </c>
      <c r="C8803" s="60" t="s">
        <v>655</v>
      </c>
      <c r="D8803" s="60"/>
      <c r="E8803" s="74">
        <v>2023</v>
      </c>
      <c r="F8803" s="74" t="s">
        <v>489</v>
      </c>
      <c r="G8803" s="45">
        <v>4</v>
      </c>
      <c r="H8803" s="61">
        <v>600</v>
      </c>
      <c r="I8803" s="61">
        <v>691.6223</v>
      </c>
    </row>
    <row r="8804" spans="1:9" s="71" customFormat="1" ht="22.5" hidden="1" customHeight="1" outlineLevel="1" x14ac:dyDescent="0.25">
      <c r="A8804" s="123">
        <v>3159</v>
      </c>
      <c r="B8804" s="45" t="s">
        <v>8131</v>
      </c>
      <c r="C8804" s="60" t="s">
        <v>8187</v>
      </c>
      <c r="D8804" s="60"/>
      <c r="E8804" s="74">
        <v>2023</v>
      </c>
      <c r="F8804" s="74" t="s">
        <v>489</v>
      </c>
      <c r="G8804" s="45">
        <v>1</v>
      </c>
      <c r="H8804" s="61">
        <v>90</v>
      </c>
      <c r="I8804" s="61">
        <v>140.44</v>
      </c>
    </row>
    <row r="8805" spans="1:9" s="71" customFormat="1" ht="22.5" hidden="1" customHeight="1" outlineLevel="1" x14ac:dyDescent="0.25">
      <c r="A8805" s="123">
        <v>3131</v>
      </c>
      <c r="B8805" s="45" t="s">
        <v>8131</v>
      </c>
      <c r="C8805" s="60" t="s">
        <v>8188</v>
      </c>
      <c r="D8805" s="60"/>
      <c r="E8805" s="74">
        <v>2023</v>
      </c>
      <c r="F8805" s="74" t="s">
        <v>489</v>
      </c>
      <c r="G8805" s="45">
        <v>1</v>
      </c>
      <c r="H8805" s="61">
        <v>150</v>
      </c>
      <c r="I8805" s="61">
        <v>138.49700000000001</v>
      </c>
    </row>
    <row r="8806" spans="1:9" s="71" customFormat="1" ht="22.5" hidden="1" customHeight="1" outlineLevel="1" x14ac:dyDescent="0.25">
      <c r="A8806" s="123">
        <v>3079</v>
      </c>
      <c r="B8806" s="45" t="s">
        <v>8131</v>
      </c>
      <c r="C8806" s="60" t="s">
        <v>8189</v>
      </c>
      <c r="D8806" s="60"/>
      <c r="E8806" s="74">
        <v>2023</v>
      </c>
      <c r="F8806" s="74" t="s">
        <v>489</v>
      </c>
      <c r="G8806" s="45">
        <v>1</v>
      </c>
      <c r="H8806" s="61">
        <v>100</v>
      </c>
      <c r="I8806" s="61">
        <v>113.61</v>
      </c>
    </row>
    <row r="8807" spans="1:9" s="71" customFormat="1" ht="22.5" hidden="1" customHeight="1" outlineLevel="1" x14ac:dyDescent="0.25">
      <c r="A8807" s="123">
        <v>3132</v>
      </c>
      <c r="B8807" s="45" t="s">
        <v>8131</v>
      </c>
      <c r="C8807" s="60" t="s">
        <v>8190</v>
      </c>
      <c r="D8807" s="60"/>
      <c r="E8807" s="74">
        <v>2023</v>
      </c>
      <c r="F8807" s="74" t="s">
        <v>489</v>
      </c>
      <c r="G8807" s="45">
        <v>1</v>
      </c>
      <c r="H8807" s="61">
        <v>30</v>
      </c>
      <c r="I8807" s="61">
        <v>45.753979999999999</v>
      </c>
    </row>
    <row r="8808" spans="1:9" s="71" customFormat="1" ht="22.5" hidden="1" customHeight="1" outlineLevel="1" x14ac:dyDescent="0.25">
      <c r="A8808" s="123">
        <v>4028</v>
      </c>
      <c r="B8808" s="45" t="s">
        <v>8131</v>
      </c>
      <c r="C8808" s="60" t="s">
        <v>8191</v>
      </c>
      <c r="D8808" s="60"/>
      <c r="E8808" s="74">
        <v>2023</v>
      </c>
      <c r="F8808" s="74" t="s">
        <v>489</v>
      </c>
      <c r="G8808" s="45">
        <v>1</v>
      </c>
      <c r="H8808" s="61">
        <v>75</v>
      </c>
      <c r="I8808" s="61">
        <v>38.169670000000004</v>
      </c>
    </row>
    <row r="8809" spans="1:9" s="71" customFormat="1" ht="22.5" hidden="1" customHeight="1" outlineLevel="1" x14ac:dyDescent="0.25">
      <c r="A8809" s="123">
        <v>3090</v>
      </c>
      <c r="B8809" s="45" t="s">
        <v>8131</v>
      </c>
      <c r="C8809" s="60" t="s">
        <v>182</v>
      </c>
      <c r="D8809" s="60"/>
      <c r="E8809" s="74">
        <v>2023</v>
      </c>
      <c r="F8809" s="74" t="s">
        <v>489</v>
      </c>
      <c r="G8809" s="45">
        <v>1</v>
      </c>
      <c r="H8809" s="61">
        <v>150</v>
      </c>
      <c r="I8809" s="61">
        <v>66.954949999999997</v>
      </c>
    </row>
    <row r="8810" spans="1:9" s="71" customFormat="1" ht="22.5" hidden="1" customHeight="1" outlineLevel="1" x14ac:dyDescent="0.25">
      <c r="A8810" s="123">
        <v>4162</v>
      </c>
      <c r="B8810" s="45" t="s">
        <v>8131</v>
      </c>
      <c r="C8810" s="60" t="s">
        <v>183</v>
      </c>
      <c r="D8810" s="60"/>
      <c r="E8810" s="74">
        <v>2023</v>
      </c>
      <c r="F8810" s="74" t="s">
        <v>489</v>
      </c>
      <c r="G8810" s="45">
        <v>1</v>
      </c>
      <c r="H8810" s="61">
        <v>140.5</v>
      </c>
      <c r="I8810" s="61">
        <v>67.585539999999995</v>
      </c>
    </row>
    <row r="8811" spans="1:9" s="71" customFormat="1" ht="22.5" hidden="1" customHeight="1" outlineLevel="1" x14ac:dyDescent="0.25">
      <c r="A8811" s="123">
        <v>3038</v>
      </c>
      <c r="B8811" s="45" t="s">
        <v>8131</v>
      </c>
      <c r="C8811" s="60" t="s">
        <v>184</v>
      </c>
      <c r="D8811" s="60"/>
      <c r="E8811" s="74">
        <v>2023</v>
      </c>
      <c r="F8811" s="74" t="s">
        <v>489</v>
      </c>
      <c r="G8811" s="45">
        <v>1</v>
      </c>
      <c r="H8811" s="61">
        <v>150</v>
      </c>
      <c r="I8811" s="61">
        <v>59.077570000000001</v>
      </c>
    </row>
    <row r="8812" spans="1:9" s="71" customFormat="1" ht="22.5" hidden="1" customHeight="1" outlineLevel="1" x14ac:dyDescent="0.25">
      <c r="A8812" s="123">
        <v>3083</v>
      </c>
      <c r="B8812" s="45" t="s">
        <v>8131</v>
      </c>
      <c r="C8812" s="60" t="s">
        <v>185</v>
      </c>
      <c r="D8812" s="60"/>
      <c r="E8812" s="74">
        <v>2023</v>
      </c>
      <c r="F8812" s="74" t="s">
        <v>489</v>
      </c>
      <c r="G8812" s="45">
        <v>1</v>
      </c>
      <c r="H8812" s="61">
        <v>150</v>
      </c>
      <c r="I8812" s="61">
        <v>79.306179999999998</v>
      </c>
    </row>
    <row r="8813" spans="1:9" s="71" customFormat="1" ht="22.5" hidden="1" customHeight="1" outlineLevel="1" x14ac:dyDescent="0.25">
      <c r="A8813" s="123">
        <v>4158</v>
      </c>
      <c r="B8813" s="45" t="s">
        <v>8131</v>
      </c>
      <c r="C8813" s="60" t="s">
        <v>8192</v>
      </c>
      <c r="D8813" s="60"/>
      <c r="E8813" s="74">
        <v>2023</v>
      </c>
      <c r="F8813" s="74" t="s">
        <v>489</v>
      </c>
      <c r="G8813" s="45">
        <v>1</v>
      </c>
      <c r="H8813" s="61">
        <v>100</v>
      </c>
      <c r="I8813" s="61">
        <v>50.166319999999999</v>
      </c>
    </row>
    <row r="8814" spans="1:9" s="71" customFormat="1" ht="22.5" hidden="1" customHeight="1" outlineLevel="1" x14ac:dyDescent="0.25">
      <c r="A8814" s="123">
        <v>4201</v>
      </c>
      <c r="B8814" s="45" t="s">
        <v>8131</v>
      </c>
      <c r="C8814" s="60" t="s">
        <v>8193</v>
      </c>
      <c r="D8814" s="60"/>
      <c r="E8814" s="74">
        <v>2023</v>
      </c>
      <c r="F8814" s="74" t="s">
        <v>489</v>
      </c>
      <c r="G8814" s="45">
        <v>1</v>
      </c>
      <c r="H8814" s="61">
        <v>150</v>
      </c>
      <c r="I8814" s="61">
        <v>69.727680000000007</v>
      </c>
    </row>
    <row r="8815" spans="1:9" s="71" customFormat="1" ht="22.5" hidden="1" customHeight="1" outlineLevel="1" x14ac:dyDescent="0.25">
      <c r="A8815" s="123">
        <v>3082</v>
      </c>
      <c r="B8815" s="68" t="s">
        <v>8131</v>
      </c>
      <c r="C8815" s="60" t="s">
        <v>187</v>
      </c>
      <c r="D8815" s="60"/>
      <c r="E8815" s="107">
        <v>2023</v>
      </c>
      <c r="F8815" s="74" t="s">
        <v>489</v>
      </c>
      <c r="G8815" s="45">
        <v>2</v>
      </c>
      <c r="H8815" s="61">
        <v>200</v>
      </c>
      <c r="I8815" s="61">
        <v>89.685000000000002</v>
      </c>
    </row>
    <row r="8816" spans="1:9" s="71" customFormat="1" ht="22.5" hidden="1" customHeight="1" outlineLevel="1" x14ac:dyDescent="0.25">
      <c r="A8816" s="123">
        <v>3066</v>
      </c>
      <c r="B8816" s="68" t="s">
        <v>8131</v>
      </c>
      <c r="C8816" s="60" t="s">
        <v>190</v>
      </c>
      <c r="D8816" s="60"/>
      <c r="E8816" s="107">
        <v>2023</v>
      </c>
      <c r="F8816" s="74" t="s">
        <v>489</v>
      </c>
      <c r="G8816" s="45">
        <v>1</v>
      </c>
      <c r="H8816" s="61">
        <v>150</v>
      </c>
      <c r="I8816" s="61">
        <v>145.93199999999999</v>
      </c>
    </row>
    <row r="8817" spans="1:9" s="71" customFormat="1" ht="22.5" hidden="1" customHeight="1" outlineLevel="1" x14ac:dyDescent="0.25">
      <c r="A8817" s="123">
        <v>3070</v>
      </c>
      <c r="B8817" s="68" t="s">
        <v>8131</v>
      </c>
      <c r="C8817" s="60" t="s">
        <v>191</v>
      </c>
      <c r="D8817" s="60"/>
      <c r="E8817" s="107">
        <v>2023</v>
      </c>
      <c r="F8817" s="74" t="s">
        <v>489</v>
      </c>
      <c r="G8817" s="45">
        <v>1</v>
      </c>
      <c r="H8817" s="61">
        <v>150</v>
      </c>
      <c r="I8817" s="61">
        <v>97.658000000000001</v>
      </c>
    </row>
    <row r="8818" spans="1:9" s="71" customFormat="1" ht="22.5" hidden="1" customHeight="1" outlineLevel="1" x14ac:dyDescent="0.25">
      <c r="A8818" s="123">
        <v>3084</v>
      </c>
      <c r="B8818" s="68" t="s">
        <v>8131</v>
      </c>
      <c r="C8818" s="60" t="s">
        <v>192</v>
      </c>
      <c r="D8818" s="60"/>
      <c r="E8818" s="107">
        <v>2023</v>
      </c>
      <c r="F8818" s="74" t="s">
        <v>489</v>
      </c>
      <c r="G8818" s="45">
        <v>1</v>
      </c>
      <c r="H8818" s="61">
        <v>150</v>
      </c>
      <c r="I8818" s="61">
        <v>127.25</v>
      </c>
    </row>
    <row r="8819" spans="1:9" s="71" customFormat="1" ht="22.5" hidden="1" customHeight="1" outlineLevel="1" x14ac:dyDescent="0.25">
      <c r="A8819" s="123">
        <v>3099</v>
      </c>
      <c r="B8819" s="68" t="s">
        <v>8131</v>
      </c>
      <c r="C8819" s="60" t="s">
        <v>193</v>
      </c>
      <c r="D8819" s="60"/>
      <c r="E8819" s="107">
        <v>2023</v>
      </c>
      <c r="F8819" s="74" t="s">
        <v>489</v>
      </c>
      <c r="G8819" s="45">
        <v>1</v>
      </c>
      <c r="H8819" s="61">
        <v>145</v>
      </c>
      <c r="I8819" s="61">
        <v>83.57</v>
      </c>
    </row>
    <row r="8820" spans="1:9" s="71" customFormat="1" ht="22.5" hidden="1" customHeight="1" outlineLevel="1" x14ac:dyDescent="0.25">
      <c r="A8820" s="123">
        <v>3119</v>
      </c>
      <c r="B8820" s="68" t="s">
        <v>8131</v>
      </c>
      <c r="C8820" s="60" t="s">
        <v>194</v>
      </c>
      <c r="D8820" s="60"/>
      <c r="E8820" s="107">
        <v>2023</v>
      </c>
      <c r="F8820" s="74" t="s">
        <v>489</v>
      </c>
      <c r="G8820" s="45">
        <v>1</v>
      </c>
      <c r="H8820" s="61">
        <v>150</v>
      </c>
      <c r="I8820" s="61">
        <v>60.665999999999997</v>
      </c>
    </row>
    <row r="8821" spans="1:9" s="71" customFormat="1" ht="22.5" hidden="1" customHeight="1" outlineLevel="1" x14ac:dyDescent="0.25">
      <c r="A8821" s="123">
        <v>4823</v>
      </c>
      <c r="B8821" s="68" t="s">
        <v>8131</v>
      </c>
      <c r="C8821" s="60" t="s">
        <v>8194</v>
      </c>
      <c r="D8821" s="60"/>
      <c r="E8821" s="107">
        <v>2023</v>
      </c>
      <c r="F8821" s="74" t="s">
        <v>489</v>
      </c>
      <c r="G8821" s="45">
        <v>1</v>
      </c>
      <c r="H8821" s="61">
        <v>120</v>
      </c>
      <c r="I8821" s="61">
        <v>38.673000000000002</v>
      </c>
    </row>
    <row r="8822" spans="1:9" s="71" customFormat="1" ht="22.5" hidden="1" customHeight="1" outlineLevel="1" x14ac:dyDescent="0.25">
      <c r="A8822" s="123">
        <v>4833</v>
      </c>
      <c r="B8822" s="68" t="s">
        <v>8131</v>
      </c>
      <c r="C8822" s="60" t="s">
        <v>195</v>
      </c>
      <c r="D8822" s="60"/>
      <c r="E8822" s="107">
        <v>2023</v>
      </c>
      <c r="F8822" s="74" t="s">
        <v>489</v>
      </c>
      <c r="G8822" s="45">
        <v>1</v>
      </c>
      <c r="H8822" s="61">
        <v>150</v>
      </c>
      <c r="I8822" s="61">
        <v>80.045000000000002</v>
      </c>
    </row>
    <row r="8823" spans="1:9" s="71" customFormat="1" ht="22.5" hidden="1" customHeight="1" outlineLevel="1" x14ac:dyDescent="0.25">
      <c r="A8823" s="123">
        <v>4837</v>
      </c>
      <c r="B8823" s="68" t="s">
        <v>8131</v>
      </c>
      <c r="C8823" s="60" t="s">
        <v>8195</v>
      </c>
      <c r="D8823" s="60"/>
      <c r="E8823" s="107">
        <v>2023</v>
      </c>
      <c r="F8823" s="74" t="s">
        <v>489</v>
      </c>
      <c r="G8823" s="45">
        <v>1</v>
      </c>
      <c r="H8823" s="61">
        <v>15</v>
      </c>
      <c r="I8823" s="61">
        <v>64.301000000000002</v>
      </c>
    </row>
    <row r="8824" spans="1:9" s="71" customFormat="1" ht="22.5" hidden="1" customHeight="1" outlineLevel="1" x14ac:dyDescent="0.25">
      <c r="A8824" s="123">
        <v>3158</v>
      </c>
      <c r="B8824" s="68" t="s">
        <v>8131</v>
      </c>
      <c r="C8824" s="60" t="s">
        <v>196</v>
      </c>
      <c r="D8824" s="60"/>
      <c r="E8824" s="107">
        <v>2023</v>
      </c>
      <c r="F8824" s="74" t="s">
        <v>489</v>
      </c>
      <c r="G8824" s="45">
        <v>1</v>
      </c>
      <c r="H8824" s="61">
        <v>150</v>
      </c>
      <c r="I8824" s="61">
        <v>89.619</v>
      </c>
    </row>
    <row r="8825" spans="1:9" s="71" customFormat="1" ht="22.5" hidden="1" customHeight="1" outlineLevel="1" x14ac:dyDescent="0.25">
      <c r="A8825" s="123">
        <v>4622</v>
      </c>
      <c r="B8825" s="68" t="s">
        <v>8131</v>
      </c>
      <c r="C8825" s="60" t="s">
        <v>8196</v>
      </c>
      <c r="D8825" s="60"/>
      <c r="E8825" s="107">
        <v>2023</v>
      </c>
      <c r="F8825" s="74" t="s">
        <v>489</v>
      </c>
      <c r="G8825" s="45">
        <v>1</v>
      </c>
      <c r="H8825" s="122">
        <v>49.5</v>
      </c>
      <c r="I8825" s="61">
        <v>147.46600000000001</v>
      </c>
    </row>
    <row r="8826" spans="1:9" s="71" customFormat="1" ht="22.5" hidden="1" customHeight="1" outlineLevel="1" x14ac:dyDescent="0.25">
      <c r="A8826" s="123">
        <v>3104</v>
      </c>
      <c r="B8826" s="68" t="s">
        <v>8131</v>
      </c>
      <c r="C8826" s="60" t="s">
        <v>8197</v>
      </c>
      <c r="D8826" s="60"/>
      <c r="E8826" s="107">
        <v>2023</v>
      </c>
      <c r="F8826" s="74" t="s">
        <v>489</v>
      </c>
      <c r="G8826" s="45">
        <v>1</v>
      </c>
      <c r="H8826" s="61">
        <v>150</v>
      </c>
      <c r="I8826" s="61">
        <v>156.05199999999999</v>
      </c>
    </row>
    <row r="8827" spans="1:9" s="71" customFormat="1" ht="22.5" hidden="1" customHeight="1" outlineLevel="1" x14ac:dyDescent="0.25">
      <c r="A8827" s="123">
        <v>4670</v>
      </c>
      <c r="B8827" s="68" t="s">
        <v>8131</v>
      </c>
      <c r="C8827" s="60" t="s">
        <v>8198</v>
      </c>
      <c r="D8827" s="60"/>
      <c r="E8827" s="107">
        <v>2023</v>
      </c>
      <c r="F8827" s="74" t="s">
        <v>489</v>
      </c>
      <c r="G8827" s="45">
        <v>1</v>
      </c>
      <c r="H8827" s="61">
        <v>100</v>
      </c>
      <c r="I8827" s="61">
        <v>164.11600000000001</v>
      </c>
    </row>
    <row r="8828" spans="1:9" s="71" customFormat="1" ht="22.5" hidden="1" customHeight="1" outlineLevel="1" x14ac:dyDescent="0.25">
      <c r="A8828" s="123">
        <v>4684</v>
      </c>
      <c r="B8828" s="68" t="s">
        <v>8131</v>
      </c>
      <c r="C8828" s="60" t="s">
        <v>8199</v>
      </c>
      <c r="D8828" s="60"/>
      <c r="E8828" s="107">
        <v>2023</v>
      </c>
      <c r="F8828" s="74" t="s">
        <v>489</v>
      </c>
      <c r="G8828" s="45">
        <v>1</v>
      </c>
      <c r="H8828" s="61">
        <v>150</v>
      </c>
      <c r="I8828" s="61">
        <v>153.40799999999999</v>
      </c>
    </row>
    <row r="8829" spans="1:9" s="71" customFormat="1" ht="22.5" hidden="1" customHeight="1" outlineLevel="1" x14ac:dyDescent="0.25">
      <c r="A8829" s="123">
        <v>4685</v>
      </c>
      <c r="B8829" s="68" t="s">
        <v>8131</v>
      </c>
      <c r="C8829" s="60" t="s">
        <v>8200</v>
      </c>
      <c r="D8829" s="60"/>
      <c r="E8829" s="107">
        <v>2023</v>
      </c>
      <c r="F8829" s="74" t="s">
        <v>489</v>
      </c>
      <c r="G8829" s="45">
        <v>1</v>
      </c>
      <c r="H8829" s="61">
        <v>150</v>
      </c>
      <c r="I8829" s="61">
        <v>137.40899999999999</v>
      </c>
    </row>
    <row r="8830" spans="1:9" s="71" customFormat="1" ht="22.5" hidden="1" customHeight="1" outlineLevel="1" x14ac:dyDescent="0.25">
      <c r="A8830" s="123">
        <v>4686</v>
      </c>
      <c r="B8830" s="68" t="s">
        <v>8131</v>
      </c>
      <c r="C8830" s="60" t="s">
        <v>8201</v>
      </c>
      <c r="D8830" s="60"/>
      <c r="E8830" s="107">
        <v>2023</v>
      </c>
      <c r="F8830" s="74" t="s">
        <v>489</v>
      </c>
      <c r="G8830" s="45">
        <v>1</v>
      </c>
      <c r="H8830" s="61">
        <v>147</v>
      </c>
      <c r="I8830" s="61">
        <v>149.452</v>
      </c>
    </row>
    <row r="8831" spans="1:9" s="71" customFormat="1" ht="22.5" hidden="1" customHeight="1" outlineLevel="1" x14ac:dyDescent="0.25">
      <c r="A8831" s="123">
        <v>4703</v>
      </c>
      <c r="B8831" s="68" t="s">
        <v>8131</v>
      </c>
      <c r="C8831" s="60" t="s">
        <v>8202</v>
      </c>
      <c r="D8831" s="60"/>
      <c r="E8831" s="107">
        <v>2023</v>
      </c>
      <c r="F8831" s="74" t="s">
        <v>489</v>
      </c>
      <c r="G8831" s="45">
        <v>1</v>
      </c>
      <c r="H8831" s="61">
        <v>100</v>
      </c>
      <c r="I8831" s="61">
        <v>17.715999999999998</v>
      </c>
    </row>
    <row r="8832" spans="1:9" s="71" customFormat="1" ht="22.5" hidden="1" customHeight="1" outlineLevel="1" x14ac:dyDescent="0.25">
      <c r="A8832" s="123">
        <v>3120</v>
      </c>
      <c r="B8832" s="68" t="s">
        <v>8131</v>
      </c>
      <c r="C8832" s="60" t="s">
        <v>8203</v>
      </c>
      <c r="D8832" s="60"/>
      <c r="E8832" s="107">
        <v>2023</v>
      </c>
      <c r="F8832" s="74" t="s">
        <v>489</v>
      </c>
      <c r="G8832" s="45">
        <v>1</v>
      </c>
      <c r="H8832" s="61">
        <v>150</v>
      </c>
      <c r="I8832" s="61">
        <v>209.13399999999999</v>
      </c>
    </row>
    <row r="8833" spans="1:9" s="71" customFormat="1" ht="22.5" hidden="1" customHeight="1" outlineLevel="1" x14ac:dyDescent="0.25">
      <c r="A8833" s="123">
        <v>4614</v>
      </c>
      <c r="B8833" s="68" t="s">
        <v>8131</v>
      </c>
      <c r="C8833" s="60" t="s">
        <v>8204</v>
      </c>
      <c r="D8833" s="60"/>
      <c r="E8833" s="107">
        <v>2023</v>
      </c>
      <c r="F8833" s="74" t="s">
        <v>489</v>
      </c>
      <c r="G8833" s="45">
        <v>1</v>
      </c>
      <c r="H8833" s="61">
        <v>150</v>
      </c>
      <c r="I8833" s="61">
        <v>73.997</v>
      </c>
    </row>
    <row r="8834" spans="1:9" s="71" customFormat="1" ht="22.5" hidden="1" customHeight="1" outlineLevel="1" x14ac:dyDescent="0.25">
      <c r="A8834" s="123">
        <v>2994</v>
      </c>
      <c r="B8834" s="68" t="s">
        <v>8131</v>
      </c>
      <c r="C8834" s="60" t="s">
        <v>8205</v>
      </c>
      <c r="D8834" s="60"/>
      <c r="E8834" s="107">
        <v>2023</v>
      </c>
      <c r="F8834" s="74" t="s">
        <v>489</v>
      </c>
      <c r="G8834" s="45">
        <v>1</v>
      </c>
      <c r="H8834" s="61">
        <v>100</v>
      </c>
      <c r="I8834" s="61">
        <v>105.32600000000001</v>
      </c>
    </row>
    <row r="8835" spans="1:9" s="71" customFormat="1" ht="22.5" hidden="1" customHeight="1" outlineLevel="1" x14ac:dyDescent="0.25">
      <c r="A8835" s="123">
        <v>4730</v>
      </c>
      <c r="B8835" s="68" t="s">
        <v>8131</v>
      </c>
      <c r="C8835" s="60" t="s">
        <v>8206</v>
      </c>
      <c r="D8835" s="60"/>
      <c r="E8835" s="107">
        <v>2023</v>
      </c>
      <c r="F8835" s="74" t="s">
        <v>489</v>
      </c>
      <c r="G8835" s="45">
        <v>1</v>
      </c>
      <c r="H8835" s="61">
        <v>45</v>
      </c>
      <c r="I8835" s="61">
        <v>40.014000000000003</v>
      </c>
    </row>
    <row r="8836" spans="1:9" s="71" customFormat="1" ht="22.5" hidden="1" customHeight="1" outlineLevel="1" x14ac:dyDescent="0.25">
      <c r="A8836" s="123">
        <v>4737</v>
      </c>
      <c r="B8836" s="68" t="s">
        <v>8131</v>
      </c>
      <c r="C8836" s="60" t="s">
        <v>8207</v>
      </c>
      <c r="D8836" s="60"/>
      <c r="E8836" s="107">
        <v>2023</v>
      </c>
      <c r="F8836" s="74" t="s">
        <v>489</v>
      </c>
      <c r="G8836" s="45">
        <v>1</v>
      </c>
      <c r="H8836" s="61">
        <v>100</v>
      </c>
      <c r="I8836" s="61">
        <v>50.48</v>
      </c>
    </row>
    <row r="8837" spans="1:9" s="71" customFormat="1" ht="22.5" hidden="1" customHeight="1" outlineLevel="1" x14ac:dyDescent="0.25">
      <c r="A8837" s="123">
        <v>4738</v>
      </c>
      <c r="B8837" s="68" t="s">
        <v>8131</v>
      </c>
      <c r="C8837" s="60" t="s">
        <v>8208</v>
      </c>
      <c r="D8837" s="60"/>
      <c r="E8837" s="107">
        <v>2023</v>
      </c>
      <c r="F8837" s="74" t="s">
        <v>489</v>
      </c>
      <c r="G8837" s="45">
        <v>1</v>
      </c>
      <c r="H8837" s="61">
        <v>150</v>
      </c>
      <c r="I8837" s="61">
        <v>50.44</v>
      </c>
    </row>
    <row r="8838" spans="1:9" s="71" customFormat="1" ht="22.5" hidden="1" customHeight="1" outlineLevel="1" x14ac:dyDescent="0.25">
      <c r="A8838" s="123">
        <v>4744</v>
      </c>
      <c r="B8838" s="68" t="s">
        <v>8131</v>
      </c>
      <c r="C8838" s="60" t="s">
        <v>8209</v>
      </c>
      <c r="D8838" s="60"/>
      <c r="E8838" s="107">
        <v>2023</v>
      </c>
      <c r="F8838" s="74" t="s">
        <v>489</v>
      </c>
      <c r="G8838" s="45">
        <v>1</v>
      </c>
      <c r="H8838" s="61">
        <v>100</v>
      </c>
      <c r="I8838" s="61">
        <v>144.69399999999999</v>
      </c>
    </row>
    <row r="8839" spans="1:9" s="71" customFormat="1" ht="22.5" hidden="1" customHeight="1" outlineLevel="1" x14ac:dyDescent="0.25">
      <c r="A8839" s="123">
        <v>4754</v>
      </c>
      <c r="B8839" s="68" t="s">
        <v>8131</v>
      </c>
      <c r="C8839" s="60" t="s">
        <v>8210</v>
      </c>
      <c r="D8839" s="60"/>
      <c r="E8839" s="107">
        <v>2023</v>
      </c>
      <c r="F8839" s="74" t="s">
        <v>489</v>
      </c>
      <c r="G8839" s="45">
        <v>1</v>
      </c>
      <c r="H8839" s="61">
        <v>100</v>
      </c>
      <c r="I8839" s="61">
        <v>163.23099999999999</v>
      </c>
    </row>
    <row r="8840" spans="1:9" s="71" customFormat="1" ht="22.5" hidden="1" customHeight="1" outlineLevel="1" x14ac:dyDescent="0.25">
      <c r="A8840" s="123">
        <v>4809</v>
      </c>
      <c r="B8840" s="68" t="s">
        <v>8131</v>
      </c>
      <c r="C8840" s="60" t="s">
        <v>8211</v>
      </c>
      <c r="D8840" s="60"/>
      <c r="E8840" s="107">
        <v>2023</v>
      </c>
      <c r="F8840" s="74" t="s">
        <v>489</v>
      </c>
      <c r="G8840" s="45">
        <v>1</v>
      </c>
      <c r="H8840" s="61">
        <v>150</v>
      </c>
      <c r="I8840" s="61">
        <v>69.536000000000001</v>
      </c>
    </row>
    <row r="8841" spans="1:9" s="71" customFormat="1" ht="22.5" hidden="1" customHeight="1" outlineLevel="1" x14ac:dyDescent="0.25">
      <c r="A8841" s="123">
        <v>3036</v>
      </c>
      <c r="B8841" s="68" t="s">
        <v>8131</v>
      </c>
      <c r="C8841" s="60" t="s">
        <v>6092</v>
      </c>
      <c r="D8841" s="60"/>
      <c r="E8841" s="107">
        <v>2023</v>
      </c>
      <c r="F8841" s="74" t="s">
        <v>489</v>
      </c>
      <c r="G8841" s="45">
        <v>1</v>
      </c>
      <c r="H8841" s="61">
        <v>109.7</v>
      </c>
      <c r="I8841" s="61">
        <v>92</v>
      </c>
    </row>
    <row r="8842" spans="1:9" s="71" customFormat="1" ht="22.5" hidden="1" customHeight="1" outlineLevel="1" x14ac:dyDescent="0.25">
      <c r="A8842" s="123">
        <v>3126</v>
      </c>
      <c r="B8842" s="68" t="s">
        <v>8131</v>
      </c>
      <c r="C8842" s="60" t="s">
        <v>457</v>
      </c>
      <c r="D8842" s="60"/>
      <c r="E8842" s="107">
        <v>2023</v>
      </c>
      <c r="F8842" s="107" t="s">
        <v>489</v>
      </c>
      <c r="G8842" s="68">
        <v>1</v>
      </c>
      <c r="H8842" s="108">
        <v>72</v>
      </c>
      <c r="I8842" s="108">
        <v>43.266590000000001</v>
      </c>
    </row>
    <row r="8843" spans="1:9" s="71" customFormat="1" ht="22.5" hidden="1" customHeight="1" outlineLevel="1" x14ac:dyDescent="0.25">
      <c r="A8843" s="123">
        <v>3129</v>
      </c>
      <c r="B8843" s="68" t="s">
        <v>8131</v>
      </c>
      <c r="C8843" s="60" t="s">
        <v>273</v>
      </c>
      <c r="D8843" s="60"/>
      <c r="E8843" s="107">
        <v>2023</v>
      </c>
      <c r="F8843" s="107" t="s">
        <v>489</v>
      </c>
      <c r="G8843" s="68">
        <v>1</v>
      </c>
      <c r="H8843" s="108">
        <v>100</v>
      </c>
      <c r="I8843" s="108">
        <v>165</v>
      </c>
    </row>
    <row r="8844" spans="1:9" s="71" customFormat="1" ht="22.5" hidden="1" customHeight="1" outlineLevel="1" x14ac:dyDescent="0.25">
      <c r="A8844" s="123">
        <v>4993</v>
      </c>
      <c r="B8844" s="68" t="s">
        <v>8131</v>
      </c>
      <c r="C8844" s="60" t="s">
        <v>8212</v>
      </c>
      <c r="D8844" s="60"/>
      <c r="E8844" s="107">
        <v>2023</v>
      </c>
      <c r="F8844" s="107" t="s">
        <v>489</v>
      </c>
      <c r="G8844" s="68">
        <v>1</v>
      </c>
      <c r="H8844" s="108">
        <v>95</v>
      </c>
      <c r="I8844" s="108">
        <v>213.17259000000001</v>
      </c>
    </row>
    <row r="8845" spans="1:9" s="71" customFormat="1" ht="22.5" hidden="1" customHeight="1" outlineLevel="1" x14ac:dyDescent="0.25">
      <c r="A8845" s="123">
        <v>4994</v>
      </c>
      <c r="B8845" s="68" t="s">
        <v>8131</v>
      </c>
      <c r="C8845" s="60" t="s">
        <v>462</v>
      </c>
      <c r="D8845" s="60"/>
      <c r="E8845" s="107">
        <v>2023</v>
      </c>
      <c r="F8845" s="107" t="s">
        <v>489</v>
      </c>
      <c r="G8845" s="68">
        <v>1</v>
      </c>
      <c r="H8845" s="108">
        <v>150</v>
      </c>
      <c r="I8845" s="108">
        <v>56.950330000000001</v>
      </c>
    </row>
    <row r="8846" spans="1:9" s="71" customFormat="1" ht="22.5" hidden="1" customHeight="1" outlineLevel="1" x14ac:dyDescent="0.25">
      <c r="A8846" s="123">
        <v>4996</v>
      </c>
      <c r="B8846" s="68" t="s">
        <v>8131</v>
      </c>
      <c r="C8846" s="60" t="s">
        <v>472</v>
      </c>
      <c r="D8846" s="60"/>
      <c r="E8846" s="107">
        <v>2023</v>
      </c>
      <c r="F8846" s="107" t="s">
        <v>489</v>
      </c>
      <c r="G8846" s="68">
        <v>1</v>
      </c>
      <c r="H8846" s="108">
        <v>87.2</v>
      </c>
      <c r="I8846" s="108">
        <v>63.641350000000003</v>
      </c>
    </row>
    <row r="8847" spans="1:9" s="71" customFormat="1" ht="22.5" hidden="1" customHeight="1" outlineLevel="1" x14ac:dyDescent="0.25">
      <c r="A8847" s="123">
        <v>3030</v>
      </c>
      <c r="B8847" s="68" t="s">
        <v>8131</v>
      </c>
      <c r="C8847" s="60" t="s">
        <v>276</v>
      </c>
      <c r="D8847" s="60"/>
      <c r="E8847" s="107">
        <v>2023</v>
      </c>
      <c r="F8847" s="107" t="s">
        <v>489</v>
      </c>
      <c r="G8847" s="68">
        <v>1</v>
      </c>
      <c r="H8847" s="108">
        <v>150</v>
      </c>
      <c r="I8847" s="108">
        <v>138.61997</v>
      </c>
    </row>
    <row r="8848" spans="1:9" s="71" customFormat="1" ht="22.5" hidden="1" customHeight="1" outlineLevel="1" x14ac:dyDescent="0.25">
      <c r="A8848" s="123">
        <v>3145</v>
      </c>
      <c r="B8848" s="68" t="s">
        <v>8131</v>
      </c>
      <c r="C8848" s="60" t="s">
        <v>277</v>
      </c>
      <c r="D8848" s="60"/>
      <c r="E8848" s="107">
        <v>2023</v>
      </c>
      <c r="F8848" s="107" t="s">
        <v>489</v>
      </c>
      <c r="G8848" s="68">
        <v>1</v>
      </c>
      <c r="H8848" s="108">
        <v>100</v>
      </c>
      <c r="I8848" s="108">
        <v>67.108599999999996</v>
      </c>
    </row>
    <row r="8849" spans="1:9" s="71" customFormat="1" ht="22.5" hidden="1" customHeight="1" outlineLevel="1" x14ac:dyDescent="0.25">
      <c r="A8849" s="123">
        <v>3368</v>
      </c>
      <c r="B8849" s="68" t="s">
        <v>8131</v>
      </c>
      <c r="C8849" s="60" t="s">
        <v>615</v>
      </c>
      <c r="D8849" s="60"/>
      <c r="E8849" s="107">
        <v>2023</v>
      </c>
      <c r="F8849" s="107" t="s">
        <v>489</v>
      </c>
      <c r="G8849" s="68">
        <v>1</v>
      </c>
      <c r="H8849" s="108">
        <v>100</v>
      </c>
      <c r="I8849" s="108">
        <v>115</v>
      </c>
    </row>
    <row r="8850" spans="1:9" s="71" customFormat="1" ht="22.5" hidden="1" customHeight="1" outlineLevel="1" x14ac:dyDescent="0.25">
      <c r="A8850" s="123">
        <v>3361</v>
      </c>
      <c r="B8850" s="68" t="s">
        <v>8131</v>
      </c>
      <c r="C8850" s="60" t="s">
        <v>8213</v>
      </c>
      <c r="D8850" s="60"/>
      <c r="E8850" s="107">
        <v>2023</v>
      </c>
      <c r="F8850" s="107" t="s">
        <v>489</v>
      </c>
      <c r="G8850" s="68">
        <v>1</v>
      </c>
      <c r="H8850" s="108">
        <v>100</v>
      </c>
      <c r="I8850" s="108">
        <v>109</v>
      </c>
    </row>
    <row r="8851" spans="1:9" s="71" customFormat="1" ht="22.5" hidden="1" customHeight="1" outlineLevel="1" x14ac:dyDescent="0.25">
      <c r="A8851" s="123">
        <v>3007</v>
      </c>
      <c r="B8851" s="68" t="s">
        <v>8131</v>
      </c>
      <c r="C8851" s="60" t="s">
        <v>8214</v>
      </c>
      <c r="D8851" s="60"/>
      <c r="E8851" s="107">
        <v>2023</v>
      </c>
      <c r="F8851" s="107" t="s">
        <v>489</v>
      </c>
      <c r="G8851" s="68">
        <v>1</v>
      </c>
      <c r="H8851" s="108">
        <v>90</v>
      </c>
      <c r="I8851" s="108">
        <v>87</v>
      </c>
    </row>
    <row r="8852" spans="1:9" s="71" customFormat="1" ht="22.5" hidden="1" customHeight="1" outlineLevel="1" x14ac:dyDescent="0.25">
      <c r="A8852" s="123">
        <v>3340</v>
      </c>
      <c r="B8852" s="68" t="s">
        <v>8131</v>
      </c>
      <c r="C8852" s="60" t="s">
        <v>8215</v>
      </c>
      <c r="D8852" s="60"/>
      <c r="E8852" s="107">
        <v>2023</v>
      </c>
      <c r="F8852" s="107" t="s">
        <v>489</v>
      </c>
      <c r="G8852" s="68">
        <v>1</v>
      </c>
      <c r="H8852" s="108">
        <v>90</v>
      </c>
      <c r="I8852" s="108">
        <v>47</v>
      </c>
    </row>
    <row r="8853" spans="1:9" s="71" customFormat="1" ht="22.5" hidden="1" customHeight="1" outlineLevel="1" x14ac:dyDescent="0.25">
      <c r="A8853" s="123">
        <v>4593</v>
      </c>
      <c r="B8853" s="68" t="s">
        <v>8131</v>
      </c>
      <c r="C8853" s="60" t="s">
        <v>8216</v>
      </c>
      <c r="D8853" s="60"/>
      <c r="E8853" s="107">
        <v>2023</v>
      </c>
      <c r="F8853" s="107" t="s">
        <v>489</v>
      </c>
      <c r="G8853" s="68">
        <v>1</v>
      </c>
      <c r="H8853" s="108">
        <v>140</v>
      </c>
      <c r="I8853" s="108">
        <v>82</v>
      </c>
    </row>
    <row r="8854" spans="1:9" s="71" customFormat="1" ht="22.5" hidden="1" customHeight="1" outlineLevel="1" x14ac:dyDescent="0.25">
      <c r="A8854" s="123">
        <v>3076</v>
      </c>
      <c r="B8854" s="68" t="s">
        <v>8131</v>
      </c>
      <c r="C8854" s="60" t="s">
        <v>8217</v>
      </c>
      <c r="D8854" s="60"/>
      <c r="E8854" s="107">
        <v>2023</v>
      </c>
      <c r="F8854" s="107" t="s">
        <v>489</v>
      </c>
      <c r="G8854" s="68">
        <v>1</v>
      </c>
      <c r="H8854" s="108">
        <v>150</v>
      </c>
      <c r="I8854" s="108">
        <v>77</v>
      </c>
    </row>
    <row r="8855" spans="1:9" s="71" customFormat="1" ht="22.5" hidden="1" customHeight="1" outlineLevel="1" x14ac:dyDescent="0.25">
      <c r="A8855" s="123">
        <v>2998</v>
      </c>
      <c r="B8855" s="68" t="s">
        <v>8131</v>
      </c>
      <c r="C8855" s="60" t="s">
        <v>8218</v>
      </c>
      <c r="D8855" s="60"/>
      <c r="E8855" s="107">
        <v>2023</v>
      </c>
      <c r="F8855" s="107" t="s">
        <v>489</v>
      </c>
      <c r="G8855" s="68">
        <v>1</v>
      </c>
      <c r="H8855" s="108">
        <v>100</v>
      </c>
      <c r="I8855" s="108">
        <v>111</v>
      </c>
    </row>
    <row r="8856" spans="1:9" s="71" customFormat="1" ht="22.5" hidden="1" customHeight="1" outlineLevel="1" x14ac:dyDescent="0.25">
      <c r="A8856" s="123">
        <v>3365</v>
      </c>
      <c r="B8856" s="68" t="s">
        <v>8131</v>
      </c>
      <c r="C8856" s="60" t="s">
        <v>288</v>
      </c>
      <c r="D8856" s="60"/>
      <c r="E8856" s="107">
        <v>2023</v>
      </c>
      <c r="F8856" s="107" t="s">
        <v>489</v>
      </c>
      <c r="G8856" s="68">
        <v>1</v>
      </c>
      <c r="H8856" s="108">
        <v>150</v>
      </c>
      <c r="I8856" s="108">
        <v>112</v>
      </c>
    </row>
    <row r="8857" spans="1:9" s="71" customFormat="1" ht="22.5" hidden="1" customHeight="1" outlineLevel="1" x14ac:dyDescent="0.25">
      <c r="A8857" s="123">
        <v>2990</v>
      </c>
      <c r="B8857" s="68" t="s">
        <v>8131</v>
      </c>
      <c r="C8857" s="60" t="s">
        <v>296</v>
      </c>
      <c r="D8857" s="60"/>
      <c r="E8857" s="107">
        <v>2023</v>
      </c>
      <c r="F8857" s="107" t="s">
        <v>489</v>
      </c>
      <c r="G8857" s="68">
        <v>1</v>
      </c>
      <c r="H8857" s="108">
        <v>150</v>
      </c>
      <c r="I8857" s="108">
        <v>123.57300000000001</v>
      </c>
    </row>
    <row r="8858" spans="1:9" s="71" customFormat="1" ht="22.5" hidden="1" customHeight="1" outlineLevel="1" x14ac:dyDescent="0.25">
      <c r="A8858" s="123">
        <v>4450</v>
      </c>
      <c r="B8858" s="68" t="s">
        <v>8131</v>
      </c>
      <c r="C8858" s="60" t="s">
        <v>297</v>
      </c>
      <c r="D8858" s="60"/>
      <c r="E8858" s="107">
        <v>2023</v>
      </c>
      <c r="F8858" s="107" t="s">
        <v>489</v>
      </c>
      <c r="G8858" s="68">
        <v>1</v>
      </c>
      <c r="H8858" s="108">
        <v>150</v>
      </c>
      <c r="I8858" s="108">
        <v>131.47</v>
      </c>
    </row>
    <row r="8859" spans="1:9" s="71" customFormat="1" ht="22.5" hidden="1" customHeight="1" outlineLevel="1" x14ac:dyDescent="0.25">
      <c r="A8859" s="123">
        <v>3062</v>
      </c>
      <c r="B8859" s="68" t="s">
        <v>8131</v>
      </c>
      <c r="C8859" s="60" t="s">
        <v>303</v>
      </c>
      <c r="D8859" s="60"/>
      <c r="E8859" s="107">
        <v>2023</v>
      </c>
      <c r="F8859" s="107" t="s">
        <v>489</v>
      </c>
      <c r="G8859" s="68">
        <v>1</v>
      </c>
      <c r="H8859" s="108">
        <v>150</v>
      </c>
      <c r="I8859" s="108">
        <v>107</v>
      </c>
    </row>
    <row r="8860" spans="1:9" s="71" customFormat="1" ht="22.5" hidden="1" customHeight="1" outlineLevel="1" x14ac:dyDescent="0.25">
      <c r="A8860" s="123">
        <v>3078</v>
      </c>
      <c r="B8860" s="68" t="s">
        <v>8131</v>
      </c>
      <c r="C8860" s="60" t="s">
        <v>316</v>
      </c>
      <c r="D8860" s="60"/>
      <c r="E8860" s="107">
        <v>2023</v>
      </c>
      <c r="F8860" s="107" t="s">
        <v>489</v>
      </c>
      <c r="G8860" s="68">
        <v>1</v>
      </c>
      <c r="H8860" s="108">
        <v>150</v>
      </c>
      <c r="I8860" s="108">
        <v>101</v>
      </c>
    </row>
    <row r="8861" spans="1:9" s="71" customFormat="1" ht="22.5" hidden="1" customHeight="1" outlineLevel="1" x14ac:dyDescent="0.25">
      <c r="A8861" s="123">
        <v>3022</v>
      </c>
      <c r="B8861" s="68" t="s">
        <v>8131</v>
      </c>
      <c r="C8861" s="60" t="s">
        <v>319</v>
      </c>
      <c r="D8861" s="60"/>
      <c r="E8861" s="107">
        <v>2023</v>
      </c>
      <c r="F8861" s="107" t="s">
        <v>489</v>
      </c>
      <c r="G8861" s="68">
        <v>1</v>
      </c>
      <c r="H8861" s="108">
        <v>165</v>
      </c>
      <c r="I8861" s="108">
        <v>165</v>
      </c>
    </row>
    <row r="8862" spans="1:9" s="71" customFormat="1" ht="22.5" hidden="1" customHeight="1" outlineLevel="1" x14ac:dyDescent="0.25">
      <c r="A8862" s="123">
        <v>4419</v>
      </c>
      <c r="B8862" s="68" t="s">
        <v>8131</v>
      </c>
      <c r="C8862" s="60" t="s">
        <v>327</v>
      </c>
      <c r="D8862" s="60"/>
      <c r="E8862" s="107">
        <v>2023</v>
      </c>
      <c r="F8862" s="107" t="s">
        <v>489</v>
      </c>
      <c r="G8862" s="68">
        <v>1</v>
      </c>
      <c r="H8862" s="108">
        <v>250</v>
      </c>
      <c r="I8862" s="108">
        <v>135</v>
      </c>
    </row>
    <row r="8863" spans="1:9" s="71" customFormat="1" ht="22.5" hidden="1" customHeight="1" outlineLevel="1" x14ac:dyDescent="0.25">
      <c r="A8863" s="123">
        <v>3118</v>
      </c>
      <c r="B8863" s="68" t="s">
        <v>8131</v>
      </c>
      <c r="C8863" s="60" t="s">
        <v>332</v>
      </c>
      <c r="D8863" s="60"/>
      <c r="E8863" s="107">
        <v>2023</v>
      </c>
      <c r="F8863" s="107" t="s">
        <v>489</v>
      </c>
      <c r="G8863" s="68">
        <v>1</v>
      </c>
      <c r="H8863" s="108">
        <v>150</v>
      </c>
      <c r="I8863" s="108">
        <v>73.692709999999991</v>
      </c>
    </row>
    <row r="8864" spans="1:9" s="71" customFormat="1" ht="22.5" hidden="1" customHeight="1" outlineLevel="1" x14ac:dyDescent="0.25">
      <c r="A8864" s="123">
        <v>3005</v>
      </c>
      <c r="B8864" s="68" t="s">
        <v>8131</v>
      </c>
      <c r="C8864" s="60" t="s">
        <v>333</v>
      </c>
      <c r="D8864" s="60"/>
      <c r="E8864" s="107">
        <v>2023</v>
      </c>
      <c r="F8864" s="107" t="s">
        <v>489</v>
      </c>
      <c r="G8864" s="68">
        <v>1</v>
      </c>
      <c r="H8864" s="108">
        <v>150</v>
      </c>
      <c r="I8864" s="108">
        <v>73.032060000000001</v>
      </c>
    </row>
    <row r="8865" spans="1:9" s="71" customFormat="1" ht="22.5" hidden="1" customHeight="1" outlineLevel="1" x14ac:dyDescent="0.25">
      <c r="A8865" s="123">
        <v>3117</v>
      </c>
      <c r="B8865" s="68" t="s">
        <v>8131</v>
      </c>
      <c r="C8865" s="60" t="s">
        <v>334</v>
      </c>
      <c r="D8865" s="60"/>
      <c r="E8865" s="107">
        <v>2023</v>
      </c>
      <c r="F8865" s="107" t="s">
        <v>489</v>
      </c>
      <c r="G8865" s="68">
        <v>1</v>
      </c>
      <c r="H8865" s="108">
        <v>150</v>
      </c>
      <c r="I8865" s="108">
        <v>75.603319999999997</v>
      </c>
    </row>
    <row r="8866" spans="1:9" s="71" customFormat="1" ht="22.5" hidden="1" customHeight="1" outlineLevel="1" x14ac:dyDescent="0.25">
      <c r="A8866" s="123">
        <v>3116</v>
      </c>
      <c r="B8866" s="68" t="s">
        <v>8131</v>
      </c>
      <c r="C8866" s="60" t="s">
        <v>335</v>
      </c>
      <c r="D8866" s="60"/>
      <c r="E8866" s="107">
        <v>2023</v>
      </c>
      <c r="F8866" s="107" t="s">
        <v>489</v>
      </c>
      <c r="G8866" s="68">
        <v>1</v>
      </c>
      <c r="H8866" s="108">
        <v>115</v>
      </c>
      <c r="I8866" s="108">
        <v>147.23665</v>
      </c>
    </row>
    <row r="8867" spans="1:9" s="71" customFormat="1" ht="22.5" hidden="1" customHeight="1" outlineLevel="1" x14ac:dyDescent="0.25">
      <c r="A8867" s="123">
        <v>660</v>
      </c>
      <c r="B8867" s="68" t="s">
        <v>8131</v>
      </c>
      <c r="C8867" s="60" t="s">
        <v>338</v>
      </c>
      <c r="D8867" s="60"/>
      <c r="E8867" s="107">
        <v>2023</v>
      </c>
      <c r="F8867" s="107" t="s">
        <v>489</v>
      </c>
      <c r="G8867" s="68">
        <v>2</v>
      </c>
      <c r="H8867" s="108">
        <v>30</v>
      </c>
      <c r="I8867" s="108">
        <v>145</v>
      </c>
    </row>
    <row r="8868" spans="1:9" s="71" customFormat="1" ht="22.5" hidden="1" customHeight="1" outlineLevel="1" x14ac:dyDescent="0.25">
      <c r="A8868" s="123">
        <v>4427</v>
      </c>
      <c r="B8868" s="68" t="s">
        <v>8131</v>
      </c>
      <c r="C8868" s="60" t="s">
        <v>8219</v>
      </c>
      <c r="D8868" s="60"/>
      <c r="E8868" s="107">
        <v>2023</v>
      </c>
      <c r="F8868" s="107" t="s">
        <v>489</v>
      </c>
      <c r="G8868" s="68">
        <v>1</v>
      </c>
      <c r="H8868" s="108">
        <v>150</v>
      </c>
      <c r="I8868" s="108">
        <v>99.309209999999993</v>
      </c>
    </row>
    <row r="8869" spans="1:9" s="71" customFormat="1" ht="22.5" hidden="1" customHeight="1" outlineLevel="1" x14ac:dyDescent="0.25">
      <c r="A8869" s="123">
        <v>4426</v>
      </c>
      <c r="B8869" s="68" t="s">
        <v>8131</v>
      </c>
      <c r="C8869" s="60" t="s">
        <v>8220</v>
      </c>
      <c r="D8869" s="60"/>
      <c r="E8869" s="107">
        <v>2023</v>
      </c>
      <c r="F8869" s="107" t="s">
        <v>489</v>
      </c>
      <c r="G8869" s="68">
        <v>1</v>
      </c>
      <c r="H8869" s="108">
        <v>50</v>
      </c>
      <c r="I8869" s="108">
        <v>99.888480000000001</v>
      </c>
    </row>
    <row r="8870" spans="1:9" s="71" customFormat="1" ht="22.5" hidden="1" customHeight="1" outlineLevel="1" x14ac:dyDescent="0.25">
      <c r="A8870" s="123">
        <v>4436</v>
      </c>
      <c r="B8870" s="68" t="s">
        <v>8131</v>
      </c>
      <c r="C8870" s="60" t="s">
        <v>8221</v>
      </c>
      <c r="D8870" s="60"/>
      <c r="E8870" s="107">
        <v>2023</v>
      </c>
      <c r="F8870" s="107" t="s">
        <v>489</v>
      </c>
      <c r="G8870" s="68">
        <v>1</v>
      </c>
      <c r="H8870" s="108">
        <v>62</v>
      </c>
      <c r="I8870" s="108">
        <v>97.661600000000007</v>
      </c>
    </row>
    <row r="8871" spans="1:9" s="71" customFormat="1" ht="22.5" hidden="1" customHeight="1" outlineLevel="1" x14ac:dyDescent="0.25">
      <c r="A8871" s="123">
        <v>4490</v>
      </c>
      <c r="B8871" s="68" t="s">
        <v>8131</v>
      </c>
      <c r="C8871" s="60" t="s">
        <v>8222</v>
      </c>
      <c r="D8871" s="60"/>
      <c r="E8871" s="107">
        <v>2023</v>
      </c>
      <c r="F8871" s="107" t="s">
        <v>489</v>
      </c>
      <c r="G8871" s="68">
        <v>2</v>
      </c>
      <c r="H8871" s="108">
        <v>100</v>
      </c>
      <c r="I8871" s="108">
        <v>94.052570000000003</v>
      </c>
    </row>
    <row r="8872" spans="1:9" s="71" customFormat="1" ht="22.5" hidden="1" customHeight="1" outlineLevel="1" x14ac:dyDescent="0.25">
      <c r="A8872" s="123">
        <v>4486</v>
      </c>
      <c r="B8872" s="68" t="s">
        <v>8131</v>
      </c>
      <c r="C8872" s="60" t="s">
        <v>8223</v>
      </c>
      <c r="D8872" s="60"/>
      <c r="E8872" s="107">
        <v>2023</v>
      </c>
      <c r="F8872" s="107" t="s">
        <v>489</v>
      </c>
      <c r="G8872" s="68">
        <v>1</v>
      </c>
      <c r="H8872" s="108">
        <v>150</v>
      </c>
      <c r="I8872" s="108">
        <v>27.443909999999999</v>
      </c>
    </row>
    <row r="8873" spans="1:9" s="71" customFormat="1" ht="22.5" hidden="1" customHeight="1" outlineLevel="1" x14ac:dyDescent="0.25">
      <c r="A8873" s="123">
        <v>4470</v>
      </c>
      <c r="B8873" s="68" t="s">
        <v>8131</v>
      </c>
      <c r="C8873" s="60" t="s">
        <v>8224</v>
      </c>
      <c r="D8873" s="60"/>
      <c r="E8873" s="107">
        <v>2023</v>
      </c>
      <c r="F8873" s="107" t="s">
        <v>489</v>
      </c>
      <c r="G8873" s="68">
        <v>1</v>
      </c>
      <c r="H8873" s="108">
        <v>100</v>
      </c>
      <c r="I8873" s="108">
        <v>16.292170000000002</v>
      </c>
    </row>
    <row r="8874" spans="1:9" s="71" customFormat="1" ht="22.5" hidden="1" customHeight="1" outlineLevel="1" x14ac:dyDescent="0.25">
      <c r="A8874" s="123">
        <v>4487</v>
      </c>
      <c r="B8874" s="68" t="s">
        <v>8131</v>
      </c>
      <c r="C8874" s="60" t="s">
        <v>8225</v>
      </c>
      <c r="D8874" s="60"/>
      <c r="E8874" s="107">
        <v>2023</v>
      </c>
      <c r="F8874" s="107" t="s">
        <v>489</v>
      </c>
      <c r="G8874" s="68">
        <v>1</v>
      </c>
      <c r="H8874" s="108">
        <v>150</v>
      </c>
      <c r="I8874" s="108">
        <v>28.183199999999999</v>
      </c>
    </row>
    <row r="8875" spans="1:9" s="71" customFormat="1" ht="22.5" hidden="1" customHeight="1" outlineLevel="1" x14ac:dyDescent="0.25">
      <c r="A8875" s="123">
        <v>4558</v>
      </c>
      <c r="B8875" s="68" t="s">
        <v>8131</v>
      </c>
      <c r="C8875" s="60" t="s">
        <v>8226</v>
      </c>
      <c r="D8875" s="60"/>
      <c r="E8875" s="107">
        <v>2023</v>
      </c>
      <c r="F8875" s="107" t="s">
        <v>489</v>
      </c>
      <c r="G8875" s="68">
        <v>1</v>
      </c>
      <c r="H8875" s="108">
        <v>80</v>
      </c>
      <c r="I8875" s="108">
        <v>49.627400000000002</v>
      </c>
    </row>
    <row r="8876" spans="1:9" s="71" customFormat="1" ht="22.5" hidden="1" customHeight="1" outlineLevel="1" x14ac:dyDescent="0.25">
      <c r="A8876" s="123">
        <v>4579</v>
      </c>
      <c r="B8876" s="68" t="s">
        <v>8131</v>
      </c>
      <c r="C8876" s="60" t="s">
        <v>8227</v>
      </c>
      <c r="D8876" s="60"/>
      <c r="E8876" s="107">
        <v>2023</v>
      </c>
      <c r="F8876" s="107" t="s">
        <v>489</v>
      </c>
      <c r="G8876" s="68">
        <v>3</v>
      </c>
      <c r="H8876" s="108">
        <v>450</v>
      </c>
      <c r="I8876" s="108">
        <v>162.815</v>
      </c>
    </row>
    <row r="8877" spans="1:9" s="71" customFormat="1" ht="22.5" hidden="1" customHeight="1" outlineLevel="1" x14ac:dyDescent="0.25">
      <c r="A8877" s="123">
        <v>4577</v>
      </c>
      <c r="B8877" s="68" t="s">
        <v>8131</v>
      </c>
      <c r="C8877" s="60" t="s">
        <v>8228</v>
      </c>
      <c r="D8877" s="60"/>
      <c r="E8877" s="107">
        <v>2023</v>
      </c>
      <c r="F8877" s="107" t="s">
        <v>489</v>
      </c>
      <c r="G8877" s="68">
        <v>1</v>
      </c>
      <c r="H8877" s="108">
        <v>85</v>
      </c>
      <c r="I8877" s="108">
        <v>54.115879999999997</v>
      </c>
    </row>
    <row r="8878" spans="1:9" s="71" customFormat="1" ht="22.5" hidden="1" customHeight="1" outlineLevel="1" x14ac:dyDescent="0.25">
      <c r="A8878" s="123">
        <v>4576</v>
      </c>
      <c r="B8878" s="68" t="s">
        <v>8131</v>
      </c>
      <c r="C8878" s="60" t="s">
        <v>8229</v>
      </c>
      <c r="D8878" s="60"/>
      <c r="E8878" s="107">
        <v>2023</v>
      </c>
      <c r="F8878" s="107" t="s">
        <v>489</v>
      </c>
      <c r="G8878" s="68">
        <v>1</v>
      </c>
      <c r="H8878" s="108">
        <v>50</v>
      </c>
      <c r="I8878" s="108">
        <v>51.582180000000001</v>
      </c>
    </row>
    <row r="8879" spans="1:9" s="71" customFormat="1" ht="22.5" hidden="1" customHeight="1" outlineLevel="1" x14ac:dyDescent="0.25">
      <c r="A8879" s="123">
        <v>4578</v>
      </c>
      <c r="B8879" s="68" t="s">
        <v>8131</v>
      </c>
      <c r="C8879" s="60" t="s">
        <v>8230</v>
      </c>
      <c r="D8879" s="60"/>
      <c r="E8879" s="107">
        <v>2023</v>
      </c>
      <c r="F8879" s="107" t="s">
        <v>489</v>
      </c>
      <c r="G8879" s="68">
        <v>1</v>
      </c>
      <c r="H8879" s="108">
        <v>150</v>
      </c>
      <c r="I8879" s="108">
        <v>54.116289999999999</v>
      </c>
    </row>
    <row r="8880" spans="1:9" s="71" customFormat="1" ht="22.5" hidden="1" customHeight="1" outlineLevel="1" x14ac:dyDescent="0.25">
      <c r="A8880" s="123">
        <v>4555</v>
      </c>
      <c r="B8880" s="68" t="s">
        <v>8131</v>
      </c>
      <c r="C8880" s="60" t="s">
        <v>8231</v>
      </c>
      <c r="D8880" s="60"/>
      <c r="E8880" s="107">
        <v>2023</v>
      </c>
      <c r="F8880" s="107" t="s">
        <v>489</v>
      </c>
      <c r="G8880" s="68">
        <v>1</v>
      </c>
      <c r="H8880" s="108">
        <v>120</v>
      </c>
      <c r="I8880" s="108">
        <v>137</v>
      </c>
    </row>
    <row r="8881" spans="1:9" s="71" customFormat="1" ht="22.5" hidden="1" customHeight="1" outlineLevel="1" x14ac:dyDescent="0.25">
      <c r="A8881" s="131">
        <v>1190</v>
      </c>
      <c r="B8881" s="45" t="s">
        <v>8131</v>
      </c>
      <c r="C8881" s="82" t="s">
        <v>340</v>
      </c>
      <c r="D8881" s="82"/>
      <c r="E8881" s="74">
        <v>2021</v>
      </c>
      <c r="F8881" s="74" t="s">
        <v>489</v>
      </c>
      <c r="G8881" s="45">
        <v>1</v>
      </c>
      <c r="H8881" s="45">
        <v>150</v>
      </c>
      <c r="I8881" s="45">
        <v>38.002119999999998</v>
      </c>
    </row>
    <row r="8882" spans="1:9" s="71" customFormat="1" ht="22.5" hidden="1" customHeight="1" outlineLevel="1" x14ac:dyDescent="0.25">
      <c r="A8882" s="132">
        <v>10057</v>
      </c>
      <c r="B8882" s="45" t="s">
        <v>8131</v>
      </c>
      <c r="C8882" s="82" t="s">
        <v>8232</v>
      </c>
      <c r="D8882" s="82"/>
      <c r="E8882" s="74">
        <v>2021</v>
      </c>
      <c r="F8882" s="74" t="s">
        <v>489</v>
      </c>
      <c r="G8882" s="45">
        <v>1</v>
      </c>
      <c r="H8882" s="45">
        <v>60</v>
      </c>
      <c r="I8882" s="45">
        <v>29.749780000000001</v>
      </c>
    </row>
    <row r="8883" spans="1:9" s="71" customFormat="1" ht="22.5" hidden="1" customHeight="1" outlineLevel="1" x14ac:dyDescent="0.25">
      <c r="A8883" s="132">
        <v>10115</v>
      </c>
      <c r="B8883" s="45" t="s">
        <v>8131</v>
      </c>
      <c r="C8883" s="82" t="s">
        <v>8233</v>
      </c>
      <c r="D8883" s="82"/>
      <c r="E8883" s="74">
        <v>2021</v>
      </c>
      <c r="F8883" s="74" t="s">
        <v>489</v>
      </c>
      <c r="G8883" s="45">
        <v>1</v>
      </c>
      <c r="H8883" s="45">
        <v>110</v>
      </c>
      <c r="I8883" s="45">
        <v>29.546420000000001</v>
      </c>
    </row>
    <row r="8884" spans="1:9" s="71" customFormat="1" ht="22.5" hidden="1" customHeight="1" outlineLevel="1" x14ac:dyDescent="0.25">
      <c r="A8884" s="123">
        <v>232</v>
      </c>
      <c r="B8884" s="45" t="s">
        <v>8131</v>
      </c>
      <c r="C8884" s="82" t="s">
        <v>8234</v>
      </c>
      <c r="D8884" s="82"/>
      <c r="E8884" s="74">
        <v>2021</v>
      </c>
      <c r="F8884" s="74" t="s">
        <v>489</v>
      </c>
      <c r="G8884" s="45">
        <v>1</v>
      </c>
      <c r="H8884" s="45">
        <v>25</v>
      </c>
      <c r="I8884" s="45">
        <v>34.299999999999997</v>
      </c>
    </row>
    <row r="8885" spans="1:9" s="71" customFormat="1" ht="22.5" hidden="1" customHeight="1" outlineLevel="1" x14ac:dyDescent="0.25">
      <c r="A8885" s="132">
        <v>9464</v>
      </c>
      <c r="B8885" s="45" t="s">
        <v>8131</v>
      </c>
      <c r="C8885" s="82" t="s">
        <v>8235</v>
      </c>
      <c r="D8885" s="82"/>
      <c r="E8885" s="74">
        <v>2021</v>
      </c>
      <c r="F8885" s="74" t="s">
        <v>489</v>
      </c>
      <c r="G8885" s="45">
        <v>1</v>
      </c>
      <c r="H8885" s="45">
        <v>100</v>
      </c>
      <c r="I8885" s="45">
        <v>31.709</v>
      </c>
    </row>
    <row r="8886" spans="1:9" s="71" customFormat="1" ht="22.5" hidden="1" customHeight="1" outlineLevel="1" x14ac:dyDescent="0.25">
      <c r="A8886" s="132">
        <v>9516</v>
      </c>
      <c r="B8886" s="45" t="s">
        <v>8131</v>
      </c>
      <c r="C8886" s="82" t="s">
        <v>8236</v>
      </c>
      <c r="D8886" s="82"/>
      <c r="E8886" s="74">
        <v>2021</v>
      </c>
      <c r="F8886" s="74" t="s">
        <v>489</v>
      </c>
      <c r="G8886" s="45">
        <v>1</v>
      </c>
      <c r="H8886" s="45">
        <v>120</v>
      </c>
      <c r="I8886" s="45">
        <v>49.752000000000002</v>
      </c>
    </row>
    <row r="8887" spans="1:9" s="71" customFormat="1" ht="22.5" hidden="1" customHeight="1" outlineLevel="1" x14ac:dyDescent="0.25">
      <c r="A8887" s="132">
        <v>9498</v>
      </c>
      <c r="B8887" s="45" t="s">
        <v>8131</v>
      </c>
      <c r="C8887" s="82" t="s">
        <v>8237</v>
      </c>
      <c r="D8887" s="82"/>
      <c r="E8887" s="74">
        <v>2021</v>
      </c>
      <c r="F8887" s="74" t="s">
        <v>489</v>
      </c>
      <c r="G8887" s="45">
        <v>1</v>
      </c>
      <c r="H8887" s="45">
        <v>155</v>
      </c>
      <c r="I8887" s="45">
        <v>49.911999999999999</v>
      </c>
    </row>
    <row r="8888" spans="1:9" s="71" customFormat="1" ht="22.5" hidden="1" customHeight="1" outlineLevel="1" x14ac:dyDescent="0.25">
      <c r="A8888" s="132">
        <v>9524</v>
      </c>
      <c r="B8888" s="45" t="s">
        <v>8131</v>
      </c>
      <c r="C8888" s="82" t="s">
        <v>8238</v>
      </c>
      <c r="D8888" s="82"/>
      <c r="E8888" s="74">
        <v>2021</v>
      </c>
      <c r="F8888" s="74" t="s">
        <v>489</v>
      </c>
      <c r="G8888" s="45">
        <v>1</v>
      </c>
      <c r="H8888" s="45">
        <v>10</v>
      </c>
      <c r="I8888" s="45">
        <v>47.779000000000003</v>
      </c>
    </row>
    <row r="8889" spans="1:9" s="71" customFormat="1" ht="22.5" hidden="1" customHeight="1" outlineLevel="1" x14ac:dyDescent="0.25">
      <c r="A8889" s="132">
        <v>9594</v>
      </c>
      <c r="B8889" s="45" t="s">
        <v>8131</v>
      </c>
      <c r="C8889" s="82" t="s">
        <v>8239</v>
      </c>
      <c r="D8889" s="82"/>
      <c r="E8889" s="74">
        <v>2021</v>
      </c>
      <c r="F8889" s="74" t="s">
        <v>489</v>
      </c>
      <c r="G8889" s="45">
        <v>1</v>
      </c>
      <c r="H8889" s="45">
        <v>15</v>
      </c>
      <c r="I8889" s="45">
        <v>18</v>
      </c>
    </row>
    <row r="8890" spans="1:9" s="71" customFormat="1" ht="22.5" hidden="1" customHeight="1" outlineLevel="1" x14ac:dyDescent="0.25">
      <c r="A8890" s="132">
        <v>9597</v>
      </c>
      <c r="B8890" s="45" t="s">
        <v>8131</v>
      </c>
      <c r="C8890" s="82" t="s">
        <v>8240</v>
      </c>
      <c r="D8890" s="82"/>
      <c r="E8890" s="74">
        <v>2021</v>
      </c>
      <c r="F8890" s="74" t="s">
        <v>489</v>
      </c>
      <c r="G8890" s="45">
        <v>1</v>
      </c>
      <c r="H8890" s="45">
        <v>150</v>
      </c>
      <c r="I8890" s="45">
        <v>31</v>
      </c>
    </row>
    <row r="8891" spans="1:9" s="71" customFormat="1" ht="22.5" hidden="1" customHeight="1" outlineLevel="1" x14ac:dyDescent="0.25">
      <c r="A8891" s="83">
        <v>10047</v>
      </c>
      <c r="B8891" s="45" t="s">
        <v>8131</v>
      </c>
      <c r="C8891" s="82" t="s">
        <v>8211</v>
      </c>
      <c r="D8891" s="82"/>
      <c r="E8891" s="74">
        <v>2021</v>
      </c>
      <c r="F8891" s="74" t="s">
        <v>489</v>
      </c>
      <c r="G8891" s="45">
        <v>1</v>
      </c>
      <c r="H8891" s="45" t="s">
        <v>8241</v>
      </c>
      <c r="I8891" s="45">
        <v>97</v>
      </c>
    </row>
    <row r="8892" spans="1:9" s="71" customFormat="1" ht="22.5" hidden="1" customHeight="1" outlineLevel="1" x14ac:dyDescent="0.25">
      <c r="A8892" s="83">
        <v>9578</v>
      </c>
      <c r="B8892" s="45" t="s">
        <v>8131</v>
      </c>
      <c r="C8892" s="82" t="s">
        <v>8242</v>
      </c>
      <c r="D8892" s="82"/>
      <c r="E8892" s="74">
        <v>2021</v>
      </c>
      <c r="F8892" s="74" t="s">
        <v>489</v>
      </c>
      <c r="G8892" s="45">
        <v>1</v>
      </c>
      <c r="H8892" s="45">
        <v>15</v>
      </c>
      <c r="I8892" s="45">
        <v>114</v>
      </c>
    </row>
    <row r="8893" spans="1:9" s="71" customFormat="1" ht="22.5" hidden="1" customHeight="1" outlineLevel="1" x14ac:dyDescent="0.25">
      <c r="A8893" s="83">
        <v>9352</v>
      </c>
      <c r="B8893" s="45" t="s">
        <v>8131</v>
      </c>
      <c r="C8893" s="82" t="s">
        <v>417</v>
      </c>
      <c r="D8893" s="82"/>
      <c r="E8893" s="74">
        <v>2021</v>
      </c>
      <c r="F8893" s="74" t="s">
        <v>489</v>
      </c>
      <c r="G8893" s="45">
        <v>1</v>
      </c>
      <c r="H8893" s="45">
        <v>90</v>
      </c>
      <c r="I8893" s="61">
        <v>140.12799999999999</v>
      </c>
    </row>
    <row r="8894" spans="1:9" s="71" customFormat="1" ht="22.5" hidden="1" customHeight="1" outlineLevel="1" x14ac:dyDescent="0.25">
      <c r="A8894" s="83">
        <v>9079</v>
      </c>
      <c r="B8894" s="45" t="s">
        <v>8131</v>
      </c>
      <c r="C8894" s="82" t="s">
        <v>422</v>
      </c>
      <c r="D8894" s="82"/>
      <c r="E8894" s="74">
        <v>2021</v>
      </c>
      <c r="F8894" s="74" t="s">
        <v>489</v>
      </c>
      <c r="G8894" s="45">
        <v>1</v>
      </c>
      <c r="H8894" s="45">
        <v>105</v>
      </c>
      <c r="I8894" s="61">
        <v>223.90299999999999</v>
      </c>
    </row>
    <row r="8895" spans="1:9" s="71" customFormat="1" ht="22.5" hidden="1" customHeight="1" outlineLevel="1" x14ac:dyDescent="0.25">
      <c r="A8895" s="83">
        <v>9484</v>
      </c>
      <c r="B8895" s="45" t="s">
        <v>8131</v>
      </c>
      <c r="C8895" s="82" t="s">
        <v>8243</v>
      </c>
      <c r="D8895" s="82"/>
      <c r="E8895" s="74">
        <v>2021</v>
      </c>
      <c r="F8895" s="74" t="s">
        <v>489</v>
      </c>
      <c r="G8895" s="45">
        <v>1</v>
      </c>
      <c r="H8895" s="45">
        <v>15</v>
      </c>
      <c r="I8895" s="61">
        <v>138.99161000000001</v>
      </c>
    </row>
    <row r="8896" spans="1:9" s="71" customFormat="1" ht="22.5" hidden="1" customHeight="1" outlineLevel="1" x14ac:dyDescent="0.25">
      <c r="A8896" s="83">
        <v>9455</v>
      </c>
      <c r="B8896" s="45" t="s">
        <v>8131</v>
      </c>
      <c r="C8896" s="82" t="s">
        <v>8244</v>
      </c>
      <c r="D8896" s="82"/>
      <c r="E8896" s="74">
        <v>2021</v>
      </c>
      <c r="F8896" s="74" t="s">
        <v>489</v>
      </c>
      <c r="G8896" s="45">
        <v>1</v>
      </c>
      <c r="H8896" s="45">
        <v>20</v>
      </c>
      <c r="I8896" s="61">
        <v>324.62448999999998</v>
      </c>
    </row>
    <row r="8897" spans="1:35" s="71" customFormat="1" ht="22.5" hidden="1" customHeight="1" outlineLevel="1" x14ac:dyDescent="0.25">
      <c r="A8897" s="131">
        <v>1130</v>
      </c>
      <c r="B8897" s="45" t="s">
        <v>8131</v>
      </c>
      <c r="C8897" s="82" t="s">
        <v>8245</v>
      </c>
      <c r="D8897" s="82"/>
      <c r="E8897" s="74">
        <v>2021</v>
      </c>
      <c r="F8897" s="74" t="s">
        <v>489</v>
      </c>
      <c r="G8897" s="45">
        <v>1</v>
      </c>
      <c r="H8897" s="45">
        <v>110</v>
      </c>
      <c r="I8897" s="61">
        <v>31</v>
      </c>
    </row>
    <row r="8898" spans="1:35" s="71" customFormat="1" ht="22.5" hidden="1" customHeight="1" outlineLevel="1" x14ac:dyDescent="0.25">
      <c r="A8898" s="132">
        <v>9671</v>
      </c>
      <c r="B8898" s="45" t="s">
        <v>8131</v>
      </c>
      <c r="C8898" s="82" t="s">
        <v>8246</v>
      </c>
      <c r="D8898" s="82"/>
      <c r="E8898" s="74">
        <v>2021</v>
      </c>
      <c r="F8898" s="74" t="s">
        <v>489</v>
      </c>
      <c r="G8898" s="45">
        <v>1</v>
      </c>
      <c r="H8898" s="45">
        <v>150</v>
      </c>
      <c r="I8898" s="61">
        <v>27</v>
      </c>
    </row>
    <row r="8899" spans="1:35" s="71" customFormat="1" ht="22.5" hidden="1" customHeight="1" outlineLevel="1" x14ac:dyDescent="0.25">
      <c r="A8899" s="132">
        <v>9601</v>
      </c>
      <c r="B8899" s="45" t="s">
        <v>8131</v>
      </c>
      <c r="C8899" s="82" t="s">
        <v>8247</v>
      </c>
      <c r="D8899" s="82"/>
      <c r="E8899" s="74">
        <v>2021</v>
      </c>
      <c r="F8899" s="74" t="s">
        <v>489</v>
      </c>
      <c r="G8899" s="45">
        <v>7</v>
      </c>
      <c r="H8899" s="45">
        <v>537</v>
      </c>
      <c r="I8899" s="61">
        <v>213</v>
      </c>
    </row>
    <row r="8900" spans="1:35" s="71" customFormat="1" ht="22.5" hidden="1" customHeight="1" outlineLevel="1" x14ac:dyDescent="0.25">
      <c r="A8900" s="132">
        <v>9404</v>
      </c>
      <c r="B8900" s="45" t="s">
        <v>8131</v>
      </c>
      <c r="C8900" s="82" t="s">
        <v>8248</v>
      </c>
      <c r="D8900" s="82"/>
      <c r="E8900" s="74">
        <v>2021</v>
      </c>
      <c r="F8900" s="74" t="s">
        <v>489</v>
      </c>
      <c r="G8900" s="45">
        <v>1</v>
      </c>
      <c r="H8900" s="45">
        <v>15</v>
      </c>
      <c r="I8900" s="61">
        <v>103</v>
      </c>
    </row>
    <row r="8901" spans="1:35" s="71" customFormat="1" ht="22.5" hidden="1" customHeight="1" outlineLevel="1" x14ac:dyDescent="0.25">
      <c r="A8901" s="132">
        <v>9669</v>
      </c>
      <c r="B8901" s="45" t="s">
        <v>8131</v>
      </c>
      <c r="C8901" s="82" t="s">
        <v>8249</v>
      </c>
      <c r="D8901" s="82"/>
      <c r="E8901" s="74">
        <v>2021</v>
      </c>
      <c r="F8901" s="74" t="s">
        <v>489</v>
      </c>
      <c r="G8901" s="45">
        <v>5</v>
      </c>
      <c r="H8901" s="45">
        <v>750</v>
      </c>
      <c r="I8901" s="45">
        <v>99</v>
      </c>
    </row>
    <row r="8902" spans="1:35" s="71" customFormat="1" ht="22.5" hidden="1" customHeight="1" outlineLevel="1" x14ac:dyDescent="0.25">
      <c r="A8902" s="132">
        <v>9583</v>
      </c>
      <c r="B8902" s="45" t="s">
        <v>8131</v>
      </c>
      <c r="C8902" s="82" t="s">
        <v>8250</v>
      </c>
      <c r="D8902" s="82"/>
      <c r="E8902" s="74">
        <v>2021</v>
      </c>
      <c r="F8902" s="74" t="s">
        <v>489</v>
      </c>
      <c r="G8902" s="45">
        <v>1</v>
      </c>
      <c r="H8902" s="45">
        <v>150</v>
      </c>
      <c r="I8902" s="45">
        <v>28</v>
      </c>
    </row>
    <row r="8903" spans="1:35" s="71" customFormat="1" ht="22.5" hidden="1" customHeight="1" outlineLevel="1" x14ac:dyDescent="0.25">
      <c r="A8903" s="132">
        <v>9652</v>
      </c>
      <c r="B8903" s="45" t="s">
        <v>8131</v>
      </c>
      <c r="C8903" s="82" t="s">
        <v>8251</v>
      </c>
      <c r="D8903" s="82"/>
      <c r="E8903" s="74">
        <v>2021</v>
      </c>
      <c r="F8903" s="74" t="s">
        <v>489</v>
      </c>
      <c r="G8903" s="45">
        <v>1</v>
      </c>
      <c r="H8903" s="45">
        <v>145</v>
      </c>
      <c r="I8903" s="45">
        <v>29</v>
      </c>
    </row>
    <row r="8904" spans="1:35" s="71" customFormat="1" ht="22.5" hidden="1" customHeight="1" outlineLevel="1" x14ac:dyDescent="0.25">
      <c r="A8904" s="132">
        <v>9645</v>
      </c>
      <c r="B8904" s="45" t="s">
        <v>8131</v>
      </c>
      <c r="C8904" s="82" t="s">
        <v>8252</v>
      </c>
      <c r="D8904" s="82"/>
      <c r="E8904" s="74">
        <v>2021</v>
      </c>
      <c r="F8904" s="74" t="s">
        <v>489</v>
      </c>
      <c r="G8904" s="45">
        <v>1</v>
      </c>
      <c r="H8904" s="45">
        <v>150</v>
      </c>
      <c r="I8904" s="45">
        <v>31</v>
      </c>
    </row>
    <row r="8905" spans="1:35" s="71" customFormat="1" ht="22.5" hidden="1" customHeight="1" outlineLevel="1" x14ac:dyDescent="0.25">
      <c r="A8905" s="132">
        <v>9646</v>
      </c>
      <c r="B8905" s="45" t="s">
        <v>8131</v>
      </c>
      <c r="C8905" s="82" t="s">
        <v>8253</v>
      </c>
      <c r="D8905" s="82"/>
      <c r="E8905" s="74">
        <v>2021</v>
      </c>
      <c r="F8905" s="74" t="s">
        <v>489</v>
      </c>
      <c r="G8905" s="45">
        <v>1</v>
      </c>
      <c r="H8905" s="45">
        <v>150</v>
      </c>
      <c r="I8905" s="45">
        <v>29</v>
      </c>
    </row>
    <row r="8906" spans="1:35" s="71" customFormat="1" ht="22.5" hidden="1" customHeight="1" outlineLevel="1" x14ac:dyDescent="0.25">
      <c r="A8906" s="132">
        <v>9415</v>
      </c>
      <c r="B8906" s="45" t="s">
        <v>8131</v>
      </c>
      <c r="C8906" s="82" t="s">
        <v>8254</v>
      </c>
      <c r="D8906" s="82"/>
      <c r="E8906" s="74">
        <v>2021</v>
      </c>
      <c r="F8906" s="74" t="s">
        <v>489</v>
      </c>
      <c r="G8906" s="45">
        <v>1</v>
      </c>
      <c r="H8906" s="45">
        <v>145</v>
      </c>
      <c r="I8906" s="45">
        <v>29</v>
      </c>
    </row>
    <row r="8907" spans="1:35" s="71" customFormat="1" ht="22.5" hidden="1" customHeight="1" outlineLevel="1" x14ac:dyDescent="0.25">
      <c r="A8907" s="132">
        <v>9585</v>
      </c>
      <c r="B8907" s="45" t="s">
        <v>8131</v>
      </c>
      <c r="C8907" s="82" t="s">
        <v>8255</v>
      </c>
      <c r="D8907" s="82"/>
      <c r="E8907" s="74">
        <v>2021</v>
      </c>
      <c r="F8907" s="74" t="s">
        <v>489</v>
      </c>
      <c r="G8907" s="45">
        <v>1</v>
      </c>
      <c r="H8907" s="45">
        <v>100</v>
      </c>
      <c r="I8907" s="45">
        <v>14</v>
      </c>
    </row>
    <row r="8908" spans="1:35" s="71" customFormat="1" ht="22.5" hidden="1" customHeight="1" outlineLevel="1" x14ac:dyDescent="0.25">
      <c r="A8908" s="132">
        <v>10216</v>
      </c>
      <c r="B8908" s="45" t="s">
        <v>8131</v>
      </c>
      <c r="C8908" s="82" t="s">
        <v>8256</v>
      </c>
      <c r="D8908" s="82"/>
      <c r="E8908" s="74">
        <v>2021</v>
      </c>
      <c r="F8908" s="74" t="s">
        <v>489</v>
      </c>
      <c r="G8908" s="45">
        <v>1</v>
      </c>
      <c r="H8908" s="45">
        <v>15</v>
      </c>
      <c r="I8908" s="45">
        <v>22</v>
      </c>
    </row>
    <row r="8909" spans="1:35" s="75" customFormat="1" ht="15.75" hidden="1" collapsed="1" x14ac:dyDescent="0.25">
      <c r="A8909" s="74"/>
      <c r="B8909" s="53" t="s">
        <v>8131</v>
      </c>
      <c r="C8909" s="56" t="s">
        <v>81</v>
      </c>
      <c r="D8909" s="56"/>
      <c r="E8909" s="53">
        <v>2022</v>
      </c>
      <c r="F8909" s="53" t="s">
        <v>452</v>
      </c>
      <c r="G8909" s="53" t="e">
        <f>SUMIF(#REF!,$E$8909,#REF!)</f>
        <v>#REF!</v>
      </c>
      <c r="H8909" s="53" t="e">
        <f>SUMIF(#REF!,$E$8909,#REF!)</f>
        <v>#REF!</v>
      </c>
      <c r="I8909" s="57" t="e">
        <f>SUMIF(#REF!,$E$8909,#REF!)</f>
        <v>#REF!</v>
      </c>
      <c r="J8909" s="71"/>
      <c r="K8909" s="71"/>
      <c r="L8909" s="71"/>
      <c r="M8909" s="71"/>
      <c r="N8909" s="71"/>
      <c r="O8909" s="71"/>
      <c r="P8909" s="71"/>
      <c r="Q8909" s="71"/>
      <c r="R8909" s="71"/>
      <c r="S8909" s="71"/>
      <c r="T8909" s="71"/>
      <c r="U8909" s="71"/>
      <c r="V8909" s="71"/>
      <c r="W8909" s="71"/>
      <c r="X8909" s="71"/>
      <c r="Y8909" s="71"/>
      <c r="Z8909" s="71"/>
      <c r="AA8909" s="71"/>
      <c r="AB8909" s="71"/>
      <c r="AC8909" s="71"/>
      <c r="AD8909" s="71"/>
      <c r="AE8909" s="71"/>
      <c r="AF8909" s="71"/>
      <c r="AG8909" s="71"/>
      <c r="AH8909" s="71"/>
      <c r="AI8909" s="71"/>
    </row>
    <row r="8910" spans="1:35" s="75" customFormat="1" ht="15.75" hidden="1" x14ac:dyDescent="0.25">
      <c r="A8910" s="123"/>
      <c r="B8910" s="53" t="s">
        <v>8131</v>
      </c>
      <c r="C8910" s="56" t="s">
        <v>82</v>
      </c>
      <c r="D8910" s="56"/>
      <c r="E8910" s="53">
        <v>2023</v>
      </c>
      <c r="F8910" s="53" t="s">
        <v>452</v>
      </c>
      <c r="G8910" s="53" t="e">
        <f>SUMIF(#REF!,$E$8910,#REF!)</f>
        <v>#REF!</v>
      </c>
      <c r="H8910" s="53" t="e">
        <f>SUMIF(#REF!,$E$8910,#REF!)</f>
        <v>#REF!</v>
      </c>
      <c r="I8910" s="57" t="e">
        <f>SUMIF(#REF!,$E$8910,#REF!)</f>
        <v>#REF!</v>
      </c>
      <c r="J8910" s="71"/>
      <c r="K8910" s="71"/>
      <c r="L8910" s="71"/>
      <c r="M8910" s="71"/>
      <c r="N8910" s="71"/>
      <c r="O8910" s="71"/>
      <c r="P8910" s="71"/>
      <c r="Q8910" s="71"/>
      <c r="R8910" s="71"/>
      <c r="S8910" s="71"/>
      <c r="T8910" s="71"/>
      <c r="U8910" s="71"/>
      <c r="V8910" s="71"/>
      <c r="W8910" s="71"/>
      <c r="X8910" s="71"/>
      <c r="Y8910" s="71"/>
      <c r="Z8910" s="71"/>
      <c r="AA8910" s="71"/>
      <c r="AB8910" s="71"/>
      <c r="AC8910" s="71"/>
      <c r="AD8910" s="71"/>
      <c r="AE8910" s="71"/>
      <c r="AF8910" s="71"/>
      <c r="AG8910" s="71"/>
      <c r="AH8910" s="71"/>
      <c r="AI8910" s="71"/>
    </row>
    <row r="8911" spans="1:35" s="71" customFormat="1" ht="31.5" x14ac:dyDescent="0.25">
      <c r="A8911" s="118"/>
      <c r="B8911" s="51" t="s">
        <v>8257</v>
      </c>
      <c r="C8911" s="130" t="s">
        <v>8258</v>
      </c>
      <c r="D8911" s="118"/>
      <c r="E8911" s="133"/>
      <c r="F8911" s="92" t="s">
        <v>478</v>
      </c>
      <c r="G8911" s="51"/>
      <c r="H8911" s="54"/>
      <c r="I8911" s="54"/>
    </row>
    <row r="8912" spans="1:35" s="71" customFormat="1" ht="31.5" x14ac:dyDescent="0.25">
      <c r="A8912" s="50"/>
      <c r="B8912" s="51" t="s">
        <v>8257</v>
      </c>
      <c r="C8912" s="52" t="s">
        <v>80</v>
      </c>
      <c r="D8912" s="49">
        <v>2025</v>
      </c>
      <c r="E8912" s="95">
        <v>2021</v>
      </c>
      <c r="F8912" s="92" t="s">
        <v>478</v>
      </c>
      <c r="G8912" s="51">
        <v>13</v>
      </c>
      <c r="H8912" s="54">
        <v>7378</v>
      </c>
      <c r="I8912" s="54">
        <f>G8912*J8912</f>
        <v>8654328.5399999991</v>
      </c>
      <c r="J8912" s="185">
        <f>[21]Лист1!E137</f>
        <v>665717.57999999996</v>
      </c>
    </row>
    <row r="8913" spans="1:9" s="71" customFormat="1" ht="21" hidden="1" customHeight="1" x14ac:dyDescent="0.25">
      <c r="A8913" s="55"/>
      <c r="B8913" s="46" t="s">
        <v>8257</v>
      </c>
      <c r="C8913" s="47" t="s">
        <v>81</v>
      </c>
      <c r="D8913" s="47"/>
      <c r="E8913" s="95">
        <v>2022</v>
      </c>
      <c r="F8913" s="95" t="s">
        <v>478</v>
      </c>
      <c r="G8913" s="46" t="e">
        <f>SUMIF(#REF!,$E$8913,#REF!)</f>
        <v>#REF!</v>
      </c>
      <c r="H8913" s="46" t="e">
        <f>SUMIF(#REF!,$E$8913,#REF!)</f>
        <v>#REF!</v>
      </c>
      <c r="I8913" s="48" t="e">
        <f>SUMIF(#REF!,$E$8913,#REF!)</f>
        <v>#REF!</v>
      </c>
    </row>
    <row r="8914" spans="1:9" s="71" customFormat="1" ht="15.75" hidden="1" x14ac:dyDescent="0.25">
      <c r="A8914" s="55"/>
      <c r="B8914" s="46" t="s">
        <v>8257</v>
      </c>
      <c r="C8914" s="47" t="s">
        <v>82</v>
      </c>
      <c r="D8914" s="47"/>
      <c r="E8914" s="95">
        <v>2023</v>
      </c>
      <c r="F8914" s="95" t="s">
        <v>478</v>
      </c>
      <c r="G8914" s="46" t="e">
        <f>SUMIF(#REF!,$E$8914,#REF!)</f>
        <v>#REF!</v>
      </c>
      <c r="H8914" s="46" t="e">
        <f>SUMIF(#REF!,$E$8914,#REF!)</f>
        <v>#REF!</v>
      </c>
      <c r="I8914" s="48" t="e">
        <f>SUMIF(#REF!,$E$8914,#REF!)</f>
        <v>#REF!</v>
      </c>
    </row>
    <row r="8915" spans="1:9" ht="17.25" x14ac:dyDescent="0.25">
      <c r="C8915" s="134"/>
      <c r="D8915" s="135"/>
      <c r="E8915" s="136"/>
      <c r="F8915" s="136"/>
      <c r="G8915" s="136"/>
    </row>
    <row r="8916" spans="1:9" ht="17.25" x14ac:dyDescent="0.25">
      <c r="C8916" s="134"/>
      <c r="D8916" s="135"/>
      <c r="E8916" s="136"/>
      <c r="F8916" s="136"/>
      <c r="G8916" s="137"/>
      <c r="H8916" s="138"/>
    </row>
    <row r="8917" spans="1:9" ht="17.25" x14ac:dyDescent="0.25">
      <c r="C8917" s="139"/>
      <c r="D8917" s="140"/>
      <c r="E8917" s="141"/>
      <c r="F8917" s="141"/>
      <c r="G8917" s="141"/>
      <c r="H8917" s="141"/>
    </row>
    <row r="8918" spans="1:9" ht="59.25" customHeight="1" x14ac:dyDescent="0.25">
      <c r="C8918" s="142"/>
      <c r="D8918" s="143"/>
      <c r="E8918" s="141"/>
      <c r="F8918" s="141"/>
      <c r="G8918" s="137"/>
      <c r="H8918" s="138"/>
    </row>
  </sheetData>
  <autoFilter ref="A8:I210" xr:uid="{93F163BF-97F9-4E98-8E05-A178A67B5C3A}">
    <filterColumn colId="4">
      <filters blank="1">
        <filter val="2021"/>
      </filters>
    </filterColumn>
  </autoFilter>
  <mergeCells count="163">
    <mergeCell ref="B9:I9"/>
    <mergeCell ref="B10:B14"/>
    <mergeCell ref="C10:C14"/>
    <mergeCell ref="E10:E14"/>
    <mergeCell ref="F10:F13"/>
    <mergeCell ref="G10:G14"/>
    <mergeCell ref="H10:H14"/>
    <mergeCell ref="I10:I14"/>
    <mergeCell ref="B1:I1"/>
    <mergeCell ref="B2:I2"/>
    <mergeCell ref="B3:I3"/>
    <mergeCell ref="B4:I4"/>
    <mergeCell ref="B5:I5"/>
    <mergeCell ref="A6:I6"/>
    <mergeCell ref="I214:I216"/>
    <mergeCell ref="B558:B560"/>
    <mergeCell ref="C558:C560"/>
    <mergeCell ref="E558:E560"/>
    <mergeCell ref="F558:F560"/>
    <mergeCell ref="G558:G560"/>
    <mergeCell ref="H558:H560"/>
    <mergeCell ref="I558:I560"/>
    <mergeCell ref="B214:B216"/>
    <mergeCell ref="C214:C216"/>
    <mergeCell ref="E214:E216"/>
    <mergeCell ref="F214:F216"/>
    <mergeCell ref="G214:G216"/>
    <mergeCell ref="H214:H216"/>
    <mergeCell ref="I564:I566"/>
    <mergeCell ref="B570:B573"/>
    <mergeCell ref="C570:C573"/>
    <mergeCell ref="E570:E573"/>
    <mergeCell ref="F570:F573"/>
    <mergeCell ref="G570:G573"/>
    <mergeCell ref="H570:H573"/>
    <mergeCell ref="I570:I572"/>
    <mergeCell ref="B564:B566"/>
    <mergeCell ref="C564:C566"/>
    <mergeCell ref="E564:E566"/>
    <mergeCell ref="F564:F566"/>
    <mergeCell ref="G564:G566"/>
    <mergeCell ref="H564:H566"/>
    <mergeCell ref="I577:I580"/>
    <mergeCell ref="B584:B587"/>
    <mergeCell ref="C584:C587"/>
    <mergeCell ref="E584:E587"/>
    <mergeCell ref="F584:F587"/>
    <mergeCell ref="G584:G587"/>
    <mergeCell ref="H584:H587"/>
    <mergeCell ref="I584:I587"/>
    <mergeCell ref="B577:B580"/>
    <mergeCell ref="C577:C580"/>
    <mergeCell ref="E577:E580"/>
    <mergeCell ref="F577:F580"/>
    <mergeCell ref="G577:G580"/>
    <mergeCell ref="H577:H580"/>
    <mergeCell ref="I591:I592"/>
    <mergeCell ref="B596:I596"/>
    <mergeCell ref="B597:B600"/>
    <mergeCell ref="C597:C600"/>
    <mergeCell ref="E597:E600"/>
    <mergeCell ref="F597:F600"/>
    <mergeCell ref="G597:G600"/>
    <mergeCell ref="H597:H600"/>
    <mergeCell ref="I597:I600"/>
    <mergeCell ref="B591:B592"/>
    <mergeCell ref="C591:C592"/>
    <mergeCell ref="E591:E592"/>
    <mergeCell ref="F591:F592"/>
    <mergeCell ref="G591:G592"/>
    <mergeCell ref="H591:H592"/>
    <mergeCell ref="B662:I662"/>
    <mergeCell ref="B663:B664"/>
    <mergeCell ref="C663:C664"/>
    <mergeCell ref="E663:E664"/>
    <mergeCell ref="F663:F664"/>
    <mergeCell ref="G663:G664"/>
    <mergeCell ref="H663:H664"/>
    <mergeCell ref="I663:I664"/>
    <mergeCell ref="I604:I606"/>
    <mergeCell ref="B651:B652"/>
    <mergeCell ref="C651:C652"/>
    <mergeCell ref="E651:E652"/>
    <mergeCell ref="F651:F652"/>
    <mergeCell ref="G651:G652"/>
    <mergeCell ref="H651:H652"/>
    <mergeCell ref="I651:I652"/>
    <mergeCell ref="B604:B606"/>
    <mergeCell ref="C604:C606"/>
    <mergeCell ref="E604:E606"/>
    <mergeCell ref="F604:F606"/>
    <mergeCell ref="G604:G606"/>
    <mergeCell ref="H604:H606"/>
    <mergeCell ref="B690:I690"/>
    <mergeCell ref="B691:B694"/>
    <mergeCell ref="C691:C694"/>
    <mergeCell ref="E691:E694"/>
    <mergeCell ref="F691:F694"/>
    <mergeCell ref="G691:G694"/>
    <mergeCell ref="H691:H694"/>
    <mergeCell ref="I691:I694"/>
    <mergeCell ref="I668:I671"/>
    <mergeCell ref="B675:B678"/>
    <mergeCell ref="C675:C678"/>
    <mergeCell ref="E675:E678"/>
    <mergeCell ref="F675:F678"/>
    <mergeCell ref="G675:G678"/>
    <mergeCell ref="H675:H678"/>
    <mergeCell ref="I675:I678"/>
    <mergeCell ref="B668:B671"/>
    <mergeCell ref="C668:C671"/>
    <mergeCell ref="E668:E671"/>
    <mergeCell ref="F668:F671"/>
    <mergeCell ref="G668:G671"/>
    <mergeCell ref="H668:H671"/>
    <mergeCell ref="A723:A726"/>
    <mergeCell ref="B723:B726"/>
    <mergeCell ref="C723:C726"/>
    <mergeCell ref="E723:E726"/>
    <mergeCell ref="F723:F726"/>
    <mergeCell ref="G723:G726"/>
    <mergeCell ref="I698:I701"/>
    <mergeCell ref="B717:B719"/>
    <mergeCell ref="C717:C719"/>
    <mergeCell ref="E717:E719"/>
    <mergeCell ref="F717:F719"/>
    <mergeCell ref="G717:G719"/>
    <mergeCell ref="H717:H719"/>
    <mergeCell ref="I717:I719"/>
    <mergeCell ref="B698:B701"/>
    <mergeCell ref="C698:C701"/>
    <mergeCell ref="E698:E701"/>
    <mergeCell ref="F698:F701"/>
    <mergeCell ref="G698:G701"/>
    <mergeCell ref="H698:H701"/>
    <mergeCell ref="H723:H726"/>
    <mergeCell ref="I723:I726"/>
    <mergeCell ref="B730:B733"/>
    <mergeCell ref="C730:C733"/>
    <mergeCell ref="E730:E733"/>
    <mergeCell ref="F730:F733"/>
    <mergeCell ref="G730:G733"/>
    <mergeCell ref="H730:H733"/>
    <mergeCell ref="I730:I733"/>
    <mergeCell ref="B737:I737"/>
    <mergeCell ref="B749:I749"/>
    <mergeCell ref="B754:I754"/>
    <mergeCell ref="A987:A991"/>
    <mergeCell ref="B987:I987"/>
    <mergeCell ref="B988:B989"/>
    <mergeCell ref="C988:C989"/>
    <mergeCell ref="E988:E989"/>
    <mergeCell ref="F988:F989"/>
    <mergeCell ref="G988:G989"/>
    <mergeCell ref="H988:H989"/>
    <mergeCell ref="I988:I989"/>
    <mergeCell ref="B993:B994"/>
    <mergeCell ref="C993:C994"/>
    <mergeCell ref="E993:E994"/>
    <mergeCell ref="F993:F994"/>
    <mergeCell ref="G993:G994"/>
    <mergeCell ref="H993:H994"/>
    <mergeCell ref="I993:I994"/>
  </mergeCells>
  <printOptions horizontalCentered="1"/>
  <pageMargins left="0" right="0" top="0.78740157480314965" bottom="0.47244094488188981" header="0.31496062992125984" footer="0.31496062992125984"/>
  <pageSetup paperSize="9" scale="62" fitToHeight="9" orientation="landscape" r:id="rId1"/>
  <headerFooter>
    <oddFooter>Страница  &amp;P из &amp;N</oddFooter>
  </headerFooter>
  <rowBreaks count="2" manualBreakCount="2">
    <brk id="603" max="16383" man="1"/>
    <brk id="7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DC626-4F13-415A-B701-AEEE2C3E0236}">
  <sheetPr>
    <pageSetUpPr fitToPage="1"/>
  </sheetPr>
  <dimension ref="A1:F32"/>
  <sheetViews>
    <sheetView view="pageBreakPreview" zoomScale="82" zoomScaleNormal="70" zoomScaleSheetLayoutView="82" workbookViewId="0">
      <selection activeCell="D24" sqref="D24"/>
    </sheetView>
  </sheetViews>
  <sheetFormatPr defaultColWidth="9.140625" defaultRowHeight="16.5" x14ac:dyDescent="0.25"/>
  <cols>
    <col min="1" max="1" width="6.7109375" style="1" bestFit="1" customWidth="1"/>
    <col min="2" max="2" width="86.140625" style="1" customWidth="1"/>
    <col min="3" max="3" width="17.85546875" style="1" customWidth="1"/>
    <col min="4" max="4" width="19.42578125" style="1" customWidth="1"/>
    <col min="5" max="5" width="16.5703125" style="1" customWidth="1"/>
    <col min="6" max="6" width="27" style="1" customWidth="1"/>
    <col min="7" max="16384" width="9.140625" style="1"/>
  </cols>
  <sheetData>
    <row r="1" spans="1:6" ht="16.5" customHeight="1" x14ac:dyDescent="0.25">
      <c r="D1" s="248" t="s">
        <v>8260</v>
      </c>
      <c r="E1" s="248"/>
      <c r="F1" s="248"/>
    </row>
    <row r="2" spans="1:6" x14ac:dyDescent="0.25">
      <c r="D2" s="248"/>
      <c r="E2" s="248"/>
      <c r="F2" s="248"/>
    </row>
    <row r="3" spans="1:6" x14ac:dyDescent="0.25">
      <c r="D3" s="248"/>
      <c r="E3" s="248"/>
      <c r="F3" s="248"/>
    </row>
    <row r="4" spans="1:6" x14ac:dyDescent="0.25">
      <c r="D4" s="248"/>
      <c r="E4" s="248"/>
      <c r="F4" s="248"/>
    </row>
    <row r="5" spans="1:6" x14ac:dyDescent="0.25">
      <c r="D5" s="248"/>
      <c r="E5" s="248"/>
      <c r="F5" s="248"/>
    </row>
    <row r="6" spans="1:6" x14ac:dyDescent="0.25">
      <c r="D6" s="3"/>
      <c r="E6" s="3"/>
      <c r="F6" s="3"/>
    </row>
    <row r="7" spans="1:6" x14ac:dyDescent="0.25">
      <c r="D7" s="3"/>
      <c r="E7" s="3"/>
      <c r="F7" s="3"/>
    </row>
    <row r="8" spans="1:6" x14ac:dyDescent="0.25">
      <c r="A8" s="249" t="s">
        <v>8259</v>
      </c>
      <c r="B8" s="249"/>
      <c r="C8" s="249"/>
      <c r="D8" s="249"/>
      <c r="E8" s="249"/>
      <c r="F8" s="249"/>
    </row>
    <row r="9" spans="1:6" x14ac:dyDescent="0.25">
      <c r="A9" s="249"/>
      <c r="B9" s="249"/>
      <c r="C9" s="249"/>
      <c r="D9" s="249"/>
      <c r="E9" s="249"/>
      <c r="F9" s="249"/>
    </row>
    <row r="10" spans="1:6" x14ac:dyDescent="0.25">
      <c r="A10" s="249"/>
      <c r="B10" s="249"/>
      <c r="C10" s="249"/>
      <c r="D10" s="249"/>
      <c r="E10" s="249"/>
      <c r="F10" s="249"/>
    </row>
    <row r="11" spans="1:6" x14ac:dyDescent="0.25">
      <c r="A11" s="4"/>
      <c r="B11" s="4"/>
      <c r="C11" s="4"/>
      <c r="D11" s="4"/>
      <c r="E11" s="4"/>
      <c r="F11" s="4"/>
    </row>
    <row r="12" spans="1:6" ht="42" customHeight="1" x14ac:dyDescent="0.25">
      <c r="A12" s="250" t="s">
        <v>0</v>
      </c>
      <c r="B12" s="250" t="s">
        <v>1</v>
      </c>
      <c r="C12" s="250" t="s">
        <v>58</v>
      </c>
      <c r="D12" s="250"/>
      <c r="E12" s="250"/>
      <c r="F12" s="146"/>
    </row>
    <row r="13" spans="1:6" ht="66" x14ac:dyDescent="0.25">
      <c r="A13" s="250"/>
      <c r="B13" s="250"/>
      <c r="C13" s="147" t="s">
        <v>2</v>
      </c>
      <c r="D13" s="147" t="s">
        <v>3</v>
      </c>
      <c r="E13" s="147" t="s">
        <v>4</v>
      </c>
      <c r="F13" s="147" t="s">
        <v>5</v>
      </c>
    </row>
    <row r="14" spans="1:6" x14ac:dyDescent="0.25">
      <c r="A14" s="147">
        <v>1</v>
      </c>
      <c r="B14" s="147">
        <v>2</v>
      </c>
      <c r="C14" s="147">
        <v>3</v>
      </c>
      <c r="D14" s="147">
        <v>4</v>
      </c>
      <c r="E14" s="147">
        <v>5</v>
      </c>
      <c r="F14" s="147">
        <v>6</v>
      </c>
    </row>
    <row r="15" spans="1:6" x14ac:dyDescent="0.25">
      <c r="A15" s="147" t="s">
        <v>6</v>
      </c>
      <c r="B15" s="148" t="s">
        <v>59</v>
      </c>
      <c r="C15" s="149">
        <f>F15*D15</f>
        <v>18659959.238223553</v>
      </c>
      <c r="D15" s="147">
        <v>760</v>
      </c>
      <c r="E15" s="150">
        <v>19598.080000000002</v>
      </c>
      <c r="F15" s="151">
        <v>24552.577945030993</v>
      </c>
    </row>
    <row r="16" spans="1:6" x14ac:dyDescent="0.25">
      <c r="A16" s="147" t="s">
        <v>7</v>
      </c>
      <c r="B16" s="148" t="s">
        <v>60</v>
      </c>
      <c r="C16" s="147" t="s">
        <v>8</v>
      </c>
      <c r="D16" s="152" t="s">
        <v>8</v>
      </c>
      <c r="E16" s="153" t="s">
        <v>8</v>
      </c>
      <c r="F16" s="154" t="s">
        <v>8</v>
      </c>
    </row>
    <row r="17" spans="1:6" ht="66" x14ac:dyDescent="0.25">
      <c r="A17" s="155" t="s">
        <v>9</v>
      </c>
      <c r="B17" s="148" t="s">
        <v>10</v>
      </c>
      <c r="C17" s="156">
        <f>D17*F17</f>
        <v>26801766.933101799</v>
      </c>
      <c r="D17" s="147">
        <v>720</v>
      </c>
      <c r="E17" s="150">
        <v>14203.08</v>
      </c>
      <c r="F17" s="151">
        <v>37224.676295974721</v>
      </c>
    </row>
    <row r="18" spans="1:6" ht="66" x14ac:dyDescent="0.25">
      <c r="A18" s="157" t="s">
        <v>11</v>
      </c>
      <c r="B18" s="148" t="s">
        <v>61</v>
      </c>
      <c r="C18" s="158">
        <f>D18*F18</f>
        <v>2358089.2716987636</v>
      </c>
      <c r="D18" s="147">
        <v>40</v>
      </c>
      <c r="E18" s="150">
        <v>5395</v>
      </c>
      <c r="F18" s="151">
        <v>58952.231792469087</v>
      </c>
    </row>
    <row r="19" spans="1:6" x14ac:dyDescent="0.25">
      <c r="C19" s="5"/>
      <c r="F19" s="5"/>
    </row>
    <row r="23" spans="1:6" x14ac:dyDescent="0.25">
      <c r="B23" s="159"/>
      <c r="C23" s="159"/>
      <c r="F23" s="159"/>
    </row>
    <row r="24" spans="1:6" x14ac:dyDescent="0.25">
      <c r="B24" s="159"/>
      <c r="C24" s="159"/>
      <c r="F24" s="159"/>
    </row>
    <row r="25" spans="1:6" x14ac:dyDescent="0.25">
      <c r="B25" s="159"/>
      <c r="C25" s="159"/>
      <c r="F25" s="159"/>
    </row>
    <row r="26" spans="1:6" x14ac:dyDescent="0.25">
      <c r="B26" s="159"/>
      <c r="C26" s="159"/>
      <c r="F26" s="159"/>
    </row>
    <row r="27" spans="1:6" x14ac:dyDescent="0.25">
      <c r="B27" s="159"/>
      <c r="C27" s="159"/>
      <c r="F27" s="159"/>
    </row>
    <row r="28" spans="1:6" x14ac:dyDescent="0.25">
      <c r="B28" s="159"/>
      <c r="C28" s="159"/>
      <c r="F28" s="159"/>
    </row>
    <row r="29" spans="1:6" x14ac:dyDescent="0.25">
      <c r="B29" s="159"/>
      <c r="C29" s="159"/>
      <c r="F29" s="159"/>
    </row>
    <row r="30" spans="1:6" x14ac:dyDescent="0.25">
      <c r="B30" s="159"/>
      <c r="C30" s="159"/>
      <c r="F30" s="159"/>
    </row>
    <row r="31" spans="1:6" x14ac:dyDescent="0.25">
      <c r="B31" s="160"/>
      <c r="C31" s="159"/>
      <c r="F31" s="159"/>
    </row>
    <row r="32" spans="1:6" x14ac:dyDescent="0.25">
      <c r="B32" s="159"/>
      <c r="C32" s="159"/>
    </row>
  </sheetData>
  <mergeCells count="5">
    <mergeCell ref="D1:F5"/>
    <mergeCell ref="A8:F10"/>
    <mergeCell ref="A12:A13"/>
    <mergeCell ref="B12:B13"/>
    <mergeCell ref="C12:E12"/>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1A38F-F174-4772-9E96-588F1F840EF2}">
  <sheetPr>
    <pageSetUpPr fitToPage="1"/>
  </sheetPr>
  <dimension ref="B2:I27"/>
  <sheetViews>
    <sheetView view="pageBreakPreview" zoomScale="82" zoomScaleNormal="77" zoomScaleSheetLayoutView="82" workbookViewId="0">
      <selection activeCell="C9" sqref="C9"/>
    </sheetView>
  </sheetViews>
  <sheetFormatPr defaultRowHeight="15" x14ac:dyDescent="0.25"/>
  <cols>
    <col min="1" max="1" width="3.7109375" customWidth="1"/>
    <col min="2" max="2" width="12.5703125" customWidth="1"/>
    <col min="3" max="3" width="42" customWidth="1"/>
    <col min="4" max="4" width="20.140625" customWidth="1"/>
    <col min="5" max="5" width="20.7109375" customWidth="1"/>
    <col min="6" max="6" width="22.42578125" customWidth="1"/>
    <col min="7" max="7" width="21.85546875" customWidth="1"/>
    <col min="8" max="8" width="22.42578125" customWidth="1"/>
    <col min="9" max="9" width="25" customWidth="1"/>
  </cols>
  <sheetData>
    <row r="2" spans="2:9" ht="76.5" customHeight="1" x14ac:dyDescent="0.25">
      <c r="B2" s="163"/>
      <c r="C2" s="163"/>
      <c r="D2" s="163"/>
      <c r="E2" s="163"/>
      <c r="F2" s="163"/>
      <c r="G2" s="251" t="s">
        <v>8261</v>
      </c>
      <c r="H2" s="251"/>
      <c r="I2" s="251"/>
    </row>
    <row r="3" spans="2:9" ht="84" customHeight="1" x14ac:dyDescent="0.25">
      <c r="B3" s="252" t="s">
        <v>8262</v>
      </c>
      <c r="C3" s="252"/>
      <c r="D3" s="252"/>
      <c r="E3" s="252"/>
      <c r="F3" s="252"/>
      <c r="G3" s="252"/>
      <c r="H3" s="252"/>
      <c r="I3" s="252"/>
    </row>
    <row r="4" spans="2:9" ht="18" customHeight="1" x14ac:dyDescent="0.25">
      <c r="B4" s="253" t="s">
        <v>12</v>
      </c>
      <c r="C4" s="253"/>
      <c r="D4" s="253"/>
      <c r="E4" s="253"/>
      <c r="F4" s="253"/>
      <c r="G4" s="253"/>
      <c r="H4" s="253"/>
      <c r="I4" s="253"/>
    </row>
    <row r="5" spans="2:9" ht="15.75" customHeight="1" thickBot="1" x14ac:dyDescent="0.3">
      <c r="B5" s="163"/>
      <c r="C5" s="163"/>
      <c r="D5" s="163"/>
      <c r="E5" s="163"/>
      <c r="F5" s="163"/>
      <c r="G5" s="163"/>
      <c r="H5" s="163"/>
      <c r="I5" s="164" t="s">
        <v>13</v>
      </c>
    </row>
    <row r="6" spans="2:9" ht="42.75" customHeight="1" thickBot="1" x14ac:dyDescent="0.3">
      <c r="B6" s="254" t="s">
        <v>0</v>
      </c>
      <c r="C6" s="254" t="s">
        <v>14</v>
      </c>
      <c r="D6" s="256" t="s">
        <v>15</v>
      </c>
      <c r="E6" s="257"/>
      <c r="F6" s="258"/>
      <c r="G6" s="256" t="s">
        <v>16</v>
      </c>
      <c r="H6" s="257"/>
      <c r="I6" s="258"/>
    </row>
    <row r="7" spans="2:9" ht="51.75" thickBot="1" x14ac:dyDescent="0.3">
      <c r="B7" s="255"/>
      <c r="C7" s="255"/>
      <c r="D7" s="165" t="s">
        <v>17</v>
      </c>
      <c r="E7" s="165" t="s">
        <v>18</v>
      </c>
      <c r="F7" s="165" t="s">
        <v>19</v>
      </c>
      <c r="G7" s="165" t="s">
        <v>17</v>
      </c>
      <c r="H7" s="165" t="s">
        <v>18</v>
      </c>
      <c r="I7" s="165" t="s">
        <v>19</v>
      </c>
    </row>
    <row r="8" spans="2:9" ht="15.75" thickBot="1" x14ac:dyDescent="0.3">
      <c r="B8" s="166">
        <v>1</v>
      </c>
      <c r="C8" s="165">
        <v>2</v>
      </c>
      <c r="D8" s="165">
        <v>3</v>
      </c>
      <c r="E8" s="165">
        <v>4</v>
      </c>
      <c r="F8" s="165">
        <v>5</v>
      </c>
      <c r="G8" s="165">
        <v>6</v>
      </c>
      <c r="H8" s="165">
        <v>7</v>
      </c>
      <c r="I8" s="165">
        <v>8</v>
      </c>
    </row>
    <row r="9" spans="2:9" ht="26.25" thickBot="1" x14ac:dyDescent="0.3">
      <c r="B9" s="166" t="s">
        <v>6</v>
      </c>
      <c r="C9" s="167" t="s">
        <v>20</v>
      </c>
      <c r="D9" s="256" t="s">
        <v>57</v>
      </c>
      <c r="E9" s="257"/>
      <c r="F9" s="257"/>
      <c r="G9" s="257"/>
      <c r="H9" s="257"/>
      <c r="I9" s="258"/>
    </row>
    <row r="10" spans="2:9" ht="15.75" thickBot="1" x14ac:dyDescent="0.3">
      <c r="B10" s="166" t="s">
        <v>21</v>
      </c>
      <c r="C10" s="167" t="s">
        <v>22</v>
      </c>
      <c r="D10" s="256" t="s">
        <v>57</v>
      </c>
      <c r="E10" s="257"/>
      <c r="F10" s="257"/>
      <c r="G10" s="257"/>
      <c r="H10" s="257"/>
      <c r="I10" s="258"/>
    </row>
    <row r="11" spans="2:9" ht="15.75" thickBot="1" x14ac:dyDescent="0.3">
      <c r="B11" s="166" t="s">
        <v>23</v>
      </c>
      <c r="C11" s="167" t="s">
        <v>24</v>
      </c>
      <c r="D11" s="256" t="s">
        <v>57</v>
      </c>
      <c r="E11" s="257"/>
      <c r="F11" s="257"/>
      <c r="G11" s="257"/>
      <c r="H11" s="257"/>
      <c r="I11" s="258"/>
    </row>
    <row r="12" spans="2:9" ht="15.75" thickBot="1" x14ac:dyDescent="0.3">
      <c r="B12" s="166" t="s">
        <v>25</v>
      </c>
      <c r="C12" s="167" t="s">
        <v>26</v>
      </c>
      <c r="D12" s="256" t="s">
        <v>57</v>
      </c>
      <c r="E12" s="257"/>
      <c r="F12" s="257"/>
      <c r="G12" s="257"/>
      <c r="H12" s="257"/>
      <c r="I12" s="258"/>
    </row>
    <row r="13" spans="2:9" ht="15.75" thickBot="1" x14ac:dyDescent="0.3">
      <c r="B13" s="166" t="s">
        <v>27</v>
      </c>
      <c r="C13" s="167" t="s">
        <v>28</v>
      </c>
      <c r="D13" s="256" t="s">
        <v>57</v>
      </c>
      <c r="E13" s="257"/>
      <c r="F13" s="257"/>
      <c r="G13" s="257"/>
      <c r="H13" s="257"/>
      <c r="I13" s="258"/>
    </row>
    <row r="14" spans="2:9" ht="15.75" thickBot="1" x14ac:dyDescent="0.3">
      <c r="B14" s="166" t="s">
        <v>29</v>
      </c>
      <c r="C14" s="167" t="s">
        <v>30</v>
      </c>
      <c r="D14" s="256" t="s">
        <v>57</v>
      </c>
      <c r="E14" s="257"/>
      <c r="F14" s="257"/>
      <c r="G14" s="257"/>
      <c r="H14" s="257"/>
      <c r="I14" s="258"/>
    </row>
    <row r="15" spans="2:9" ht="24" customHeight="1" thickBot="1" x14ac:dyDescent="0.3">
      <c r="B15" s="166" t="s">
        <v>31</v>
      </c>
      <c r="C15" s="167" t="s">
        <v>32</v>
      </c>
      <c r="D15" s="256" t="s">
        <v>57</v>
      </c>
      <c r="E15" s="257"/>
      <c r="F15" s="257"/>
      <c r="G15" s="257"/>
      <c r="H15" s="257"/>
      <c r="I15" s="258"/>
    </row>
    <row r="16" spans="2:9" ht="39" thickBot="1" x14ac:dyDescent="0.3">
      <c r="B16" s="166" t="s">
        <v>33</v>
      </c>
      <c r="C16" s="167" t="s">
        <v>34</v>
      </c>
      <c r="D16" s="256" t="s">
        <v>57</v>
      </c>
      <c r="E16" s="257"/>
      <c r="F16" s="257"/>
      <c r="G16" s="257"/>
      <c r="H16" s="257"/>
      <c r="I16" s="258"/>
    </row>
    <row r="17" spans="2:9" ht="26.25" thickBot="1" x14ac:dyDescent="0.3">
      <c r="B17" s="166" t="s">
        <v>35</v>
      </c>
      <c r="C17" s="167" t="s">
        <v>36</v>
      </c>
      <c r="D17" s="256" t="s">
        <v>57</v>
      </c>
      <c r="E17" s="257"/>
      <c r="F17" s="257"/>
      <c r="G17" s="257"/>
      <c r="H17" s="257"/>
      <c r="I17" s="258"/>
    </row>
    <row r="18" spans="2:9" ht="15.75" thickBot="1" x14ac:dyDescent="0.3">
      <c r="B18" s="166" t="s">
        <v>37</v>
      </c>
      <c r="C18" s="167" t="s">
        <v>38</v>
      </c>
      <c r="D18" s="256" t="s">
        <v>57</v>
      </c>
      <c r="E18" s="257"/>
      <c r="F18" s="257"/>
      <c r="G18" s="257"/>
      <c r="H18" s="257"/>
      <c r="I18" s="258"/>
    </row>
    <row r="19" spans="2:9" ht="15.75" thickBot="1" x14ac:dyDescent="0.3">
      <c r="B19" s="166" t="s">
        <v>39</v>
      </c>
      <c r="C19" s="167" t="s">
        <v>40</v>
      </c>
      <c r="D19" s="256" t="s">
        <v>57</v>
      </c>
      <c r="E19" s="257"/>
      <c r="F19" s="257"/>
      <c r="G19" s="257"/>
      <c r="H19" s="257"/>
      <c r="I19" s="258"/>
    </row>
    <row r="20" spans="2:9" ht="39" thickBot="1" x14ac:dyDescent="0.3">
      <c r="B20" s="166" t="s">
        <v>41</v>
      </c>
      <c r="C20" s="167" t="s">
        <v>42</v>
      </c>
      <c r="D20" s="256" t="s">
        <v>57</v>
      </c>
      <c r="E20" s="257"/>
      <c r="F20" s="257"/>
      <c r="G20" s="257"/>
      <c r="H20" s="257"/>
      <c r="I20" s="258"/>
    </row>
    <row r="21" spans="2:9" ht="15.75" thickBot="1" x14ac:dyDescent="0.3">
      <c r="B21" s="166" t="s">
        <v>43</v>
      </c>
      <c r="C21" s="167" t="s">
        <v>44</v>
      </c>
      <c r="D21" s="256" t="s">
        <v>57</v>
      </c>
      <c r="E21" s="257"/>
      <c r="F21" s="257"/>
      <c r="G21" s="257"/>
      <c r="H21" s="257"/>
      <c r="I21" s="258"/>
    </row>
    <row r="22" spans="2:9" ht="26.25" thickBot="1" x14ac:dyDescent="0.3">
      <c r="B22" s="166" t="s">
        <v>45</v>
      </c>
      <c r="C22" s="167" t="s">
        <v>46</v>
      </c>
      <c r="D22" s="256" t="s">
        <v>57</v>
      </c>
      <c r="E22" s="257"/>
      <c r="F22" s="257"/>
      <c r="G22" s="257"/>
      <c r="H22" s="257"/>
      <c r="I22" s="258"/>
    </row>
    <row r="23" spans="2:9" ht="15.75" thickBot="1" x14ac:dyDescent="0.3">
      <c r="B23" s="166" t="s">
        <v>47</v>
      </c>
      <c r="C23" s="167" t="s">
        <v>48</v>
      </c>
      <c r="D23" s="256" t="s">
        <v>57</v>
      </c>
      <c r="E23" s="257"/>
      <c r="F23" s="257"/>
      <c r="G23" s="257"/>
      <c r="H23" s="257"/>
      <c r="I23" s="258"/>
    </row>
    <row r="24" spans="2:9" ht="15.75" thickBot="1" x14ac:dyDescent="0.3">
      <c r="B24" s="166" t="s">
        <v>49</v>
      </c>
      <c r="C24" s="167" t="s">
        <v>50</v>
      </c>
      <c r="D24" s="256" t="s">
        <v>57</v>
      </c>
      <c r="E24" s="257"/>
      <c r="F24" s="257"/>
      <c r="G24" s="257"/>
      <c r="H24" s="257"/>
      <c r="I24" s="258"/>
    </row>
    <row r="25" spans="2:9" ht="15.75" thickBot="1" x14ac:dyDescent="0.3">
      <c r="B25" s="166" t="s">
        <v>51</v>
      </c>
      <c r="C25" s="167" t="s">
        <v>52</v>
      </c>
      <c r="D25" s="256" t="s">
        <v>57</v>
      </c>
      <c r="E25" s="257"/>
      <c r="F25" s="257"/>
      <c r="G25" s="257"/>
      <c r="H25" s="257"/>
      <c r="I25" s="258"/>
    </row>
    <row r="26" spans="2:9" ht="15.75" thickBot="1" x14ac:dyDescent="0.3">
      <c r="B26" s="166" t="s">
        <v>53</v>
      </c>
      <c r="C26" s="167" t="s">
        <v>54</v>
      </c>
      <c r="D26" s="256" t="s">
        <v>57</v>
      </c>
      <c r="E26" s="257"/>
      <c r="F26" s="257"/>
      <c r="G26" s="257"/>
      <c r="H26" s="257"/>
      <c r="I26" s="258"/>
    </row>
    <row r="27" spans="2:9" ht="26.25" thickBot="1" x14ac:dyDescent="0.3">
      <c r="B27" s="166" t="s">
        <v>55</v>
      </c>
      <c r="C27" s="167" t="s">
        <v>56</v>
      </c>
      <c r="D27" s="256" t="s">
        <v>57</v>
      </c>
      <c r="E27" s="257"/>
      <c r="F27" s="257"/>
      <c r="G27" s="257"/>
      <c r="H27" s="257"/>
      <c r="I27" s="258"/>
    </row>
  </sheetData>
  <mergeCells count="26">
    <mergeCell ref="D27:I27"/>
    <mergeCell ref="D21:I21"/>
    <mergeCell ref="D22:I22"/>
    <mergeCell ref="D23:I23"/>
    <mergeCell ref="D24:I24"/>
    <mergeCell ref="D25:I25"/>
    <mergeCell ref="D26:I26"/>
    <mergeCell ref="D20:I20"/>
    <mergeCell ref="D9:I9"/>
    <mergeCell ref="D10:I10"/>
    <mergeCell ref="D11:I11"/>
    <mergeCell ref="D12:I12"/>
    <mergeCell ref="D13:I13"/>
    <mergeCell ref="D14:I14"/>
    <mergeCell ref="D15:I15"/>
    <mergeCell ref="D16:I16"/>
    <mergeCell ref="D17:I17"/>
    <mergeCell ref="D18:I18"/>
    <mergeCell ref="D19:I19"/>
    <mergeCell ref="G2:I2"/>
    <mergeCell ref="B3:I3"/>
    <mergeCell ref="B4:I4"/>
    <mergeCell ref="B6:B7"/>
    <mergeCell ref="C6:C7"/>
    <mergeCell ref="D6:F6"/>
    <mergeCell ref="G6:I6"/>
  </mergeCells>
  <pageMargins left="0.70866141732283472" right="0.70866141732283472" top="0.74803149606299213" bottom="0.74803149606299213"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Приложение 1</vt:lpstr>
      <vt:lpstr>Приложение 2</vt:lpstr>
      <vt:lpstr>Приложение 3</vt:lpstr>
      <vt:lpstr>'Приложение 1'!Заголовки_для_печати</vt:lpstr>
      <vt:lpstr>'Приложение 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Chayk_la79</dc:creator>
  <cp:lastModifiedBy>Chayk_la79</cp:lastModifiedBy>
  <dcterms:created xsi:type="dcterms:W3CDTF">2025-09-02T10:17:48Z</dcterms:created>
  <dcterms:modified xsi:type="dcterms:W3CDTF">2025-09-04T05:29:56Z</dcterms:modified>
</cp:coreProperties>
</file>